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635668C1-2975-4C55-9571-B0AA994C5D8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4" i="1"/>
  <c r="B3" i="1"/>
</calcChain>
</file>

<file path=xl/sharedStrings.xml><?xml version="1.0" encoding="utf-8"?>
<sst xmlns="http://schemas.openxmlformats.org/spreadsheetml/2006/main" count="3446" uniqueCount="62">
  <si>
    <t>序号</t>
    <phoneticPr fontId="1" type="noConversion"/>
  </si>
  <si>
    <t>报考号</t>
    <phoneticPr fontId="1" type="noConversion"/>
  </si>
  <si>
    <t>姓名</t>
    <phoneticPr fontId="1" type="noConversion"/>
  </si>
  <si>
    <t>性别</t>
    <phoneticPr fontId="1" type="noConversion"/>
  </si>
  <si>
    <t>报考岗位</t>
    <phoneticPr fontId="1" type="noConversion"/>
  </si>
  <si>
    <t>白沙县2021年公开招聘事业单位工作人员通过报名资格审核考生名单</t>
    <phoneticPr fontId="1" type="noConversion"/>
  </si>
  <si>
    <t>0101_管理岗</t>
  </si>
  <si>
    <t>0201_管理岗1</t>
  </si>
  <si>
    <t>0202_管理岗2</t>
  </si>
  <si>
    <t>0203_管理岗3</t>
  </si>
  <si>
    <t>0204_管理岗4</t>
  </si>
  <si>
    <t>0301_管理岗</t>
  </si>
  <si>
    <t>0401_管理岗1</t>
  </si>
  <si>
    <t>0402_管理岗2</t>
  </si>
  <si>
    <t>0403_管理岗3</t>
  </si>
  <si>
    <t>0404_管理岗4</t>
  </si>
  <si>
    <t>0501_管理岗1</t>
  </si>
  <si>
    <t>0502_管理岗2</t>
  </si>
  <si>
    <t>0601_管理岗1</t>
  </si>
  <si>
    <t>0602_管理岗2</t>
  </si>
  <si>
    <t>0603_管理岗3</t>
  </si>
  <si>
    <t>0604_管理岗4</t>
  </si>
  <si>
    <t>0605_管理岗5</t>
  </si>
  <si>
    <t>0701_专技岗1</t>
  </si>
  <si>
    <t>0702_专技岗2</t>
  </si>
  <si>
    <t>0801_管理岗</t>
  </si>
  <si>
    <t>0901_管理岗1</t>
  </si>
  <si>
    <t>0902_管理岗2</t>
  </si>
  <si>
    <t>1001_管理岗</t>
  </si>
  <si>
    <t>1002_专技岗</t>
  </si>
  <si>
    <t>1101_管理岗1</t>
  </si>
  <si>
    <t>1102_管理岗2</t>
  </si>
  <si>
    <t>1201_信息处理管理岗</t>
  </si>
  <si>
    <t>1301_管理岗</t>
  </si>
  <si>
    <t>1401_管理岗</t>
  </si>
  <si>
    <t>1501_管理岗</t>
  </si>
  <si>
    <t>1601_专技岗</t>
  </si>
  <si>
    <t>1701_专技岗1</t>
  </si>
  <si>
    <t>1702_专技岗2</t>
  </si>
  <si>
    <t>1703_专技岗3</t>
  </si>
  <si>
    <t>1704_管理岗</t>
  </si>
  <si>
    <t>1801_专技岗</t>
  </si>
  <si>
    <t>1901_管理岗</t>
  </si>
  <si>
    <t>2001_管理岗</t>
  </si>
  <si>
    <t>2101_管理岗</t>
  </si>
  <si>
    <t>2201_管理岗</t>
  </si>
  <si>
    <t>2301_专技岗</t>
  </si>
  <si>
    <t>2401_管理岗</t>
  </si>
  <si>
    <t>2501_管理岗1</t>
  </si>
  <si>
    <t>2502_管理岗2</t>
  </si>
  <si>
    <t>2601_专技岗</t>
  </si>
  <si>
    <t>2701_专技岗</t>
  </si>
  <si>
    <t>2801_管理岗</t>
  </si>
  <si>
    <t>2901_管理岗1</t>
  </si>
  <si>
    <t>2902_管理岗2</t>
  </si>
  <si>
    <t>2903_管理岗3</t>
  </si>
  <si>
    <t>3001_管理岗</t>
  </si>
  <si>
    <t>3101_专技岗</t>
  </si>
  <si>
    <t>3102_管理岗</t>
  </si>
  <si>
    <t>3201_管理岗</t>
  </si>
  <si>
    <t>3401_管理岗</t>
  </si>
  <si>
    <t>3601_管理岗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</si>
</sst>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42"/>
  <sheetViews>
    <sheetView tabSelected="1" topLeftCell="A3414" workbookViewId="0">
      <selection activeCell="D3426" sqref="D3426"/>
    </sheetView>
  </sheetViews>
  <sheetFormatPr defaultRowHeight="13.8" x14ac:dyDescent="0.25"/>
  <cols>
    <col min="1" max="1" width="8.77734375" style="1" customWidth="1"/>
    <col min="2" max="2" width="31.44140625" customWidth="1"/>
    <col min="3" max="3" width="19.33203125" customWidth="1"/>
    <col min="4" max="4" width="13.88671875" customWidth="1"/>
    <col min="5" max="5" width="10.33203125" customWidth="1"/>
    <col min="6" max="6" width="0.21875" hidden="1" customWidth="1"/>
  </cols>
  <sheetData>
    <row r="1" spans="1:6" ht="28.8" customHeight="1" x14ac:dyDescent="0.25">
      <c r="A1" s="6" t="s">
        <v>5</v>
      </c>
      <c r="B1" s="6"/>
      <c r="C1" s="6"/>
      <c r="D1" s="6"/>
      <c r="E1" s="6"/>
      <c r="F1" s="6"/>
    </row>
    <row r="2" spans="1:6" ht="20.399999999999999" customHeight="1" x14ac:dyDescent="0.25">
      <c r="A2" s="5" t="s">
        <v>0</v>
      </c>
      <c r="B2" s="5" t="s">
        <v>1</v>
      </c>
      <c r="C2" s="5" t="s">
        <v>4</v>
      </c>
      <c r="D2" s="5" t="s">
        <v>2</v>
      </c>
      <c r="E2" s="5" t="s">
        <v>3</v>
      </c>
    </row>
    <row r="3" spans="1:6" ht="14.4" x14ac:dyDescent="0.25">
      <c r="A3" s="4">
        <v>1</v>
      </c>
      <c r="B3" s="3" t="str">
        <f>"3251202108100900313736"</f>
        <v>3251202108100900313736</v>
      </c>
      <c r="C3" s="3" t="s">
        <v>6</v>
      </c>
      <c r="D3" s="3" t="str">
        <f>"吴清科"</f>
        <v>吴清科</v>
      </c>
      <c r="E3" s="3" t="str">
        <f>"男"</f>
        <v>男</v>
      </c>
    </row>
    <row r="4" spans="1:6" ht="14.4" x14ac:dyDescent="0.25">
      <c r="A4" s="4">
        <v>2</v>
      </c>
      <c r="B4" s="2" t="str">
        <f>"3251202108100902513763"</f>
        <v>3251202108100902513763</v>
      </c>
      <c r="C4" s="2" t="s">
        <v>6</v>
      </c>
      <c r="D4" s="2" t="str">
        <f>"刘丽娟"</f>
        <v>刘丽娟</v>
      </c>
      <c r="E4" s="2" t="str">
        <f>"女"</f>
        <v>女</v>
      </c>
    </row>
    <row r="5" spans="1:6" ht="14.4" x14ac:dyDescent="0.25">
      <c r="A5" s="4">
        <v>3</v>
      </c>
      <c r="B5" s="2" t="str">
        <f>"3251202108100904213782"</f>
        <v>3251202108100904213782</v>
      </c>
      <c r="C5" s="2" t="s">
        <v>6</v>
      </c>
      <c r="D5" s="2" t="str">
        <f>"陈艺靖"</f>
        <v>陈艺靖</v>
      </c>
      <c r="E5" s="2" t="str">
        <f>"女"</f>
        <v>女</v>
      </c>
    </row>
    <row r="6" spans="1:6" ht="14.4" x14ac:dyDescent="0.25">
      <c r="A6" s="4">
        <v>4</v>
      </c>
      <c r="B6" s="2" t="str">
        <f>"3251202108100904563785"</f>
        <v>3251202108100904563785</v>
      </c>
      <c r="C6" s="2" t="s">
        <v>6</v>
      </c>
      <c r="D6" s="2" t="str">
        <f>"李凤珍"</f>
        <v>李凤珍</v>
      </c>
      <c r="E6" s="2" t="str">
        <f>"女"</f>
        <v>女</v>
      </c>
    </row>
    <row r="7" spans="1:6" ht="14.4" x14ac:dyDescent="0.25">
      <c r="A7" s="4">
        <v>5</v>
      </c>
      <c r="B7" s="2" t="str">
        <f>"3251202108100905173788"</f>
        <v>3251202108100905173788</v>
      </c>
      <c r="C7" s="2" t="s">
        <v>6</v>
      </c>
      <c r="D7" s="2" t="str">
        <f>"王秋武"</f>
        <v>王秋武</v>
      </c>
      <c r="E7" s="2" t="str">
        <f>"男"</f>
        <v>男</v>
      </c>
    </row>
    <row r="8" spans="1:6" ht="14.4" x14ac:dyDescent="0.25">
      <c r="A8" s="4">
        <v>6</v>
      </c>
      <c r="B8" s="2" t="str">
        <f>"3251202108100906233803"</f>
        <v>3251202108100906233803</v>
      </c>
      <c r="C8" s="2" t="s">
        <v>6</v>
      </c>
      <c r="D8" s="2" t="str">
        <f>"陈娜"</f>
        <v>陈娜</v>
      </c>
      <c r="E8" s="2" t="str">
        <f>"女"</f>
        <v>女</v>
      </c>
    </row>
    <row r="9" spans="1:6" ht="14.4" x14ac:dyDescent="0.25">
      <c r="A9" s="4">
        <v>7</v>
      </c>
      <c r="B9" s="2" t="str">
        <f>"3251202108100907093811"</f>
        <v>3251202108100907093811</v>
      </c>
      <c r="C9" s="2" t="s">
        <v>6</v>
      </c>
      <c r="D9" s="2" t="str">
        <f>"洪海彪"</f>
        <v>洪海彪</v>
      </c>
      <c r="E9" s="2" t="str">
        <f>"男"</f>
        <v>男</v>
      </c>
    </row>
    <row r="10" spans="1:6" ht="14.4" x14ac:dyDescent="0.25">
      <c r="A10" s="4">
        <v>8</v>
      </c>
      <c r="B10" s="2" t="str">
        <f>"3251202108100910033846"</f>
        <v>3251202108100910033846</v>
      </c>
      <c r="C10" s="2" t="s">
        <v>6</v>
      </c>
      <c r="D10" s="2" t="str">
        <f>"蒋翠梅"</f>
        <v>蒋翠梅</v>
      </c>
      <c r="E10" s="2" t="str">
        <f>"女"</f>
        <v>女</v>
      </c>
    </row>
    <row r="11" spans="1:6" ht="14.4" x14ac:dyDescent="0.25">
      <c r="A11" s="4">
        <v>9</v>
      </c>
      <c r="B11" s="2" t="str">
        <f>"3251202108100910303850"</f>
        <v>3251202108100910303850</v>
      </c>
      <c r="C11" s="2" t="s">
        <v>6</v>
      </c>
      <c r="D11" s="2" t="str">
        <f>"杨淮菁"</f>
        <v>杨淮菁</v>
      </c>
      <c r="E11" s="2" t="str">
        <f>"女"</f>
        <v>女</v>
      </c>
    </row>
    <row r="12" spans="1:6" ht="14.4" x14ac:dyDescent="0.25">
      <c r="A12" s="4">
        <v>10</v>
      </c>
      <c r="B12" s="2" t="str">
        <f>"3251202108100910303851"</f>
        <v>3251202108100910303851</v>
      </c>
      <c r="C12" s="2" t="s">
        <v>6</v>
      </c>
      <c r="D12" s="2" t="str">
        <f>"张小妹"</f>
        <v>张小妹</v>
      </c>
      <c r="E12" s="2" t="str">
        <f>"女"</f>
        <v>女</v>
      </c>
    </row>
    <row r="13" spans="1:6" ht="14.4" x14ac:dyDescent="0.25">
      <c r="A13" s="4">
        <v>11</v>
      </c>
      <c r="B13" s="2" t="str">
        <f>"3251202108100911403864"</f>
        <v>3251202108100911403864</v>
      </c>
      <c r="C13" s="2" t="s">
        <v>6</v>
      </c>
      <c r="D13" s="2" t="str">
        <f>"郑再娜"</f>
        <v>郑再娜</v>
      </c>
      <c r="E13" s="2" t="str">
        <f>"女"</f>
        <v>女</v>
      </c>
    </row>
    <row r="14" spans="1:6" ht="14.4" x14ac:dyDescent="0.25">
      <c r="A14" s="4">
        <v>12</v>
      </c>
      <c r="B14" s="2" t="str">
        <f>"3251202108100911483865"</f>
        <v>3251202108100911483865</v>
      </c>
      <c r="C14" s="2" t="s">
        <v>6</v>
      </c>
      <c r="D14" s="2" t="str">
        <f>"林耀棱"</f>
        <v>林耀棱</v>
      </c>
      <c r="E14" s="2" t="str">
        <f>"男"</f>
        <v>男</v>
      </c>
    </row>
    <row r="15" spans="1:6" ht="14.4" x14ac:dyDescent="0.25">
      <c r="A15" s="4">
        <v>13</v>
      </c>
      <c r="B15" s="2" t="str">
        <f>"3251202108100913303880"</f>
        <v>3251202108100913303880</v>
      </c>
      <c r="C15" s="2" t="s">
        <v>6</v>
      </c>
      <c r="D15" s="2" t="str">
        <f>"唐皭琪"</f>
        <v>唐皭琪</v>
      </c>
      <c r="E15" s="2" t="str">
        <f t="shared" ref="E15:E20" si="0">"女"</f>
        <v>女</v>
      </c>
    </row>
    <row r="16" spans="1:6" ht="14.4" x14ac:dyDescent="0.25">
      <c r="A16" s="4">
        <v>14</v>
      </c>
      <c r="B16" s="2" t="str">
        <f>"3251202108100914253892"</f>
        <v>3251202108100914253892</v>
      </c>
      <c r="C16" s="2" t="s">
        <v>6</v>
      </c>
      <c r="D16" s="2" t="str">
        <f>"赵金香"</f>
        <v>赵金香</v>
      </c>
      <c r="E16" s="2" t="str">
        <f t="shared" si="0"/>
        <v>女</v>
      </c>
    </row>
    <row r="17" spans="1:5" ht="14.4" x14ac:dyDescent="0.25">
      <c r="A17" s="4">
        <v>15</v>
      </c>
      <c r="B17" s="2" t="str">
        <f>"3251202108100914383895"</f>
        <v>3251202108100914383895</v>
      </c>
      <c r="C17" s="2" t="s">
        <v>6</v>
      </c>
      <c r="D17" s="2" t="str">
        <f>"冯桔蕾"</f>
        <v>冯桔蕾</v>
      </c>
      <c r="E17" s="2" t="str">
        <f t="shared" si="0"/>
        <v>女</v>
      </c>
    </row>
    <row r="18" spans="1:5" ht="14.4" x14ac:dyDescent="0.25">
      <c r="A18" s="4">
        <v>16</v>
      </c>
      <c r="B18" s="2" t="str">
        <f>"3251202108100915133901"</f>
        <v>3251202108100915133901</v>
      </c>
      <c r="C18" s="2" t="s">
        <v>6</v>
      </c>
      <c r="D18" s="2" t="str">
        <f>"陈强"</f>
        <v>陈强</v>
      </c>
      <c r="E18" s="2" t="str">
        <f t="shared" si="0"/>
        <v>女</v>
      </c>
    </row>
    <row r="19" spans="1:5" ht="14.4" x14ac:dyDescent="0.25">
      <c r="A19" s="4">
        <v>17</v>
      </c>
      <c r="B19" s="2" t="str">
        <f>"3251202108100916443910"</f>
        <v>3251202108100916443910</v>
      </c>
      <c r="C19" s="2" t="s">
        <v>6</v>
      </c>
      <c r="D19" s="2" t="str">
        <f>"赵昱迪"</f>
        <v>赵昱迪</v>
      </c>
      <c r="E19" s="2" t="str">
        <f t="shared" si="0"/>
        <v>女</v>
      </c>
    </row>
    <row r="20" spans="1:5" ht="14.4" x14ac:dyDescent="0.25">
      <c r="A20" s="4">
        <v>18</v>
      </c>
      <c r="B20" s="2" t="str">
        <f>"3251202108100916473911"</f>
        <v>3251202108100916473911</v>
      </c>
      <c r="C20" s="2" t="s">
        <v>6</v>
      </c>
      <c r="D20" s="2" t="str">
        <f>"黎志琴"</f>
        <v>黎志琴</v>
      </c>
      <c r="E20" s="2" t="str">
        <f t="shared" si="0"/>
        <v>女</v>
      </c>
    </row>
    <row r="21" spans="1:5" ht="14.4" x14ac:dyDescent="0.25">
      <c r="A21" s="4">
        <v>19</v>
      </c>
      <c r="B21" s="2" t="str">
        <f>"3251202108100917153912"</f>
        <v>3251202108100917153912</v>
      </c>
      <c r="C21" s="2" t="s">
        <v>6</v>
      </c>
      <c r="D21" s="2" t="str">
        <f>"林方敬"</f>
        <v>林方敬</v>
      </c>
      <c r="E21" s="2" t="str">
        <f>"男"</f>
        <v>男</v>
      </c>
    </row>
    <row r="22" spans="1:5" ht="14.4" x14ac:dyDescent="0.25">
      <c r="A22" s="4">
        <v>20</v>
      </c>
      <c r="B22" s="2" t="str">
        <f>"3251202108100917403918"</f>
        <v>3251202108100917403918</v>
      </c>
      <c r="C22" s="2" t="s">
        <v>6</v>
      </c>
      <c r="D22" s="2" t="str">
        <f>"雷源"</f>
        <v>雷源</v>
      </c>
      <c r="E22" s="2" t="str">
        <f>"女"</f>
        <v>女</v>
      </c>
    </row>
    <row r="23" spans="1:5" ht="14.4" x14ac:dyDescent="0.25">
      <c r="A23" s="4">
        <v>21</v>
      </c>
      <c r="B23" s="2" t="str">
        <f>"3251202108100918073924"</f>
        <v>3251202108100918073924</v>
      </c>
      <c r="C23" s="2" t="s">
        <v>6</v>
      </c>
      <c r="D23" s="2" t="str">
        <f>"陈彩玉"</f>
        <v>陈彩玉</v>
      </c>
      <c r="E23" s="2" t="str">
        <f>"女"</f>
        <v>女</v>
      </c>
    </row>
    <row r="24" spans="1:5" ht="14.4" x14ac:dyDescent="0.25">
      <c r="A24" s="4">
        <v>22</v>
      </c>
      <c r="B24" s="2" t="str">
        <f>"3251202108100923573973"</f>
        <v>3251202108100923573973</v>
      </c>
      <c r="C24" s="2" t="s">
        <v>6</v>
      </c>
      <c r="D24" s="2" t="str">
        <f>"卢修福"</f>
        <v>卢修福</v>
      </c>
      <c r="E24" s="2" t="str">
        <f>"男"</f>
        <v>男</v>
      </c>
    </row>
    <row r="25" spans="1:5" ht="14.4" x14ac:dyDescent="0.25">
      <c r="A25" s="4">
        <v>23</v>
      </c>
      <c r="B25" s="2" t="str">
        <f>"3251202108100924193979"</f>
        <v>3251202108100924193979</v>
      </c>
      <c r="C25" s="2" t="s">
        <v>6</v>
      </c>
      <c r="D25" s="2" t="str">
        <f>"姜雨婷"</f>
        <v>姜雨婷</v>
      </c>
      <c r="E25" s="2" t="str">
        <f>"女"</f>
        <v>女</v>
      </c>
    </row>
    <row r="26" spans="1:5" ht="14.4" x14ac:dyDescent="0.25">
      <c r="A26" s="4">
        <v>24</v>
      </c>
      <c r="B26" s="2" t="str">
        <f>"3251202108100926353995"</f>
        <v>3251202108100926353995</v>
      </c>
      <c r="C26" s="2" t="s">
        <v>6</v>
      </c>
      <c r="D26" s="2" t="str">
        <f>"陈彩丁"</f>
        <v>陈彩丁</v>
      </c>
      <c r="E26" s="2" t="str">
        <f>"女"</f>
        <v>女</v>
      </c>
    </row>
    <row r="27" spans="1:5" ht="14.4" x14ac:dyDescent="0.25">
      <c r="A27" s="4">
        <v>25</v>
      </c>
      <c r="B27" s="2" t="str">
        <f>"3251202108100928134007"</f>
        <v>3251202108100928134007</v>
      </c>
      <c r="C27" s="2" t="s">
        <v>6</v>
      </c>
      <c r="D27" s="2" t="str">
        <f>"蒙美功"</f>
        <v>蒙美功</v>
      </c>
      <c r="E27" s="2" t="str">
        <f>"男"</f>
        <v>男</v>
      </c>
    </row>
    <row r="28" spans="1:5" ht="14.4" x14ac:dyDescent="0.25">
      <c r="A28" s="4">
        <v>26</v>
      </c>
      <c r="B28" s="2" t="str">
        <f>"3251202108100929194011"</f>
        <v>3251202108100929194011</v>
      </c>
      <c r="C28" s="2" t="s">
        <v>6</v>
      </c>
      <c r="D28" s="2" t="str">
        <f>"黄彩凤"</f>
        <v>黄彩凤</v>
      </c>
      <c r="E28" s="2" t="str">
        <f t="shared" ref="E28:E34" si="1">"女"</f>
        <v>女</v>
      </c>
    </row>
    <row r="29" spans="1:5" ht="14.4" x14ac:dyDescent="0.25">
      <c r="A29" s="4">
        <v>27</v>
      </c>
      <c r="B29" s="2" t="str">
        <f>"3251202108100929394015"</f>
        <v>3251202108100929394015</v>
      </c>
      <c r="C29" s="2" t="s">
        <v>6</v>
      </c>
      <c r="D29" s="2" t="str">
        <f>"徐秋花"</f>
        <v>徐秋花</v>
      </c>
      <c r="E29" s="2" t="str">
        <f t="shared" si="1"/>
        <v>女</v>
      </c>
    </row>
    <row r="30" spans="1:5" ht="14.4" x14ac:dyDescent="0.25">
      <c r="A30" s="4">
        <v>28</v>
      </c>
      <c r="B30" s="2" t="str">
        <f>"3251202108100930444023"</f>
        <v>3251202108100930444023</v>
      </c>
      <c r="C30" s="2" t="s">
        <v>6</v>
      </c>
      <c r="D30" s="2" t="str">
        <f>"刘丽芳"</f>
        <v>刘丽芳</v>
      </c>
      <c r="E30" s="2" t="str">
        <f t="shared" si="1"/>
        <v>女</v>
      </c>
    </row>
    <row r="31" spans="1:5" ht="14.4" x14ac:dyDescent="0.25">
      <c r="A31" s="4">
        <v>29</v>
      </c>
      <c r="B31" s="2" t="str">
        <f>"3251202108100931074027"</f>
        <v>3251202108100931074027</v>
      </c>
      <c r="C31" s="2" t="s">
        <v>6</v>
      </c>
      <c r="D31" s="2" t="str">
        <f>"欧家霞"</f>
        <v>欧家霞</v>
      </c>
      <c r="E31" s="2" t="str">
        <f t="shared" si="1"/>
        <v>女</v>
      </c>
    </row>
    <row r="32" spans="1:5" ht="14.4" x14ac:dyDescent="0.25">
      <c r="A32" s="4">
        <v>30</v>
      </c>
      <c r="B32" s="2" t="str">
        <f>"3251202108100932384041"</f>
        <v>3251202108100932384041</v>
      </c>
      <c r="C32" s="2" t="s">
        <v>6</v>
      </c>
      <c r="D32" s="2" t="str">
        <f>"王伦媚"</f>
        <v>王伦媚</v>
      </c>
      <c r="E32" s="2" t="str">
        <f t="shared" si="1"/>
        <v>女</v>
      </c>
    </row>
    <row r="33" spans="1:5" ht="14.4" x14ac:dyDescent="0.25">
      <c r="A33" s="4">
        <v>31</v>
      </c>
      <c r="B33" s="2" t="str">
        <f>"3251202108100933054044"</f>
        <v>3251202108100933054044</v>
      </c>
      <c r="C33" s="2" t="s">
        <v>6</v>
      </c>
      <c r="D33" s="2" t="str">
        <f>"符万菊"</f>
        <v>符万菊</v>
      </c>
      <c r="E33" s="2" t="str">
        <f t="shared" si="1"/>
        <v>女</v>
      </c>
    </row>
    <row r="34" spans="1:5" ht="14.4" x14ac:dyDescent="0.25">
      <c r="A34" s="4">
        <v>32</v>
      </c>
      <c r="B34" s="2" t="str">
        <f>"3251202108100933534049"</f>
        <v>3251202108100933534049</v>
      </c>
      <c r="C34" s="2" t="s">
        <v>6</v>
      </c>
      <c r="D34" s="2" t="str">
        <f>"符选凤"</f>
        <v>符选凤</v>
      </c>
      <c r="E34" s="2" t="str">
        <f t="shared" si="1"/>
        <v>女</v>
      </c>
    </row>
    <row r="35" spans="1:5" ht="14.4" x14ac:dyDescent="0.25">
      <c r="A35" s="4">
        <v>33</v>
      </c>
      <c r="B35" s="2" t="str">
        <f>"3251202108100939194076"</f>
        <v>3251202108100939194076</v>
      </c>
      <c r="C35" s="2" t="s">
        <v>6</v>
      </c>
      <c r="D35" s="2" t="str">
        <f>"许永"</f>
        <v>许永</v>
      </c>
      <c r="E35" s="2" t="str">
        <f>"男"</f>
        <v>男</v>
      </c>
    </row>
    <row r="36" spans="1:5" ht="14.4" x14ac:dyDescent="0.25">
      <c r="A36" s="4">
        <v>34</v>
      </c>
      <c r="B36" s="2" t="str">
        <f>"3251202108100943314108"</f>
        <v>3251202108100943314108</v>
      </c>
      <c r="C36" s="2" t="s">
        <v>6</v>
      </c>
      <c r="D36" s="2" t="str">
        <f>"钟镇雷"</f>
        <v>钟镇雷</v>
      </c>
      <c r="E36" s="2" t="str">
        <f>"男"</f>
        <v>男</v>
      </c>
    </row>
    <row r="37" spans="1:5" ht="14.4" x14ac:dyDescent="0.25">
      <c r="A37" s="4">
        <v>35</v>
      </c>
      <c r="B37" s="2" t="str">
        <f>"3251202108100945374118"</f>
        <v>3251202108100945374118</v>
      </c>
      <c r="C37" s="2" t="s">
        <v>6</v>
      </c>
      <c r="D37" s="2" t="str">
        <f>"文娟"</f>
        <v>文娟</v>
      </c>
      <c r="E37" s="2" t="str">
        <f>"女"</f>
        <v>女</v>
      </c>
    </row>
    <row r="38" spans="1:5" ht="14.4" x14ac:dyDescent="0.25">
      <c r="A38" s="4">
        <v>36</v>
      </c>
      <c r="B38" s="2" t="str">
        <f>"3251202108100946114122"</f>
        <v>3251202108100946114122</v>
      </c>
      <c r="C38" s="2" t="s">
        <v>6</v>
      </c>
      <c r="D38" s="2" t="str">
        <f>"李佳佳"</f>
        <v>李佳佳</v>
      </c>
      <c r="E38" s="2" t="str">
        <f>"女"</f>
        <v>女</v>
      </c>
    </row>
    <row r="39" spans="1:5" ht="14.4" x14ac:dyDescent="0.25">
      <c r="A39" s="4">
        <v>37</v>
      </c>
      <c r="B39" s="2" t="str">
        <f>"3251202108100946194123"</f>
        <v>3251202108100946194123</v>
      </c>
      <c r="C39" s="2" t="s">
        <v>6</v>
      </c>
      <c r="D39" s="2" t="str">
        <f>"卓心茹"</f>
        <v>卓心茹</v>
      </c>
      <c r="E39" s="2" t="str">
        <f>"女"</f>
        <v>女</v>
      </c>
    </row>
    <row r="40" spans="1:5" ht="14.4" x14ac:dyDescent="0.25">
      <c r="A40" s="4">
        <v>38</v>
      </c>
      <c r="B40" s="2" t="str">
        <f>"3251202108100948494146"</f>
        <v>3251202108100948494146</v>
      </c>
      <c r="C40" s="2" t="s">
        <v>6</v>
      </c>
      <c r="D40" s="2" t="str">
        <f>"陈娇雁"</f>
        <v>陈娇雁</v>
      </c>
      <c r="E40" s="2" t="str">
        <f>"女"</f>
        <v>女</v>
      </c>
    </row>
    <row r="41" spans="1:5" ht="14.4" x14ac:dyDescent="0.25">
      <c r="A41" s="4">
        <v>39</v>
      </c>
      <c r="B41" s="2" t="str">
        <f>"3251202108100948564150"</f>
        <v>3251202108100948564150</v>
      </c>
      <c r="C41" s="2" t="s">
        <v>6</v>
      </c>
      <c r="D41" s="2" t="str">
        <f>"符式松"</f>
        <v>符式松</v>
      </c>
      <c r="E41" s="2" t="str">
        <f>"男"</f>
        <v>男</v>
      </c>
    </row>
    <row r="42" spans="1:5" ht="14.4" x14ac:dyDescent="0.25">
      <c r="A42" s="4">
        <v>40</v>
      </c>
      <c r="B42" s="2" t="str">
        <f>"3251202108100949374155"</f>
        <v>3251202108100949374155</v>
      </c>
      <c r="C42" s="2" t="s">
        <v>6</v>
      </c>
      <c r="D42" s="2" t="str">
        <f>"苏助"</f>
        <v>苏助</v>
      </c>
      <c r="E42" s="2" t="str">
        <f>"男"</f>
        <v>男</v>
      </c>
    </row>
    <row r="43" spans="1:5" ht="14.4" x14ac:dyDescent="0.25">
      <c r="A43" s="4">
        <v>41</v>
      </c>
      <c r="B43" s="2" t="str">
        <f>"3251202108100951584170"</f>
        <v>3251202108100951584170</v>
      </c>
      <c r="C43" s="2" t="s">
        <v>6</v>
      </c>
      <c r="D43" s="2" t="str">
        <f>"张志爱"</f>
        <v>张志爱</v>
      </c>
      <c r="E43" s="2" t="str">
        <f>"女"</f>
        <v>女</v>
      </c>
    </row>
    <row r="44" spans="1:5" ht="14.4" x14ac:dyDescent="0.25">
      <c r="A44" s="4">
        <v>42</v>
      </c>
      <c r="B44" s="2" t="str">
        <f>"3251202108100952584177"</f>
        <v>3251202108100952584177</v>
      </c>
      <c r="C44" s="2" t="s">
        <v>6</v>
      </c>
      <c r="D44" s="2" t="str">
        <f>"符秋芬"</f>
        <v>符秋芬</v>
      </c>
      <c r="E44" s="2" t="str">
        <f>"女"</f>
        <v>女</v>
      </c>
    </row>
    <row r="45" spans="1:5" ht="14.4" x14ac:dyDescent="0.25">
      <c r="A45" s="4">
        <v>43</v>
      </c>
      <c r="B45" s="2" t="str">
        <f>"3251202108100955184195"</f>
        <v>3251202108100955184195</v>
      </c>
      <c r="C45" s="2" t="s">
        <v>6</v>
      </c>
      <c r="D45" s="2" t="str">
        <f>"王雪芬"</f>
        <v>王雪芬</v>
      </c>
      <c r="E45" s="2" t="str">
        <f>"女"</f>
        <v>女</v>
      </c>
    </row>
    <row r="46" spans="1:5" ht="14.4" x14ac:dyDescent="0.25">
      <c r="A46" s="4">
        <v>44</v>
      </c>
      <c r="B46" s="2" t="str">
        <f>"3251202108100956084203"</f>
        <v>3251202108100956084203</v>
      </c>
      <c r="C46" s="2" t="s">
        <v>6</v>
      </c>
      <c r="D46" s="2" t="str">
        <f>"谭秋燕"</f>
        <v>谭秋燕</v>
      </c>
      <c r="E46" s="2" t="str">
        <f>"女"</f>
        <v>女</v>
      </c>
    </row>
    <row r="47" spans="1:5" ht="14.4" x14ac:dyDescent="0.25">
      <c r="A47" s="4">
        <v>45</v>
      </c>
      <c r="B47" s="2" t="str">
        <f>"3251202108100958544217"</f>
        <v>3251202108100958544217</v>
      </c>
      <c r="C47" s="2" t="s">
        <v>6</v>
      </c>
      <c r="D47" s="2" t="str">
        <f>"王开道"</f>
        <v>王开道</v>
      </c>
      <c r="E47" s="2" t="str">
        <f>"男"</f>
        <v>男</v>
      </c>
    </row>
    <row r="48" spans="1:5" ht="14.4" x14ac:dyDescent="0.25">
      <c r="A48" s="4">
        <v>46</v>
      </c>
      <c r="B48" s="2" t="str">
        <f>"3251202108100959274220"</f>
        <v>3251202108100959274220</v>
      </c>
      <c r="C48" s="2" t="s">
        <v>6</v>
      </c>
      <c r="D48" s="2" t="str">
        <f>"陆贵松"</f>
        <v>陆贵松</v>
      </c>
      <c r="E48" s="2" t="str">
        <f>"男"</f>
        <v>男</v>
      </c>
    </row>
    <row r="49" spans="1:5" ht="14.4" x14ac:dyDescent="0.25">
      <c r="A49" s="4">
        <v>47</v>
      </c>
      <c r="B49" s="2" t="str">
        <f>"3251202108101000574229"</f>
        <v>3251202108101000574229</v>
      </c>
      <c r="C49" s="2" t="s">
        <v>6</v>
      </c>
      <c r="D49" s="2" t="str">
        <f>"吴强"</f>
        <v>吴强</v>
      </c>
      <c r="E49" s="2" t="str">
        <f>"男"</f>
        <v>男</v>
      </c>
    </row>
    <row r="50" spans="1:5" ht="14.4" x14ac:dyDescent="0.25">
      <c r="A50" s="4">
        <v>48</v>
      </c>
      <c r="B50" s="2" t="str">
        <f>"3251202108101001014231"</f>
        <v>3251202108101001014231</v>
      </c>
      <c r="C50" s="2" t="s">
        <v>6</v>
      </c>
      <c r="D50" s="2" t="str">
        <f>"黎冠琦"</f>
        <v>黎冠琦</v>
      </c>
      <c r="E50" s="2" t="str">
        <f>"男"</f>
        <v>男</v>
      </c>
    </row>
    <row r="51" spans="1:5" ht="14.4" x14ac:dyDescent="0.25">
      <c r="A51" s="4">
        <v>49</v>
      </c>
      <c r="B51" s="2" t="str">
        <f>"3251202108101001514237"</f>
        <v>3251202108101001514237</v>
      </c>
      <c r="C51" s="2" t="s">
        <v>6</v>
      </c>
      <c r="D51" s="2" t="str">
        <f>"王群超"</f>
        <v>王群超</v>
      </c>
      <c r="E51" s="2" t="str">
        <f>"男"</f>
        <v>男</v>
      </c>
    </row>
    <row r="52" spans="1:5" ht="14.4" x14ac:dyDescent="0.25">
      <c r="A52" s="4">
        <v>50</v>
      </c>
      <c r="B52" s="2" t="str">
        <f>"3251202108101004464254"</f>
        <v>3251202108101004464254</v>
      </c>
      <c r="C52" s="2" t="s">
        <v>6</v>
      </c>
      <c r="D52" s="2" t="str">
        <f>"蔡小莉"</f>
        <v>蔡小莉</v>
      </c>
      <c r="E52" s="2" t="str">
        <f>"女"</f>
        <v>女</v>
      </c>
    </row>
    <row r="53" spans="1:5" ht="14.4" x14ac:dyDescent="0.25">
      <c r="A53" s="4">
        <v>51</v>
      </c>
      <c r="B53" s="2" t="str">
        <f>"3251202108101005164258"</f>
        <v>3251202108101005164258</v>
      </c>
      <c r="C53" s="2" t="s">
        <v>6</v>
      </c>
      <c r="D53" s="2" t="str">
        <f>"侯德聪"</f>
        <v>侯德聪</v>
      </c>
      <c r="E53" s="2" t="str">
        <f>"男"</f>
        <v>男</v>
      </c>
    </row>
    <row r="54" spans="1:5" ht="14.4" x14ac:dyDescent="0.25">
      <c r="A54" s="4">
        <v>52</v>
      </c>
      <c r="B54" s="2" t="str">
        <f>"3251202108101006374266"</f>
        <v>3251202108101006374266</v>
      </c>
      <c r="C54" s="2" t="s">
        <v>6</v>
      </c>
      <c r="D54" s="2" t="str">
        <f>"符凤娥"</f>
        <v>符凤娥</v>
      </c>
      <c r="E54" s="2" t="str">
        <f>"女"</f>
        <v>女</v>
      </c>
    </row>
    <row r="55" spans="1:5" ht="14.4" x14ac:dyDescent="0.25">
      <c r="A55" s="4">
        <v>53</v>
      </c>
      <c r="B55" s="2" t="str">
        <f>"3251202108101007134270"</f>
        <v>3251202108101007134270</v>
      </c>
      <c r="C55" s="2" t="s">
        <v>6</v>
      </c>
      <c r="D55" s="2" t="str">
        <f>"冯秀娜"</f>
        <v>冯秀娜</v>
      </c>
      <c r="E55" s="2" t="str">
        <f>"女"</f>
        <v>女</v>
      </c>
    </row>
    <row r="56" spans="1:5" ht="14.4" x14ac:dyDescent="0.25">
      <c r="A56" s="4">
        <v>54</v>
      </c>
      <c r="B56" s="2" t="str">
        <f>"3251202108101008094273"</f>
        <v>3251202108101008094273</v>
      </c>
      <c r="C56" s="2" t="s">
        <v>6</v>
      </c>
      <c r="D56" s="2" t="str">
        <f>"钟垂福"</f>
        <v>钟垂福</v>
      </c>
      <c r="E56" s="2" t="str">
        <f>"男"</f>
        <v>男</v>
      </c>
    </row>
    <row r="57" spans="1:5" ht="14.4" x14ac:dyDescent="0.25">
      <c r="A57" s="4">
        <v>55</v>
      </c>
      <c r="B57" s="2" t="str">
        <f>"3251202108101016334324"</f>
        <v>3251202108101016334324</v>
      </c>
      <c r="C57" s="2" t="s">
        <v>6</v>
      </c>
      <c r="D57" s="2" t="str">
        <f>"李霜"</f>
        <v>李霜</v>
      </c>
      <c r="E57" s="2" t="str">
        <f>"女"</f>
        <v>女</v>
      </c>
    </row>
    <row r="58" spans="1:5" ht="14.4" x14ac:dyDescent="0.25">
      <c r="A58" s="4">
        <v>56</v>
      </c>
      <c r="B58" s="2" t="str">
        <f>"3251202108101017384330"</f>
        <v>3251202108101017384330</v>
      </c>
      <c r="C58" s="2" t="s">
        <v>6</v>
      </c>
      <c r="D58" s="2" t="str">
        <f>"陈壮辉"</f>
        <v>陈壮辉</v>
      </c>
      <c r="E58" s="2" t="str">
        <f>"男"</f>
        <v>男</v>
      </c>
    </row>
    <row r="59" spans="1:5" ht="14.4" x14ac:dyDescent="0.25">
      <c r="A59" s="4">
        <v>57</v>
      </c>
      <c r="B59" s="2" t="str">
        <f>"3251202108101018324332"</f>
        <v>3251202108101018324332</v>
      </c>
      <c r="C59" s="2" t="s">
        <v>6</v>
      </c>
      <c r="D59" s="2" t="str">
        <f>"卓圆梦"</f>
        <v>卓圆梦</v>
      </c>
      <c r="E59" s="2" t="str">
        <f>"女"</f>
        <v>女</v>
      </c>
    </row>
    <row r="60" spans="1:5" ht="14.4" x14ac:dyDescent="0.25">
      <c r="A60" s="4">
        <v>58</v>
      </c>
      <c r="B60" s="2" t="str">
        <f>"3251202108101019534337"</f>
        <v>3251202108101019534337</v>
      </c>
      <c r="C60" s="2" t="s">
        <v>6</v>
      </c>
      <c r="D60" s="2" t="str">
        <f>"李宁"</f>
        <v>李宁</v>
      </c>
      <c r="E60" s="2" t="str">
        <f>"男"</f>
        <v>男</v>
      </c>
    </row>
    <row r="61" spans="1:5" ht="14.4" x14ac:dyDescent="0.25">
      <c r="A61" s="4">
        <v>59</v>
      </c>
      <c r="B61" s="2" t="str">
        <f>"3251202108101022554354"</f>
        <v>3251202108101022554354</v>
      </c>
      <c r="C61" s="2" t="s">
        <v>6</v>
      </c>
      <c r="D61" s="2" t="str">
        <f>"黄海花"</f>
        <v>黄海花</v>
      </c>
      <c r="E61" s="2" t="str">
        <f>"女"</f>
        <v>女</v>
      </c>
    </row>
    <row r="62" spans="1:5" ht="14.4" x14ac:dyDescent="0.25">
      <c r="A62" s="4">
        <v>60</v>
      </c>
      <c r="B62" s="2" t="str">
        <f>"3251202108101022574355"</f>
        <v>3251202108101022574355</v>
      </c>
      <c r="C62" s="2" t="s">
        <v>6</v>
      </c>
      <c r="D62" s="2" t="str">
        <f>"陈佳佳"</f>
        <v>陈佳佳</v>
      </c>
      <c r="E62" s="2" t="str">
        <f>"女"</f>
        <v>女</v>
      </c>
    </row>
    <row r="63" spans="1:5" ht="14.4" x14ac:dyDescent="0.25">
      <c r="A63" s="4">
        <v>61</v>
      </c>
      <c r="B63" s="2" t="str">
        <f>"3251202108101023544361"</f>
        <v>3251202108101023544361</v>
      </c>
      <c r="C63" s="2" t="s">
        <v>6</v>
      </c>
      <c r="D63" s="2" t="str">
        <f>"陈应林"</f>
        <v>陈应林</v>
      </c>
      <c r="E63" s="2" t="str">
        <f>"男"</f>
        <v>男</v>
      </c>
    </row>
    <row r="64" spans="1:5" ht="14.4" x14ac:dyDescent="0.25">
      <c r="A64" s="4">
        <v>62</v>
      </c>
      <c r="B64" s="2" t="str">
        <f>"3251202108101025064367"</f>
        <v>3251202108101025064367</v>
      </c>
      <c r="C64" s="2" t="s">
        <v>6</v>
      </c>
      <c r="D64" s="2" t="str">
        <f>"张泓"</f>
        <v>张泓</v>
      </c>
      <c r="E64" s="2" t="str">
        <f t="shared" ref="E64:E71" si="2">"女"</f>
        <v>女</v>
      </c>
    </row>
    <row r="65" spans="1:5" ht="14.4" x14ac:dyDescent="0.25">
      <c r="A65" s="4">
        <v>63</v>
      </c>
      <c r="B65" s="2" t="str">
        <f>"3251202108101028444387"</f>
        <v>3251202108101028444387</v>
      </c>
      <c r="C65" s="2" t="s">
        <v>6</v>
      </c>
      <c r="D65" s="2" t="str">
        <f>"潘玉凤"</f>
        <v>潘玉凤</v>
      </c>
      <c r="E65" s="2" t="str">
        <f t="shared" si="2"/>
        <v>女</v>
      </c>
    </row>
    <row r="66" spans="1:5" ht="14.4" x14ac:dyDescent="0.25">
      <c r="A66" s="4">
        <v>64</v>
      </c>
      <c r="B66" s="2" t="str">
        <f>"3251202108101029544393"</f>
        <v>3251202108101029544393</v>
      </c>
      <c r="C66" s="2" t="s">
        <v>6</v>
      </c>
      <c r="D66" s="2" t="str">
        <f>"邢意"</f>
        <v>邢意</v>
      </c>
      <c r="E66" s="2" t="str">
        <f t="shared" si="2"/>
        <v>女</v>
      </c>
    </row>
    <row r="67" spans="1:5" ht="14.4" x14ac:dyDescent="0.25">
      <c r="A67" s="4">
        <v>65</v>
      </c>
      <c r="B67" s="2" t="str">
        <f>"3251202108101033134410"</f>
        <v>3251202108101033134410</v>
      </c>
      <c r="C67" s="2" t="s">
        <v>6</v>
      </c>
      <c r="D67" s="2" t="str">
        <f>"傅丽曼"</f>
        <v>傅丽曼</v>
      </c>
      <c r="E67" s="2" t="str">
        <f t="shared" si="2"/>
        <v>女</v>
      </c>
    </row>
    <row r="68" spans="1:5" ht="14.4" x14ac:dyDescent="0.25">
      <c r="A68" s="4">
        <v>66</v>
      </c>
      <c r="B68" s="2" t="str">
        <f>"3251202108101033214412"</f>
        <v>3251202108101033214412</v>
      </c>
      <c r="C68" s="2" t="s">
        <v>6</v>
      </c>
      <c r="D68" s="2" t="str">
        <f>"陈惠霞"</f>
        <v>陈惠霞</v>
      </c>
      <c r="E68" s="2" t="str">
        <f t="shared" si="2"/>
        <v>女</v>
      </c>
    </row>
    <row r="69" spans="1:5" ht="14.4" x14ac:dyDescent="0.25">
      <c r="A69" s="4">
        <v>67</v>
      </c>
      <c r="B69" s="2" t="str">
        <f>"3251202108101034454418"</f>
        <v>3251202108101034454418</v>
      </c>
      <c r="C69" s="2" t="s">
        <v>6</v>
      </c>
      <c r="D69" s="2" t="str">
        <f>"许茗茸"</f>
        <v>许茗茸</v>
      </c>
      <c r="E69" s="2" t="str">
        <f t="shared" si="2"/>
        <v>女</v>
      </c>
    </row>
    <row r="70" spans="1:5" ht="14.4" x14ac:dyDescent="0.25">
      <c r="A70" s="4">
        <v>68</v>
      </c>
      <c r="B70" s="2" t="str">
        <f>"3251202108101035484423"</f>
        <v>3251202108101035484423</v>
      </c>
      <c r="C70" s="2" t="s">
        <v>6</v>
      </c>
      <c r="D70" s="2" t="str">
        <f>"张琳"</f>
        <v>张琳</v>
      </c>
      <c r="E70" s="2" t="str">
        <f t="shared" si="2"/>
        <v>女</v>
      </c>
    </row>
    <row r="71" spans="1:5" ht="14.4" x14ac:dyDescent="0.25">
      <c r="A71" s="4">
        <v>69</v>
      </c>
      <c r="B71" s="2" t="str">
        <f>"3251202108101039004436"</f>
        <v>3251202108101039004436</v>
      </c>
      <c r="C71" s="2" t="s">
        <v>6</v>
      </c>
      <c r="D71" s="2" t="str">
        <f>"赵日妮"</f>
        <v>赵日妮</v>
      </c>
      <c r="E71" s="2" t="str">
        <f t="shared" si="2"/>
        <v>女</v>
      </c>
    </row>
    <row r="72" spans="1:5" ht="14.4" x14ac:dyDescent="0.25">
      <c r="A72" s="4">
        <v>70</v>
      </c>
      <c r="B72" s="2" t="str">
        <f>"3251202108101040554444"</f>
        <v>3251202108101040554444</v>
      </c>
      <c r="C72" s="2" t="s">
        <v>6</v>
      </c>
      <c r="D72" s="2" t="str">
        <f>"符大林"</f>
        <v>符大林</v>
      </c>
      <c r="E72" s="2" t="str">
        <f>"男"</f>
        <v>男</v>
      </c>
    </row>
    <row r="73" spans="1:5" ht="14.4" x14ac:dyDescent="0.25">
      <c r="A73" s="4">
        <v>71</v>
      </c>
      <c r="B73" s="2" t="str">
        <f>"3251202108101043494465"</f>
        <v>3251202108101043494465</v>
      </c>
      <c r="C73" s="2" t="s">
        <v>6</v>
      </c>
      <c r="D73" s="2" t="str">
        <f>"陈大隆"</f>
        <v>陈大隆</v>
      </c>
      <c r="E73" s="2" t="str">
        <f>"男"</f>
        <v>男</v>
      </c>
    </row>
    <row r="74" spans="1:5" ht="14.4" x14ac:dyDescent="0.25">
      <c r="A74" s="4">
        <v>72</v>
      </c>
      <c r="B74" s="2" t="str">
        <f>"3251202108101044014466"</f>
        <v>3251202108101044014466</v>
      </c>
      <c r="C74" s="2" t="s">
        <v>6</v>
      </c>
      <c r="D74" s="2" t="str">
        <f>"曾繁凯"</f>
        <v>曾繁凯</v>
      </c>
      <c r="E74" s="2" t="str">
        <f>"男"</f>
        <v>男</v>
      </c>
    </row>
    <row r="75" spans="1:5" ht="14.4" x14ac:dyDescent="0.25">
      <c r="A75" s="4">
        <v>73</v>
      </c>
      <c r="B75" s="2" t="str">
        <f>"3251202108101047324475"</f>
        <v>3251202108101047324475</v>
      </c>
      <c r="C75" s="2" t="s">
        <v>6</v>
      </c>
      <c r="D75" s="2" t="str">
        <f>"陈威霖"</f>
        <v>陈威霖</v>
      </c>
      <c r="E75" s="2" t="str">
        <f>"男"</f>
        <v>男</v>
      </c>
    </row>
    <row r="76" spans="1:5" ht="14.4" x14ac:dyDescent="0.25">
      <c r="A76" s="4">
        <v>74</v>
      </c>
      <c r="B76" s="2" t="str">
        <f>"3251202108101049154481"</f>
        <v>3251202108101049154481</v>
      </c>
      <c r="C76" s="2" t="s">
        <v>6</v>
      </c>
      <c r="D76" s="2" t="str">
        <f>"张梦珍"</f>
        <v>张梦珍</v>
      </c>
      <c r="E76" s="2" t="str">
        <f>"女"</f>
        <v>女</v>
      </c>
    </row>
    <row r="77" spans="1:5" ht="14.4" x14ac:dyDescent="0.25">
      <c r="A77" s="4">
        <v>75</v>
      </c>
      <c r="B77" s="2" t="str">
        <f>"3251202108101051094493"</f>
        <v>3251202108101051094493</v>
      </c>
      <c r="C77" s="2" t="s">
        <v>6</v>
      </c>
      <c r="D77" s="2" t="str">
        <f>"韦明欢"</f>
        <v>韦明欢</v>
      </c>
      <c r="E77" s="2" t="str">
        <f>"男"</f>
        <v>男</v>
      </c>
    </row>
    <row r="78" spans="1:5" ht="14.4" x14ac:dyDescent="0.25">
      <c r="A78" s="4">
        <v>76</v>
      </c>
      <c r="B78" s="2" t="str">
        <f>"3251202108101055114515"</f>
        <v>3251202108101055114515</v>
      </c>
      <c r="C78" s="2" t="s">
        <v>6</v>
      </c>
      <c r="D78" s="2" t="str">
        <f>"周进宝"</f>
        <v>周进宝</v>
      </c>
      <c r="E78" s="2" t="str">
        <f>"女"</f>
        <v>女</v>
      </c>
    </row>
    <row r="79" spans="1:5" ht="14.4" x14ac:dyDescent="0.25">
      <c r="A79" s="4">
        <v>77</v>
      </c>
      <c r="B79" s="2" t="str">
        <f>"3251202108101057004518"</f>
        <v>3251202108101057004518</v>
      </c>
      <c r="C79" s="2" t="s">
        <v>6</v>
      </c>
      <c r="D79" s="2" t="str">
        <f>"符气刚"</f>
        <v>符气刚</v>
      </c>
      <c r="E79" s="2" t="str">
        <f>"男"</f>
        <v>男</v>
      </c>
    </row>
    <row r="80" spans="1:5" ht="14.4" x14ac:dyDescent="0.25">
      <c r="A80" s="4">
        <v>78</v>
      </c>
      <c r="B80" s="2" t="str">
        <f>"3251202108101057114519"</f>
        <v>3251202108101057114519</v>
      </c>
      <c r="C80" s="2" t="s">
        <v>6</v>
      </c>
      <c r="D80" s="2" t="str">
        <f>"刘美婵"</f>
        <v>刘美婵</v>
      </c>
      <c r="E80" s="2" t="str">
        <f>"女"</f>
        <v>女</v>
      </c>
    </row>
    <row r="81" spans="1:5" ht="14.4" x14ac:dyDescent="0.25">
      <c r="A81" s="4">
        <v>79</v>
      </c>
      <c r="B81" s="2" t="str">
        <f>"3251202108101058204525"</f>
        <v>3251202108101058204525</v>
      </c>
      <c r="C81" s="2" t="s">
        <v>6</v>
      </c>
      <c r="D81" s="2" t="str">
        <f>"符运辉"</f>
        <v>符运辉</v>
      </c>
      <c r="E81" s="2" t="str">
        <f>"男"</f>
        <v>男</v>
      </c>
    </row>
    <row r="82" spans="1:5" ht="14.4" x14ac:dyDescent="0.25">
      <c r="A82" s="4">
        <v>80</v>
      </c>
      <c r="B82" s="2" t="str">
        <f>"3251202108101100144535"</f>
        <v>3251202108101100144535</v>
      </c>
      <c r="C82" s="2" t="s">
        <v>6</v>
      </c>
      <c r="D82" s="2" t="str">
        <f>"王斯湖"</f>
        <v>王斯湖</v>
      </c>
      <c r="E82" s="2" t="str">
        <f>"男"</f>
        <v>男</v>
      </c>
    </row>
    <row r="83" spans="1:5" ht="14.4" x14ac:dyDescent="0.25">
      <c r="A83" s="4">
        <v>81</v>
      </c>
      <c r="B83" s="2" t="str">
        <f>"3251202108101100304536"</f>
        <v>3251202108101100304536</v>
      </c>
      <c r="C83" s="2" t="s">
        <v>6</v>
      </c>
      <c r="D83" s="2" t="str">
        <f>"黄波"</f>
        <v>黄波</v>
      </c>
      <c r="E83" s="2" t="str">
        <f>"男"</f>
        <v>男</v>
      </c>
    </row>
    <row r="84" spans="1:5" ht="14.4" x14ac:dyDescent="0.25">
      <c r="A84" s="4">
        <v>82</v>
      </c>
      <c r="B84" s="2" t="str">
        <f>"3251202108101102334552"</f>
        <v>3251202108101102334552</v>
      </c>
      <c r="C84" s="2" t="s">
        <v>6</v>
      </c>
      <c r="D84" s="2" t="str">
        <f>"叶容慢"</f>
        <v>叶容慢</v>
      </c>
      <c r="E84" s="2" t="str">
        <f>"女"</f>
        <v>女</v>
      </c>
    </row>
    <row r="85" spans="1:5" ht="14.4" x14ac:dyDescent="0.25">
      <c r="A85" s="4">
        <v>83</v>
      </c>
      <c r="B85" s="2" t="str">
        <f>"3251202108101103464560"</f>
        <v>3251202108101103464560</v>
      </c>
      <c r="C85" s="2" t="s">
        <v>6</v>
      </c>
      <c r="D85" s="2" t="str">
        <f>"李宗豪"</f>
        <v>李宗豪</v>
      </c>
      <c r="E85" s="2" t="str">
        <f>"男"</f>
        <v>男</v>
      </c>
    </row>
    <row r="86" spans="1:5" ht="14.4" x14ac:dyDescent="0.25">
      <c r="A86" s="4">
        <v>84</v>
      </c>
      <c r="B86" s="2" t="str">
        <f>"3251202108101107084575"</f>
        <v>3251202108101107084575</v>
      </c>
      <c r="C86" s="2" t="s">
        <v>6</v>
      </c>
      <c r="D86" s="2" t="str">
        <f>"邱名文"</f>
        <v>邱名文</v>
      </c>
      <c r="E86" s="2" t="str">
        <f>"男"</f>
        <v>男</v>
      </c>
    </row>
    <row r="87" spans="1:5" ht="14.4" x14ac:dyDescent="0.25">
      <c r="A87" s="4">
        <v>85</v>
      </c>
      <c r="B87" s="2" t="str">
        <f>"3251202108101110134594"</f>
        <v>3251202108101110134594</v>
      </c>
      <c r="C87" s="2" t="s">
        <v>6</v>
      </c>
      <c r="D87" s="2" t="str">
        <f>"邓华怡"</f>
        <v>邓华怡</v>
      </c>
      <c r="E87" s="2" t="str">
        <f>"女"</f>
        <v>女</v>
      </c>
    </row>
    <row r="88" spans="1:5" ht="14.4" x14ac:dyDescent="0.25">
      <c r="A88" s="4">
        <v>86</v>
      </c>
      <c r="B88" s="2" t="str">
        <f>"3251202108101110354598"</f>
        <v>3251202108101110354598</v>
      </c>
      <c r="C88" s="2" t="s">
        <v>6</v>
      </c>
      <c r="D88" s="2" t="str">
        <f>"邱运志"</f>
        <v>邱运志</v>
      </c>
      <c r="E88" s="2" t="str">
        <f>"男"</f>
        <v>男</v>
      </c>
    </row>
    <row r="89" spans="1:5" ht="14.4" x14ac:dyDescent="0.25">
      <c r="A89" s="4">
        <v>87</v>
      </c>
      <c r="B89" s="2" t="str">
        <f>"3251202108101111284602"</f>
        <v>3251202108101111284602</v>
      </c>
      <c r="C89" s="2" t="s">
        <v>6</v>
      </c>
      <c r="D89" s="2" t="str">
        <f>"李菁菁"</f>
        <v>李菁菁</v>
      </c>
      <c r="E89" s="2" t="str">
        <f>"女"</f>
        <v>女</v>
      </c>
    </row>
    <row r="90" spans="1:5" ht="14.4" x14ac:dyDescent="0.25">
      <c r="A90" s="4">
        <v>88</v>
      </c>
      <c r="B90" s="2" t="str">
        <f>"3251202108101114264616"</f>
        <v>3251202108101114264616</v>
      </c>
      <c r="C90" s="2" t="s">
        <v>6</v>
      </c>
      <c r="D90" s="2" t="str">
        <f>"陈道舒"</f>
        <v>陈道舒</v>
      </c>
      <c r="E90" s="2" t="str">
        <f>"男"</f>
        <v>男</v>
      </c>
    </row>
    <row r="91" spans="1:5" ht="14.4" x14ac:dyDescent="0.25">
      <c r="A91" s="4">
        <v>89</v>
      </c>
      <c r="B91" s="2" t="str">
        <f>"3251202108101116194625"</f>
        <v>3251202108101116194625</v>
      </c>
      <c r="C91" s="2" t="s">
        <v>6</v>
      </c>
      <c r="D91" s="2" t="str">
        <f>"莫品晶"</f>
        <v>莫品晶</v>
      </c>
      <c r="E91" s="2" t="str">
        <f>"女"</f>
        <v>女</v>
      </c>
    </row>
    <row r="92" spans="1:5" ht="14.4" x14ac:dyDescent="0.25">
      <c r="A92" s="4">
        <v>90</v>
      </c>
      <c r="B92" s="2" t="str">
        <f>"3251202108101117114632"</f>
        <v>3251202108101117114632</v>
      </c>
      <c r="C92" s="2" t="s">
        <v>6</v>
      </c>
      <c r="D92" s="2" t="str">
        <f>"李仕男"</f>
        <v>李仕男</v>
      </c>
      <c r="E92" s="2" t="str">
        <f>"男"</f>
        <v>男</v>
      </c>
    </row>
    <row r="93" spans="1:5" ht="14.4" x14ac:dyDescent="0.25">
      <c r="A93" s="4">
        <v>91</v>
      </c>
      <c r="B93" s="2" t="str">
        <f>"3251202108101119534641"</f>
        <v>3251202108101119534641</v>
      </c>
      <c r="C93" s="2" t="s">
        <v>6</v>
      </c>
      <c r="D93" s="2" t="str">
        <f>"陈卓善"</f>
        <v>陈卓善</v>
      </c>
      <c r="E93" s="2" t="str">
        <f>"男"</f>
        <v>男</v>
      </c>
    </row>
    <row r="94" spans="1:5" ht="14.4" x14ac:dyDescent="0.25">
      <c r="A94" s="4">
        <v>92</v>
      </c>
      <c r="B94" s="2" t="str">
        <f>"3251202108101120244645"</f>
        <v>3251202108101120244645</v>
      </c>
      <c r="C94" s="2" t="s">
        <v>6</v>
      </c>
      <c r="D94" s="2" t="str">
        <f>"李达波"</f>
        <v>李达波</v>
      </c>
      <c r="E94" s="2" t="str">
        <f>"男"</f>
        <v>男</v>
      </c>
    </row>
    <row r="95" spans="1:5" ht="14.4" x14ac:dyDescent="0.25">
      <c r="A95" s="4">
        <v>93</v>
      </c>
      <c r="B95" s="2" t="str">
        <f>"3251202108101121534651"</f>
        <v>3251202108101121534651</v>
      </c>
      <c r="C95" s="2" t="s">
        <v>6</v>
      </c>
      <c r="D95" s="2" t="str">
        <f>"王丽金"</f>
        <v>王丽金</v>
      </c>
      <c r="E95" s="2" t="str">
        <f>"女"</f>
        <v>女</v>
      </c>
    </row>
    <row r="96" spans="1:5" ht="14.4" x14ac:dyDescent="0.25">
      <c r="A96" s="4">
        <v>94</v>
      </c>
      <c r="B96" s="2" t="str">
        <f>"3251202108101122554659"</f>
        <v>3251202108101122554659</v>
      </c>
      <c r="C96" s="2" t="s">
        <v>6</v>
      </c>
      <c r="D96" s="2" t="str">
        <f>"黎武"</f>
        <v>黎武</v>
      </c>
      <c r="E96" s="2" t="str">
        <f>"男"</f>
        <v>男</v>
      </c>
    </row>
    <row r="97" spans="1:5" ht="14.4" x14ac:dyDescent="0.25">
      <c r="A97" s="4">
        <v>95</v>
      </c>
      <c r="B97" s="2" t="str">
        <f>"3251202108101123234661"</f>
        <v>3251202108101123234661</v>
      </c>
      <c r="C97" s="2" t="s">
        <v>6</v>
      </c>
      <c r="D97" s="2" t="str">
        <f>"王小超"</f>
        <v>王小超</v>
      </c>
      <c r="E97" s="2" t="str">
        <f>"女"</f>
        <v>女</v>
      </c>
    </row>
    <row r="98" spans="1:5" ht="14.4" x14ac:dyDescent="0.25">
      <c r="A98" s="4">
        <v>96</v>
      </c>
      <c r="B98" s="2" t="str">
        <f>"3251202108101124284668"</f>
        <v>3251202108101124284668</v>
      </c>
      <c r="C98" s="2" t="s">
        <v>6</v>
      </c>
      <c r="D98" s="2" t="str">
        <f>"高娟"</f>
        <v>高娟</v>
      </c>
      <c r="E98" s="2" t="str">
        <f>"女"</f>
        <v>女</v>
      </c>
    </row>
    <row r="99" spans="1:5" ht="14.4" x14ac:dyDescent="0.25">
      <c r="A99" s="4">
        <v>97</v>
      </c>
      <c r="B99" s="2" t="str">
        <f>"3251202108101129584690"</f>
        <v>3251202108101129584690</v>
      </c>
      <c r="C99" s="2" t="s">
        <v>6</v>
      </c>
      <c r="D99" s="2" t="str">
        <f>"陈太润"</f>
        <v>陈太润</v>
      </c>
      <c r="E99" s="2" t="str">
        <f>"女"</f>
        <v>女</v>
      </c>
    </row>
    <row r="100" spans="1:5" ht="14.4" x14ac:dyDescent="0.25">
      <c r="A100" s="4">
        <v>98</v>
      </c>
      <c r="B100" s="2" t="str">
        <f>"3251202108101134414718"</f>
        <v>3251202108101134414718</v>
      </c>
      <c r="C100" s="2" t="s">
        <v>6</v>
      </c>
      <c r="D100" s="2" t="str">
        <f>"吴浩东"</f>
        <v>吴浩东</v>
      </c>
      <c r="E100" s="2" t="str">
        <f>"男"</f>
        <v>男</v>
      </c>
    </row>
    <row r="101" spans="1:5" ht="14.4" x14ac:dyDescent="0.25">
      <c r="A101" s="4">
        <v>99</v>
      </c>
      <c r="B101" s="2" t="str">
        <f>"3251202108101137204731"</f>
        <v>3251202108101137204731</v>
      </c>
      <c r="C101" s="2" t="s">
        <v>6</v>
      </c>
      <c r="D101" s="2" t="str">
        <f>"蒋玉磊"</f>
        <v>蒋玉磊</v>
      </c>
      <c r="E101" s="2" t="str">
        <f>"男"</f>
        <v>男</v>
      </c>
    </row>
    <row r="102" spans="1:5" ht="14.4" x14ac:dyDescent="0.25">
      <c r="A102" s="4">
        <v>100</v>
      </c>
      <c r="B102" s="2" t="str">
        <f>"3251202108101138334735"</f>
        <v>3251202108101138334735</v>
      </c>
      <c r="C102" s="2" t="s">
        <v>6</v>
      </c>
      <c r="D102" s="2" t="str">
        <f>"孟愿"</f>
        <v>孟愿</v>
      </c>
      <c r="E102" s="2" t="str">
        <f>"女"</f>
        <v>女</v>
      </c>
    </row>
    <row r="103" spans="1:5" ht="14.4" x14ac:dyDescent="0.25">
      <c r="A103" s="4">
        <v>101</v>
      </c>
      <c r="B103" s="2" t="str">
        <f>"3251202108101138404736"</f>
        <v>3251202108101138404736</v>
      </c>
      <c r="C103" s="2" t="s">
        <v>6</v>
      </c>
      <c r="D103" s="2" t="str">
        <f>"王遥"</f>
        <v>王遥</v>
      </c>
      <c r="E103" s="2" t="str">
        <f>"女"</f>
        <v>女</v>
      </c>
    </row>
    <row r="104" spans="1:5" ht="14.4" x14ac:dyDescent="0.25">
      <c r="A104" s="4">
        <v>102</v>
      </c>
      <c r="B104" s="2" t="str">
        <f>"3251202108101140284745"</f>
        <v>3251202108101140284745</v>
      </c>
      <c r="C104" s="2" t="s">
        <v>6</v>
      </c>
      <c r="D104" s="2" t="str">
        <f>"田秋雨"</f>
        <v>田秋雨</v>
      </c>
      <c r="E104" s="2" t="str">
        <f>"女"</f>
        <v>女</v>
      </c>
    </row>
    <row r="105" spans="1:5" ht="14.4" x14ac:dyDescent="0.25">
      <c r="A105" s="4">
        <v>103</v>
      </c>
      <c r="B105" s="2" t="str">
        <f>"3251202108101141174750"</f>
        <v>3251202108101141174750</v>
      </c>
      <c r="C105" s="2" t="s">
        <v>6</v>
      </c>
      <c r="D105" s="2" t="str">
        <f>"符珑晶"</f>
        <v>符珑晶</v>
      </c>
      <c r="E105" s="2" t="str">
        <f>"女"</f>
        <v>女</v>
      </c>
    </row>
    <row r="106" spans="1:5" ht="14.4" x14ac:dyDescent="0.25">
      <c r="A106" s="4">
        <v>104</v>
      </c>
      <c r="B106" s="2" t="str">
        <f>"3251202108101146394768"</f>
        <v>3251202108101146394768</v>
      </c>
      <c r="C106" s="2" t="s">
        <v>6</v>
      </c>
      <c r="D106" s="2" t="str">
        <f>"周小倩"</f>
        <v>周小倩</v>
      </c>
      <c r="E106" s="2" t="str">
        <f>"女"</f>
        <v>女</v>
      </c>
    </row>
    <row r="107" spans="1:5" ht="14.4" x14ac:dyDescent="0.25">
      <c r="A107" s="4">
        <v>105</v>
      </c>
      <c r="B107" s="2" t="str">
        <f>"3251202108101152154781"</f>
        <v>3251202108101152154781</v>
      </c>
      <c r="C107" s="2" t="s">
        <v>6</v>
      </c>
      <c r="D107" s="2" t="str">
        <f>"颜春"</f>
        <v>颜春</v>
      </c>
      <c r="E107" s="2" t="str">
        <f>"男"</f>
        <v>男</v>
      </c>
    </row>
    <row r="108" spans="1:5" ht="14.4" x14ac:dyDescent="0.25">
      <c r="A108" s="4">
        <v>106</v>
      </c>
      <c r="B108" s="2" t="str">
        <f>"3251202108101152474782"</f>
        <v>3251202108101152474782</v>
      </c>
      <c r="C108" s="2" t="s">
        <v>6</v>
      </c>
      <c r="D108" s="2" t="str">
        <f>"羊唐均"</f>
        <v>羊唐均</v>
      </c>
      <c r="E108" s="2" t="str">
        <f>"男"</f>
        <v>男</v>
      </c>
    </row>
    <row r="109" spans="1:5" ht="14.4" x14ac:dyDescent="0.25">
      <c r="A109" s="4">
        <v>107</v>
      </c>
      <c r="B109" s="2" t="str">
        <f>"3251202108101202054812"</f>
        <v>3251202108101202054812</v>
      </c>
      <c r="C109" s="2" t="s">
        <v>6</v>
      </c>
      <c r="D109" s="2" t="str">
        <f>"王海关"</f>
        <v>王海关</v>
      </c>
      <c r="E109" s="2" t="str">
        <f>"男"</f>
        <v>男</v>
      </c>
    </row>
    <row r="110" spans="1:5" ht="14.4" x14ac:dyDescent="0.25">
      <c r="A110" s="4">
        <v>108</v>
      </c>
      <c r="B110" s="2" t="str">
        <f>"3251202108101207454823"</f>
        <v>3251202108101207454823</v>
      </c>
      <c r="C110" s="2" t="s">
        <v>6</v>
      </c>
      <c r="D110" s="2" t="str">
        <f>"羊嘉球"</f>
        <v>羊嘉球</v>
      </c>
      <c r="E110" s="2" t="str">
        <f>"男"</f>
        <v>男</v>
      </c>
    </row>
    <row r="111" spans="1:5" ht="14.4" x14ac:dyDescent="0.25">
      <c r="A111" s="4">
        <v>109</v>
      </c>
      <c r="B111" s="2" t="str">
        <f>"3251202108101211284837"</f>
        <v>3251202108101211284837</v>
      </c>
      <c r="C111" s="2" t="s">
        <v>6</v>
      </c>
      <c r="D111" s="2" t="str">
        <f>"凌柃"</f>
        <v>凌柃</v>
      </c>
      <c r="E111" s="2" t="str">
        <f>"女"</f>
        <v>女</v>
      </c>
    </row>
    <row r="112" spans="1:5" ht="14.4" x14ac:dyDescent="0.25">
      <c r="A112" s="4">
        <v>110</v>
      </c>
      <c r="B112" s="2" t="str">
        <f>"3251202108101212324840"</f>
        <v>3251202108101212324840</v>
      </c>
      <c r="C112" s="2" t="s">
        <v>6</v>
      </c>
      <c r="D112" s="2" t="str">
        <f>"陈德嫒"</f>
        <v>陈德嫒</v>
      </c>
      <c r="E112" s="2" t="str">
        <f>"女"</f>
        <v>女</v>
      </c>
    </row>
    <row r="113" spans="1:5" ht="14.4" x14ac:dyDescent="0.25">
      <c r="A113" s="4">
        <v>111</v>
      </c>
      <c r="B113" s="2" t="str">
        <f>"3251202108101213534844"</f>
        <v>3251202108101213534844</v>
      </c>
      <c r="C113" s="2" t="s">
        <v>6</v>
      </c>
      <c r="D113" s="2" t="str">
        <f>"王菊"</f>
        <v>王菊</v>
      </c>
      <c r="E113" s="2" t="str">
        <f>"女"</f>
        <v>女</v>
      </c>
    </row>
    <row r="114" spans="1:5" ht="14.4" x14ac:dyDescent="0.25">
      <c r="A114" s="4">
        <v>112</v>
      </c>
      <c r="B114" s="2" t="str">
        <f>"3251202108101214064845"</f>
        <v>3251202108101214064845</v>
      </c>
      <c r="C114" s="2" t="s">
        <v>6</v>
      </c>
      <c r="D114" s="2" t="str">
        <f>"曾祥帅"</f>
        <v>曾祥帅</v>
      </c>
      <c r="E114" s="2" t="str">
        <f>"男"</f>
        <v>男</v>
      </c>
    </row>
    <row r="115" spans="1:5" ht="14.4" x14ac:dyDescent="0.25">
      <c r="A115" s="4">
        <v>113</v>
      </c>
      <c r="B115" s="2" t="str">
        <f>"3251202108101219244865"</f>
        <v>3251202108101219244865</v>
      </c>
      <c r="C115" s="2" t="s">
        <v>6</v>
      </c>
      <c r="D115" s="2" t="str">
        <f>"万林培"</f>
        <v>万林培</v>
      </c>
      <c r="E115" s="2" t="str">
        <f>"男"</f>
        <v>男</v>
      </c>
    </row>
    <row r="116" spans="1:5" ht="14.4" x14ac:dyDescent="0.25">
      <c r="A116" s="4">
        <v>114</v>
      </c>
      <c r="B116" s="2" t="str">
        <f>"3251202108101225014883"</f>
        <v>3251202108101225014883</v>
      </c>
      <c r="C116" s="2" t="s">
        <v>6</v>
      </c>
      <c r="D116" s="2" t="str">
        <f>"钟君翰"</f>
        <v>钟君翰</v>
      </c>
      <c r="E116" s="2" t="str">
        <f>"男"</f>
        <v>男</v>
      </c>
    </row>
    <row r="117" spans="1:5" ht="14.4" x14ac:dyDescent="0.25">
      <c r="A117" s="4">
        <v>115</v>
      </c>
      <c r="B117" s="2" t="str">
        <f>"3251202108101227324895"</f>
        <v>3251202108101227324895</v>
      </c>
      <c r="C117" s="2" t="s">
        <v>6</v>
      </c>
      <c r="D117" s="2" t="str">
        <f>"多聪聪"</f>
        <v>多聪聪</v>
      </c>
      <c r="E117" s="2" t="str">
        <f>"女"</f>
        <v>女</v>
      </c>
    </row>
    <row r="118" spans="1:5" ht="14.4" x14ac:dyDescent="0.25">
      <c r="A118" s="4">
        <v>116</v>
      </c>
      <c r="B118" s="2" t="str">
        <f>"3251202108101228074898"</f>
        <v>3251202108101228074898</v>
      </c>
      <c r="C118" s="2" t="s">
        <v>6</v>
      </c>
      <c r="D118" s="2" t="str">
        <f>"温承银"</f>
        <v>温承银</v>
      </c>
      <c r="E118" s="2" t="str">
        <f>"女"</f>
        <v>女</v>
      </c>
    </row>
    <row r="119" spans="1:5" ht="14.4" x14ac:dyDescent="0.25">
      <c r="A119" s="4">
        <v>117</v>
      </c>
      <c r="B119" s="2" t="str">
        <f>"3251202108101238084931"</f>
        <v>3251202108101238084931</v>
      </c>
      <c r="C119" s="2" t="s">
        <v>6</v>
      </c>
      <c r="D119" s="2" t="str">
        <f>"张倡华"</f>
        <v>张倡华</v>
      </c>
      <c r="E119" s="2" t="str">
        <f>"男"</f>
        <v>男</v>
      </c>
    </row>
    <row r="120" spans="1:5" ht="14.4" x14ac:dyDescent="0.25">
      <c r="A120" s="4">
        <v>118</v>
      </c>
      <c r="B120" s="2" t="str">
        <f>"3251202108101239094936"</f>
        <v>3251202108101239094936</v>
      </c>
      <c r="C120" s="2" t="s">
        <v>6</v>
      </c>
      <c r="D120" s="2" t="str">
        <f>"陈雪婷"</f>
        <v>陈雪婷</v>
      </c>
      <c r="E120" s="2" t="str">
        <f>"女"</f>
        <v>女</v>
      </c>
    </row>
    <row r="121" spans="1:5" ht="14.4" x14ac:dyDescent="0.25">
      <c r="A121" s="4">
        <v>119</v>
      </c>
      <c r="B121" s="2" t="str">
        <f>"3251202108101250234968"</f>
        <v>3251202108101250234968</v>
      </c>
      <c r="C121" s="2" t="s">
        <v>6</v>
      </c>
      <c r="D121" s="2" t="str">
        <f>"吴天涯"</f>
        <v>吴天涯</v>
      </c>
      <c r="E121" s="2" t="str">
        <f>"男"</f>
        <v>男</v>
      </c>
    </row>
    <row r="122" spans="1:5" ht="14.4" x14ac:dyDescent="0.25">
      <c r="A122" s="4">
        <v>120</v>
      </c>
      <c r="B122" s="2" t="str">
        <f>"3251202108101301074987"</f>
        <v>3251202108101301074987</v>
      </c>
      <c r="C122" s="2" t="s">
        <v>6</v>
      </c>
      <c r="D122" s="2" t="str">
        <f>"王平江"</f>
        <v>王平江</v>
      </c>
      <c r="E122" s="2" t="str">
        <f>"男"</f>
        <v>男</v>
      </c>
    </row>
    <row r="123" spans="1:5" ht="14.4" x14ac:dyDescent="0.25">
      <c r="A123" s="4">
        <v>121</v>
      </c>
      <c r="B123" s="2" t="str">
        <f>"3251202108101301374988"</f>
        <v>3251202108101301374988</v>
      </c>
      <c r="C123" s="2" t="s">
        <v>6</v>
      </c>
      <c r="D123" s="2" t="str">
        <f>"符会"</f>
        <v>符会</v>
      </c>
      <c r="E123" s="2" t="str">
        <f>"男"</f>
        <v>男</v>
      </c>
    </row>
    <row r="124" spans="1:5" ht="14.4" x14ac:dyDescent="0.25">
      <c r="A124" s="4">
        <v>122</v>
      </c>
      <c r="B124" s="2" t="str">
        <f>"3251202108101304204998"</f>
        <v>3251202108101304204998</v>
      </c>
      <c r="C124" s="2" t="s">
        <v>6</v>
      </c>
      <c r="D124" s="2" t="str">
        <f>"许丽妃"</f>
        <v>许丽妃</v>
      </c>
      <c r="E124" s="2" t="str">
        <f>"女"</f>
        <v>女</v>
      </c>
    </row>
    <row r="125" spans="1:5" ht="14.4" x14ac:dyDescent="0.25">
      <c r="A125" s="4">
        <v>123</v>
      </c>
      <c r="B125" s="2" t="str">
        <f>"3251202108101308545005"</f>
        <v>3251202108101308545005</v>
      </c>
      <c r="C125" s="2" t="s">
        <v>6</v>
      </c>
      <c r="D125" s="2" t="str">
        <f>"史振春"</f>
        <v>史振春</v>
      </c>
      <c r="E125" s="2" t="str">
        <f>"男"</f>
        <v>男</v>
      </c>
    </row>
    <row r="126" spans="1:5" ht="14.4" x14ac:dyDescent="0.25">
      <c r="A126" s="4">
        <v>124</v>
      </c>
      <c r="B126" s="2" t="str">
        <f>"3251202108101317385026"</f>
        <v>3251202108101317385026</v>
      </c>
      <c r="C126" s="2" t="s">
        <v>6</v>
      </c>
      <c r="D126" s="2" t="str">
        <f>"黎姑美"</f>
        <v>黎姑美</v>
      </c>
      <c r="E126" s="2" t="str">
        <f>"女"</f>
        <v>女</v>
      </c>
    </row>
    <row r="127" spans="1:5" ht="14.4" x14ac:dyDescent="0.25">
      <c r="A127" s="4">
        <v>125</v>
      </c>
      <c r="B127" s="2" t="str">
        <f>"3251202108101320355029"</f>
        <v>3251202108101320355029</v>
      </c>
      <c r="C127" s="2" t="s">
        <v>6</v>
      </c>
      <c r="D127" s="2" t="str">
        <f>"刘宏娟"</f>
        <v>刘宏娟</v>
      </c>
      <c r="E127" s="2" t="str">
        <f>"女"</f>
        <v>女</v>
      </c>
    </row>
    <row r="128" spans="1:5" ht="14.4" x14ac:dyDescent="0.25">
      <c r="A128" s="4">
        <v>126</v>
      </c>
      <c r="B128" s="2" t="str">
        <f>"3251202108101321355030"</f>
        <v>3251202108101321355030</v>
      </c>
      <c r="C128" s="2" t="s">
        <v>6</v>
      </c>
      <c r="D128" s="2" t="str">
        <f>"叶留君"</f>
        <v>叶留君</v>
      </c>
      <c r="E128" s="2" t="str">
        <f>"男"</f>
        <v>男</v>
      </c>
    </row>
    <row r="129" spans="1:5" ht="14.4" x14ac:dyDescent="0.25">
      <c r="A129" s="4">
        <v>127</v>
      </c>
      <c r="B129" s="2" t="str">
        <f>"3251202108101342075068"</f>
        <v>3251202108101342075068</v>
      </c>
      <c r="C129" s="2" t="s">
        <v>6</v>
      </c>
      <c r="D129" s="2" t="str">
        <f>"陈玉丹"</f>
        <v>陈玉丹</v>
      </c>
      <c r="E129" s="2" t="str">
        <f>"女"</f>
        <v>女</v>
      </c>
    </row>
    <row r="130" spans="1:5" ht="14.4" x14ac:dyDescent="0.25">
      <c r="A130" s="4">
        <v>128</v>
      </c>
      <c r="B130" s="2" t="str">
        <f>"3251202108101349455083"</f>
        <v>3251202108101349455083</v>
      </c>
      <c r="C130" s="2" t="s">
        <v>6</v>
      </c>
      <c r="D130" s="2" t="str">
        <f>"郭启宏"</f>
        <v>郭启宏</v>
      </c>
      <c r="E130" s="2" t="str">
        <f>"男"</f>
        <v>男</v>
      </c>
    </row>
    <row r="131" spans="1:5" ht="14.4" x14ac:dyDescent="0.25">
      <c r="A131" s="4">
        <v>129</v>
      </c>
      <c r="B131" s="2" t="str">
        <f>"3251202108101350525085"</f>
        <v>3251202108101350525085</v>
      </c>
      <c r="C131" s="2" t="s">
        <v>6</v>
      </c>
      <c r="D131" s="2" t="str">
        <f>"蔡兴翔"</f>
        <v>蔡兴翔</v>
      </c>
      <c r="E131" s="2" t="str">
        <f>"男"</f>
        <v>男</v>
      </c>
    </row>
    <row r="132" spans="1:5" ht="14.4" x14ac:dyDescent="0.25">
      <c r="A132" s="4">
        <v>130</v>
      </c>
      <c r="B132" s="2" t="str">
        <f>"3251202108101410355128"</f>
        <v>3251202108101410355128</v>
      </c>
      <c r="C132" s="2" t="s">
        <v>6</v>
      </c>
      <c r="D132" s="2" t="str">
        <f>"李定高"</f>
        <v>李定高</v>
      </c>
      <c r="E132" s="2" t="str">
        <f>"男"</f>
        <v>男</v>
      </c>
    </row>
    <row r="133" spans="1:5" ht="14.4" x14ac:dyDescent="0.25">
      <c r="A133" s="4">
        <v>131</v>
      </c>
      <c r="B133" s="2" t="str">
        <f>"3251202108101411585130"</f>
        <v>3251202108101411585130</v>
      </c>
      <c r="C133" s="2" t="s">
        <v>6</v>
      </c>
      <c r="D133" s="2" t="str">
        <f>"李杏"</f>
        <v>李杏</v>
      </c>
      <c r="E133" s="2" t="str">
        <f>"女"</f>
        <v>女</v>
      </c>
    </row>
    <row r="134" spans="1:5" ht="14.4" x14ac:dyDescent="0.25">
      <c r="A134" s="4">
        <v>132</v>
      </c>
      <c r="B134" s="2" t="str">
        <f>"3251202108101421115156"</f>
        <v>3251202108101421115156</v>
      </c>
      <c r="C134" s="2" t="s">
        <v>6</v>
      </c>
      <c r="D134" s="2" t="str">
        <f>"符永乐"</f>
        <v>符永乐</v>
      </c>
      <c r="E134" s="2" t="str">
        <f>"男"</f>
        <v>男</v>
      </c>
    </row>
    <row r="135" spans="1:5" ht="14.4" x14ac:dyDescent="0.25">
      <c r="A135" s="4">
        <v>133</v>
      </c>
      <c r="B135" s="2" t="str">
        <f>"3251202108101422495160"</f>
        <v>3251202108101422495160</v>
      </c>
      <c r="C135" s="2" t="s">
        <v>6</v>
      </c>
      <c r="D135" s="2" t="str">
        <f>"尹占萌"</f>
        <v>尹占萌</v>
      </c>
      <c r="E135" s="2" t="str">
        <f>"男"</f>
        <v>男</v>
      </c>
    </row>
    <row r="136" spans="1:5" ht="14.4" x14ac:dyDescent="0.25">
      <c r="A136" s="4">
        <v>134</v>
      </c>
      <c r="B136" s="2" t="str">
        <f>"3251202108101430105181"</f>
        <v>3251202108101430105181</v>
      </c>
      <c r="C136" s="2" t="s">
        <v>6</v>
      </c>
      <c r="D136" s="2" t="str">
        <f>"符丽娟"</f>
        <v>符丽娟</v>
      </c>
      <c r="E136" s="2" t="str">
        <f>"女"</f>
        <v>女</v>
      </c>
    </row>
    <row r="137" spans="1:5" ht="14.4" x14ac:dyDescent="0.25">
      <c r="A137" s="4">
        <v>135</v>
      </c>
      <c r="B137" s="2" t="str">
        <f>"3251202108101436515203"</f>
        <v>3251202108101436515203</v>
      </c>
      <c r="C137" s="2" t="s">
        <v>6</v>
      </c>
      <c r="D137" s="2" t="str">
        <f>"李文峰"</f>
        <v>李文峰</v>
      </c>
      <c r="E137" s="2" t="str">
        <f>"男"</f>
        <v>男</v>
      </c>
    </row>
    <row r="138" spans="1:5" ht="14.4" x14ac:dyDescent="0.25">
      <c r="A138" s="4">
        <v>136</v>
      </c>
      <c r="B138" s="2" t="str">
        <f>"3251202108101438215212"</f>
        <v>3251202108101438215212</v>
      </c>
      <c r="C138" s="2" t="s">
        <v>6</v>
      </c>
      <c r="D138" s="2" t="str">
        <f>"符成铄"</f>
        <v>符成铄</v>
      </c>
      <c r="E138" s="2" t="str">
        <f>"男"</f>
        <v>男</v>
      </c>
    </row>
    <row r="139" spans="1:5" ht="14.4" x14ac:dyDescent="0.25">
      <c r="A139" s="4">
        <v>137</v>
      </c>
      <c r="B139" s="2" t="str">
        <f>"3251202108101443285232"</f>
        <v>3251202108101443285232</v>
      </c>
      <c r="C139" s="2" t="s">
        <v>6</v>
      </c>
      <c r="D139" s="2" t="str">
        <f>"王婷婷"</f>
        <v>王婷婷</v>
      </c>
      <c r="E139" s="2" t="str">
        <f>"女"</f>
        <v>女</v>
      </c>
    </row>
    <row r="140" spans="1:5" ht="14.4" x14ac:dyDescent="0.25">
      <c r="A140" s="4">
        <v>138</v>
      </c>
      <c r="B140" s="2" t="str">
        <f>"3251202108101450405258"</f>
        <v>3251202108101450405258</v>
      </c>
      <c r="C140" s="2" t="s">
        <v>6</v>
      </c>
      <c r="D140" s="2" t="str">
        <f>"符以全"</f>
        <v>符以全</v>
      </c>
      <c r="E140" s="2" t="str">
        <f>"男"</f>
        <v>男</v>
      </c>
    </row>
    <row r="141" spans="1:5" ht="14.4" x14ac:dyDescent="0.25">
      <c r="A141" s="4">
        <v>139</v>
      </c>
      <c r="B141" s="2" t="str">
        <f>"3251202108101451105261"</f>
        <v>3251202108101451105261</v>
      </c>
      <c r="C141" s="2" t="s">
        <v>6</v>
      </c>
      <c r="D141" s="2" t="str">
        <f>"符庆莉"</f>
        <v>符庆莉</v>
      </c>
      <c r="E141" s="2" t="str">
        <f>"女"</f>
        <v>女</v>
      </c>
    </row>
    <row r="142" spans="1:5" ht="14.4" x14ac:dyDescent="0.25">
      <c r="A142" s="4">
        <v>140</v>
      </c>
      <c r="B142" s="2" t="str">
        <f>"3251202108101453105269"</f>
        <v>3251202108101453105269</v>
      </c>
      <c r="C142" s="2" t="s">
        <v>6</v>
      </c>
      <c r="D142" s="2" t="str">
        <f>"王淼"</f>
        <v>王淼</v>
      </c>
      <c r="E142" s="2" t="str">
        <f>"女"</f>
        <v>女</v>
      </c>
    </row>
    <row r="143" spans="1:5" ht="14.4" x14ac:dyDescent="0.25">
      <c r="A143" s="4">
        <v>141</v>
      </c>
      <c r="B143" s="2" t="str">
        <f>"3251202108101454555271"</f>
        <v>3251202108101454555271</v>
      </c>
      <c r="C143" s="2" t="s">
        <v>6</v>
      </c>
      <c r="D143" s="2" t="str">
        <f>"卢惠云"</f>
        <v>卢惠云</v>
      </c>
      <c r="E143" s="2" t="str">
        <f>"女"</f>
        <v>女</v>
      </c>
    </row>
    <row r="144" spans="1:5" ht="14.4" x14ac:dyDescent="0.25">
      <c r="A144" s="4">
        <v>142</v>
      </c>
      <c r="B144" s="2" t="str">
        <f>"3251202108101507055324"</f>
        <v>3251202108101507055324</v>
      </c>
      <c r="C144" s="2" t="s">
        <v>6</v>
      </c>
      <c r="D144" s="2" t="str">
        <f>"钟赞敏"</f>
        <v>钟赞敏</v>
      </c>
      <c r="E144" s="2" t="str">
        <f>"男"</f>
        <v>男</v>
      </c>
    </row>
    <row r="145" spans="1:5" ht="14.4" x14ac:dyDescent="0.25">
      <c r="A145" s="4">
        <v>143</v>
      </c>
      <c r="B145" s="2" t="str">
        <f>"3251202108101507355326"</f>
        <v>3251202108101507355326</v>
      </c>
      <c r="C145" s="2" t="s">
        <v>6</v>
      </c>
      <c r="D145" s="2" t="str">
        <f>"梁昌俊"</f>
        <v>梁昌俊</v>
      </c>
      <c r="E145" s="2" t="str">
        <f>"男"</f>
        <v>男</v>
      </c>
    </row>
    <row r="146" spans="1:5" ht="14.4" x14ac:dyDescent="0.25">
      <c r="A146" s="4">
        <v>144</v>
      </c>
      <c r="B146" s="2" t="str">
        <f>"3251202108101509405335"</f>
        <v>3251202108101509405335</v>
      </c>
      <c r="C146" s="2" t="s">
        <v>6</v>
      </c>
      <c r="D146" s="2" t="str">
        <f>"张博莲"</f>
        <v>张博莲</v>
      </c>
      <c r="E146" s="2" t="str">
        <f>"女"</f>
        <v>女</v>
      </c>
    </row>
    <row r="147" spans="1:5" ht="14.4" x14ac:dyDescent="0.25">
      <c r="A147" s="4">
        <v>145</v>
      </c>
      <c r="B147" s="2" t="str">
        <f>"3251202108101509585337"</f>
        <v>3251202108101509585337</v>
      </c>
      <c r="C147" s="2" t="s">
        <v>6</v>
      </c>
      <c r="D147" s="2" t="str">
        <f>"肖鹃羚"</f>
        <v>肖鹃羚</v>
      </c>
      <c r="E147" s="2" t="str">
        <f>"女"</f>
        <v>女</v>
      </c>
    </row>
    <row r="148" spans="1:5" ht="14.4" x14ac:dyDescent="0.25">
      <c r="A148" s="4">
        <v>146</v>
      </c>
      <c r="B148" s="2" t="str">
        <f>"3251202108101511205343"</f>
        <v>3251202108101511205343</v>
      </c>
      <c r="C148" s="2" t="s">
        <v>6</v>
      </c>
      <c r="D148" s="2" t="str">
        <f>"温冬雁"</f>
        <v>温冬雁</v>
      </c>
      <c r="E148" s="2" t="str">
        <f>"女"</f>
        <v>女</v>
      </c>
    </row>
    <row r="149" spans="1:5" ht="14.4" x14ac:dyDescent="0.25">
      <c r="A149" s="4">
        <v>147</v>
      </c>
      <c r="B149" s="2" t="str">
        <f>"3251202108101516225358"</f>
        <v>3251202108101516225358</v>
      </c>
      <c r="C149" s="2" t="s">
        <v>6</v>
      </c>
      <c r="D149" s="2" t="str">
        <f>"陈齐文"</f>
        <v>陈齐文</v>
      </c>
      <c r="E149" s="2" t="str">
        <f>"女"</f>
        <v>女</v>
      </c>
    </row>
    <row r="150" spans="1:5" ht="14.4" x14ac:dyDescent="0.25">
      <c r="A150" s="4">
        <v>148</v>
      </c>
      <c r="B150" s="2" t="str">
        <f>"3251202108101516315360"</f>
        <v>3251202108101516315360</v>
      </c>
      <c r="C150" s="2" t="s">
        <v>6</v>
      </c>
      <c r="D150" s="2" t="str">
        <f>"陈仕发"</f>
        <v>陈仕发</v>
      </c>
      <c r="E150" s="2" t="str">
        <f>"男"</f>
        <v>男</v>
      </c>
    </row>
    <row r="151" spans="1:5" ht="14.4" x14ac:dyDescent="0.25">
      <c r="A151" s="4">
        <v>149</v>
      </c>
      <c r="B151" s="2" t="str">
        <f>"3251202108101517495365"</f>
        <v>3251202108101517495365</v>
      </c>
      <c r="C151" s="2" t="s">
        <v>6</v>
      </c>
      <c r="D151" s="2" t="str">
        <f>"罗芳"</f>
        <v>罗芳</v>
      </c>
      <c r="E151" s="2" t="str">
        <f>"女"</f>
        <v>女</v>
      </c>
    </row>
    <row r="152" spans="1:5" ht="14.4" x14ac:dyDescent="0.25">
      <c r="A152" s="4">
        <v>150</v>
      </c>
      <c r="B152" s="2" t="str">
        <f>"3251202108101520415379"</f>
        <v>3251202108101520415379</v>
      </c>
      <c r="C152" s="2" t="s">
        <v>6</v>
      </c>
      <c r="D152" s="2" t="str">
        <f>"陈太夫"</f>
        <v>陈太夫</v>
      </c>
      <c r="E152" s="2" t="str">
        <f>"男"</f>
        <v>男</v>
      </c>
    </row>
    <row r="153" spans="1:5" ht="14.4" x14ac:dyDescent="0.25">
      <c r="A153" s="4">
        <v>151</v>
      </c>
      <c r="B153" s="2" t="str">
        <f>"3251202108101523465389"</f>
        <v>3251202108101523465389</v>
      </c>
      <c r="C153" s="2" t="s">
        <v>6</v>
      </c>
      <c r="D153" s="2" t="str">
        <f>"孙学晶"</f>
        <v>孙学晶</v>
      </c>
      <c r="E153" s="2" t="str">
        <f t="shared" ref="E153:E159" si="3">"女"</f>
        <v>女</v>
      </c>
    </row>
    <row r="154" spans="1:5" ht="14.4" x14ac:dyDescent="0.25">
      <c r="A154" s="4">
        <v>152</v>
      </c>
      <c r="B154" s="2" t="str">
        <f>"3251202108101542355438"</f>
        <v>3251202108101542355438</v>
      </c>
      <c r="C154" s="2" t="s">
        <v>6</v>
      </c>
      <c r="D154" s="2" t="str">
        <f>"黎桃美"</f>
        <v>黎桃美</v>
      </c>
      <c r="E154" s="2" t="str">
        <f t="shared" si="3"/>
        <v>女</v>
      </c>
    </row>
    <row r="155" spans="1:5" ht="14.4" x14ac:dyDescent="0.25">
      <c r="A155" s="4">
        <v>153</v>
      </c>
      <c r="B155" s="2" t="str">
        <f>"3251202108101545595450"</f>
        <v>3251202108101545595450</v>
      </c>
      <c r="C155" s="2" t="s">
        <v>6</v>
      </c>
      <c r="D155" s="2" t="str">
        <f>"王美养"</f>
        <v>王美养</v>
      </c>
      <c r="E155" s="2" t="str">
        <f t="shared" si="3"/>
        <v>女</v>
      </c>
    </row>
    <row r="156" spans="1:5" ht="14.4" x14ac:dyDescent="0.25">
      <c r="A156" s="4">
        <v>154</v>
      </c>
      <c r="B156" s="2" t="str">
        <f>"3251202108101547455453"</f>
        <v>3251202108101547455453</v>
      </c>
      <c r="C156" s="2" t="s">
        <v>6</v>
      </c>
      <c r="D156" s="2" t="str">
        <f>"钱惠满"</f>
        <v>钱惠满</v>
      </c>
      <c r="E156" s="2" t="str">
        <f t="shared" si="3"/>
        <v>女</v>
      </c>
    </row>
    <row r="157" spans="1:5" ht="14.4" x14ac:dyDescent="0.25">
      <c r="A157" s="4">
        <v>155</v>
      </c>
      <c r="B157" s="2" t="str">
        <f>"3251202108101547535454"</f>
        <v>3251202108101547535454</v>
      </c>
      <c r="C157" s="2" t="s">
        <v>6</v>
      </c>
      <c r="D157" s="2" t="str">
        <f>"曾翠妹"</f>
        <v>曾翠妹</v>
      </c>
      <c r="E157" s="2" t="str">
        <f t="shared" si="3"/>
        <v>女</v>
      </c>
    </row>
    <row r="158" spans="1:5" ht="14.4" x14ac:dyDescent="0.25">
      <c r="A158" s="4">
        <v>156</v>
      </c>
      <c r="B158" s="2" t="str">
        <f>"3251202108101554335474"</f>
        <v>3251202108101554335474</v>
      </c>
      <c r="C158" s="2" t="s">
        <v>6</v>
      </c>
      <c r="D158" s="2" t="str">
        <f>"何雯雯"</f>
        <v>何雯雯</v>
      </c>
      <c r="E158" s="2" t="str">
        <f t="shared" si="3"/>
        <v>女</v>
      </c>
    </row>
    <row r="159" spans="1:5" ht="14.4" x14ac:dyDescent="0.25">
      <c r="A159" s="4">
        <v>157</v>
      </c>
      <c r="B159" s="2" t="str">
        <f>"3251202108101554395475"</f>
        <v>3251202108101554395475</v>
      </c>
      <c r="C159" s="2" t="s">
        <v>6</v>
      </c>
      <c r="D159" s="2" t="str">
        <f>"张华飞"</f>
        <v>张华飞</v>
      </c>
      <c r="E159" s="2" t="str">
        <f t="shared" si="3"/>
        <v>女</v>
      </c>
    </row>
    <row r="160" spans="1:5" ht="14.4" x14ac:dyDescent="0.25">
      <c r="A160" s="4">
        <v>158</v>
      </c>
      <c r="B160" s="2" t="str">
        <f>"3251202108101554535476"</f>
        <v>3251202108101554535476</v>
      </c>
      <c r="C160" s="2" t="s">
        <v>6</v>
      </c>
      <c r="D160" s="2" t="str">
        <f>"黄恺迪"</f>
        <v>黄恺迪</v>
      </c>
      <c r="E160" s="2" t="str">
        <f>"男"</f>
        <v>男</v>
      </c>
    </row>
    <row r="161" spans="1:5" ht="14.4" x14ac:dyDescent="0.25">
      <c r="A161" s="4">
        <v>159</v>
      </c>
      <c r="B161" s="2" t="str">
        <f>"3251202108101557595492"</f>
        <v>3251202108101557595492</v>
      </c>
      <c r="C161" s="2" t="s">
        <v>6</v>
      </c>
      <c r="D161" s="2" t="str">
        <f>"谢哲"</f>
        <v>谢哲</v>
      </c>
      <c r="E161" s="2" t="str">
        <f>"男"</f>
        <v>男</v>
      </c>
    </row>
    <row r="162" spans="1:5" ht="14.4" x14ac:dyDescent="0.25">
      <c r="A162" s="4">
        <v>160</v>
      </c>
      <c r="B162" s="2" t="str">
        <f>"3251202108101559105496"</f>
        <v>3251202108101559105496</v>
      </c>
      <c r="C162" s="2" t="s">
        <v>6</v>
      </c>
      <c r="D162" s="2" t="str">
        <f>"陆琛"</f>
        <v>陆琛</v>
      </c>
      <c r="E162" s="2" t="str">
        <f>"男"</f>
        <v>男</v>
      </c>
    </row>
    <row r="163" spans="1:5" ht="14.4" x14ac:dyDescent="0.25">
      <c r="A163" s="4">
        <v>161</v>
      </c>
      <c r="B163" s="2" t="str">
        <f>"3251202108101602365509"</f>
        <v>3251202108101602365509</v>
      </c>
      <c r="C163" s="2" t="s">
        <v>6</v>
      </c>
      <c r="D163" s="2" t="str">
        <f>"冯春爱"</f>
        <v>冯春爱</v>
      </c>
      <c r="E163" s="2" t="str">
        <f>"女"</f>
        <v>女</v>
      </c>
    </row>
    <row r="164" spans="1:5" ht="14.4" x14ac:dyDescent="0.25">
      <c r="A164" s="4">
        <v>162</v>
      </c>
      <c r="B164" s="2" t="str">
        <f>"3251202108101603045513"</f>
        <v>3251202108101603045513</v>
      </c>
      <c r="C164" s="2" t="s">
        <v>6</v>
      </c>
      <c r="D164" s="2" t="str">
        <f>"李国攀"</f>
        <v>李国攀</v>
      </c>
      <c r="E164" s="2" t="str">
        <f>"男"</f>
        <v>男</v>
      </c>
    </row>
    <row r="165" spans="1:5" ht="14.4" x14ac:dyDescent="0.25">
      <c r="A165" s="4">
        <v>163</v>
      </c>
      <c r="B165" s="2" t="str">
        <f>"3251202108101603555516"</f>
        <v>3251202108101603555516</v>
      </c>
      <c r="C165" s="2" t="s">
        <v>6</v>
      </c>
      <c r="D165" s="2" t="str">
        <f>"李笔龙"</f>
        <v>李笔龙</v>
      </c>
      <c r="E165" s="2" t="str">
        <f>"男"</f>
        <v>男</v>
      </c>
    </row>
    <row r="166" spans="1:5" ht="14.4" x14ac:dyDescent="0.25">
      <c r="A166" s="4">
        <v>164</v>
      </c>
      <c r="B166" s="2" t="str">
        <f>"3251202108101603575517"</f>
        <v>3251202108101603575517</v>
      </c>
      <c r="C166" s="2" t="s">
        <v>6</v>
      </c>
      <c r="D166" s="2" t="str">
        <f>"钟植标"</f>
        <v>钟植标</v>
      </c>
      <c r="E166" s="2" t="str">
        <f>"男"</f>
        <v>男</v>
      </c>
    </row>
    <row r="167" spans="1:5" ht="14.4" x14ac:dyDescent="0.25">
      <c r="A167" s="4">
        <v>165</v>
      </c>
      <c r="B167" s="2" t="str">
        <f>"3251202108101605335523"</f>
        <v>3251202108101605335523</v>
      </c>
      <c r="C167" s="2" t="s">
        <v>6</v>
      </c>
      <c r="D167" s="2" t="str">
        <f>"孙逸"</f>
        <v>孙逸</v>
      </c>
      <c r="E167" s="2" t="str">
        <f>"男"</f>
        <v>男</v>
      </c>
    </row>
    <row r="168" spans="1:5" ht="14.4" x14ac:dyDescent="0.25">
      <c r="A168" s="4">
        <v>166</v>
      </c>
      <c r="B168" s="2" t="str">
        <f>"3251202108101609165539"</f>
        <v>3251202108101609165539</v>
      </c>
      <c r="C168" s="2" t="s">
        <v>6</v>
      </c>
      <c r="D168" s="2" t="str">
        <f>"徐婷婷"</f>
        <v>徐婷婷</v>
      </c>
      <c r="E168" s="2" t="str">
        <f>"女"</f>
        <v>女</v>
      </c>
    </row>
    <row r="169" spans="1:5" ht="14.4" x14ac:dyDescent="0.25">
      <c r="A169" s="4">
        <v>167</v>
      </c>
      <c r="B169" s="2" t="str">
        <f>"3251202108101613415559"</f>
        <v>3251202108101613415559</v>
      </c>
      <c r="C169" s="2" t="s">
        <v>6</v>
      </c>
      <c r="D169" s="2" t="str">
        <f>"王瑜"</f>
        <v>王瑜</v>
      </c>
      <c r="E169" s="2" t="str">
        <f>"男"</f>
        <v>男</v>
      </c>
    </row>
    <row r="170" spans="1:5" ht="14.4" x14ac:dyDescent="0.25">
      <c r="A170" s="4">
        <v>168</v>
      </c>
      <c r="B170" s="2" t="str">
        <f>"3251202108101617145572"</f>
        <v>3251202108101617145572</v>
      </c>
      <c r="C170" s="2" t="s">
        <v>6</v>
      </c>
      <c r="D170" s="2" t="str">
        <f>"周洪宇"</f>
        <v>周洪宇</v>
      </c>
      <c r="E170" s="2" t="str">
        <f>"男"</f>
        <v>男</v>
      </c>
    </row>
    <row r="171" spans="1:5" ht="14.4" x14ac:dyDescent="0.25">
      <c r="A171" s="4">
        <v>169</v>
      </c>
      <c r="B171" s="2" t="str">
        <f>"3251202108101618265575"</f>
        <v>3251202108101618265575</v>
      </c>
      <c r="C171" s="2" t="s">
        <v>6</v>
      </c>
      <c r="D171" s="2" t="str">
        <f>"陈奕埔"</f>
        <v>陈奕埔</v>
      </c>
      <c r="E171" s="2" t="str">
        <f>"男"</f>
        <v>男</v>
      </c>
    </row>
    <row r="172" spans="1:5" ht="14.4" x14ac:dyDescent="0.25">
      <c r="A172" s="4">
        <v>170</v>
      </c>
      <c r="B172" s="2" t="str">
        <f>"3251202108101622585594"</f>
        <v>3251202108101622585594</v>
      </c>
      <c r="C172" s="2" t="s">
        <v>6</v>
      </c>
      <c r="D172" s="2" t="str">
        <f>"黎俊余"</f>
        <v>黎俊余</v>
      </c>
      <c r="E172" s="2" t="str">
        <f>"女"</f>
        <v>女</v>
      </c>
    </row>
    <row r="173" spans="1:5" ht="14.4" x14ac:dyDescent="0.25">
      <c r="A173" s="4">
        <v>171</v>
      </c>
      <c r="B173" s="2" t="str">
        <f>"3251202108101623145595"</f>
        <v>3251202108101623145595</v>
      </c>
      <c r="C173" s="2" t="s">
        <v>6</v>
      </c>
      <c r="D173" s="2" t="str">
        <f>"林恒妃"</f>
        <v>林恒妃</v>
      </c>
      <c r="E173" s="2" t="str">
        <f>"女"</f>
        <v>女</v>
      </c>
    </row>
    <row r="174" spans="1:5" ht="14.4" x14ac:dyDescent="0.25">
      <c r="A174" s="4">
        <v>172</v>
      </c>
      <c r="B174" s="2" t="str">
        <f>"3251202108101624145598"</f>
        <v>3251202108101624145598</v>
      </c>
      <c r="C174" s="2" t="s">
        <v>6</v>
      </c>
      <c r="D174" s="2" t="str">
        <f>"羊秀琴"</f>
        <v>羊秀琴</v>
      </c>
      <c r="E174" s="2" t="str">
        <f>"女"</f>
        <v>女</v>
      </c>
    </row>
    <row r="175" spans="1:5" ht="14.4" x14ac:dyDescent="0.25">
      <c r="A175" s="4">
        <v>173</v>
      </c>
      <c r="B175" s="2" t="str">
        <f>"3251202108101625095603"</f>
        <v>3251202108101625095603</v>
      </c>
      <c r="C175" s="2" t="s">
        <v>6</v>
      </c>
      <c r="D175" s="2" t="str">
        <f>"吴荣花"</f>
        <v>吴荣花</v>
      </c>
      <c r="E175" s="2" t="str">
        <f>"女"</f>
        <v>女</v>
      </c>
    </row>
    <row r="176" spans="1:5" ht="14.4" x14ac:dyDescent="0.25">
      <c r="A176" s="4">
        <v>174</v>
      </c>
      <c r="B176" s="2" t="str">
        <f>"3251202108101628045614"</f>
        <v>3251202108101628045614</v>
      </c>
      <c r="C176" s="2" t="s">
        <v>6</v>
      </c>
      <c r="D176" s="2" t="str">
        <f>"刘发和"</f>
        <v>刘发和</v>
      </c>
      <c r="E176" s="2" t="str">
        <f>"男"</f>
        <v>男</v>
      </c>
    </row>
    <row r="177" spans="1:5" ht="14.4" x14ac:dyDescent="0.25">
      <c r="A177" s="4">
        <v>175</v>
      </c>
      <c r="B177" s="2" t="str">
        <f>"3251202108101628165615"</f>
        <v>3251202108101628165615</v>
      </c>
      <c r="C177" s="2" t="s">
        <v>6</v>
      </c>
      <c r="D177" s="2" t="str">
        <f>"王开仟"</f>
        <v>王开仟</v>
      </c>
      <c r="E177" s="2" t="str">
        <f>"男"</f>
        <v>男</v>
      </c>
    </row>
    <row r="178" spans="1:5" ht="14.4" x14ac:dyDescent="0.25">
      <c r="A178" s="4">
        <v>176</v>
      </c>
      <c r="B178" s="2" t="str">
        <f>"3251202108101629145621"</f>
        <v>3251202108101629145621</v>
      </c>
      <c r="C178" s="2" t="s">
        <v>6</v>
      </c>
      <c r="D178" s="2" t="str">
        <f>"高元谋"</f>
        <v>高元谋</v>
      </c>
      <c r="E178" s="2" t="str">
        <f>"男"</f>
        <v>男</v>
      </c>
    </row>
    <row r="179" spans="1:5" ht="14.4" x14ac:dyDescent="0.25">
      <c r="A179" s="4">
        <v>177</v>
      </c>
      <c r="B179" s="2" t="str">
        <f>"3251202108101629175622"</f>
        <v>3251202108101629175622</v>
      </c>
      <c r="C179" s="2" t="s">
        <v>6</v>
      </c>
      <c r="D179" s="2" t="str">
        <f>"林蒂"</f>
        <v>林蒂</v>
      </c>
      <c r="E179" s="2" t="str">
        <f>"男"</f>
        <v>男</v>
      </c>
    </row>
    <row r="180" spans="1:5" ht="14.4" x14ac:dyDescent="0.25">
      <c r="A180" s="4">
        <v>178</v>
      </c>
      <c r="B180" s="2" t="str">
        <f>"3251202108101636025648"</f>
        <v>3251202108101636025648</v>
      </c>
      <c r="C180" s="2" t="s">
        <v>6</v>
      </c>
      <c r="D180" s="2" t="str">
        <f>"黄珍珠"</f>
        <v>黄珍珠</v>
      </c>
      <c r="E180" s="2" t="str">
        <f>"女"</f>
        <v>女</v>
      </c>
    </row>
    <row r="181" spans="1:5" ht="14.4" x14ac:dyDescent="0.25">
      <c r="A181" s="4">
        <v>179</v>
      </c>
      <c r="B181" s="2" t="str">
        <f>"3251202108101637165650"</f>
        <v>3251202108101637165650</v>
      </c>
      <c r="C181" s="2" t="s">
        <v>6</v>
      </c>
      <c r="D181" s="2" t="str">
        <f>"符鸿书"</f>
        <v>符鸿书</v>
      </c>
      <c r="E181" s="2" t="str">
        <f>"男"</f>
        <v>男</v>
      </c>
    </row>
    <row r="182" spans="1:5" ht="14.4" x14ac:dyDescent="0.25">
      <c r="A182" s="4">
        <v>180</v>
      </c>
      <c r="B182" s="2" t="str">
        <f>"3251202108101640005654"</f>
        <v>3251202108101640005654</v>
      </c>
      <c r="C182" s="2" t="s">
        <v>6</v>
      </c>
      <c r="D182" s="2" t="str">
        <f>"符进童"</f>
        <v>符进童</v>
      </c>
      <c r="E182" s="2" t="str">
        <f>"男"</f>
        <v>男</v>
      </c>
    </row>
    <row r="183" spans="1:5" ht="14.4" x14ac:dyDescent="0.25">
      <c r="A183" s="4">
        <v>181</v>
      </c>
      <c r="B183" s="2" t="str">
        <f>"3251202108101641545660"</f>
        <v>3251202108101641545660</v>
      </c>
      <c r="C183" s="2" t="s">
        <v>6</v>
      </c>
      <c r="D183" s="2" t="str">
        <f>"胡小花"</f>
        <v>胡小花</v>
      </c>
      <c r="E183" s="2" t="str">
        <f>"女"</f>
        <v>女</v>
      </c>
    </row>
    <row r="184" spans="1:5" ht="14.4" x14ac:dyDescent="0.25">
      <c r="A184" s="4">
        <v>182</v>
      </c>
      <c r="B184" s="2" t="str">
        <f>"3251202108101642465667"</f>
        <v>3251202108101642465667</v>
      </c>
      <c r="C184" s="2" t="s">
        <v>6</v>
      </c>
      <c r="D184" s="2" t="str">
        <f>"符丽芳"</f>
        <v>符丽芳</v>
      </c>
      <c r="E184" s="2" t="str">
        <f>"女"</f>
        <v>女</v>
      </c>
    </row>
    <row r="185" spans="1:5" ht="14.4" x14ac:dyDescent="0.25">
      <c r="A185" s="4">
        <v>183</v>
      </c>
      <c r="B185" s="2" t="str">
        <f>"3251202108101643025669"</f>
        <v>3251202108101643025669</v>
      </c>
      <c r="C185" s="2" t="s">
        <v>6</v>
      </c>
      <c r="D185" s="2" t="str">
        <f>"王宋玲"</f>
        <v>王宋玲</v>
      </c>
      <c r="E185" s="2" t="str">
        <f>"女"</f>
        <v>女</v>
      </c>
    </row>
    <row r="186" spans="1:5" ht="14.4" x14ac:dyDescent="0.25">
      <c r="A186" s="4">
        <v>184</v>
      </c>
      <c r="B186" s="2" t="str">
        <f>"3251202108101643225674"</f>
        <v>3251202108101643225674</v>
      </c>
      <c r="C186" s="2" t="s">
        <v>6</v>
      </c>
      <c r="D186" s="2" t="str">
        <f>"周吉琛"</f>
        <v>周吉琛</v>
      </c>
      <c r="E186" s="2" t="str">
        <f>"男"</f>
        <v>男</v>
      </c>
    </row>
    <row r="187" spans="1:5" ht="14.4" x14ac:dyDescent="0.25">
      <c r="A187" s="4">
        <v>185</v>
      </c>
      <c r="B187" s="2" t="str">
        <f>"3251202108101644105677"</f>
        <v>3251202108101644105677</v>
      </c>
      <c r="C187" s="2" t="s">
        <v>6</v>
      </c>
      <c r="D187" s="2" t="str">
        <f>"林道强"</f>
        <v>林道强</v>
      </c>
      <c r="E187" s="2" t="str">
        <f>"男"</f>
        <v>男</v>
      </c>
    </row>
    <row r="188" spans="1:5" ht="14.4" x14ac:dyDescent="0.25">
      <c r="A188" s="4">
        <v>186</v>
      </c>
      <c r="B188" s="2" t="str">
        <f>"3251202108101656235716"</f>
        <v>3251202108101656235716</v>
      </c>
      <c r="C188" s="2" t="s">
        <v>6</v>
      </c>
      <c r="D188" s="2" t="str">
        <f>"曾乙刚"</f>
        <v>曾乙刚</v>
      </c>
      <c r="E188" s="2" t="str">
        <f>"男"</f>
        <v>男</v>
      </c>
    </row>
    <row r="189" spans="1:5" ht="14.4" x14ac:dyDescent="0.25">
      <c r="A189" s="4">
        <v>187</v>
      </c>
      <c r="B189" s="2" t="str">
        <f>"3251202108101658345721"</f>
        <v>3251202108101658345721</v>
      </c>
      <c r="C189" s="2" t="s">
        <v>6</v>
      </c>
      <c r="D189" s="2" t="str">
        <f>"蔚鑫"</f>
        <v>蔚鑫</v>
      </c>
      <c r="E189" s="2" t="str">
        <f>"男"</f>
        <v>男</v>
      </c>
    </row>
    <row r="190" spans="1:5" ht="14.4" x14ac:dyDescent="0.25">
      <c r="A190" s="4">
        <v>188</v>
      </c>
      <c r="B190" s="2" t="str">
        <f>"3251202108101704595750"</f>
        <v>3251202108101704595750</v>
      </c>
      <c r="C190" s="2" t="s">
        <v>6</v>
      </c>
      <c r="D190" s="2" t="str">
        <f>"王英珠"</f>
        <v>王英珠</v>
      </c>
      <c r="E190" s="2" t="str">
        <f>"女"</f>
        <v>女</v>
      </c>
    </row>
    <row r="191" spans="1:5" ht="14.4" x14ac:dyDescent="0.25">
      <c r="A191" s="4">
        <v>189</v>
      </c>
      <c r="B191" s="2" t="str">
        <f>"3251202108101705315751"</f>
        <v>3251202108101705315751</v>
      </c>
      <c r="C191" s="2" t="s">
        <v>6</v>
      </c>
      <c r="D191" s="2" t="str">
        <f>"莫明明"</f>
        <v>莫明明</v>
      </c>
      <c r="E191" s="2" t="str">
        <f>"男"</f>
        <v>男</v>
      </c>
    </row>
    <row r="192" spans="1:5" ht="14.4" x14ac:dyDescent="0.25">
      <c r="A192" s="4">
        <v>190</v>
      </c>
      <c r="B192" s="2" t="str">
        <f>"3251202108101706075754"</f>
        <v>3251202108101706075754</v>
      </c>
      <c r="C192" s="2" t="s">
        <v>6</v>
      </c>
      <c r="D192" s="2" t="str">
        <f>"符兴吉"</f>
        <v>符兴吉</v>
      </c>
      <c r="E192" s="2" t="str">
        <f>"男"</f>
        <v>男</v>
      </c>
    </row>
    <row r="193" spans="1:5" ht="14.4" x14ac:dyDescent="0.25">
      <c r="A193" s="4">
        <v>191</v>
      </c>
      <c r="B193" s="2" t="str">
        <f>"3251202108101706525760"</f>
        <v>3251202108101706525760</v>
      </c>
      <c r="C193" s="2" t="s">
        <v>6</v>
      </c>
      <c r="D193" s="2" t="str">
        <f>"陈发龙"</f>
        <v>陈发龙</v>
      </c>
      <c r="E193" s="2" t="str">
        <f>"男"</f>
        <v>男</v>
      </c>
    </row>
    <row r="194" spans="1:5" ht="14.4" x14ac:dyDescent="0.25">
      <c r="A194" s="4">
        <v>192</v>
      </c>
      <c r="B194" s="2" t="str">
        <f>"3251202108101707525766"</f>
        <v>3251202108101707525766</v>
      </c>
      <c r="C194" s="2" t="s">
        <v>6</v>
      </c>
      <c r="D194" s="2" t="str">
        <f>"黄婷"</f>
        <v>黄婷</v>
      </c>
      <c r="E194" s="2" t="str">
        <f>"女"</f>
        <v>女</v>
      </c>
    </row>
    <row r="195" spans="1:5" ht="14.4" x14ac:dyDescent="0.25">
      <c r="A195" s="4">
        <v>193</v>
      </c>
      <c r="B195" s="2" t="str">
        <f>"3251202108101709115770"</f>
        <v>3251202108101709115770</v>
      </c>
      <c r="C195" s="2" t="s">
        <v>6</v>
      </c>
      <c r="D195" s="2" t="str">
        <f>"张鹏"</f>
        <v>张鹏</v>
      </c>
      <c r="E195" s="2" t="str">
        <f>"男"</f>
        <v>男</v>
      </c>
    </row>
    <row r="196" spans="1:5" ht="14.4" x14ac:dyDescent="0.25">
      <c r="A196" s="4">
        <v>194</v>
      </c>
      <c r="B196" s="2" t="str">
        <f>"3251202108101713205778"</f>
        <v>3251202108101713205778</v>
      </c>
      <c r="C196" s="2" t="s">
        <v>6</v>
      </c>
      <c r="D196" s="2" t="str">
        <f>"苏海梅"</f>
        <v>苏海梅</v>
      </c>
      <c r="E196" s="2" t="str">
        <f>"女"</f>
        <v>女</v>
      </c>
    </row>
    <row r="197" spans="1:5" ht="14.4" x14ac:dyDescent="0.25">
      <c r="A197" s="4">
        <v>195</v>
      </c>
      <c r="B197" s="2" t="str">
        <f>"3251202108101714325786"</f>
        <v>3251202108101714325786</v>
      </c>
      <c r="C197" s="2" t="s">
        <v>6</v>
      </c>
      <c r="D197" s="2" t="str">
        <f>"郭若瑜"</f>
        <v>郭若瑜</v>
      </c>
      <c r="E197" s="2" t="str">
        <f>"女"</f>
        <v>女</v>
      </c>
    </row>
    <row r="198" spans="1:5" ht="14.4" x14ac:dyDescent="0.25">
      <c r="A198" s="4">
        <v>196</v>
      </c>
      <c r="B198" s="2" t="str">
        <f>"3251202108101715315790"</f>
        <v>3251202108101715315790</v>
      </c>
      <c r="C198" s="2" t="s">
        <v>6</v>
      </c>
      <c r="D198" s="2" t="str">
        <f>"朱如良"</f>
        <v>朱如良</v>
      </c>
      <c r="E198" s="2" t="str">
        <f>"男"</f>
        <v>男</v>
      </c>
    </row>
    <row r="199" spans="1:5" ht="14.4" x14ac:dyDescent="0.25">
      <c r="A199" s="4">
        <v>197</v>
      </c>
      <c r="B199" s="2" t="str">
        <f>"3251202108101722115814"</f>
        <v>3251202108101722115814</v>
      </c>
      <c r="C199" s="2" t="s">
        <v>6</v>
      </c>
      <c r="D199" s="2" t="str">
        <f>"潘辅赞"</f>
        <v>潘辅赞</v>
      </c>
      <c r="E199" s="2" t="str">
        <f>"男"</f>
        <v>男</v>
      </c>
    </row>
    <row r="200" spans="1:5" ht="14.4" x14ac:dyDescent="0.25">
      <c r="A200" s="4">
        <v>198</v>
      </c>
      <c r="B200" s="2" t="str">
        <f>"3251202108101723085819"</f>
        <v>3251202108101723085819</v>
      </c>
      <c r="C200" s="2" t="s">
        <v>6</v>
      </c>
      <c r="D200" s="2" t="str">
        <f>"邓刘平"</f>
        <v>邓刘平</v>
      </c>
      <c r="E200" s="2" t="str">
        <f>"男"</f>
        <v>男</v>
      </c>
    </row>
    <row r="201" spans="1:5" ht="14.4" x14ac:dyDescent="0.25">
      <c r="A201" s="4">
        <v>199</v>
      </c>
      <c r="B201" s="2" t="str">
        <f>"3251202108101724515823"</f>
        <v>3251202108101724515823</v>
      </c>
      <c r="C201" s="2" t="s">
        <v>6</v>
      </c>
      <c r="D201" s="2" t="str">
        <f>"朱洺利"</f>
        <v>朱洺利</v>
      </c>
      <c r="E201" s="2" t="str">
        <f>"男"</f>
        <v>男</v>
      </c>
    </row>
    <row r="202" spans="1:5" ht="14.4" x14ac:dyDescent="0.25">
      <c r="A202" s="4">
        <v>200</v>
      </c>
      <c r="B202" s="2" t="str">
        <f>"3251202108101732485841"</f>
        <v>3251202108101732485841</v>
      </c>
      <c r="C202" s="2" t="s">
        <v>6</v>
      </c>
      <c r="D202" s="2" t="str">
        <f>"谢如虹"</f>
        <v>谢如虹</v>
      </c>
      <c r="E202" s="2" t="str">
        <f>"女"</f>
        <v>女</v>
      </c>
    </row>
    <row r="203" spans="1:5" ht="14.4" x14ac:dyDescent="0.25">
      <c r="A203" s="4">
        <v>201</v>
      </c>
      <c r="B203" s="2" t="str">
        <f>"3251202108101738395858"</f>
        <v>3251202108101738395858</v>
      </c>
      <c r="C203" s="2" t="s">
        <v>6</v>
      </c>
      <c r="D203" s="2" t="str">
        <f>"曾令顺"</f>
        <v>曾令顺</v>
      </c>
      <c r="E203" s="2" t="str">
        <f>"男"</f>
        <v>男</v>
      </c>
    </row>
    <row r="204" spans="1:5" ht="14.4" x14ac:dyDescent="0.25">
      <c r="A204" s="4">
        <v>202</v>
      </c>
      <c r="B204" s="2" t="str">
        <f>"3251202108101750285890"</f>
        <v>3251202108101750285890</v>
      </c>
      <c r="C204" s="2" t="s">
        <v>6</v>
      </c>
      <c r="D204" s="2" t="str">
        <f>"曾诚"</f>
        <v>曾诚</v>
      </c>
      <c r="E204" s="2" t="str">
        <f>"男"</f>
        <v>男</v>
      </c>
    </row>
    <row r="205" spans="1:5" ht="14.4" x14ac:dyDescent="0.25">
      <c r="A205" s="4">
        <v>203</v>
      </c>
      <c r="B205" s="2" t="str">
        <f>"3251202108101754365896"</f>
        <v>3251202108101754365896</v>
      </c>
      <c r="C205" s="2" t="s">
        <v>6</v>
      </c>
      <c r="D205" s="2" t="str">
        <f>"李美元"</f>
        <v>李美元</v>
      </c>
      <c r="E205" s="2" t="str">
        <f>"女"</f>
        <v>女</v>
      </c>
    </row>
    <row r="206" spans="1:5" ht="14.4" x14ac:dyDescent="0.25">
      <c r="A206" s="4">
        <v>204</v>
      </c>
      <c r="B206" s="2" t="str">
        <f>"3251202108101754385897"</f>
        <v>3251202108101754385897</v>
      </c>
      <c r="C206" s="2" t="s">
        <v>6</v>
      </c>
      <c r="D206" s="2" t="str">
        <f>"袁旺琼"</f>
        <v>袁旺琼</v>
      </c>
      <c r="E206" s="2" t="str">
        <f>"女"</f>
        <v>女</v>
      </c>
    </row>
    <row r="207" spans="1:5" ht="14.4" x14ac:dyDescent="0.25">
      <c r="A207" s="4">
        <v>205</v>
      </c>
      <c r="B207" s="2" t="str">
        <f>"3251202108101806505918"</f>
        <v>3251202108101806505918</v>
      </c>
      <c r="C207" s="2" t="s">
        <v>6</v>
      </c>
      <c r="D207" s="2" t="str">
        <f>"郭教丹"</f>
        <v>郭教丹</v>
      </c>
      <c r="E207" s="2" t="str">
        <f>"女"</f>
        <v>女</v>
      </c>
    </row>
    <row r="208" spans="1:5" ht="14.4" x14ac:dyDescent="0.25">
      <c r="A208" s="4">
        <v>206</v>
      </c>
      <c r="B208" s="2" t="str">
        <f>"3251202108101808495924"</f>
        <v>3251202108101808495924</v>
      </c>
      <c r="C208" s="2" t="s">
        <v>6</v>
      </c>
      <c r="D208" s="2" t="str">
        <f>"黎天合"</f>
        <v>黎天合</v>
      </c>
      <c r="E208" s="2" t="str">
        <f>"男"</f>
        <v>男</v>
      </c>
    </row>
    <row r="209" spans="1:5" ht="14.4" x14ac:dyDescent="0.25">
      <c r="A209" s="4">
        <v>207</v>
      </c>
      <c r="B209" s="2" t="str">
        <f>"3251202108101820215947"</f>
        <v>3251202108101820215947</v>
      </c>
      <c r="C209" s="2" t="s">
        <v>6</v>
      </c>
      <c r="D209" s="2" t="str">
        <f>"刘润樾"</f>
        <v>刘润樾</v>
      </c>
      <c r="E209" s="2" t="str">
        <f>"男"</f>
        <v>男</v>
      </c>
    </row>
    <row r="210" spans="1:5" ht="14.4" x14ac:dyDescent="0.25">
      <c r="A210" s="4">
        <v>208</v>
      </c>
      <c r="B210" s="2" t="str">
        <f>"3251202108101824075954"</f>
        <v>3251202108101824075954</v>
      </c>
      <c r="C210" s="2" t="s">
        <v>6</v>
      </c>
      <c r="D210" s="2" t="str">
        <f>"黄桂云"</f>
        <v>黄桂云</v>
      </c>
      <c r="E210" s="2" t="str">
        <f>"女"</f>
        <v>女</v>
      </c>
    </row>
    <row r="211" spans="1:5" ht="14.4" x14ac:dyDescent="0.25">
      <c r="A211" s="4">
        <v>209</v>
      </c>
      <c r="B211" s="2" t="str">
        <f>"3251202108101830315966"</f>
        <v>3251202108101830315966</v>
      </c>
      <c r="C211" s="2" t="s">
        <v>6</v>
      </c>
      <c r="D211" s="2" t="str">
        <f>"刘雄"</f>
        <v>刘雄</v>
      </c>
      <c r="E211" s="2" t="str">
        <f>"男"</f>
        <v>男</v>
      </c>
    </row>
    <row r="212" spans="1:5" ht="14.4" x14ac:dyDescent="0.25">
      <c r="A212" s="4">
        <v>210</v>
      </c>
      <c r="B212" s="2" t="str">
        <f>"3251202108101838165982"</f>
        <v>3251202108101838165982</v>
      </c>
      <c r="C212" s="2" t="s">
        <v>6</v>
      </c>
      <c r="D212" s="2" t="str">
        <f>"郭教文"</f>
        <v>郭教文</v>
      </c>
      <c r="E212" s="2" t="str">
        <f>"男"</f>
        <v>男</v>
      </c>
    </row>
    <row r="213" spans="1:5" ht="14.4" x14ac:dyDescent="0.25">
      <c r="A213" s="4">
        <v>211</v>
      </c>
      <c r="B213" s="2" t="str">
        <f>"3251202108101844155999"</f>
        <v>3251202108101844155999</v>
      </c>
      <c r="C213" s="2" t="s">
        <v>6</v>
      </c>
      <c r="D213" s="2" t="str">
        <f>"林小兰"</f>
        <v>林小兰</v>
      </c>
      <c r="E213" s="2" t="str">
        <f>"女"</f>
        <v>女</v>
      </c>
    </row>
    <row r="214" spans="1:5" ht="14.4" x14ac:dyDescent="0.25">
      <c r="A214" s="4">
        <v>212</v>
      </c>
      <c r="B214" s="2" t="str">
        <f>"3251202108101848236008"</f>
        <v>3251202108101848236008</v>
      </c>
      <c r="C214" s="2" t="s">
        <v>6</v>
      </c>
      <c r="D214" s="2" t="str">
        <f>"吉学凯"</f>
        <v>吉学凯</v>
      </c>
      <c r="E214" s="2" t="str">
        <f>"男"</f>
        <v>男</v>
      </c>
    </row>
    <row r="215" spans="1:5" ht="14.4" x14ac:dyDescent="0.25">
      <c r="A215" s="4">
        <v>213</v>
      </c>
      <c r="B215" s="2" t="str">
        <f>"3251202108101852596020"</f>
        <v>3251202108101852596020</v>
      </c>
      <c r="C215" s="2" t="s">
        <v>6</v>
      </c>
      <c r="D215" s="2" t="str">
        <f>"刘博"</f>
        <v>刘博</v>
      </c>
      <c r="E215" s="2" t="str">
        <f>"男"</f>
        <v>男</v>
      </c>
    </row>
    <row r="216" spans="1:5" ht="14.4" x14ac:dyDescent="0.25">
      <c r="A216" s="4">
        <v>214</v>
      </c>
      <c r="B216" s="2" t="str">
        <f>"3251202108101855226029"</f>
        <v>3251202108101855226029</v>
      </c>
      <c r="C216" s="2" t="s">
        <v>6</v>
      </c>
      <c r="D216" s="2" t="str">
        <f>"郭光群"</f>
        <v>郭光群</v>
      </c>
      <c r="E216" s="2" t="str">
        <f>"男"</f>
        <v>男</v>
      </c>
    </row>
    <row r="217" spans="1:5" ht="14.4" x14ac:dyDescent="0.25">
      <c r="A217" s="4">
        <v>215</v>
      </c>
      <c r="B217" s="2" t="str">
        <f>"3251202108101857186035"</f>
        <v>3251202108101857186035</v>
      </c>
      <c r="C217" s="2" t="s">
        <v>6</v>
      </c>
      <c r="D217" s="2" t="str">
        <f>"孔繁华"</f>
        <v>孔繁华</v>
      </c>
      <c r="E217" s="2" t="str">
        <f>"男"</f>
        <v>男</v>
      </c>
    </row>
    <row r="218" spans="1:5" ht="14.4" x14ac:dyDescent="0.25">
      <c r="A218" s="4">
        <v>216</v>
      </c>
      <c r="B218" s="2" t="str">
        <f>"3251202108101912586062"</f>
        <v>3251202108101912586062</v>
      </c>
      <c r="C218" s="2" t="s">
        <v>6</v>
      </c>
      <c r="D218" s="2" t="str">
        <f>"严秋"</f>
        <v>严秋</v>
      </c>
      <c r="E218" s="2" t="str">
        <f>"女"</f>
        <v>女</v>
      </c>
    </row>
    <row r="219" spans="1:5" ht="14.4" x14ac:dyDescent="0.25">
      <c r="A219" s="4">
        <v>217</v>
      </c>
      <c r="B219" s="2" t="str">
        <f>"3251202108101913356066"</f>
        <v>3251202108101913356066</v>
      </c>
      <c r="C219" s="2" t="s">
        <v>6</v>
      </c>
      <c r="D219" s="2" t="str">
        <f>"殷礼冲"</f>
        <v>殷礼冲</v>
      </c>
      <c r="E219" s="2" t="str">
        <f>"男"</f>
        <v>男</v>
      </c>
    </row>
    <row r="220" spans="1:5" ht="14.4" x14ac:dyDescent="0.25">
      <c r="A220" s="4">
        <v>218</v>
      </c>
      <c r="B220" s="2" t="str">
        <f>"3251202108101917056074"</f>
        <v>3251202108101917056074</v>
      </c>
      <c r="C220" s="2" t="s">
        <v>6</v>
      </c>
      <c r="D220" s="2" t="str">
        <f>"孙伟"</f>
        <v>孙伟</v>
      </c>
      <c r="E220" s="2" t="str">
        <f>"男"</f>
        <v>男</v>
      </c>
    </row>
    <row r="221" spans="1:5" ht="14.4" x14ac:dyDescent="0.25">
      <c r="A221" s="4">
        <v>219</v>
      </c>
      <c r="B221" s="2" t="str">
        <f>"3251202108101936426110"</f>
        <v>3251202108101936426110</v>
      </c>
      <c r="C221" s="2" t="s">
        <v>6</v>
      </c>
      <c r="D221" s="2" t="str">
        <f>"陈丽"</f>
        <v>陈丽</v>
      </c>
      <c r="E221" s="2" t="str">
        <f>"女"</f>
        <v>女</v>
      </c>
    </row>
    <row r="222" spans="1:5" ht="14.4" x14ac:dyDescent="0.25">
      <c r="A222" s="4">
        <v>220</v>
      </c>
      <c r="B222" s="2" t="str">
        <f>"3251202108101948556140"</f>
        <v>3251202108101948556140</v>
      </c>
      <c r="C222" s="2" t="s">
        <v>6</v>
      </c>
      <c r="D222" s="2" t="str">
        <f>"苏珍平 "</f>
        <v xml:space="preserve">苏珍平 </v>
      </c>
      <c r="E222" s="2" t="str">
        <f>"女"</f>
        <v>女</v>
      </c>
    </row>
    <row r="223" spans="1:5" ht="14.4" x14ac:dyDescent="0.25">
      <c r="A223" s="4">
        <v>221</v>
      </c>
      <c r="B223" s="2" t="str">
        <f>"3251202108101955006153"</f>
        <v>3251202108101955006153</v>
      </c>
      <c r="C223" s="2" t="s">
        <v>6</v>
      </c>
      <c r="D223" s="2" t="str">
        <f>"吉冰冰"</f>
        <v>吉冰冰</v>
      </c>
      <c r="E223" s="2" t="str">
        <f>"女"</f>
        <v>女</v>
      </c>
    </row>
    <row r="224" spans="1:5" ht="14.4" x14ac:dyDescent="0.25">
      <c r="A224" s="4">
        <v>222</v>
      </c>
      <c r="B224" s="2" t="str">
        <f>"3251202108101958346157"</f>
        <v>3251202108101958346157</v>
      </c>
      <c r="C224" s="2" t="s">
        <v>6</v>
      </c>
      <c r="D224" s="2" t="str">
        <f>"李美桂"</f>
        <v>李美桂</v>
      </c>
      <c r="E224" s="2" t="str">
        <f>"女"</f>
        <v>女</v>
      </c>
    </row>
    <row r="225" spans="1:5" ht="14.4" x14ac:dyDescent="0.25">
      <c r="A225" s="4">
        <v>223</v>
      </c>
      <c r="B225" s="2" t="str">
        <f>"3251202108102005276170"</f>
        <v>3251202108102005276170</v>
      </c>
      <c r="C225" s="2" t="s">
        <v>6</v>
      </c>
      <c r="D225" s="2" t="str">
        <f>"林敏敏"</f>
        <v>林敏敏</v>
      </c>
      <c r="E225" s="2" t="str">
        <f>"女"</f>
        <v>女</v>
      </c>
    </row>
    <row r="226" spans="1:5" ht="14.4" x14ac:dyDescent="0.25">
      <c r="A226" s="4">
        <v>224</v>
      </c>
      <c r="B226" s="2" t="str">
        <f>"3251202108102012466190"</f>
        <v>3251202108102012466190</v>
      </c>
      <c r="C226" s="2" t="s">
        <v>6</v>
      </c>
      <c r="D226" s="2" t="str">
        <f>"吴武晋"</f>
        <v>吴武晋</v>
      </c>
      <c r="E226" s="2" t="str">
        <f>"男"</f>
        <v>男</v>
      </c>
    </row>
    <row r="227" spans="1:5" ht="14.4" x14ac:dyDescent="0.25">
      <c r="A227" s="4">
        <v>225</v>
      </c>
      <c r="B227" s="2" t="str">
        <f>"3251202108102020166206"</f>
        <v>3251202108102020166206</v>
      </c>
      <c r="C227" s="2" t="s">
        <v>6</v>
      </c>
      <c r="D227" s="2" t="str">
        <f>"蒲德赏"</f>
        <v>蒲德赏</v>
      </c>
      <c r="E227" s="2" t="str">
        <f>"男"</f>
        <v>男</v>
      </c>
    </row>
    <row r="228" spans="1:5" ht="14.4" x14ac:dyDescent="0.25">
      <c r="A228" s="4">
        <v>226</v>
      </c>
      <c r="B228" s="2" t="str">
        <f>"3251202108102029226225"</f>
        <v>3251202108102029226225</v>
      </c>
      <c r="C228" s="2" t="s">
        <v>6</v>
      </c>
      <c r="D228" s="2" t="str">
        <f>"陈星达 "</f>
        <v xml:space="preserve">陈星达 </v>
      </c>
      <c r="E228" s="2" t="str">
        <f>"男"</f>
        <v>男</v>
      </c>
    </row>
    <row r="229" spans="1:5" ht="14.4" x14ac:dyDescent="0.25">
      <c r="A229" s="4">
        <v>227</v>
      </c>
      <c r="B229" s="2" t="str">
        <f>"3251202108102029456226"</f>
        <v>3251202108102029456226</v>
      </c>
      <c r="C229" s="2" t="s">
        <v>6</v>
      </c>
      <c r="D229" s="2" t="str">
        <f>"许杰华"</f>
        <v>许杰华</v>
      </c>
      <c r="E229" s="2" t="str">
        <f>"男"</f>
        <v>男</v>
      </c>
    </row>
    <row r="230" spans="1:5" ht="14.4" x14ac:dyDescent="0.25">
      <c r="A230" s="4">
        <v>228</v>
      </c>
      <c r="B230" s="2" t="str">
        <f>"3251202108102033066232"</f>
        <v>3251202108102033066232</v>
      </c>
      <c r="C230" s="2" t="s">
        <v>6</v>
      </c>
      <c r="D230" s="2" t="str">
        <f>"梁瑞英"</f>
        <v>梁瑞英</v>
      </c>
      <c r="E230" s="2" t="str">
        <f>"女"</f>
        <v>女</v>
      </c>
    </row>
    <row r="231" spans="1:5" ht="14.4" x14ac:dyDescent="0.25">
      <c r="A231" s="4">
        <v>229</v>
      </c>
      <c r="B231" s="2" t="str">
        <f>"3251202108102037416239"</f>
        <v>3251202108102037416239</v>
      </c>
      <c r="C231" s="2" t="s">
        <v>6</v>
      </c>
      <c r="D231" s="2" t="str">
        <f>"李巍巍"</f>
        <v>李巍巍</v>
      </c>
      <c r="E231" s="2" t="str">
        <f>"男"</f>
        <v>男</v>
      </c>
    </row>
    <row r="232" spans="1:5" ht="14.4" x14ac:dyDescent="0.25">
      <c r="A232" s="4">
        <v>230</v>
      </c>
      <c r="B232" s="2" t="str">
        <f>"3251202108102044056248"</f>
        <v>3251202108102044056248</v>
      </c>
      <c r="C232" s="2" t="s">
        <v>6</v>
      </c>
      <c r="D232" s="2" t="str">
        <f>"赵业飞"</f>
        <v>赵业飞</v>
      </c>
      <c r="E232" s="2" t="str">
        <f>"女"</f>
        <v>女</v>
      </c>
    </row>
    <row r="233" spans="1:5" ht="14.4" x14ac:dyDescent="0.25">
      <c r="A233" s="4">
        <v>231</v>
      </c>
      <c r="B233" s="2" t="str">
        <f>"3251202108102047136256"</f>
        <v>3251202108102047136256</v>
      </c>
      <c r="C233" s="2" t="s">
        <v>6</v>
      </c>
      <c r="D233" s="2" t="str">
        <f>"温冬梅"</f>
        <v>温冬梅</v>
      </c>
      <c r="E233" s="2" t="str">
        <f>"女"</f>
        <v>女</v>
      </c>
    </row>
    <row r="234" spans="1:5" ht="14.4" x14ac:dyDescent="0.25">
      <c r="A234" s="4">
        <v>232</v>
      </c>
      <c r="B234" s="2" t="str">
        <f>"3251202108102052416266"</f>
        <v>3251202108102052416266</v>
      </c>
      <c r="C234" s="2" t="s">
        <v>6</v>
      </c>
      <c r="D234" s="2" t="str">
        <f>"张鹏"</f>
        <v>张鹏</v>
      </c>
      <c r="E234" s="2" t="str">
        <f>"男"</f>
        <v>男</v>
      </c>
    </row>
    <row r="235" spans="1:5" ht="14.4" x14ac:dyDescent="0.25">
      <c r="A235" s="4">
        <v>233</v>
      </c>
      <c r="B235" s="2" t="str">
        <f>"3251202108102058066274"</f>
        <v>3251202108102058066274</v>
      </c>
      <c r="C235" s="2" t="s">
        <v>6</v>
      </c>
      <c r="D235" s="2" t="str">
        <f>"王祝瑞"</f>
        <v>王祝瑞</v>
      </c>
      <c r="E235" s="2" t="str">
        <f>"男"</f>
        <v>男</v>
      </c>
    </row>
    <row r="236" spans="1:5" ht="14.4" x14ac:dyDescent="0.25">
      <c r="A236" s="4">
        <v>234</v>
      </c>
      <c r="B236" s="2" t="str">
        <f>"3251202108102100246278"</f>
        <v>3251202108102100246278</v>
      </c>
      <c r="C236" s="2" t="s">
        <v>6</v>
      </c>
      <c r="D236" s="2" t="str">
        <f>"崔丽珠"</f>
        <v>崔丽珠</v>
      </c>
      <c r="E236" s="2" t="str">
        <f>"女"</f>
        <v>女</v>
      </c>
    </row>
    <row r="237" spans="1:5" ht="14.4" x14ac:dyDescent="0.25">
      <c r="A237" s="4">
        <v>235</v>
      </c>
      <c r="B237" s="2" t="str">
        <f>"3251202108102100436281"</f>
        <v>3251202108102100436281</v>
      </c>
      <c r="C237" s="2" t="s">
        <v>6</v>
      </c>
      <c r="D237" s="2" t="str">
        <f>"孙令伟"</f>
        <v>孙令伟</v>
      </c>
      <c r="E237" s="2" t="str">
        <f>"男"</f>
        <v>男</v>
      </c>
    </row>
    <row r="238" spans="1:5" ht="14.4" x14ac:dyDescent="0.25">
      <c r="A238" s="4">
        <v>236</v>
      </c>
      <c r="B238" s="2" t="str">
        <f>"3251202108102104456286"</f>
        <v>3251202108102104456286</v>
      </c>
      <c r="C238" s="2" t="s">
        <v>6</v>
      </c>
      <c r="D238" s="2" t="str">
        <f>"管鑫悦"</f>
        <v>管鑫悦</v>
      </c>
      <c r="E238" s="2" t="str">
        <f>"女"</f>
        <v>女</v>
      </c>
    </row>
    <row r="239" spans="1:5" ht="14.4" x14ac:dyDescent="0.25">
      <c r="A239" s="4">
        <v>237</v>
      </c>
      <c r="B239" s="2" t="str">
        <f>"3251202108102117366315"</f>
        <v>3251202108102117366315</v>
      </c>
      <c r="C239" s="2" t="s">
        <v>6</v>
      </c>
      <c r="D239" s="2" t="str">
        <f>"周兴坤"</f>
        <v>周兴坤</v>
      </c>
      <c r="E239" s="2" t="str">
        <f>"男"</f>
        <v>男</v>
      </c>
    </row>
    <row r="240" spans="1:5" ht="14.4" x14ac:dyDescent="0.25">
      <c r="A240" s="4">
        <v>238</v>
      </c>
      <c r="B240" s="2" t="str">
        <f>"3251202108102124226327"</f>
        <v>3251202108102124226327</v>
      </c>
      <c r="C240" s="2" t="s">
        <v>6</v>
      </c>
      <c r="D240" s="2" t="str">
        <f>"黄克文"</f>
        <v>黄克文</v>
      </c>
      <c r="E240" s="2" t="str">
        <f>"男"</f>
        <v>男</v>
      </c>
    </row>
    <row r="241" spans="1:5" ht="14.4" x14ac:dyDescent="0.25">
      <c r="A241" s="4">
        <v>239</v>
      </c>
      <c r="B241" s="2" t="str">
        <f>"3251202108102125246330"</f>
        <v>3251202108102125246330</v>
      </c>
      <c r="C241" s="2" t="s">
        <v>6</v>
      </c>
      <c r="D241" s="2" t="str">
        <f>"韦晶晶"</f>
        <v>韦晶晶</v>
      </c>
      <c r="E241" s="2" t="str">
        <f>"女"</f>
        <v>女</v>
      </c>
    </row>
    <row r="242" spans="1:5" ht="14.4" x14ac:dyDescent="0.25">
      <c r="A242" s="4">
        <v>240</v>
      </c>
      <c r="B242" s="2" t="str">
        <f>"3251202108102140016353"</f>
        <v>3251202108102140016353</v>
      </c>
      <c r="C242" s="2" t="s">
        <v>6</v>
      </c>
      <c r="D242" s="2" t="str">
        <f>"麦光位"</f>
        <v>麦光位</v>
      </c>
      <c r="E242" s="2" t="str">
        <f>"男"</f>
        <v>男</v>
      </c>
    </row>
    <row r="243" spans="1:5" ht="14.4" x14ac:dyDescent="0.25">
      <c r="A243" s="4">
        <v>241</v>
      </c>
      <c r="B243" s="2" t="str">
        <f>"3251202108102143046360"</f>
        <v>3251202108102143046360</v>
      </c>
      <c r="C243" s="2" t="s">
        <v>6</v>
      </c>
      <c r="D243" s="2" t="str">
        <f>"黄志明"</f>
        <v>黄志明</v>
      </c>
      <c r="E243" s="2" t="str">
        <f>"男"</f>
        <v>男</v>
      </c>
    </row>
    <row r="244" spans="1:5" ht="14.4" x14ac:dyDescent="0.25">
      <c r="A244" s="4">
        <v>242</v>
      </c>
      <c r="B244" s="2" t="str">
        <f>"3251202108102145206363"</f>
        <v>3251202108102145206363</v>
      </c>
      <c r="C244" s="2" t="s">
        <v>6</v>
      </c>
      <c r="D244" s="2" t="str">
        <f>"陈封宇"</f>
        <v>陈封宇</v>
      </c>
      <c r="E244" s="2" t="str">
        <f>"男"</f>
        <v>男</v>
      </c>
    </row>
    <row r="245" spans="1:5" ht="14.4" x14ac:dyDescent="0.25">
      <c r="A245" s="4">
        <v>243</v>
      </c>
      <c r="B245" s="2" t="str">
        <f>"3251202108102145216364"</f>
        <v>3251202108102145216364</v>
      </c>
      <c r="C245" s="2" t="s">
        <v>6</v>
      </c>
      <c r="D245" s="2" t="str">
        <f>"黄志刚"</f>
        <v>黄志刚</v>
      </c>
      <c r="E245" s="2" t="str">
        <f>"男"</f>
        <v>男</v>
      </c>
    </row>
    <row r="246" spans="1:5" ht="14.4" x14ac:dyDescent="0.25">
      <c r="A246" s="4">
        <v>244</v>
      </c>
      <c r="B246" s="2" t="str">
        <f>"3251202108102205406388"</f>
        <v>3251202108102205406388</v>
      </c>
      <c r="C246" s="2" t="s">
        <v>6</v>
      </c>
      <c r="D246" s="2" t="str">
        <f>"朱伯文"</f>
        <v>朱伯文</v>
      </c>
      <c r="E246" s="2" t="str">
        <f>"男"</f>
        <v>男</v>
      </c>
    </row>
    <row r="247" spans="1:5" ht="14.4" x14ac:dyDescent="0.25">
      <c r="A247" s="4">
        <v>245</v>
      </c>
      <c r="B247" s="2" t="str">
        <f>"3251202108102214386405"</f>
        <v>3251202108102214386405</v>
      </c>
      <c r="C247" s="2" t="s">
        <v>6</v>
      </c>
      <c r="D247" s="2" t="str">
        <f>"陈李文"</f>
        <v>陈李文</v>
      </c>
      <c r="E247" s="2" t="str">
        <f>"女"</f>
        <v>女</v>
      </c>
    </row>
    <row r="248" spans="1:5" ht="14.4" x14ac:dyDescent="0.25">
      <c r="A248" s="4">
        <v>246</v>
      </c>
      <c r="B248" s="2" t="str">
        <f>"3251202108102217076412"</f>
        <v>3251202108102217076412</v>
      </c>
      <c r="C248" s="2" t="s">
        <v>6</v>
      </c>
      <c r="D248" s="2" t="str">
        <f>"王僮"</f>
        <v>王僮</v>
      </c>
      <c r="E248" s="2" t="str">
        <f>"男"</f>
        <v>男</v>
      </c>
    </row>
    <row r="249" spans="1:5" ht="14.4" x14ac:dyDescent="0.25">
      <c r="A249" s="4">
        <v>247</v>
      </c>
      <c r="B249" s="2" t="str">
        <f>"3251202108102218316416"</f>
        <v>3251202108102218316416</v>
      </c>
      <c r="C249" s="2" t="s">
        <v>6</v>
      </c>
      <c r="D249" s="2" t="str">
        <f>"洪学权"</f>
        <v>洪学权</v>
      </c>
      <c r="E249" s="2" t="str">
        <f>"男"</f>
        <v>男</v>
      </c>
    </row>
    <row r="250" spans="1:5" ht="14.4" x14ac:dyDescent="0.25">
      <c r="A250" s="4">
        <v>248</v>
      </c>
      <c r="B250" s="2" t="str">
        <f>"3251202108102232086434"</f>
        <v>3251202108102232086434</v>
      </c>
      <c r="C250" s="2" t="s">
        <v>6</v>
      </c>
      <c r="D250" s="2" t="str">
        <f>"李小吟"</f>
        <v>李小吟</v>
      </c>
      <c r="E250" s="2" t="str">
        <f>"女"</f>
        <v>女</v>
      </c>
    </row>
    <row r="251" spans="1:5" ht="14.4" x14ac:dyDescent="0.25">
      <c r="A251" s="4">
        <v>249</v>
      </c>
      <c r="B251" s="2" t="str">
        <f>"3251202108102239346450"</f>
        <v>3251202108102239346450</v>
      </c>
      <c r="C251" s="2" t="s">
        <v>6</v>
      </c>
      <c r="D251" s="2" t="str">
        <f>"周瑞娜"</f>
        <v>周瑞娜</v>
      </c>
      <c r="E251" s="2" t="str">
        <f>"女"</f>
        <v>女</v>
      </c>
    </row>
    <row r="252" spans="1:5" ht="14.4" x14ac:dyDescent="0.25">
      <c r="A252" s="4">
        <v>250</v>
      </c>
      <c r="B252" s="2" t="str">
        <f>"3251202108102248016464"</f>
        <v>3251202108102248016464</v>
      </c>
      <c r="C252" s="2" t="s">
        <v>6</v>
      </c>
      <c r="D252" s="2" t="str">
        <f>"曾维成"</f>
        <v>曾维成</v>
      </c>
      <c r="E252" s="2" t="str">
        <f>"男"</f>
        <v>男</v>
      </c>
    </row>
    <row r="253" spans="1:5" ht="14.4" x14ac:dyDescent="0.25">
      <c r="A253" s="4">
        <v>251</v>
      </c>
      <c r="B253" s="2" t="str">
        <f>"3251202108102249086467"</f>
        <v>3251202108102249086467</v>
      </c>
      <c r="C253" s="2" t="s">
        <v>6</v>
      </c>
      <c r="D253" s="2" t="str">
        <f>"符厚华"</f>
        <v>符厚华</v>
      </c>
      <c r="E253" s="2" t="str">
        <f>"男"</f>
        <v>男</v>
      </c>
    </row>
    <row r="254" spans="1:5" ht="14.4" x14ac:dyDescent="0.25">
      <c r="A254" s="4">
        <v>252</v>
      </c>
      <c r="B254" s="2" t="str">
        <f>"3251202108102302516482"</f>
        <v>3251202108102302516482</v>
      </c>
      <c r="C254" s="2" t="s">
        <v>6</v>
      </c>
      <c r="D254" s="2" t="str">
        <f>"范世鹰"</f>
        <v>范世鹰</v>
      </c>
      <c r="E254" s="2" t="str">
        <f>"女"</f>
        <v>女</v>
      </c>
    </row>
    <row r="255" spans="1:5" ht="14.4" x14ac:dyDescent="0.25">
      <c r="A255" s="4">
        <v>253</v>
      </c>
      <c r="B255" s="2" t="str">
        <f>"3251202108102307586487"</f>
        <v>3251202108102307586487</v>
      </c>
      <c r="C255" s="2" t="s">
        <v>6</v>
      </c>
      <c r="D255" s="2" t="str">
        <f>"符桂玲"</f>
        <v>符桂玲</v>
      </c>
      <c r="E255" s="2" t="str">
        <f>"女"</f>
        <v>女</v>
      </c>
    </row>
    <row r="256" spans="1:5" ht="14.4" x14ac:dyDescent="0.25">
      <c r="A256" s="4">
        <v>254</v>
      </c>
      <c r="B256" s="2" t="str">
        <f>"3251202108102309516489"</f>
        <v>3251202108102309516489</v>
      </c>
      <c r="C256" s="2" t="s">
        <v>6</v>
      </c>
      <c r="D256" s="2" t="str">
        <f>"陈媛媛"</f>
        <v>陈媛媛</v>
      </c>
      <c r="E256" s="2" t="str">
        <f>"女"</f>
        <v>女</v>
      </c>
    </row>
    <row r="257" spans="1:5" ht="14.4" x14ac:dyDescent="0.25">
      <c r="A257" s="4">
        <v>255</v>
      </c>
      <c r="B257" s="2" t="str">
        <f>"3251202108102314496497"</f>
        <v>3251202108102314496497</v>
      </c>
      <c r="C257" s="2" t="s">
        <v>6</v>
      </c>
      <c r="D257" s="2" t="str">
        <f>"张金金"</f>
        <v>张金金</v>
      </c>
      <c r="E257" s="2" t="str">
        <f>"女"</f>
        <v>女</v>
      </c>
    </row>
    <row r="258" spans="1:5" ht="14.4" x14ac:dyDescent="0.25">
      <c r="A258" s="4">
        <v>256</v>
      </c>
      <c r="B258" s="2" t="str">
        <f>"3251202108102342496515"</f>
        <v>3251202108102342496515</v>
      </c>
      <c r="C258" s="2" t="s">
        <v>6</v>
      </c>
      <c r="D258" s="2" t="str">
        <f>"李正达"</f>
        <v>李正达</v>
      </c>
      <c r="E258" s="2" t="str">
        <f>"男"</f>
        <v>男</v>
      </c>
    </row>
    <row r="259" spans="1:5" ht="14.4" x14ac:dyDescent="0.25">
      <c r="A259" s="4">
        <v>257</v>
      </c>
      <c r="B259" s="2" t="str">
        <f>"3251202108102351026525"</f>
        <v>3251202108102351026525</v>
      </c>
      <c r="C259" s="2" t="s">
        <v>6</v>
      </c>
      <c r="D259" s="2" t="str">
        <f>"林小妹"</f>
        <v>林小妹</v>
      </c>
      <c r="E259" s="2" t="str">
        <f>"女"</f>
        <v>女</v>
      </c>
    </row>
    <row r="260" spans="1:5" ht="14.4" x14ac:dyDescent="0.25">
      <c r="A260" s="4">
        <v>258</v>
      </c>
      <c r="B260" s="2" t="str">
        <f>"3251202108110033436544"</f>
        <v>3251202108110033436544</v>
      </c>
      <c r="C260" s="2" t="s">
        <v>6</v>
      </c>
      <c r="D260" s="2" t="str">
        <f>"彭芳梅"</f>
        <v>彭芳梅</v>
      </c>
      <c r="E260" s="2" t="str">
        <f>"女"</f>
        <v>女</v>
      </c>
    </row>
    <row r="261" spans="1:5" ht="14.4" x14ac:dyDescent="0.25">
      <c r="A261" s="4">
        <v>259</v>
      </c>
      <c r="B261" s="2" t="str">
        <f>"3251202108110042466546"</f>
        <v>3251202108110042466546</v>
      </c>
      <c r="C261" s="2" t="s">
        <v>6</v>
      </c>
      <c r="D261" s="2" t="str">
        <f>"符芳义"</f>
        <v>符芳义</v>
      </c>
      <c r="E261" s="2" t="str">
        <f>"男"</f>
        <v>男</v>
      </c>
    </row>
    <row r="262" spans="1:5" ht="14.4" x14ac:dyDescent="0.25">
      <c r="A262" s="4">
        <v>260</v>
      </c>
      <c r="B262" s="2" t="str">
        <f>"3251202108110052526548"</f>
        <v>3251202108110052526548</v>
      </c>
      <c r="C262" s="2" t="s">
        <v>6</v>
      </c>
      <c r="D262" s="2" t="str">
        <f>"符艳珍"</f>
        <v>符艳珍</v>
      </c>
      <c r="E262" s="2" t="str">
        <f>"女"</f>
        <v>女</v>
      </c>
    </row>
    <row r="263" spans="1:5" ht="14.4" x14ac:dyDescent="0.25">
      <c r="A263" s="4">
        <v>261</v>
      </c>
      <c r="B263" s="2" t="str">
        <f>"3251202108110103276551"</f>
        <v>3251202108110103276551</v>
      </c>
      <c r="C263" s="2" t="s">
        <v>6</v>
      </c>
      <c r="D263" s="2" t="str">
        <f>"林芳敬"</f>
        <v>林芳敬</v>
      </c>
      <c r="E263" s="2" t="str">
        <f>"男"</f>
        <v>男</v>
      </c>
    </row>
    <row r="264" spans="1:5" ht="14.4" x14ac:dyDescent="0.25">
      <c r="A264" s="4">
        <v>262</v>
      </c>
      <c r="B264" s="2" t="str">
        <f>"3251202108110604366560"</f>
        <v>3251202108110604366560</v>
      </c>
      <c r="C264" s="2" t="s">
        <v>6</v>
      </c>
      <c r="D264" s="2" t="str">
        <f>"苏贤辉"</f>
        <v>苏贤辉</v>
      </c>
      <c r="E264" s="2" t="str">
        <f>"男"</f>
        <v>男</v>
      </c>
    </row>
    <row r="265" spans="1:5" ht="14.4" x14ac:dyDescent="0.25">
      <c r="A265" s="4">
        <v>263</v>
      </c>
      <c r="B265" s="2" t="str">
        <f>"3251202108110814186582"</f>
        <v>3251202108110814186582</v>
      </c>
      <c r="C265" s="2" t="s">
        <v>6</v>
      </c>
      <c r="D265" s="2" t="str">
        <f>"丁伟俊"</f>
        <v>丁伟俊</v>
      </c>
      <c r="E265" s="2" t="str">
        <f>"男"</f>
        <v>男</v>
      </c>
    </row>
    <row r="266" spans="1:5" ht="14.4" x14ac:dyDescent="0.25">
      <c r="A266" s="4">
        <v>264</v>
      </c>
      <c r="B266" s="2" t="str">
        <f>"3251202108110825556598"</f>
        <v>3251202108110825556598</v>
      </c>
      <c r="C266" s="2" t="s">
        <v>6</v>
      </c>
      <c r="D266" s="2" t="str">
        <f>"羊维强"</f>
        <v>羊维强</v>
      </c>
      <c r="E266" s="2" t="str">
        <f>"男"</f>
        <v>男</v>
      </c>
    </row>
    <row r="267" spans="1:5" ht="14.4" x14ac:dyDescent="0.25">
      <c r="A267" s="4">
        <v>265</v>
      </c>
      <c r="B267" s="2" t="str">
        <f>"3251202108110833126611"</f>
        <v>3251202108110833126611</v>
      </c>
      <c r="C267" s="2" t="s">
        <v>6</v>
      </c>
      <c r="D267" s="2" t="str">
        <f>"李丹花"</f>
        <v>李丹花</v>
      </c>
      <c r="E267" s="2" t="str">
        <f t="shared" ref="E267:E272" si="4">"女"</f>
        <v>女</v>
      </c>
    </row>
    <row r="268" spans="1:5" ht="14.4" x14ac:dyDescent="0.25">
      <c r="A268" s="4">
        <v>266</v>
      </c>
      <c r="B268" s="2" t="str">
        <f>"3251202108110833166612"</f>
        <v>3251202108110833166612</v>
      </c>
      <c r="C268" s="2" t="s">
        <v>6</v>
      </c>
      <c r="D268" s="2" t="str">
        <f>"赵姨妹"</f>
        <v>赵姨妹</v>
      </c>
      <c r="E268" s="2" t="str">
        <f t="shared" si="4"/>
        <v>女</v>
      </c>
    </row>
    <row r="269" spans="1:5" ht="14.4" x14ac:dyDescent="0.25">
      <c r="A269" s="4">
        <v>267</v>
      </c>
      <c r="B269" s="2" t="str">
        <f>"3251202108110834596613"</f>
        <v>3251202108110834596613</v>
      </c>
      <c r="C269" s="2" t="s">
        <v>6</v>
      </c>
      <c r="D269" s="2" t="str">
        <f>"张贞婵"</f>
        <v>张贞婵</v>
      </c>
      <c r="E269" s="2" t="str">
        <f t="shared" si="4"/>
        <v>女</v>
      </c>
    </row>
    <row r="270" spans="1:5" ht="14.4" x14ac:dyDescent="0.25">
      <c r="A270" s="4">
        <v>268</v>
      </c>
      <c r="B270" s="2" t="str">
        <f>"3251202108110846596643"</f>
        <v>3251202108110846596643</v>
      </c>
      <c r="C270" s="2" t="s">
        <v>6</v>
      </c>
      <c r="D270" s="2" t="str">
        <f>"羊世娟"</f>
        <v>羊世娟</v>
      </c>
      <c r="E270" s="2" t="str">
        <f t="shared" si="4"/>
        <v>女</v>
      </c>
    </row>
    <row r="271" spans="1:5" ht="14.4" x14ac:dyDescent="0.25">
      <c r="A271" s="4">
        <v>269</v>
      </c>
      <c r="B271" s="2" t="str">
        <f>"3251202108110855496658"</f>
        <v>3251202108110855496658</v>
      </c>
      <c r="C271" s="2" t="s">
        <v>6</v>
      </c>
      <c r="D271" s="2" t="str">
        <f>"吴小通"</f>
        <v>吴小通</v>
      </c>
      <c r="E271" s="2" t="str">
        <f t="shared" si="4"/>
        <v>女</v>
      </c>
    </row>
    <row r="272" spans="1:5" ht="14.4" x14ac:dyDescent="0.25">
      <c r="A272" s="4">
        <v>270</v>
      </c>
      <c r="B272" s="2" t="str">
        <f>"3251202108110905246679"</f>
        <v>3251202108110905246679</v>
      </c>
      <c r="C272" s="2" t="s">
        <v>6</v>
      </c>
      <c r="D272" s="2" t="str">
        <f>"梁英花"</f>
        <v>梁英花</v>
      </c>
      <c r="E272" s="2" t="str">
        <f t="shared" si="4"/>
        <v>女</v>
      </c>
    </row>
    <row r="273" spans="1:5" ht="14.4" x14ac:dyDescent="0.25">
      <c r="A273" s="4">
        <v>271</v>
      </c>
      <c r="B273" s="2" t="str">
        <f>"3251202108110905386680"</f>
        <v>3251202108110905386680</v>
      </c>
      <c r="C273" s="2" t="s">
        <v>6</v>
      </c>
      <c r="D273" s="2" t="str">
        <f>"张小青"</f>
        <v>张小青</v>
      </c>
      <c r="E273" s="2" t="str">
        <f>"男"</f>
        <v>男</v>
      </c>
    </row>
    <row r="274" spans="1:5" ht="14.4" x14ac:dyDescent="0.25">
      <c r="A274" s="4">
        <v>272</v>
      </c>
      <c r="B274" s="2" t="str">
        <f>"3251202108110906316683"</f>
        <v>3251202108110906316683</v>
      </c>
      <c r="C274" s="2" t="s">
        <v>6</v>
      </c>
      <c r="D274" s="2" t="str">
        <f>"陈元冲"</f>
        <v>陈元冲</v>
      </c>
      <c r="E274" s="2" t="str">
        <f>"男"</f>
        <v>男</v>
      </c>
    </row>
    <row r="275" spans="1:5" ht="14.4" x14ac:dyDescent="0.25">
      <c r="A275" s="4">
        <v>273</v>
      </c>
      <c r="B275" s="2" t="str">
        <f>"3251202108110908126692"</f>
        <v>3251202108110908126692</v>
      </c>
      <c r="C275" s="2" t="s">
        <v>6</v>
      </c>
      <c r="D275" s="2" t="str">
        <f>"李小莲"</f>
        <v>李小莲</v>
      </c>
      <c r="E275" s="2" t="str">
        <f>"女"</f>
        <v>女</v>
      </c>
    </row>
    <row r="276" spans="1:5" ht="14.4" x14ac:dyDescent="0.25">
      <c r="A276" s="4">
        <v>274</v>
      </c>
      <c r="B276" s="2" t="str">
        <f>"3251202108110910536700"</f>
        <v>3251202108110910536700</v>
      </c>
      <c r="C276" s="2" t="s">
        <v>6</v>
      </c>
      <c r="D276" s="2" t="str">
        <f>"黎晓妹"</f>
        <v>黎晓妹</v>
      </c>
      <c r="E276" s="2" t="str">
        <f>"女"</f>
        <v>女</v>
      </c>
    </row>
    <row r="277" spans="1:5" ht="14.4" x14ac:dyDescent="0.25">
      <c r="A277" s="4">
        <v>275</v>
      </c>
      <c r="B277" s="2" t="str">
        <f>"3251202108110911006701"</f>
        <v>3251202108110911006701</v>
      </c>
      <c r="C277" s="2" t="s">
        <v>6</v>
      </c>
      <c r="D277" s="2" t="str">
        <f>"覃宁宁"</f>
        <v>覃宁宁</v>
      </c>
      <c r="E277" s="2" t="str">
        <f>"女"</f>
        <v>女</v>
      </c>
    </row>
    <row r="278" spans="1:5" ht="14.4" x14ac:dyDescent="0.25">
      <c r="A278" s="4">
        <v>276</v>
      </c>
      <c r="B278" s="2" t="str">
        <f>"3251202108110913096707"</f>
        <v>3251202108110913096707</v>
      </c>
      <c r="C278" s="2" t="s">
        <v>6</v>
      </c>
      <c r="D278" s="2" t="str">
        <f>"梁生栩"</f>
        <v>梁生栩</v>
      </c>
      <c r="E278" s="2" t="str">
        <f>"男"</f>
        <v>男</v>
      </c>
    </row>
    <row r="279" spans="1:5" ht="14.4" x14ac:dyDescent="0.25">
      <c r="A279" s="4">
        <v>277</v>
      </c>
      <c r="B279" s="2" t="str">
        <f>"3251202108110921366726"</f>
        <v>3251202108110921366726</v>
      </c>
      <c r="C279" s="2" t="s">
        <v>6</v>
      </c>
      <c r="D279" s="2" t="str">
        <f>"陈崇杰"</f>
        <v>陈崇杰</v>
      </c>
      <c r="E279" s="2" t="str">
        <f>"男"</f>
        <v>男</v>
      </c>
    </row>
    <row r="280" spans="1:5" ht="14.4" x14ac:dyDescent="0.25">
      <c r="A280" s="4">
        <v>278</v>
      </c>
      <c r="B280" s="2" t="str">
        <f>"3251202108110927416742"</f>
        <v>3251202108110927416742</v>
      </c>
      <c r="C280" s="2" t="s">
        <v>6</v>
      </c>
      <c r="D280" s="2" t="str">
        <f>"纪婷婷"</f>
        <v>纪婷婷</v>
      </c>
      <c r="E280" s="2" t="str">
        <f>"女"</f>
        <v>女</v>
      </c>
    </row>
    <row r="281" spans="1:5" ht="14.4" x14ac:dyDescent="0.25">
      <c r="A281" s="4">
        <v>279</v>
      </c>
      <c r="B281" s="2" t="str">
        <f>"3251202108110928436748"</f>
        <v>3251202108110928436748</v>
      </c>
      <c r="C281" s="2" t="s">
        <v>6</v>
      </c>
      <c r="D281" s="2" t="str">
        <f>"陈尔驹"</f>
        <v>陈尔驹</v>
      </c>
      <c r="E281" s="2" t="str">
        <f>"男"</f>
        <v>男</v>
      </c>
    </row>
    <row r="282" spans="1:5" ht="14.4" x14ac:dyDescent="0.25">
      <c r="A282" s="4">
        <v>280</v>
      </c>
      <c r="B282" s="2" t="str">
        <f>"3251202108110929146750"</f>
        <v>3251202108110929146750</v>
      </c>
      <c r="C282" s="2" t="s">
        <v>6</v>
      </c>
      <c r="D282" s="2" t="str">
        <f>"冯学哲"</f>
        <v>冯学哲</v>
      </c>
      <c r="E282" s="2" t="str">
        <f>"男"</f>
        <v>男</v>
      </c>
    </row>
    <row r="283" spans="1:5" ht="14.4" x14ac:dyDescent="0.25">
      <c r="A283" s="4">
        <v>281</v>
      </c>
      <c r="B283" s="2" t="str">
        <f>"3251202108110942516789"</f>
        <v>3251202108110942516789</v>
      </c>
      <c r="C283" s="2" t="s">
        <v>6</v>
      </c>
      <c r="D283" s="2" t="str">
        <f>"甘运来"</f>
        <v>甘运来</v>
      </c>
      <c r="E283" s="2" t="str">
        <f>"男"</f>
        <v>男</v>
      </c>
    </row>
    <row r="284" spans="1:5" ht="14.4" x14ac:dyDescent="0.25">
      <c r="A284" s="4">
        <v>282</v>
      </c>
      <c r="B284" s="2" t="str">
        <f>"3251202108110948506804"</f>
        <v>3251202108110948506804</v>
      </c>
      <c r="C284" s="2" t="s">
        <v>6</v>
      </c>
      <c r="D284" s="2" t="str">
        <f>"赵荣花"</f>
        <v>赵荣花</v>
      </c>
      <c r="E284" s="2" t="str">
        <f>"女"</f>
        <v>女</v>
      </c>
    </row>
    <row r="285" spans="1:5" ht="14.4" x14ac:dyDescent="0.25">
      <c r="A285" s="4">
        <v>283</v>
      </c>
      <c r="B285" s="2" t="str">
        <f>"3251202108110948526805"</f>
        <v>3251202108110948526805</v>
      </c>
      <c r="C285" s="2" t="s">
        <v>6</v>
      </c>
      <c r="D285" s="2" t="str">
        <f>"符东淼"</f>
        <v>符东淼</v>
      </c>
      <c r="E285" s="2" t="str">
        <f>"女"</f>
        <v>女</v>
      </c>
    </row>
    <row r="286" spans="1:5" ht="14.4" x14ac:dyDescent="0.25">
      <c r="A286" s="4">
        <v>284</v>
      </c>
      <c r="B286" s="2" t="str">
        <f>"3251202108110950476813"</f>
        <v>3251202108110950476813</v>
      </c>
      <c r="C286" s="2" t="s">
        <v>6</v>
      </c>
      <c r="D286" s="2" t="str">
        <f>"陈尚元"</f>
        <v>陈尚元</v>
      </c>
      <c r="E286" s="2" t="str">
        <f>"男"</f>
        <v>男</v>
      </c>
    </row>
    <row r="287" spans="1:5" ht="14.4" x14ac:dyDescent="0.25">
      <c r="A287" s="4">
        <v>285</v>
      </c>
      <c r="B287" s="2" t="str">
        <f>"3251202108110952376823"</f>
        <v>3251202108110952376823</v>
      </c>
      <c r="C287" s="2" t="s">
        <v>6</v>
      </c>
      <c r="D287" s="2" t="str">
        <f>"曾永平"</f>
        <v>曾永平</v>
      </c>
      <c r="E287" s="2" t="str">
        <f>"男"</f>
        <v>男</v>
      </c>
    </row>
    <row r="288" spans="1:5" ht="14.4" x14ac:dyDescent="0.25">
      <c r="A288" s="4">
        <v>286</v>
      </c>
      <c r="B288" s="2" t="str">
        <f>"3251202108110957516837"</f>
        <v>3251202108110957516837</v>
      </c>
      <c r="C288" s="2" t="s">
        <v>6</v>
      </c>
      <c r="D288" s="2" t="str">
        <f>"潘显涛"</f>
        <v>潘显涛</v>
      </c>
      <c r="E288" s="2" t="str">
        <f>"男"</f>
        <v>男</v>
      </c>
    </row>
    <row r="289" spans="1:5" ht="14.4" x14ac:dyDescent="0.25">
      <c r="A289" s="4">
        <v>287</v>
      </c>
      <c r="B289" s="2" t="str">
        <f>"3251202108110958236839"</f>
        <v>3251202108110958236839</v>
      </c>
      <c r="C289" s="2" t="s">
        <v>6</v>
      </c>
      <c r="D289" s="2" t="str">
        <f>"陈文书"</f>
        <v>陈文书</v>
      </c>
      <c r="E289" s="2" t="str">
        <f>"男"</f>
        <v>男</v>
      </c>
    </row>
    <row r="290" spans="1:5" ht="14.4" x14ac:dyDescent="0.25">
      <c r="A290" s="4">
        <v>288</v>
      </c>
      <c r="B290" s="2" t="str">
        <f>"3251202108111001476848"</f>
        <v>3251202108111001476848</v>
      </c>
      <c r="C290" s="2" t="s">
        <v>6</v>
      </c>
      <c r="D290" s="2" t="str">
        <f>"周应政"</f>
        <v>周应政</v>
      </c>
      <c r="E290" s="2" t="str">
        <f>"男"</f>
        <v>男</v>
      </c>
    </row>
    <row r="291" spans="1:5" ht="14.4" x14ac:dyDescent="0.25">
      <c r="A291" s="4">
        <v>289</v>
      </c>
      <c r="B291" s="2" t="str">
        <f>"3251202108111002306853"</f>
        <v>3251202108111002306853</v>
      </c>
      <c r="C291" s="2" t="s">
        <v>6</v>
      </c>
      <c r="D291" s="2" t="str">
        <f>"王雅秀"</f>
        <v>王雅秀</v>
      </c>
      <c r="E291" s="2" t="str">
        <f>"女"</f>
        <v>女</v>
      </c>
    </row>
    <row r="292" spans="1:5" ht="14.4" x14ac:dyDescent="0.25">
      <c r="A292" s="4">
        <v>290</v>
      </c>
      <c r="B292" s="2" t="str">
        <f>"3251202108111002466854"</f>
        <v>3251202108111002466854</v>
      </c>
      <c r="C292" s="2" t="s">
        <v>6</v>
      </c>
      <c r="D292" s="2" t="str">
        <f>"梁倩媚"</f>
        <v>梁倩媚</v>
      </c>
      <c r="E292" s="2" t="str">
        <f>"女"</f>
        <v>女</v>
      </c>
    </row>
    <row r="293" spans="1:5" ht="14.4" x14ac:dyDescent="0.25">
      <c r="A293" s="4">
        <v>291</v>
      </c>
      <c r="B293" s="2" t="str">
        <f>"3251202108111012256876"</f>
        <v>3251202108111012256876</v>
      </c>
      <c r="C293" s="2" t="s">
        <v>6</v>
      </c>
      <c r="D293" s="2" t="str">
        <f>"秦佳韵"</f>
        <v>秦佳韵</v>
      </c>
      <c r="E293" s="2" t="str">
        <f>"女"</f>
        <v>女</v>
      </c>
    </row>
    <row r="294" spans="1:5" ht="14.4" x14ac:dyDescent="0.25">
      <c r="A294" s="4">
        <v>292</v>
      </c>
      <c r="B294" s="2" t="str">
        <f>"3251202108111014246883"</f>
        <v>3251202108111014246883</v>
      </c>
      <c r="C294" s="2" t="s">
        <v>6</v>
      </c>
      <c r="D294" s="2" t="str">
        <f>"林航"</f>
        <v>林航</v>
      </c>
      <c r="E294" s="2" t="str">
        <f>"男"</f>
        <v>男</v>
      </c>
    </row>
    <row r="295" spans="1:5" ht="14.4" x14ac:dyDescent="0.25">
      <c r="A295" s="4">
        <v>293</v>
      </c>
      <c r="B295" s="2" t="str">
        <f>"3251202108111020586902"</f>
        <v>3251202108111020586902</v>
      </c>
      <c r="C295" s="2" t="s">
        <v>6</v>
      </c>
      <c r="D295" s="2" t="str">
        <f>"李玫玲"</f>
        <v>李玫玲</v>
      </c>
      <c r="E295" s="2" t="str">
        <f>"女"</f>
        <v>女</v>
      </c>
    </row>
    <row r="296" spans="1:5" ht="14.4" x14ac:dyDescent="0.25">
      <c r="A296" s="4">
        <v>294</v>
      </c>
      <c r="B296" s="2" t="str">
        <f>"3251202108111023026906"</f>
        <v>3251202108111023026906</v>
      </c>
      <c r="C296" s="2" t="s">
        <v>6</v>
      </c>
      <c r="D296" s="2" t="str">
        <f>"傅靖洋"</f>
        <v>傅靖洋</v>
      </c>
      <c r="E296" s="2" t="str">
        <f>"男"</f>
        <v>男</v>
      </c>
    </row>
    <row r="297" spans="1:5" ht="14.4" x14ac:dyDescent="0.25">
      <c r="A297" s="4">
        <v>295</v>
      </c>
      <c r="B297" s="2" t="str">
        <f>"3251202108111023296907"</f>
        <v>3251202108111023296907</v>
      </c>
      <c r="C297" s="2" t="s">
        <v>6</v>
      </c>
      <c r="D297" s="2" t="str">
        <f>"陈运明"</f>
        <v>陈运明</v>
      </c>
      <c r="E297" s="2" t="str">
        <f>"女"</f>
        <v>女</v>
      </c>
    </row>
    <row r="298" spans="1:5" ht="14.4" x14ac:dyDescent="0.25">
      <c r="A298" s="4">
        <v>296</v>
      </c>
      <c r="B298" s="2" t="str">
        <f>"3251202108111031516923"</f>
        <v>3251202108111031516923</v>
      </c>
      <c r="C298" s="2" t="s">
        <v>6</v>
      </c>
      <c r="D298" s="2" t="str">
        <f>"陈燕菊"</f>
        <v>陈燕菊</v>
      </c>
      <c r="E298" s="2" t="str">
        <f>"女"</f>
        <v>女</v>
      </c>
    </row>
    <row r="299" spans="1:5" ht="14.4" x14ac:dyDescent="0.25">
      <c r="A299" s="4">
        <v>297</v>
      </c>
      <c r="B299" s="2" t="str">
        <f>"3251202108111033256926"</f>
        <v>3251202108111033256926</v>
      </c>
      <c r="C299" s="2" t="s">
        <v>6</v>
      </c>
      <c r="D299" s="2" t="str">
        <f>"黎于伟"</f>
        <v>黎于伟</v>
      </c>
      <c r="E299" s="2" t="str">
        <f>"男"</f>
        <v>男</v>
      </c>
    </row>
    <row r="300" spans="1:5" ht="14.4" x14ac:dyDescent="0.25">
      <c r="A300" s="4">
        <v>298</v>
      </c>
      <c r="B300" s="2" t="str">
        <f>"3251202108111038166942"</f>
        <v>3251202108111038166942</v>
      </c>
      <c r="C300" s="2" t="s">
        <v>6</v>
      </c>
      <c r="D300" s="2" t="str">
        <f>"李力莉"</f>
        <v>李力莉</v>
      </c>
      <c r="E300" s="2" t="str">
        <f>"女"</f>
        <v>女</v>
      </c>
    </row>
    <row r="301" spans="1:5" ht="14.4" x14ac:dyDescent="0.25">
      <c r="A301" s="4">
        <v>299</v>
      </c>
      <c r="B301" s="2" t="str">
        <f>"3251202108111038346945"</f>
        <v>3251202108111038346945</v>
      </c>
      <c r="C301" s="2" t="s">
        <v>6</v>
      </c>
      <c r="D301" s="2" t="str">
        <f>"叶卓芳"</f>
        <v>叶卓芳</v>
      </c>
      <c r="E301" s="2" t="str">
        <f>"女"</f>
        <v>女</v>
      </c>
    </row>
    <row r="302" spans="1:5" ht="14.4" x14ac:dyDescent="0.25">
      <c r="A302" s="4">
        <v>300</v>
      </c>
      <c r="B302" s="2" t="str">
        <f>"3251202108111042596954"</f>
        <v>3251202108111042596954</v>
      </c>
      <c r="C302" s="2" t="s">
        <v>6</v>
      </c>
      <c r="D302" s="2" t="str">
        <f>"石鹏程"</f>
        <v>石鹏程</v>
      </c>
      <c r="E302" s="2" t="str">
        <f>"男"</f>
        <v>男</v>
      </c>
    </row>
    <row r="303" spans="1:5" ht="14.4" x14ac:dyDescent="0.25">
      <c r="A303" s="4">
        <v>301</v>
      </c>
      <c r="B303" s="2" t="str">
        <f>"3251202108111045356961"</f>
        <v>3251202108111045356961</v>
      </c>
      <c r="C303" s="2" t="s">
        <v>6</v>
      </c>
      <c r="D303" s="2" t="str">
        <f>"李春叶"</f>
        <v>李春叶</v>
      </c>
      <c r="E303" s="2" t="str">
        <f>"女"</f>
        <v>女</v>
      </c>
    </row>
    <row r="304" spans="1:5" ht="14.4" x14ac:dyDescent="0.25">
      <c r="A304" s="4">
        <v>302</v>
      </c>
      <c r="B304" s="2" t="str">
        <f>"3251202108111051306973"</f>
        <v>3251202108111051306973</v>
      </c>
      <c r="C304" s="2" t="s">
        <v>6</v>
      </c>
      <c r="D304" s="2" t="str">
        <f>"王小丽"</f>
        <v>王小丽</v>
      </c>
      <c r="E304" s="2" t="str">
        <f>"女"</f>
        <v>女</v>
      </c>
    </row>
    <row r="305" spans="1:5" ht="14.4" x14ac:dyDescent="0.25">
      <c r="A305" s="4">
        <v>303</v>
      </c>
      <c r="B305" s="2" t="str">
        <f>"3251202108111056386983"</f>
        <v>3251202108111056386983</v>
      </c>
      <c r="C305" s="2" t="s">
        <v>6</v>
      </c>
      <c r="D305" s="2" t="str">
        <f>"符思敏"</f>
        <v>符思敏</v>
      </c>
      <c r="E305" s="2" t="str">
        <f>"男"</f>
        <v>男</v>
      </c>
    </row>
    <row r="306" spans="1:5" ht="14.4" x14ac:dyDescent="0.25">
      <c r="A306" s="4">
        <v>304</v>
      </c>
      <c r="B306" s="2" t="str">
        <f>"3251202108111112157024"</f>
        <v>3251202108111112157024</v>
      </c>
      <c r="C306" s="2" t="s">
        <v>6</v>
      </c>
      <c r="D306" s="2" t="str">
        <f>"符必熙"</f>
        <v>符必熙</v>
      </c>
      <c r="E306" s="2" t="str">
        <f>"男"</f>
        <v>男</v>
      </c>
    </row>
    <row r="307" spans="1:5" ht="14.4" x14ac:dyDescent="0.25">
      <c r="A307" s="4">
        <v>305</v>
      </c>
      <c r="B307" s="2" t="str">
        <f>"3251202108111117077037"</f>
        <v>3251202108111117077037</v>
      </c>
      <c r="C307" s="2" t="s">
        <v>6</v>
      </c>
      <c r="D307" s="2" t="str">
        <f>"符金赞"</f>
        <v>符金赞</v>
      </c>
      <c r="E307" s="2" t="str">
        <f>"男"</f>
        <v>男</v>
      </c>
    </row>
    <row r="308" spans="1:5" ht="14.4" x14ac:dyDescent="0.25">
      <c r="A308" s="4">
        <v>306</v>
      </c>
      <c r="B308" s="2" t="str">
        <f>"3251202108111117237039"</f>
        <v>3251202108111117237039</v>
      </c>
      <c r="C308" s="2" t="s">
        <v>6</v>
      </c>
      <c r="D308" s="2" t="str">
        <f>"蓝慧卡"</f>
        <v>蓝慧卡</v>
      </c>
      <c r="E308" s="2" t="str">
        <f>"女"</f>
        <v>女</v>
      </c>
    </row>
    <row r="309" spans="1:5" ht="14.4" x14ac:dyDescent="0.25">
      <c r="A309" s="4">
        <v>307</v>
      </c>
      <c r="B309" s="2" t="str">
        <f>"3251202108111124037062"</f>
        <v>3251202108111124037062</v>
      </c>
      <c r="C309" s="2" t="s">
        <v>6</v>
      </c>
      <c r="D309" s="2" t="str">
        <f>"梁之琼"</f>
        <v>梁之琼</v>
      </c>
      <c r="E309" s="2" t="str">
        <f>"男"</f>
        <v>男</v>
      </c>
    </row>
    <row r="310" spans="1:5" ht="14.4" x14ac:dyDescent="0.25">
      <c r="A310" s="4">
        <v>308</v>
      </c>
      <c r="B310" s="2" t="str">
        <f>"3251202108111125117064"</f>
        <v>3251202108111125117064</v>
      </c>
      <c r="C310" s="2" t="s">
        <v>6</v>
      </c>
      <c r="D310" s="2" t="str">
        <f>"郑宝恒"</f>
        <v>郑宝恒</v>
      </c>
      <c r="E310" s="2" t="str">
        <f>"男"</f>
        <v>男</v>
      </c>
    </row>
    <row r="311" spans="1:5" ht="14.4" x14ac:dyDescent="0.25">
      <c r="A311" s="4">
        <v>309</v>
      </c>
      <c r="B311" s="2" t="str">
        <f>"3251202108111127587073"</f>
        <v>3251202108111127587073</v>
      </c>
      <c r="C311" s="2" t="s">
        <v>6</v>
      </c>
      <c r="D311" s="2" t="str">
        <f>"周珊妃"</f>
        <v>周珊妃</v>
      </c>
      <c r="E311" s="2" t="str">
        <f t="shared" ref="E311:E316" si="5">"女"</f>
        <v>女</v>
      </c>
    </row>
    <row r="312" spans="1:5" ht="14.4" x14ac:dyDescent="0.25">
      <c r="A312" s="4">
        <v>310</v>
      </c>
      <c r="B312" s="2" t="str">
        <f>"3251202108111132197085"</f>
        <v>3251202108111132197085</v>
      </c>
      <c r="C312" s="2" t="s">
        <v>6</v>
      </c>
      <c r="D312" s="2" t="str">
        <f>"符平妹"</f>
        <v>符平妹</v>
      </c>
      <c r="E312" s="2" t="str">
        <f t="shared" si="5"/>
        <v>女</v>
      </c>
    </row>
    <row r="313" spans="1:5" ht="14.4" x14ac:dyDescent="0.25">
      <c r="A313" s="4">
        <v>311</v>
      </c>
      <c r="B313" s="2" t="str">
        <f>"3251202108111133547088"</f>
        <v>3251202108111133547088</v>
      </c>
      <c r="C313" s="2" t="s">
        <v>6</v>
      </c>
      <c r="D313" s="2" t="str">
        <f>"李韵茹"</f>
        <v>李韵茹</v>
      </c>
      <c r="E313" s="2" t="str">
        <f t="shared" si="5"/>
        <v>女</v>
      </c>
    </row>
    <row r="314" spans="1:5" ht="14.4" x14ac:dyDescent="0.25">
      <c r="A314" s="4">
        <v>312</v>
      </c>
      <c r="B314" s="2" t="str">
        <f>"3251202108111134237089"</f>
        <v>3251202108111134237089</v>
      </c>
      <c r="C314" s="2" t="s">
        <v>6</v>
      </c>
      <c r="D314" s="2" t="str">
        <f>"李育雄"</f>
        <v>李育雄</v>
      </c>
      <c r="E314" s="2" t="str">
        <f t="shared" si="5"/>
        <v>女</v>
      </c>
    </row>
    <row r="315" spans="1:5" ht="14.4" x14ac:dyDescent="0.25">
      <c r="A315" s="4">
        <v>313</v>
      </c>
      <c r="B315" s="2" t="str">
        <f>"3251202108111135147090"</f>
        <v>3251202108111135147090</v>
      </c>
      <c r="C315" s="2" t="s">
        <v>6</v>
      </c>
      <c r="D315" s="2" t="str">
        <f>"张业凤"</f>
        <v>张业凤</v>
      </c>
      <c r="E315" s="2" t="str">
        <f t="shared" si="5"/>
        <v>女</v>
      </c>
    </row>
    <row r="316" spans="1:5" ht="14.4" x14ac:dyDescent="0.25">
      <c r="A316" s="4">
        <v>314</v>
      </c>
      <c r="B316" s="2" t="str">
        <f>"3251202108111145077106"</f>
        <v>3251202108111145077106</v>
      </c>
      <c r="C316" s="2" t="s">
        <v>6</v>
      </c>
      <c r="D316" s="2" t="str">
        <f>"郑倩钰"</f>
        <v>郑倩钰</v>
      </c>
      <c r="E316" s="2" t="str">
        <f t="shared" si="5"/>
        <v>女</v>
      </c>
    </row>
    <row r="317" spans="1:5" ht="14.4" x14ac:dyDescent="0.25">
      <c r="A317" s="4">
        <v>315</v>
      </c>
      <c r="B317" s="2" t="str">
        <f>"3251202108111150327114"</f>
        <v>3251202108111150327114</v>
      </c>
      <c r="C317" s="2" t="s">
        <v>6</v>
      </c>
      <c r="D317" s="2" t="str">
        <f>"王秦剑"</f>
        <v>王秦剑</v>
      </c>
      <c r="E317" s="2" t="str">
        <f>"男"</f>
        <v>男</v>
      </c>
    </row>
    <row r="318" spans="1:5" ht="14.4" x14ac:dyDescent="0.25">
      <c r="A318" s="4">
        <v>316</v>
      </c>
      <c r="B318" s="2" t="str">
        <f>"3251202108111153307121"</f>
        <v>3251202108111153307121</v>
      </c>
      <c r="C318" s="2" t="s">
        <v>6</v>
      </c>
      <c r="D318" s="2" t="str">
        <f>"朱建辉"</f>
        <v>朱建辉</v>
      </c>
      <c r="E318" s="2" t="str">
        <f>"男"</f>
        <v>男</v>
      </c>
    </row>
    <row r="319" spans="1:5" ht="14.4" x14ac:dyDescent="0.25">
      <c r="A319" s="4">
        <v>317</v>
      </c>
      <c r="B319" s="2" t="str">
        <f>"3251202108111157447131"</f>
        <v>3251202108111157447131</v>
      </c>
      <c r="C319" s="2" t="s">
        <v>6</v>
      </c>
      <c r="D319" s="2" t="str">
        <f>"王天林"</f>
        <v>王天林</v>
      </c>
      <c r="E319" s="2" t="str">
        <f>"男"</f>
        <v>男</v>
      </c>
    </row>
    <row r="320" spans="1:5" ht="14.4" x14ac:dyDescent="0.25">
      <c r="A320" s="4">
        <v>318</v>
      </c>
      <c r="B320" s="2" t="str">
        <f>"3251202108111158447132"</f>
        <v>3251202108111158447132</v>
      </c>
      <c r="C320" s="2" t="s">
        <v>6</v>
      </c>
      <c r="D320" s="2" t="str">
        <f>"王晓敏"</f>
        <v>王晓敏</v>
      </c>
      <c r="E320" s="2" t="str">
        <f>"女"</f>
        <v>女</v>
      </c>
    </row>
    <row r="321" spans="1:5" ht="14.4" x14ac:dyDescent="0.25">
      <c r="A321" s="4">
        <v>319</v>
      </c>
      <c r="B321" s="2" t="str">
        <f>"3251202108111200307138"</f>
        <v>3251202108111200307138</v>
      </c>
      <c r="C321" s="2" t="s">
        <v>6</v>
      </c>
      <c r="D321" s="2" t="str">
        <f>"黄伟航"</f>
        <v>黄伟航</v>
      </c>
      <c r="E321" s="2" t="str">
        <f>"男"</f>
        <v>男</v>
      </c>
    </row>
    <row r="322" spans="1:5" ht="14.4" x14ac:dyDescent="0.25">
      <c r="A322" s="4">
        <v>320</v>
      </c>
      <c r="B322" s="2" t="str">
        <f>"3251202108111224537167"</f>
        <v>3251202108111224537167</v>
      </c>
      <c r="C322" s="2" t="s">
        <v>6</v>
      </c>
      <c r="D322" s="2" t="str">
        <f>"黄晓丽"</f>
        <v>黄晓丽</v>
      </c>
      <c r="E322" s="2" t="str">
        <f t="shared" ref="E322:E328" si="6">"女"</f>
        <v>女</v>
      </c>
    </row>
    <row r="323" spans="1:5" ht="14.4" x14ac:dyDescent="0.25">
      <c r="A323" s="4">
        <v>321</v>
      </c>
      <c r="B323" s="2" t="str">
        <f>"3251202108111236307179"</f>
        <v>3251202108111236307179</v>
      </c>
      <c r="C323" s="2" t="s">
        <v>6</v>
      </c>
      <c r="D323" s="2" t="str">
        <f>"郑芳芳"</f>
        <v>郑芳芳</v>
      </c>
      <c r="E323" s="2" t="str">
        <f t="shared" si="6"/>
        <v>女</v>
      </c>
    </row>
    <row r="324" spans="1:5" ht="14.4" x14ac:dyDescent="0.25">
      <c r="A324" s="4">
        <v>322</v>
      </c>
      <c r="B324" s="2" t="str">
        <f>"3251202108111243427193"</f>
        <v>3251202108111243427193</v>
      </c>
      <c r="C324" s="2" t="s">
        <v>6</v>
      </c>
      <c r="D324" s="2" t="str">
        <f>"郑天琪"</f>
        <v>郑天琪</v>
      </c>
      <c r="E324" s="2" t="str">
        <f t="shared" si="6"/>
        <v>女</v>
      </c>
    </row>
    <row r="325" spans="1:5" ht="14.4" x14ac:dyDescent="0.25">
      <c r="A325" s="4">
        <v>323</v>
      </c>
      <c r="B325" s="2" t="str">
        <f>"3251202108111251287202"</f>
        <v>3251202108111251287202</v>
      </c>
      <c r="C325" s="2" t="s">
        <v>6</v>
      </c>
      <c r="D325" s="2" t="str">
        <f>"莫兰英"</f>
        <v>莫兰英</v>
      </c>
      <c r="E325" s="2" t="str">
        <f t="shared" si="6"/>
        <v>女</v>
      </c>
    </row>
    <row r="326" spans="1:5" ht="14.4" x14ac:dyDescent="0.25">
      <c r="A326" s="4">
        <v>324</v>
      </c>
      <c r="B326" s="2" t="str">
        <f>"3251202108111253547205"</f>
        <v>3251202108111253547205</v>
      </c>
      <c r="C326" s="2" t="s">
        <v>6</v>
      </c>
      <c r="D326" s="2" t="str">
        <f>"文海燕"</f>
        <v>文海燕</v>
      </c>
      <c r="E326" s="2" t="str">
        <f t="shared" si="6"/>
        <v>女</v>
      </c>
    </row>
    <row r="327" spans="1:5" ht="14.4" x14ac:dyDescent="0.25">
      <c r="A327" s="4">
        <v>325</v>
      </c>
      <c r="B327" s="2" t="str">
        <f>"3251202108111256197212"</f>
        <v>3251202108111256197212</v>
      </c>
      <c r="C327" s="2" t="s">
        <v>6</v>
      </c>
      <c r="D327" s="2" t="str">
        <f>"陈妮"</f>
        <v>陈妮</v>
      </c>
      <c r="E327" s="2" t="str">
        <f t="shared" si="6"/>
        <v>女</v>
      </c>
    </row>
    <row r="328" spans="1:5" ht="14.4" x14ac:dyDescent="0.25">
      <c r="A328" s="4">
        <v>326</v>
      </c>
      <c r="B328" s="2" t="str">
        <f>"3251202108111325227230"</f>
        <v>3251202108111325227230</v>
      </c>
      <c r="C328" s="2" t="s">
        <v>6</v>
      </c>
      <c r="D328" s="2" t="str">
        <f>"王媛悦"</f>
        <v>王媛悦</v>
      </c>
      <c r="E328" s="2" t="str">
        <f t="shared" si="6"/>
        <v>女</v>
      </c>
    </row>
    <row r="329" spans="1:5" ht="14.4" x14ac:dyDescent="0.25">
      <c r="A329" s="4">
        <v>327</v>
      </c>
      <c r="B329" s="2" t="str">
        <f>"3251202108111340107244"</f>
        <v>3251202108111340107244</v>
      </c>
      <c r="C329" s="2" t="s">
        <v>6</v>
      </c>
      <c r="D329" s="2" t="str">
        <f>"苏钻"</f>
        <v>苏钻</v>
      </c>
      <c r="E329" s="2" t="str">
        <f>"男"</f>
        <v>男</v>
      </c>
    </row>
    <row r="330" spans="1:5" ht="14.4" x14ac:dyDescent="0.25">
      <c r="A330" s="4">
        <v>328</v>
      </c>
      <c r="B330" s="2" t="str">
        <f>"3251202108111406047267"</f>
        <v>3251202108111406047267</v>
      </c>
      <c r="C330" s="2" t="s">
        <v>6</v>
      </c>
      <c r="D330" s="2" t="str">
        <f>"孙琳莉"</f>
        <v>孙琳莉</v>
      </c>
      <c r="E330" s="2" t="str">
        <f>"女"</f>
        <v>女</v>
      </c>
    </row>
    <row r="331" spans="1:5" ht="14.4" x14ac:dyDescent="0.25">
      <c r="A331" s="4">
        <v>329</v>
      </c>
      <c r="B331" s="2" t="str">
        <f>"3251202108111411257272"</f>
        <v>3251202108111411257272</v>
      </c>
      <c r="C331" s="2" t="s">
        <v>6</v>
      </c>
      <c r="D331" s="2" t="str">
        <f>"郑海波"</f>
        <v>郑海波</v>
      </c>
      <c r="E331" s="2" t="str">
        <f>"女"</f>
        <v>女</v>
      </c>
    </row>
    <row r="332" spans="1:5" ht="14.4" x14ac:dyDescent="0.25">
      <c r="A332" s="4">
        <v>330</v>
      </c>
      <c r="B332" s="2" t="str">
        <f>"3251202108111421497285"</f>
        <v>3251202108111421497285</v>
      </c>
      <c r="C332" s="2" t="s">
        <v>6</v>
      </c>
      <c r="D332" s="2" t="str">
        <f>"李天录"</f>
        <v>李天录</v>
      </c>
      <c r="E332" s="2" t="str">
        <f>"男"</f>
        <v>男</v>
      </c>
    </row>
    <row r="333" spans="1:5" ht="14.4" x14ac:dyDescent="0.25">
      <c r="A333" s="4">
        <v>331</v>
      </c>
      <c r="B333" s="2" t="str">
        <f>"3251202108111430497297"</f>
        <v>3251202108111430497297</v>
      </c>
      <c r="C333" s="2" t="s">
        <v>6</v>
      </c>
      <c r="D333" s="2" t="str">
        <f>"关宇飞"</f>
        <v>关宇飞</v>
      </c>
      <c r="E333" s="2" t="str">
        <f>"男"</f>
        <v>男</v>
      </c>
    </row>
    <row r="334" spans="1:5" ht="14.4" x14ac:dyDescent="0.25">
      <c r="A334" s="4">
        <v>332</v>
      </c>
      <c r="B334" s="2" t="str">
        <f>"3251202108111436317302"</f>
        <v>3251202108111436317302</v>
      </c>
      <c r="C334" s="2" t="s">
        <v>6</v>
      </c>
      <c r="D334" s="2" t="str">
        <f>"李晓晶"</f>
        <v>李晓晶</v>
      </c>
      <c r="E334" s="2" t="str">
        <f>"女"</f>
        <v>女</v>
      </c>
    </row>
    <row r="335" spans="1:5" ht="14.4" x14ac:dyDescent="0.25">
      <c r="A335" s="4">
        <v>333</v>
      </c>
      <c r="B335" s="2" t="str">
        <f>"3251202108111440127311"</f>
        <v>3251202108111440127311</v>
      </c>
      <c r="C335" s="2" t="s">
        <v>6</v>
      </c>
      <c r="D335" s="2" t="str">
        <f>"王美"</f>
        <v>王美</v>
      </c>
      <c r="E335" s="2" t="str">
        <f>"女"</f>
        <v>女</v>
      </c>
    </row>
    <row r="336" spans="1:5" ht="14.4" x14ac:dyDescent="0.25">
      <c r="A336" s="4">
        <v>334</v>
      </c>
      <c r="B336" s="2" t="str">
        <f>"3251202108111440527313"</f>
        <v>3251202108111440527313</v>
      </c>
      <c r="C336" s="2" t="s">
        <v>6</v>
      </c>
      <c r="D336" s="2" t="str">
        <f>"王丽红"</f>
        <v>王丽红</v>
      </c>
      <c r="E336" s="2" t="str">
        <f>"女"</f>
        <v>女</v>
      </c>
    </row>
    <row r="337" spans="1:5" ht="14.4" x14ac:dyDescent="0.25">
      <c r="A337" s="4">
        <v>335</v>
      </c>
      <c r="B337" s="2" t="str">
        <f>"3251202108111443517318"</f>
        <v>3251202108111443517318</v>
      </c>
      <c r="C337" s="2" t="s">
        <v>6</v>
      </c>
      <c r="D337" s="2" t="str">
        <f>"钟教敏"</f>
        <v>钟教敏</v>
      </c>
      <c r="E337" s="2" t="str">
        <f>"女"</f>
        <v>女</v>
      </c>
    </row>
    <row r="338" spans="1:5" ht="14.4" x14ac:dyDescent="0.25">
      <c r="A338" s="4">
        <v>336</v>
      </c>
      <c r="B338" s="2" t="str">
        <f>"3251202108111455487347"</f>
        <v>3251202108111455487347</v>
      </c>
      <c r="C338" s="2" t="s">
        <v>6</v>
      </c>
      <c r="D338" s="2" t="str">
        <f>"杨壮仁"</f>
        <v>杨壮仁</v>
      </c>
      <c r="E338" s="2" t="str">
        <f>"男"</f>
        <v>男</v>
      </c>
    </row>
    <row r="339" spans="1:5" ht="14.4" x14ac:dyDescent="0.25">
      <c r="A339" s="4">
        <v>337</v>
      </c>
      <c r="B339" s="2" t="str">
        <f>"3251202108111502467363"</f>
        <v>3251202108111502467363</v>
      </c>
      <c r="C339" s="2" t="s">
        <v>6</v>
      </c>
      <c r="D339" s="2" t="str">
        <f>"钟海比"</f>
        <v>钟海比</v>
      </c>
      <c r="E339" s="2" t="str">
        <f>"女"</f>
        <v>女</v>
      </c>
    </row>
    <row r="340" spans="1:5" ht="14.4" x14ac:dyDescent="0.25">
      <c r="A340" s="4">
        <v>338</v>
      </c>
      <c r="B340" s="2" t="str">
        <f>"3251202108111508087375"</f>
        <v>3251202108111508087375</v>
      </c>
      <c r="C340" s="2" t="s">
        <v>6</v>
      </c>
      <c r="D340" s="2" t="str">
        <f>"陈碧玉"</f>
        <v>陈碧玉</v>
      </c>
      <c r="E340" s="2" t="str">
        <f>"女"</f>
        <v>女</v>
      </c>
    </row>
    <row r="341" spans="1:5" ht="14.4" x14ac:dyDescent="0.25">
      <c r="A341" s="4">
        <v>339</v>
      </c>
      <c r="B341" s="2" t="str">
        <f>"3251202108111510017377"</f>
        <v>3251202108111510017377</v>
      </c>
      <c r="C341" s="2" t="s">
        <v>6</v>
      </c>
      <c r="D341" s="2" t="str">
        <f>"陈开豪"</f>
        <v>陈开豪</v>
      </c>
      <c r="E341" s="2" t="str">
        <f t="shared" ref="E341:E346" si="7">"男"</f>
        <v>男</v>
      </c>
    </row>
    <row r="342" spans="1:5" ht="14.4" x14ac:dyDescent="0.25">
      <c r="A342" s="4">
        <v>340</v>
      </c>
      <c r="B342" s="2" t="str">
        <f>"3251202108111515137391"</f>
        <v>3251202108111515137391</v>
      </c>
      <c r="C342" s="2" t="s">
        <v>6</v>
      </c>
      <c r="D342" s="2" t="str">
        <f>"王纪松"</f>
        <v>王纪松</v>
      </c>
      <c r="E342" s="2" t="str">
        <f t="shared" si="7"/>
        <v>男</v>
      </c>
    </row>
    <row r="343" spans="1:5" ht="14.4" x14ac:dyDescent="0.25">
      <c r="A343" s="4">
        <v>341</v>
      </c>
      <c r="B343" s="2" t="str">
        <f>"3251202108111520287398"</f>
        <v>3251202108111520287398</v>
      </c>
      <c r="C343" s="2" t="s">
        <v>6</v>
      </c>
      <c r="D343" s="2" t="str">
        <f>"王开立"</f>
        <v>王开立</v>
      </c>
      <c r="E343" s="2" t="str">
        <f t="shared" si="7"/>
        <v>男</v>
      </c>
    </row>
    <row r="344" spans="1:5" ht="14.4" x14ac:dyDescent="0.25">
      <c r="A344" s="4">
        <v>342</v>
      </c>
      <c r="B344" s="2" t="str">
        <f>"3251202108111521377401"</f>
        <v>3251202108111521377401</v>
      </c>
      <c r="C344" s="2" t="s">
        <v>6</v>
      </c>
      <c r="D344" s="2" t="str">
        <f>"林拥书"</f>
        <v>林拥书</v>
      </c>
      <c r="E344" s="2" t="str">
        <f t="shared" si="7"/>
        <v>男</v>
      </c>
    </row>
    <row r="345" spans="1:5" ht="14.4" x14ac:dyDescent="0.25">
      <c r="A345" s="4">
        <v>343</v>
      </c>
      <c r="B345" s="2" t="str">
        <f>"3251202108111526507416"</f>
        <v>3251202108111526507416</v>
      </c>
      <c r="C345" s="2" t="s">
        <v>6</v>
      </c>
      <c r="D345" s="2" t="str">
        <f>"冯宝"</f>
        <v>冯宝</v>
      </c>
      <c r="E345" s="2" t="str">
        <f t="shared" si="7"/>
        <v>男</v>
      </c>
    </row>
    <row r="346" spans="1:5" ht="14.4" x14ac:dyDescent="0.25">
      <c r="A346" s="4">
        <v>344</v>
      </c>
      <c r="B346" s="2" t="str">
        <f>"3251202108111548287465"</f>
        <v>3251202108111548287465</v>
      </c>
      <c r="C346" s="2" t="s">
        <v>6</v>
      </c>
      <c r="D346" s="2" t="str">
        <f>"李盛权"</f>
        <v>李盛权</v>
      </c>
      <c r="E346" s="2" t="str">
        <f t="shared" si="7"/>
        <v>男</v>
      </c>
    </row>
    <row r="347" spans="1:5" ht="14.4" x14ac:dyDescent="0.25">
      <c r="A347" s="4">
        <v>345</v>
      </c>
      <c r="B347" s="2" t="str">
        <f>"3251202108111553337475"</f>
        <v>3251202108111553337475</v>
      </c>
      <c r="C347" s="2" t="s">
        <v>6</v>
      </c>
      <c r="D347" s="2" t="str">
        <f>"陈文玲"</f>
        <v>陈文玲</v>
      </c>
      <c r="E347" s="2" t="str">
        <f>"女"</f>
        <v>女</v>
      </c>
    </row>
    <row r="348" spans="1:5" ht="14.4" x14ac:dyDescent="0.25">
      <c r="A348" s="4">
        <v>346</v>
      </c>
      <c r="B348" s="2" t="str">
        <f>"3251202108111555517481"</f>
        <v>3251202108111555517481</v>
      </c>
      <c r="C348" s="2" t="s">
        <v>6</v>
      </c>
      <c r="D348" s="2" t="str">
        <f>"崔小聪"</f>
        <v>崔小聪</v>
      </c>
      <c r="E348" s="2" t="str">
        <f>"男"</f>
        <v>男</v>
      </c>
    </row>
    <row r="349" spans="1:5" ht="14.4" x14ac:dyDescent="0.25">
      <c r="A349" s="4">
        <v>347</v>
      </c>
      <c r="B349" s="2" t="str">
        <f>"3251202108111609597505"</f>
        <v>3251202108111609597505</v>
      </c>
      <c r="C349" s="2" t="s">
        <v>6</v>
      </c>
      <c r="D349" s="2" t="str">
        <f>"尹婉妮"</f>
        <v>尹婉妮</v>
      </c>
      <c r="E349" s="2" t="str">
        <f>"女"</f>
        <v>女</v>
      </c>
    </row>
    <row r="350" spans="1:5" ht="14.4" x14ac:dyDescent="0.25">
      <c r="A350" s="4">
        <v>348</v>
      </c>
      <c r="B350" s="2" t="str">
        <f>"3251202108111612067509"</f>
        <v>3251202108111612067509</v>
      </c>
      <c r="C350" s="2" t="s">
        <v>6</v>
      </c>
      <c r="D350" s="2" t="str">
        <f>"郑远玠"</f>
        <v>郑远玠</v>
      </c>
      <c r="E350" s="2" t="str">
        <f>"男"</f>
        <v>男</v>
      </c>
    </row>
    <row r="351" spans="1:5" ht="14.4" x14ac:dyDescent="0.25">
      <c r="A351" s="4">
        <v>349</v>
      </c>
      <c r="B351" s="2" t="str">
        <f>"3251202108111613097513"</f>
        <v>3251202108111613097513</v>
      </c>
      <c r="C351" s="2" t="s">
        <v>6</v>
      </c>
      <c r="D351" s="2" t="str">
        <f>"李丽芳"</f>
        <v>李丽芳</v>
      </c>
      <c r="E351" s="2" t="str">
        <f>"女"</f>
        <v>女</v>
      </c>
    </row>
    <row r="352" spans="1:5" ht="14.4" x14ac:dyDescent="0.25">
      <c r="A352" s="4">
        <v>350</v>
      </c>
      <c r="B352" s="2" t="str">
        <f>"3251202108111621147526"</f>
        <v>3251202108111621147526</v>
      </c>
      <c r="C352" s="2" t="s">
        <v>6</v>
      </c>
      <c r="D352" s="2" t="str">
        <f>"刘子微"</f>
        <v>刘子微</v>
      </c>
      <c r="E352" s="2" t="str">
        <f>"女"</f>
        <v>女</v>
      </c>
    </row>
    <row r="353" spans="1:5" ht="14.4" x14ac:dyDescent="0.25">
      <c r="A353" s="4">
        <v>351</v>
      </c>
      <c r="B353" s="2" t="str">
        <f>"3251202108111630467543"</f>
        <v>3251202108111630467543</v>
      </c>
      <c r="C353" s="2" t="s">
        <v>6</v>
      </c>
      <c r="D353" s="2" t="str">
        <f>"朱芷彤"</f>
        <v>朱芷彤</v>
      </c>
      <c r="E353" s="2" t="str">
        <f>"女"</f>
        <v>女</v>
      </c>
    </row>
    <row r="354" spans="1:5" ht="14.4" x14ac:dyDescent="0.25">
      <c r="A354" s="4">
        <v>352</v>
      </c>
      <c r="B354" s="2" t="str">
        <f>"3251202108111644527568"</f>
        <v>3251202108111644527568</v>
      </c>
      <c r="C354" s="2" t="s">
        <v>6</v>
      </c>
      <c r="D354" s="2" t="str">
        <f>"符美宽"</f>
        <v>符美宽</v>
      </c>
      <c r="E354" s="2" t="str">
        <f>"女"</f>
        <v>女</v>
      </c>
    </row>
    <row r="355" spans="1:5" ht="14.4" x14ac:dyDescent="0.25">
      <c r="A355" s="4">
        <v>353</v>
      </c>
      <c r="B355" s="2" t="str">
        <f>"3251202108111648117572"</f>
        <v>3251202108111648117572</v>
      </c>
      <c r="C355" s="2" t="s">
        <v>6</v>
      </c>
      <c r="D355" s="2" t="str">
        <f>"赖秋云"</f>
        <v>赖秋云</v>
      </c>
      <c r="E355" s="2" t="str">
        <f>"女"</f>
        <v>女</v>
      </c>
    </row>
    <row r="356" spans="1:5" ht="14.4" x14ac:dyDescent="0.25">
      <c r="A356" s="4">
        <v>354</v>
      </c>
      <c r="B356" s="2" t="str">
        <f>"3251202108111649587577"</f>
        <v>3251202108111649587577</v>
      </c>
      <c r="C356" s="2" t="s">
        <v>6</v>
      </c>
      <c r="D356" s="2" t="str">
        <f>"卓海勇"</f>
        <v>卓海勇</v>
      </c>
      <c r="E356" s="2" t="str">
        <f>"男"</f>
        <v>男</v>
      </c>
    </row>
    <row r="357" spans="1:5" ht="14.4" x14ac:dyDescent="0.25">
      <c r="A357" s="4">
        <v>355</v>
      </c>
      <c r="B357" s="2" t="str">
        <f>"3251202108111653537582"</f>
        <v>3251202108111653537582</v>
      </c>
      <c r="C357" s="2" t="s">
        <v>6</v>
      </c>
      <c r="D357" s="2" t="str">
        <f>"符华燕"</f>
        <v>符华燕</v>
      </c>
      <c r="E357" s="2" t="str">
        <f>"女"</f>
        <v>女</v>
      </c>
    </row>
    <row r="358" spans="1:5" ht="14.4" x14ac:dyDescent="0.25">
      <c r="A358" s="4">
        <v>356</v>
      </c>
      <c r="B358" s="2" t="str">
        <f>"3251202108111655207585"</f>
        <v>3251202108111655207585</v>
      </c>
      <c r="C358" s="2" t="s">
        <v>6</v>
      </c>
      <c r="D358" s="2" t="str">
        <f>"何健良"</f>
        <v>何健良</v>
      </c>
      <c r="E358" s="2" t="str">
        <f>"男"</f>
        <v>男</v>
      </c>
    </row>
    <row r="359" spans="1:5" ht="14.4" x14ac:dyDescent="0.25">
      <c r="A359" s="4">
        <v>357</v>
      </c>
      <c r="B359" s="2" t="str">
        <f>"3251202108111711077607"</f>
        <v>3251202108111711077607</v>
      </c>
      <c r="C359" s="2" t="s">
        <v>6</v>
      </c>
      <c r="D359" s="2" t="str">
        <f>"邹尾丽"</f>
        <v>邹尾丽</v>
      </c>
      <c r="E359" s="2" t="str">
        <f>"女"</f>
        <v>女</v>
      </c>
    </row>
    <row r="360" spans="1:5" ht="14.4" x14ac:dyDescent="0.25">
      <c r="A360" s="4">
        <v>358</v>
      </c>
      <c r="B360" s="2" t="str">
        <f>"3251202108111718117626"</f>
        <v>3251202108111718117626</v>
      </c>
      <c r="C360" s="2" t="s">
        <v>6</v>
      </c>
      <c r="D360" s="2" t="str">
        <f>"冯定丽"</f>
        <v>冯定丽</v>
      </c>
      <c r="E360" s="2" t="str">
        <f>"女"</f>
        <v>女</v>
      </c>
    </row>
    <row r="361" spans="1:5" ht="14.4" x14ac:dyDescent="0.25">
      <c r="A361" s="4">
        <v>359</v>
      </c>
      <c r="B361" s="2" t="str">
        <f>"3251202108111722597630"</f>
        <v>3251202108111722597630</v>
      </c>
      <c r="C361" s="2" t="s">
        <v>6</v>
      </c>
      <c r="D361" s="2" t="str">
        <f>"陈烈映"</f>
        <v>陈烈映</v>
      </c>
      <c r="E361" s="2" t="str">
        <f>"男"</f>
        <v>男</v>
      </c>
    </row>
    <row r="362" spans="1:5" ht="14.4" x14ac:dyDescent="0.25">
      <c r="A362" s="4">
        <v>360</v>
      </c>
      <c r="B362" s="2" t="str">
        <f>"3251202108111735297645"</f>
        <v>3251202108111735297645</v>
      </c>
      <c r="C362" s="2" t="s">
        <v>6</v>
      </c>
      <c r="D362" s="2" t="str">
        <f>"郭博精"</f>
        <v>郭博精</v>
      </c>
      <c r="E362" s="2" t="str">
        <f>"男"</f>
        <v>男</v>
      </c>
    </row>
    <row r="363" spans="1:5" ht="14.4" x14ac:dyDescent="0.25">
      <c r="A363" s="4">
        <v>361</v>
      </c>
      <c r="B363" s="2" t="str">
        <f>"3251202108111738097646"</f>
        <v>3251202108111738097646</v>
      </c>
      <c r="C363" s="2" t="s">
        <v>6</v>
      </c>
      <c r="D363" s="2" t="str">
        <f>"杨静雯"</f>
        <v>杨静雯</v>
      </c>
      <c r="E363" s="2" t="str">
        <f>"女"</f>
        <v>女</v>
      </c>
    </row>
    <row r="364" spans="1:5" ht="14.4" x14ac:dyDescent="0.25">
      <c r="A364" s="4">
        <v>362</v>
      </c>
      <c r="B364" s="2" t="str">
        <f>"3251202108111743497659"</f>
        <v>3251202108111743497659</v>
      </c>
      <c r="C364" s="2" t="s">
        <v>6</v>
      </c>
      <c r="D364" s="2" t="str">
        <f>"里艺"</f>
        <v>里艺</v>
      </c>
      <c r="E364" s="2" t="str">
        <f>"女"</f>
        <v>女</v>
      </c>
    </row>
    <row r="365" spans="1:5" ht="14.4" x14ac:dyDescent="0.25">
      <c r="A365" s="4">
        <v>363</v>
      </c>
      <c r="B365" s="2" t="str">
        <f>"3251202108111744077662"</f>
        <v>3251202108111744077662</v>
      </c>
      <c r="C365" s="2" t="s">
        <v>6</v>
      </c>
      <c r="D365" s="2" t="str">
        <f>"刘卓"</f>
        <v>刘卓</v>
      </c>
      <c r="E365" s="2" t="str">
        <f>"女"</f>
        <v>女</v>
      </c>
    </row>
    <row r="366" spans="1:5" ht="14.4" x14ac:dyDescent="0.25">
      <c r="A366" s="4">
        <v>364</v>
      </c>
      <c r="B366" s="2" t="str">
        <f>"3251202108111800107686"</f>
        <v>3251202108111800107686</v>
      </c>
      <c r="C366" s="2" t="s">
        <v>6</v>
      </c>
      <c r="D366" s="2" t="str">
        <f>"黄鑫銮"</f>
        <v>黄鑫銮</v>
      </c>
      <c r="E366" s="2" t="str">
        <f>"女"</f>
        <v>女</v>
      </c>
    </row>
    <row r="367" spans="1:5" ht="14.4" x14ac:dyDescent="0.25">
      <c r="A367" s="4">
        <v>365</v>
      </c>
      <c r="B367" s="2" t="str">
        <f>"3251202108111806097693"</f>
        <v>3251202108111806097693</v>
      </c>
      <c r="C367" s="2" t="s">
        <v>6</v>
      </c>
      <c r="D367" s="2" t="str">
        <f>"羊之林"</f>
        <v>羊之林</v>
      </c>
      <c r="E367" s="2" t="str">
        <f>"男"</f>
        <v>男</v>
      </c>
    </row>
    <row r="368" spans="1:5" ht="14.4" x14ac:dyDescent="0.25">
      <c r="A368" s="4">
        <v>366</v>
      </c>
      <c r="B368" s="2" t="str">
        <f>"3251202108111837367741"</f>
        <v>3251202108111837367741</v>
      </c>
      <c r="C368" s="2" t="s">
        <v>6</v>
      </c>
      <c r="D368" s="2" t="str">
        <f>"潘富斌"</f>
        <v>潘富斌</v>
      </c>
      <c r="E368" s="2" t="str">
        <f>"男"</f>
        <v>男</v>
      </c>
    </row>
    <row r="369" spans="1:5" ht="14.4" x14ac:dyDescent="0.25">
      <c r="A369" s="4">
        <v>367</v>
      </c>
      <c r="B369" s="2" t="str">
        <f>"3251202108111839407744"</f>
        <v>3251202108111839407744</v>
      </c>
      <c r="C369" s="2" t="s">
        <v>6</v>
      </c>
      <c r="D369" s="2" t="str">
        <f>"周奠海"</f>
        <v>周奠海</v>
      </c>
      <c r="E369" s="2" t="str">
        <f>"男"</f>
        <v>男</v>
      </c>
    </row>
    <row r="370" spans="1:5" ht="14.4" x14ac:dyDescent="0.25">
      <c r="A370" s="4">
        <v>368</v>
      </c>
      <c r="B370" s="2" t="str">
        <f>"3251202108111844157757"</f>
        <v>3251202108111844157757</v>
      </c>
      <c r="C370" s="2" t="s">
        <v>6</v>
      </c>
      <c r="D370" s="2" t="str">
        <f>"张帝妹"</f>
        <v>张帝妹</v>
      </c>
      <c r="E370" s="2" t="str">
        <f>"女"</f>
        <v>女</v>
      </c>
    </row>
    <row r="371" spans="1:5" ht="14.4" x14ac:dyDescent="0.25">
      <c r="A371" s="4">
        <v>369</v>
      </c>
      <c r="B371" s="2" t="str">
        <f>"3251202108111848157761"</f>
        <v>3251202108111848157761</v>
      </c>
      <c r="C371" s="2" t="s">
        <v>6</v>
      </c>
      <c r="D371" s="2" t="str">
        <f>"吴永嘉"</f>
        <v>吴永嘉</v>
      </c>
      <c r="E371" s="2" t="str">
        <f>"男"</f>
        <v>男</v>
      </c>
    </row>
    <row r="372" spans="1:5" ht="14.4" x14ac:dyDescent="0.25">
      <c r="A372" s="4">
        <v>370</v>
      </c>
      <c r="B372" s="2" t="str">
        <f>"3251202108111920137786"</f>
        <v>3251202108111920137786</v>
      </c>
      <c r="C372" s="2" t="s">
        <v>6</v>
      </c>
      <c r="D372" s="2" t="str">
        <f>"张盛强"</f>
        <v>张盛强</v>
      </c>
      <c r="E372" s="2" t="str">
        <f>"男"</f>
        <v>男</v>
      </c>
    </row>
    <row r="373" spans="1:5" ht="14.4" x14ac:dyDescent="0.25">
      <c r="A373" s="4">
        <v>371</v>
      </c>
      <c r="B373" s="2" t="str">
        <f>"3251202108111929387802"</f>
        <v>3251202108111929387802</v>
      </c>
      <c r="C373" s="2" t="s">
        <v>6</v>
      </c>
      <c r="D373" s="2" t="str">
        <f>"唐敏"</f>
        <v>唐敏</v>
      </c>
      <c r="E373" s="2" t="str">
        <f>"男"</f>
        <v>男</v>
      </c>
    </row>
    <row r="374" spans="1:5" ht="14.4" x14ac:dyDescent="0.25">
      <c r="A374" s="4">
        <v>372</v>
      </c>
      <c r="B374" s="2" t="str">
        <f>"3251202108111935407808"</f>
        <v>3251202108111935407808</v>
      </c>
      <c r="C374" s="2" t="s">
        <v>6</v>
      </c>
      <c r="D374" s="2" t="str">
        <f>"吴军"</f>
        <v>吴军</v>
      </c>
      <c r="E374" s="2" t="str">
        <f>"男"</f>
        <v>男</v>
      </c>
    </row>
    <row r="375" spans="1:5" ht="14.4" x14ac:dyDescent="0.25">
      <c r="A375" s="4">
        <v>373</v>
      </c>
      <c r="B375" s="2" t="str">
        <f>"3251202108111940157812"</f>
        <v>3251202108111940157812</v>
      </c>
      <c r="C375" s="2" t="s">
        <v>6</v>
      </c>
      <c r="D375" s="2" t="str">
        <f>"王海云"</f>
        <v>王海云</v>
      </c>
      <c r="E375" s="2" t="str">
        <f>"女"</f>
        <v>女</v>
      </c>
    </row>
    <row r="376" spans="1:5" ht="14.4" x14ac:dyDescent="0.25">
      <c r="A376" s="4">
        <v>374</v>
      </c>
      <c r="B376" s="2" t="str">
        <f>"3251202108111944227819"</f>
        <v>3251202108111944227819</v>
      </c>
      <c r="C376" s="2" t="s">
        <v>6</v>
      </c>
      <c r="D376" s="2" t="str">
        <f>"温良玉"</f>
        <v>温良玉</v>
      </c>
      <c r="E376" s="2" t="str">
        <f>"男"</f>
        <v>男</v>
      </c>
    </row>
    <row r="377" spans="1:5" ht="14.4" x14ac:dyDescent="0.25">
      <c r="A377" s="4">
        <v>375</v>
      </c>
      <c r="B377" s="2" t="str">
        <f>"3251202108112006017848"</f>
        <v>3251202108112006017848</v>
      </c>
      <c r="C377" s="2" t="s">
        <v>6</v>
      </c>
      <c r="D377" s="2" t="str">
        <f>"王伟锋"</f>
        <v>王伟锋</v>
      </c>
      <c r="E377" s="2" t="str">
        <f>"男"</f>
        <v>男</v>
      </c>
    </row>
    <row r="378" spans="1:5" ht="14.4" x14ac:dyDescent="0.25">
      <c r="A378" s="4">
        <v>376</v>
      </c>
      <c r="B378" s="2" t="str">
        <f>"3251202108112014217858"</f>
        <v>3251202108112014217858</v>
      </c>
      <c r="C378" s="2" t="s">
        <v>6</v>
      </c>
      <c r="D378" s="2" t="str">
        <f>"张海天"</f>
        <v>张海天</v>
      </c>
      <c r="E378" s="2" t="str">
        <f>"男"</f>
        <v>男</v>
      </c>
    </row>
    <row r="379" spans="1:5" ht="14.4" x14ac:dyDescent="0.25">
      <c r="A379" s="4">
        <v>377</v>
      </c>
      <c r="B379" s="2" t="str">
        <f>"3251202108112023487870"</f>
        <v>3251202108112023487870</v>
      </c>
      <c r="C379" s="2" t="s">
        <v>6</v>
      </c>
      <c r="D379" s="2" t="str">
        <f>"周世顺"</f>
        <v>周世顺</v>
      </c>
      <c r="E379" s="2" t="str">
        <f>"男"</f>
        <v>男</v>
      </c>
    </row>
    <row r="380" spans="1:5" ht="14.4" x14ac:dyDescent="0.25">
      <c r="A380" s="4">
        <v>378</v>
      </c>
      <c r="B380" s="2" t="str">
        <f>"3251202108112040207890"</f>
        <v>3251202108112040207890</v>
      </c>
      <c r="C380" s="2" t="s">
        <v>6</v>
      </c>
      <c r="D380" s="2" t="str">
        <f>"张菲雅"</f>
        <v>张菲雅</v>
      </c>
      <c r="E380" s="2" t="str">
        <f>"女"</f>
        <v>女</v>
      </c>
    </row>
    <row r="381" spans="1:5" ht="14.4" x14ac:dyDescent="0.25">
      <c r="A381" s="4">
        <v>379</v>
      </c>
      <c r="B381" s="2" t="str">
        <f>"3251202108112041177893"</f>
        <v>3251202108112041177893</v>
      </c>
      <c r="C381" s="2" t="s">
        <v>6</v>
      </c>
      <c r="D381" s="2" t="str">
        <f>"黄昌盛"</f>
        <v>黄昌盛</v>
      </c>
      <c r="E381" s="2" t="str">
        <f>"男"</f>
        <v>男</v>
      </c>
    </row>
    <row r="382" spans="1:5" ht="14.4" x14ac:dyDescent="0.25">
      <c r="A382" s="4">
        <v>380</v>
      </c>
      <c r="B382" s="2" t="str">
        <f>"3251202108112041207894"</f>
        <v>3251202108112041207894</v>
      </c>
      <c r="C382" s="2" t="s">
        <v>6</v>
      </c>
      <c r="D382" s="2" t="str">
        <f>"黎秀兵"</f>
        <v>黎秀兵</v>
      </c>
      <c r="E382" s="2" t="str">
        <f>"男"</f>
        <v>男</v>
      </c>
    </row>
    <row r="383" spans="1:5" ht="14.4" x14ac:dyDescent="0.25">
      <c r="A383" s="4">
        <v>381</v>
      </c>
      <c r="B383" s="2" t="str">
        <f>"3251202108112044367902"</f>
        <v>3251202108112044367902</v>
      </c>
      <c r="C383" s="2" t="s">
        <v>6</v>
      </c>
      <c r="D383" s="2" t="str">
        <f>"陈姗姗"</f>
        <v>陈姗姗</v>
      </c>
      <c r="E383" s="2" t="str">
        <f>"女"</f>
        <v>女</v>
      </c>
    </row>
    <row r="384" spans="1:5" ht="14.4" x14ac:dyDescent="0.25">
      <c r="A384" s="4">
        <v>382</v>
      </c>
      <c r="B384" s="2" t="str">
        <f>"3251202108112046407907"</f>
        <v>3251202108112046407907</v>
      </c>
      <c r="C384" s="2" t="s">
        <v>6</v>
      </c>
      <c r="D384" s="2" t="str">
        <f>"唐广之"</f>
        <v>唐广之</v>
      </c>
      <c r="E384" s="2" t="str">
        <f>"男"</f>
        <v>男</v>
      </c>
    </row>
    <row r="385" spans="1:5" ht="14.4" x14ac:dyDescent="0.25">
      <c r="A385" s="4">
        <v>383</v>
      </c>
      <c r="B385" s="2" t="str">
        <f>"3251202108112050197914"</f>
        <v>3251202108112050197914</v>
      </c>
      <c r="C385" s="2" t="s">
        <v>6</v>
      </c>
      <c r="D385" s="2" t="str">
        <f>"项华妹"</f>
        <v>项华妹</v>
      </c>
      <c r="E385" s="2" t="str">
        <f t="shared" ref="E385:E391" si="8">"女"</f>
        <v>女</v>
      </c>
    </row>
    <row r="386" spans="1:5" ht="14.4" x14ac:dyDescent="0.25">
      <c r="A386" s="4">
        <v>384</v>
      </c>
      <c r="B386" s="2" t="str">
        <f>"3251202108112059357927"</f>
        <v>3251202108112059357927</v>
      </c>
      <c r="C386" s="2" t="s">
        <v>6</v>
      </c>
      <c r="D386" s="2" t="str">
        <f>"陈小琴"</f>
        <v>陈小琴</v>
      </c>
      <c r="E386" s="2" t="str">
        <f t="shared" si="8"/>
        <v>女</v>
      </c>
    </row>
    <row r="387" spans="1:5" ht="14.4" x14ac:dyDescent="0.25">
      <c r="A387" s="4">
        <v>385</v>
      </c>
      <c r="B387" s="2" t="str">
        <f>"3251202108112120527962"</f>
        <v>3251202108112120527962</v>
      </c>
      <c r="C387" s="2" t="s">
        <v>6</v>
      </c>
      <c r="D387" s="2" t="str">
        <f>"杨佳静"</f>
        <v>杨佳静</v>
      </c>
      <c r="E387" s="2" t="str">
        <f t="shared" si="8"/>
        <v>女</v>
      </c>
    </row>
    <row r="388" spans="1:5" ht="14.4" x14ac:dyDescent="0.25">
      <c r="A388" s="4">
        <v>386</v>
      </c>
      <c r="B388" s="2" t="str">
        <f>"3251202108112122187964"</f>
        <v>3251202108112122187964</v>
      </c>
      <c r="C388" s="2" t="s">
        <v>6</v>
      </c>
      <c r="D388" s="2" t="str">
        <f>"吉家欣"</f>
        <v>吉家欣</v>
      </c>
      <c r="E388" s="2" t="str">
        <f t="shared" si="8"/>
        <v>女</v>
      </c>
    </row>
    <row r="389" spans="1:5" ht="14.4" x14ac:dyDescent="0.25">
      <c r="A389" s="4">
        <v>387</v>
      </c>
      <c r="B389" s="2" t="str">
        <f>"3251202108112128547984"</f>
        <v>3251202108112128547984</v>
      </c>
      <c r="C389" s="2" t="s">
        <v>6</v>
      </c>
      <c r="D389" s="2" t="str">
        <f>"陈秀娜"</f>
        <v>陈秀娜</v>
      </c>
      <c r="E389" s="2" t="str">
        <f t="shared" si="8"/>
        <v>女</v>
      </c>
    </row>
    <row r="390" spans="1:5" ht="14.4" x14ac:dyDescent="0.25">
      <c r="A390" s="4">
        <v>388</v>
      </c>
      <c r="B390" s="2" t="str">
        <f>"3251202108112133577990"</f>
        <v>3251202108112133577990</v>
      </c>
      <c r="C390" s="2" t="s">
        <v>6</v>
      </c>
      <c r="D390" s="2" t="str">
        <f>"邓晓敏"</f>
        <v>邓晓敏</v>
      </c>
      <c r="E390" s="2" t="str">
        <f t="shared" si="8"/>
        <v>女</v>
      </c>
    </row>
    <row r="391" spans="1:5" ht="14.4" x14ac:dyDescent="0.25">
      <c r="A391" s="4">
        <v>389</v>
      </c>
      <c r="B391" s="2" t="str">
        <f>"3251202108112138447997"</f>
        <v>3251202108112138447997</v>
      </c>
      <c r="C391" s="2" t="s">
        <v>6</v>
      </c>
      <c r="D391" s="2" t="str">
        <f>"符滢洁"</f>
        <v>符滢洁</v>
      </c>
      <c r="E391" s="2" t="str">
        <f t="shared" si="8"/>
        <v>女</v>
      </c>
    </row>
    <row r="392" spans="1:5" ht="14.4" x14ac:dyDescent="0.25">
      <c r="A392" s="4">
        <v>390</v>
      </c>
      <c r="B392" s="2" t="str">
        <f>"3251202108112202428027"</f>
        <v>3251202108112202428027</v>
      </c>
      <c r="C392" s="2" t="s">
        <v>6</v>
      </c>
      <c r="D392" s="2" t="str">
        <f>"李远安"</f>
        <v>李远安</v>
      </c>
      <c r="E392" s="2" t="str">
        <f>"男"</f>
        <v>男</v>
      </c>
    </row>
    <row r="393" spans="1:5" ht="14.4" x14ac:dyDescent="0.25">
      <c r="A393" s="4">
        <v>391</v>
      </c>
      <c r="B393" s="2" t="str">
        <f>"3251202108112221068052"</f>
        <v>3251202108112221068052</v>
      </c>
      <c r="C393" s="2" t="s">
        <v>6</v>
      </c>
      <c r="D393" s="2" t="str">
        <f>"曾德桥"</f>
        <v>曾德桥</v>
      </c>
      <c r="E393" s="2" t="str">
        <f>"女"</f>
        <v>女</v>
      </c>
    </row>
    <row r="394" spans="1:5" ht="14.4" x14ac:dyDescent="0.25">
      <c r="A394" s="4">
        <v>392</v>
      </c>
      <c r="B394" s="2" t="str">
        <f>"3251202108112226218059"</f>
        <v>3251202108112226218059</v>
      </c>
      <c r="C394" s="2" t="s">
        <v>6</v>
      </c>
      <c r="D394" s="2" t="str">
        <f>"黎寿方"</f>
        <v>黎寿方</v>
      </c>
      <c r="E394" s="2" t="str">
        <f>"女"</f>
        <v>女</v>
      </c>
    </row>
    <row r="395" spans="1:5" ht="14.4" x14ac:dyDescent="0.25">
      <c r="A395" s="4">
        <v>393</v>
      </c>
      <c r="B395" s="2" t="str">
        <f>"3251202108112233018070"</f>
        <v>3251202108112233018070</v>
      </c>
      <c r="C395" s="2" t="s">
        <v>6</v>
      </c>
      <c r="D395" s="2" t="str">
        <f>"周一"</f>
        <v>周一</v>
      </c>
      <c r="E395" s="2" t="str">
        <f>"女"</f>
        <v>女</v>
      </c>
    </row>
    <row r="396" spans="1:5" ht="14.4" x14ac:dyDescent="0.25">
      <c r="A396" s="4">
        <v>394</v>
      </c>
      <c r="B396" s="2" t="str">
        <f>"3251202108112234308075"</f>
        <v>3251202108112234308075</v>
      </c>
      <c r="C396" s="2" t="s">
        <v>6</v>
      </c>
      <c r="D396" s="2" t="str">
        <f>"蔡笃颖"</f>
        <v>蔡笃颖</v>
      </c>
      <c r="E396" s="2" t="str">
        <f t="shared" ref="E396:E401" si="9">"男"</f>
        <v>男</v>
      </c>
    </row>
    <row r="397" spans="1:5" ht="14.4" x14ac:dyDescent="0.25">
      <c r="A397" s="4">
        <v>395</v>
      </c>
      <c r="B397" s="2" t="str">
        <f>"3251202108112236278079"</f>
        <v>3251202108112236278079</v>
      </c>
      <c r="C397" s="2" t="s">
        <v>6</v>
      </c>
      <c r="D397" s="2" t="str">
        <f>"李嘉祺"</f>
        <v>李嘉祺</v>
      </c>
      <c r="E397" s="2" t="str">
        <f t="shared" si="9"/>
        <v>男</v>
      </c>
    </row>
    <row r="398" spans="1:5" ht="14.4" x14ac:dyDescent="0.25">
      <c r="A398" s="4">
        <v>396</v>
      </c>
      <c r="B398" s="2" t="str">
        <f>"3251202108112237138083"</f>
        <v>3251202108112237138083</v>
      </c>
      <c r="C398" s="2" t="s">
        <v>6</v>
      </c>
      <c r="D398" s="2" t="str">
        <f>"杨科泽"</f>
        <v>杨科泽</v>
      </c>
      <c r="E398" s="2" t="str">
        <f t="shared" si="9"/>
        <v>男</v>
      </c>
    </row>
    <row r="399" spans="1:5" ht="14.4" x14ac:dyDescent="0.25">
      <c r="A399" s="4">
        <v>397</v>
      </c>
      <c r="B399" s="2" t="str">
        <f>"3251202108112238218086"</f>
        <v>3251202108112238218086</v>
      </c>
      <c r="C399" s="2" t="s">
        <v>6</v>
      </c>
      <c r="D399" s="2" t="str">
        <f>"李培锦"</f>
        <v>李培锦</v>
      </c>
      <c r="E399" s="2" t="str">
        <f t="shared" si="9"/>
        <v>男</v>
      </c>
    </row>
    <row r="400" spans="1:5" ht="14.4" x14ac:dyDescent="0.25">
      <c r="A400" s="4">
        <v>398</v>
      </c>
      <c r="B400" s="2" t="str">
        <f>"3251202108112239508087"</f>
        <v>3251202108112239508087</v>
      </c>
      <c r="C400" s="2" t="s">
        <v>6</v>
      </c>
      <c r="D400" s="2" t="str">
        <f>"刘其全"</f>
        <v>刘其全</v>
      </c>
      <c r="E400" s="2" t="str">
        <f t="shared" si="9"/>
        <v>男</v>
      </c>
    </row>
    <row r="401" spans="1:5" ht="14.4" x14ac:dyDescent="0.25">
      <c r="A401" s="4">
        <v>399</v>
      </c>
      <c r="B401" s="2" t="str">
        <f>"3251202108112246428096"</f>
        <v>3251202108112246428096</v>
      </c>
      <c r="C401" s="2" t="s">
        <v>6</v>
      </c>
      <c r="D401" s="2" t="str">
        <f>"唐弘雍"</f>
        <v>唐弘雍</v>
      </c>
      <c r="E401" s="2" t="str">
        <f t="shared" si="9"/>
        <v>男</v>
      </c>
    </row>
    <row r="402" spans="1:5" ht="14.4" x14ac:dyDescent="0.25">
      <c r="A402" s="4">
        <v>400</v>
      </c>
      <c r="B402" s="2" t="str">
        <f>"3251202108112252398104"</f>
        <v>3251202108112252398104</v>
      </c>
      <c r="C402" s="2" t="s">
        <v>6</v>
      </c>
      <c r="D402" s="2" t="str">
        <f>"廖晨阳"</f>
        <v>廖晨阳</v>
      </c>
      <c r="E402" s="2" t="str">
        <f>"女"</f>
        <v>女</v>
      </c>
    </row>
    <row r="403" spans="1:5" ht="14.4" x14ac:dyDescent="0.25">
      <c r="A403" s="4">
        <v>401</v>
      </c>
      <c r="B403" s="2" t="str">
        <f>"3251202108112254418107"</f>
        <v>3251202108112254418107</v>
      </c>
      <c r="C403" s="2" t="s">
        <v>6</v>
      </c>
      <c r="D403" s="2" t="str">
        <f>"王诗圣"</f>
        <v>王诗圣</v>
      </c>
      <c r="E403" s="2" t="str">
        <f>"男"</f>
        <v>男</v>
      </c>
    </row>
    <row r="404" spans="1:5" ht="14.4" x14ac:dyDescent="0.25">
      <c r="A404" s="4">
        <v>402</v>
      </c>
      <c r="B404" s="2" t="str">
        <f>"3251202108112302288114"</f>
        <v>3251202108112302288114</v>
      </c>
      <c r="C404" s="2" t="s">
        <v>6</v>
      </c>
      <c r="D404" s="2" t="str">
        <f>"杨娟"</f>
        <v>杨娟</v>
      </c>
      <c r="E404" s="2" t="str">
        <f>"女"</f>
        <v>女</v>
      </c>
    </row>
    <row r="405" spans="1:5" ht="14.4" x14ac:dyDescent="0.25">
      <c r="A405" s="4">
        <v>403</v>
      </c>
      <c r="B405" s="2" t="str">
        <f>"3251202108112333018138"</f>
        <v>3251202108112333018138</v>
      </c>
      <c r="C405" s="2" t="s">
        <v>6</v>
      </c>
      <c r="D405" s="2" t="str">
        <f>"吉婉玉"</f>
        <v>吉婉玉</v>
      </c>
      <c r="E405" s="2" t="str">
        <f>"女"</f>
        <v>女</v>
      </c>
    </row>
    <row r="406" spans="1:5" ht="14.4" x14ac:dyDescent="0.25">
      <c r="A406" s="4">
        <v>404</v>
      </c>
      <c r="B406" s="2" t="str">
        <f>"3251202108112342598143"</f>
        <v>3251202108112342598143</v>
      </c>
      <c r="C406" s="2" t="s">
        <v>6</v>
      </c>
      <c r="D406" s="2" t="str">
        <f>"薛梅玲"</f>
        <v>薛梅玲</v>
      </c>
      <c r="E406" s="2" t="str">
        <f>"女"</f>
        <v>女</v>
      </c>
    </row>
    <row r="407" spans="1:5" ht="14.4" x14ac:dyDescent="0.25">
      <c r="A407" s="4">
        <v>405</v>
      </c>
      <c r="B407" s="2" t="str">
        <f>"3251202108112352128147"</f>
        <v>3251202108112352128147</v>
      </c>
      <c r="C407" s="2" t="s">
        <v>6</v>
      </c>
      <c r="D407" s="2" t="str">
        <f>"李植健"</f>
        <v>李植健</v>
      </c>
      <c r="E407" s="2" t="str">
        <f>"男"</f>
        <v>男</v>
      </c>
    </row>
    <row r="408" spans="1:5" ht="14.4" x14ac:dyDescent="0.25">
      <c r="A408" s="4">
        <v>406</v>
      </c>
      <c r="B408" s="2" t="str">
        <f>"3251202108120520558167"</f>
        <v>3251202108120520558167</v>
      </c>
      <c r="C408" s="2" t="s">
        <v>6</v>
      </c>
      <c r="D408" s="2" t="str">
        <f>"张朋"</f>
        <v>张朋</v>
      </c>
      <c r="E408" s="2" t="str">
        <f>"男"</f>
        <v>男</v>
      </c>
    </row>
    <row r="409" spans="1:5" ht="14.4" x14ac:dyDescent="0.25">
      <c r="A409" s="4">
        <v>407</v>
      </c>
      <c r="B409" s="2" t="str">
        <f>"3251202108120625338168"</f>
        <v>3251202108120625338168</v>
      </c>
      <c r="C409" s="2" t="s">
        <v>6</v>
      </c>
      <c r="D409" s="2" t="str">
        <f>"钟家平"</f>
        <v>钟家平</v>
      </c>
      <c r="E409" s="2" t="str">
        <f>"男"</f>
        <v>男</v>
      </c>
    </row>
    <row r="410" spans="1:5" ht="14.4" x14ac:dyDescent="0.25">
      <c r="A410" s="4">
        <v>408</v>
      </c>
      <c r="B410" s="2" t="str">
        <f>"3251202108120822178190"</f>
        <v>3251202108120822178190</v>
      </c>
      <c r="C410" s="2" t="s">
        <v>6</v>
      </c>
      <c r="D410" s="2" t="str">
        <f>"郭美带"</f>
        <v>郭美带</v>
      </c>
      <c r="E410" s="2" t="str">
        <f>"女"</f>
        <v>女</v>
      </c>
    </row>
    <row r="411" spans="1:5" ht="14.4" x14ac:dyDescent="0.25">
      <c r="A411" s="4">
        <v>409</v>
      </c>
      <c r="B411" s="2" t="str">
        <f>"3251202108120828518198"</f>
        <v>3251202108120828518198</v>
      </c>
      <c r="C411" s="2" t="s">
        <v>6</v>
      </c>
      <c r="D411" s="2" t="str">
        <f>"孙蕾"</f>
        <v>孙蕾</v>
      </c>
      <c r="E411" s="2" t="str">
        <f>"女"</f>
        <v>女</v>
      </c>
    </row>
    <row r="412" spans="1:5" ht="14.4" x14ac:dyDescent="0.25">
      <c r="A412" s="4">
        <v>410</v>
      </c>
      <c r="B412" s="2" t="str">
        <f>"3251202108120841038213"</f>
        <v>3251202108120841038213</v>
      </c>
      <c r="C412" s="2" t="s">
        <v>6</v>
      </c>
      <c r="D412" s="2" t="str">
        <f>"符春梦"</f>
        <v>符春梦</v>
      </c>
      <c r="E412" s="2" t="str">
        <f>"女"</f>
        <v>女</v>
      </c>
    </row>
    <row r="413" spans="1:5" ht="14.4" x14ac:dyDescent="0.25">
      <c r="A413" s="4">
        <v>411</v>
      </c>
      <c r="B413" s="2" t="str">
        <f>"3251202108120849198225"</f>
        <v>3251202108120849198225</v>
      </c>
      <c r="C413" s="2" t="s">
        <v>6</v>
      </c>
      <c r="D413" s="2" t="str">
        <f>"王梅侠"</f>
        <v>王梅侠</v>
      </c>
      <c r="E413" s="2" t="str">
        <f>"女"</f>
        <v>女</v>
      </c>
    </row>
    <row r="414" spans="1:5" ht="14.4" x14ac:dyDescent="0.25">
      <c r="A414" s="4">
        <v>412</v>
      </c>
      <c r="B414" s="2" t="str">
        <f>"3251202108120908448271"</f>
        <v>3251202108120908448271</v>
      </c>
      <c r="C414" s="2" t="s">
        <v>6</v>
      </c>
      <c r="D414" s="2" t="str">
        <f>"邱运标"</f>
        <v>邱运标</v>
      </c>
      <c r="E414" s="2" t="str">
        <f>"男"</f>
        <v>男</v>
      </c>
    </row>
    <row r="415" spans="1:5" ht="14.4" x14ac:dyDescent="0.25">
      <c r="A415" s="4">
        <v>413</v>
      </c>
      <c r="B415" s="2" t="str">
        <f>"3251202108120909428275"</f>
        <v>3251202108120909428275</v>
      </c>
      <c r="C415" s="2" t="s">
        <v>6</v>
      </c>
      <c r="D415" s="2" t="str">
        <f>"施国芸"</f>
        <v>施国芸</v>
      </c>
      <c r="E415" s="2" t="str">
        <f>"女"</f>
        <v>女</v>
      </c>
    </row>
    <row r="416" spans="1:5" ht="14.4" x14ac:dyDescent="0.25">
      <c r="A416" s="4">
        <v>414</v>
      </c>
      <c r="B416" s="2" t="str">
        <f>"3251202108120914208286"</f>
        <v>3251202108120914208286</v>
      </c>
      <c r="C416" s="2" t="s">
        <v>6</v>
      </c>
      <c r="D416" s="2" t="str">
        <f>"林小慧"</f>
        <v>林小慧</v>
      </c>
      <c r="E416" s="2" t="str">
        <f>"女"</f>
        <v>女</v>
      </c>
    </row>
    <row r="417" spans="1:5" ht="14.4" x14ac:dyDescent="0.25">
      <c r="A417" s="4">
        <v>415</v>
      </c>
      <c r="B417" s="2" t="str">
        <f>"3251202108120918178298"</f>
        <v>3251202108120918178298</v>
      </c>
      <c r="C417" s="2" t="s">
        <v>6</v>
      </c>
      <c r="D417" s="2" t="str">
        <f>"符传喜"</f>
        <v>符传喜</v>
      </c>
      <c r="E417" s="2" t="str">
        <f>"男"</f>
        <v>男</v>
      </c>
    </row>
    <row r="418" spans="1:5" ht="14.4" x14ac:dyDescent="0.25">
      <c r="A418" s="4">
        <v>416</v>
      </c>
      <c r="B418" s="2" t="str">
        <f>"3251202108120926408325"</f>
        <v>3251202108120926408325</v>
      </c>
      <c r="C418" s="2" t="s">
        <v>6</v>
      </c>
      <c r="D418" s="2" t="str">
        <f>"钟丹铝"</f>
        <v>钟丹铝</v>
      </c>
      <c r="E418" s="2" t="str">
        <f>"女"</f>
        <v>女</v>
      </c>
    </row>
    <row r="419" spans="1:5" ht="14.4" x14ac:dyDescent="0.25">
      <c r="A419" s="4">
        <v>417</v>
      </c>
      <c r="B419" s="2" t="str">
        <f>"3251202108120930388331"</f>
        <v>3251202108120930388331</v>
      </c>
      <c r="C419" s="2" t="s">
        <v>6</v>
      </c>
      <c r="D419" s="2" t="str">
        <f>"林金玉"</f>
        <v>林金玉</v>
      </c>
      <c r="E419" s="2" t="str">
        <f>"女"</f>
        <v>女</v>
      </c>
    </row>
    <row r="420" spans="1:5" ht="14.4" x14ac:dyDescent="0.25">
      <c r="A420" s="4">
        <v>418</v>
      </c>
      <c r="B420" s="2" t="str">
        <f>"3251202108120933088339"</f>
        <v>3251202108120933088339</v>
      </c>
      <c r="C420" s="2" t="s">
        <v>6</v>
      </c>
      <c r="D420" s="2" t="str">
        <f>"王康涛"</f>
        <v>王康涛</v>
      </c>
      <c r="E420" s="2" t="str">
        <f>"男"</f>
        <v>男</v>
      </c>
    </row>
    <row r="421" spans="1:5" ht="14.4" x14ac:dyDescent="0.25">
      <c r="A421" s="4">
        <v>419</v>
      </c>
      <c r="B421" s="2" t="str">
        <f>"3251202108120934268345"</f>
        <v>3251202108120934268345</v>
      </c>
      <c r="C421" s="2" t="s">
        <v>6</v>
      </c>
      <c r="D421" s="2" t="str">
        <f>"陈菲"</f>
        <v>陈菲</v>
      </c>
      <c r="E421" s="2" t="str">
        <f>"女"</f>
        <v>女</v>
      </c>
    </row>
    <row r="422" spans="1:5" ht="14.4" x14ac:dyDescent="0.25">
      <c r="A422" s="4">
        <v>420</v>
      </c>
      <c r="B422" s="2" t="str">
        <f>"3251202108120936138352"</f>
        <v>3251202108120936138352</v>
      </c>
      <c r="C422" s="2" t="s">
        <v>6</v>
      </c>
      <c r="D422" s="2" t="str">
        <f>"陈应间"</f>
        <v>陈应间</v>
      </c>
      <c r="E422" s="2" t="str">
        <f>"女"</f>
        <v>女</v>
      </c>
    </row>
    <row r="423" spans="1:5" ht="14.4" x14ac:dyDescent="0.25">
      <c r="A423" s="4">
        <v>421</v>
      </c>
      <c r="B423" s="2" t="str">
        <f>"3251202108120944178376"</f>
        <v>3251202108120944178376</v>
      </c>
      <c r="C423" s="2" t="s">
        <v>6</v>
      </c>
      <c r="D423" s="2" t="str">
        <f>"苏珊菊"</f>
        <v>苏珊菊</v>
      </c>
      <c r="E423" s="2" t="str">
        <f>"女"</f>
        <v>女</v>
      </c>
    </row>
    <row r="424" spans="1:5" ht="14.4" x14ac:dyDescent="0.25">
      <c r="A424" s="4">
        <v>422</v>
      </c>
      <c r="B424" s="2" t="str">
        <f>"3251202108120944548378"</f>
        <v>3251202108120944548378</v>
      </c>
      <c r="C424" s="2" t="s">
        <v>6</v>
      </c>
      <c r="D424" s="2" t="str">
        <f>"刘梦奇"</f>
        <v>刘梦奇</v>
      </c>
      <c r="E424" s="2" t="str">
        <f>"男"</f>
        <v>男</v>
      </c>
    </row>
    <row r="425" spans="1:5" ht="14.4" x14ac:dyDescent="0.25">
      <c r="A425" s="4">
        <v>423</v>
      </c>
      <c r="B425" s="2" t="str">
        <f>"3251202108120949138392"</f>
        <v>3251202108120949138392</v>
      </c>
      <c r="C425" s="2" t="s">
        <v>6</v>
      </c>
      <c r="D425" s="2" t="str">
        <f>"吴少敏"</f>
        <v>吴少敏</v>
      </c>
      <c r="E425" s="2" t="str">
        <f>"女"</f>
        <v>女</v>
      </c>
    </row>
    <row r="426" spans="1:5" ht="14.4" x14ac:dyDescent="0.25">
      <c r="A426" s="4">
        <v>424</v>
      </c>
      <c r="B426" s="2" t="str">
        <f>"3251202108120957158402"</f>
        <v>3251202108120957158402</v>
      </c>
      <c r="C426" s="2" t="s">
        <v>6</v>
      </c>
      <c r="D426" s="2" t="str">
        <f>"高生科"</f>
        <v>高生科</v>
      </c>
      <c r="E426" s="2" t="str">
        <f>"男"</f>
        <v>男</v>
      </c>
    </row>
    <row r="427" spans="1:5" ht="14.4" x14ac:dyDescent="0.25">
      <c r="A427" s="4">
        <v>425</v>
      </c>
      <c r="B427" s="2" t="str">
        <f>"3251202108120959488406"</f>
        <v>3251202108120959488406</v>
      </c>
      <c r="C427" s="2" t="s">
        <v>6</v>
      </c>
      <c r="D427" s="2" t="str">
        <f>"李妹妹"</f>
        <v>李妹妹</v>
      </c>
      <c r="E427" s="2" t="str">
        <f>"女"</f>
        <v>女</v>
      </c>
    </row>
    <row r="428" spans="1:5" ht="14.4" x14ac:dyDescent="0.25">
      <c r="A428" s="4">
        <v>426</v>
      </c>
      <c r="B428" s="2" t="str">
        <f>"3251202108121002058411"</f>
        <v>3251202108121002058411</v>
      </c>
      <c r="C428" s="2" t="s">
        <v>6</v>
      </c>
      <c r="D428" s="2" t="str">
        <f>"陈明气"</f>
        <v>陈明气</v>
      </c>
      <c r="E428" s="2" t="str">
        <f>"男"</f>
        <v>男</v>
      </c>
    </row>
    <row r="429" spans="1:5" ht="14.4" x14ac:dyDescent="0.25">
      <c r="A429" s="4">
        <v>427</v>
      </c>
      <c r="B429" s="2" t="str">
        <f>"3251202108121011188429"</f>
        <v>3251202108121011188429</v>
      </c>
      <c r="C429" s="2" t="s">
        <v>6</v>
      </c>
      <c r="D429" s="2" t="str">
        <f>"李雯雯"</f>
        <v>李雯雯</v>
      </c>
      <c r="E429" s="2" t="str">
        <f>"女"</f>
        <v>女</v>
      </c>
    </row>
    <row r="430" spans="1:5" ht="14.4" x14ac:dyDescent="0.25">
      <c r="A430" s="4">
        <v>428</v>
      </c>
      <c r="B430" s="2" t="str">
        <f>"3251202108121029488466"</f>
        <v>3251202108121029488466</v>
      </c>
      <c r="C430" s="2" t="s">
        <v>6</v>
      </c>
      <c r="D430" s="2" t="str">
        <f>"唐美花"</f>
        <v>唐美花</v>
      </c>
      <c r="E430" s="2" t="str">
        <f>"女"</f>
        <v>女</v>
      </c>
    </row>
    <row r="431" spans="1:5" ht="14.4" x14ac:dyDescent="0.25">
      <c r="A431" s="4">
        <v>429</v>
      </c>
      <c r="B431" s="2" t="str">
        <f>"3251202108121041488491"</f>
        <v>3251202108121041488491</v>
      </c>
      <c r="C431" s="2" t="s">
        <v>6</v>
      </c>
      <c r="D431" s="2" t="str">
        <f>"陈道玉"</f>
        <v>陈道玉</v>
      </c>
      <c r="E431" s="2" t="str">
        <f>"女"</f>
        <v>女</v>
      </c>
    </row>
    <row r="432" spans="1:5" ht="14.4" x14ac:dyDescent="0.25">
      <c r="A432" s="4">
        <v>430</v>
      </c>
      <c r="B432" s="2" t="str">
        <f>"3251202108121044348502"</f>
        <v>3251202108121044348502</v>
      </c>
      <c r="C432" s="2" t="s">
        <v>6</v>
      </c>
      <c r="D432" s="2" t="str">
        <f>"吴伟伟"</f>
        <v>吴伟伟</v>
      </c>
      <c r="E432" s="2" t="str">
        <f>"男"</f>
        <v>男</v>
      </c>
    </row>
    <row r="433" spans="1:5" ht="14.4" x14ac:dyDescent="0.25">
      <c r="A433" s="4">
        <v>431</v>
      </c>
      <c r="B433" s="2" t="str">
        <f>"3251202108121046298506"</f>
        <v>3251202108121046298506</v>
      </c>
      <c r="C433" s="2" t="s">
        <v>6</v>
      </c>
      <c r="D433" s="2" t="str">
        <f>"王太华"</f>
        <v>王太华</v>
      </c>
      <c r="E433" s="2" t="str">
        <f>"女"</f>
        <v>女</v>
      </c>
    </row>
    <row r="434" spans="1:5" ht="14.4" x14ac:dyDescent="0.25">
      <c r="A434" s="4">
        <v>432</v>
      </c>
      <c r="B434" s="2" t="str">
        <f>"3251202108121054158528"</f>
        <v>3251202108121054158528</v>
      </c>
      <c r="C434" s="2" t="s">
        <v>6</v>
      </c>
      <c r="D434" s="2" t="str">
        <f>"张晓颖"</f>
        <v>张晓颖</v>
      </c>
      <c r="E434" s="2" t="str">
        <f>"女"</f>
        <v>女</v>
      </c>
    </row>
    <row r="435" spans="1:5" ht="14.4" x14ac:dyDescent="0.25">
      <c r="A435" s="4">
        <v>433</v>
      </c>
      <c r="B435" s="2" t="str">
        <f>"3251202108121055228530"</f>
        <v>3251202108121055228530</v>
      </c>
      <c r="C435" s="2" t="s">
        <v>6</v>
      </c>
      <c r="D435" s="2" t="str">
        <f>"林小莉"</f>
        <v>林小莉</v>
      </c>
      <c r="E435" s="2" t="str">
        <f>"女"</f>
        <v>女</v>
      </c>
    </row>
    <row r="436" spans="1:5" ht="14.4" x14ac:dyDescent="0.25">
      <c r="A436" s="4">
        <v>434</v>
      </c>
      <c r="B436" s="2" t="str">
        <f>"3251202108121107248542"</f>
        <v>3251202108121107248542</v>
      </c>
      <c r="C436" s="2" t="s">
        <v>6</v>
      </c>
      <c r="D436" s="2" t="str">
        <f>"潘沉"</f>
        <v>潘沉</v>
      </c>
      <c r="E436" s="2" t="str">
        <f>"女"</f>
        <v>女</v>
      </c>
    </row>
    <row r="437" spans="1:5" ht="14.4" x14ac:dyDescent="0.25">
      <c r="A437" s="4">
        <v>435</v>
      </c>
      <c r="B437" s="2" t="str">
        <f>"3251202108121111148550"</f>
        <v>3251202108121111148550</v>
      </c>
      <c r="C437" s="2" t="s">
        <v>6</v>
      </c>
      <c r="D437" s="2" t="str">
        <f>"符明荣"</f>
        <v>符明荣</v>
      </c>
      <c r="E437" s="2" t="str">
        <f>"男"</f>
        <v>男</v>
      </c>
    </row>
    <row r="438" spans="1:5" ht="14.4" x14ac:dyDescent="0.25">
      <c r="A438" s="4">
        <v>436</v>
      </c>
      <c r="B438" s="2" t="str">
        <f>"3251202108121122018572"</f>
        <v>3251202108121122018572</v>
      </c>
      <c r="C438" s="2" t="s">
        <v>6</v>
      </c>
      <c r="D438" s="2" t="str">
        <f>"羊学贤"</f>
        <v>羊学贤</v>
      </c>
      <c r="E438" s="2" t="str">
        <f>"男"</f>
        <v>男</v>
      </c>
    </row>
    <row r="439" spans="1:5" ht="14.4" x14ac:dyDescent="0.25">
      <c r="A439" s="4">
        <v>437</v>
      </c>
      <c r="B439" s="2" t="str">
        <f>"3251202108121128338587"</f>
        <v>3251202108121128338587</v>
      </c>
      <c r="C439" s="2" t="s">
        <v>6</v>
      </c>
      <c r="D439" s="2" t="str">
        <f>"王哲"</f>
        <v>王哲</v>
      </c>
      <c r="E439" s="2" t="str">
        <f>"男"</f>
        <v>男</v>
      </c>
    </row>
    <row r="440" spans="1:5" ht="14.4" x14ac:dyDescent="0.25">
      <c r="A440" s="4">
        <v>438</v>
      </c>
      <c r="B440" s="2" t="str">
        <f>"3251202108121131048592"</f>
        <v>3251202108121131048592</v>
      </c>
      <c r="C440" s="2" t="s">
        <v>6</v>
      </c>
      <c r="D440" s="2" t="str">
        <f>"刘有炽"</f>
        <v>刘有炽</v>
      </c>
      <c r="E440" s="2" t="str">
        <f>"男"</f>
        <v>男</v>
      </c>
    </row>
    <row r="441" spans="1:5" ht="14.4" x14ac:dyDescent="0.25">
      <c r="A441" s="4">
        <v>439</v>
      </c>
      <c r="B441" s="2" t="str">
        <f>"3251202108121134428600"</f>
        <v>3251202108121134428600</v>
      </c>
      <c r="C441" s="2" t="s">
        <v>6</v>
      </c>
      <c r="D441" s="2" t="str">
        <f>"何子亮"</f>
        <v>何子亮</v>
      </c>
      <c r="E441" s="2" t="str">
        <f>"男"</f>
        <v>男</v>
      </c>
    </row>
    <row r="442" spans="1:5" ht="14.4" x14ac:dyDescent="0.25">
      <c r="A442" s="4">
        <v>440</v>
      </c>
      <c r="B442" s="2" t="str">
        <f>"3251202108121143538616"</f>
        <v>3251202108121143538616</v>
      </c>
      <c r="C442" s="2" t="s">
        <v>6</v>
      </c>
      <c r="D442" s="2" t="str">
        <f>"杨萍"</f>
        <v>杨萍</v>
      </c>
      <c r="E442" s="2" t="str">
        <f>"女"</f>
        <v>女</v>
      </c>
    </row>
    <row r="443" spans="1:5" ht="14.4" x14ac:dyDescent="0.25">
      <c r="A443" s="4">
        <v>441</v>
      </c>
      <c r="B443" s="2" t="str">
        <f>"3251202108121208408645"</f>
        <v>3251202108121208408645</v>
      </c>
      <c r="C443" s="2" t="s">
        <v>6</v>
      </c>
      <c r="D443" s="2" t="str">
        <f>"刘静翠"</f>
        <v>刘静翠</v>
      </c>
      <c r="E443" s="2" t="str">
        <f>"女"</f>
        <v>女</v>
      </c>
    </row>
    <row r="444" spans="1:5" ht="14.4" x14ac:dyDescent="0.25">
      <c r="A444" s="4">
        <v>442</v>
      </c>
      <c r="B444" s="2" t="str">
        <f>"3251202108121212238648"</f>
        <v>3251202108121212238648</v>
      </c>
      <c r="C444" s="2" t="s">
        <v>6</v>
      </c>
      <c r="D444" s="2" t="str">
        <f>"李慧慧"</f>
        <v>李慧慧</v>
      </c>
      <c r="E444" s="2" t="str">
        <f>"女"</f>
        <v>女</v>
      </c>
    </row>
    <row r="445" spans="1:5" ht="14.4" x14ac:dyDescent="0.25">
      <c r="A445" s="4">
        <v>443</v>
      </c>
      <c r="B445" s="2" t="str">
        <f>"3251202108121227278661"</f>
        <v>3251202108121227278661</v>
      </c>
      <c r="C445" s="2" t="s">
        <v>6</v>
      </c>
      <c r="D445" s="2" t="str">
        <f>"蔡志强"</f>
        <v>蔡志强</v>
      </c>
      <c r="E445" s="2" t="str">
        <f>"男"</f>
        <v>男</v>
      </c>
    </row>
    <row r="446" spans="1:5" ht="14.4" x14ac:dyDescent="0.25">
      <c r="A446" s="4">
        <v>444</v>
      </c>
      <c r="B446" s="2" t="str">
        <f>"3251202108121234418665"</f>
        <v>3251202108121234418665</v>
      </c>
      <c r="C446" s="2" t="s">
        <v>6</v>
      </c>
      <c r="D446" s="2" t="str">
        <f>"吴巧"</f>
        <v>吴巧</v>
      </c>
      <c r="E446" s="2" t="str">
        <f>"女"</f>
        <v>女</v>
      </c>
    </row>
    <row r="447" spans="1:5" ht="14.4" x14ac:dyDescent="0.25">
      <c r="A447" s="4">
        <v>445</v>
      </c>
      <c r="B447" s="2" t="str">
        <f>"3251202108121246188686"</f>
        <v>3251202108121246188686</v>
      </c>
      <c r="C447" s="2" t="s">
        <v>6</v>
      </c>
      <c r="D447" s="2" t="str">
        <f>"林垚臣"</f>
        <v>林垚臣</v>
      </c>
      <c r="E447" s="2" t="str">
        <f>"男"</f>
        <v>男</v>
      </c>
    </row>
    <row r="448" spans="1:5" ht="14.4" x14ac:dyDescent="0.25">
      <c r="A448" s="4">
        <v>446</v>
      </c>
      <c r="B448" s="2" t="str">
        <f>"3251202108121249288691"</f>
        <v>3251202108121249288691</v>
      </c>
      <c r="C448" s="2" t="s">
        <v>6</v>
      </c>
      <c r="D448" s="2" t="str">
        <f>"陈惠娟"</f>
        <v>陈惠娟</v>
      </c>
      <c r="E448" s="2" t="str">
        <f>"女"</f>
        <v>女</v>
      </c>
    </row>
    <row r="449" spans="1:5" ht="14.4" x14ac:dyDescent="0.25">
      <c r="A449" s="4">
        <v>447</v>
      </c>
      <c r="B449" s="2" t="str">
        <f>"3251202108121253308694"</f>
        <v>3251202108121253308694</v>
      </c>
      <c r="C449" s="2" t="s">
        <v>6</v>
      </c>
      <c r="D449" s="2" t="str">
        <f>"邓昭君"</f>
        <v>邓昭君</v>
      </c>
      <c r="E449" s="2" t="str">
        <f>"女"</f>
        <v>女</v>
      </c>
    </row>
    <row r="450" spans="1:5" ht="14.4" x14ac:dyDescent="0.25">
      <c r="A450" s="4">
        <v>448</v>
      </c>
      <c r="B450" s="2" t="str">
        <f>"3251202108121312178709"</f>
        <v>3251202108121312178709</v>
      </c>
      <c r="C450" s="2" t="s">
        <v>6</v>
      </c>
      <c r="D450" s="2" t="str">
        <f>"覃海林"</f>
        <v>覃海林</v>
      </c>
      <c r="E450" s="2" t="str">
        <f>"女"</f>
        <v>女</v>
      </c>
    </row>
    <row r="451" spans="1:5" ht="14.4" x14ac:dyDescent="0.25">
      <c r="A451" s="4">
        <v>449</v>
      </c>
      <c r="B451" s="2" t="str">
        <f>"3251202108121312328710"</f>
        <v>3251202108121312328710</v>
      </c>
      <c r="C451" s="2" t="s">
        <v>6</v>
      </c>
      <c r="D451" s="2" t="str">
        <f>"冯琦"</f>
        <v>冯琦</v>
      </c>
      <c r="E451" s="2" t="str">
        <f>"女"</f>
        <v>女</v>
      </c>
    </row>
    <row r="452" spans="1:5" ht="14.4" x14ac:dyDescent="0.25">
      <c r="A452" s="4">
        <v>450</v>
      </c>
      <c r="B452" s="2" t="str">
        <f>"3251202108121319198721"</f>
        <v>3251202108121319198721</v>
      </c>
      <c r="C452" s="2" t="s">
        <v>6</v>
      </c>
      <c r="D452" s="2" t="str">
        <f>"许洛玮"</f>
        <v>许洛玮</v>
      </c>
      <c r="E452" s="2" t="str">
        <f>"男"</f>
        <v>男</v>
      </c>
    </row>
    <row r="453" spans="1:5" ht="14.4" x14ac:dyDescent="0.25">
      <c r="A453" s="4">
        <v>451</v>
      </c>
      <c r="B453" s="2" t="str">
        <f>"3251202108121321478725"</f>
        <v>3251202108121321478725</v>
      </c>
      <c r="C453" s="2" t="s">
        <v>6</v>
      </c>
      <c r="D453" s="2" t="str">
        <f>"符浩"</f>
        <v>符浩</v>
      </c>
      <c r="E453" s="2" t="str">
        <f>"男"</f>
        <v>男</v>
      </c>
    </row>
    <row r="454" spans="1:5" ht="14.4" x14ac:dyDescent="0.25">
      <c r="A454" s="4">
        <v>452</v>
      </c>
      <c r="B454" s="2" t="str">
        <f>"3251202108121347588748"</f>
        <v>3251202108121347588748</v>
      </c>
      <c r="C454" s="2" t="s">
        <v>6</v>
      </c>
      <c r="D454" s="2" t="str">
        <f>"王赟赟"</f>
        <v>王赟赟</v>
      </c>
      <c r="E454" s="2" t="str">
        <f>"女"</f>
        <v>女</v>
      </c>
    </row>
    <row r="455" spans="1:5" ht="14.4" x14ac:dyDescent="0.25">
      <c r="A455" s="4">
        <v>453</v>
      </c>
      <c r="B455" s="2" t="str">
        <f>"3251202108121426588792"</f>
        <v>3251202108121426588792</v>
      </c>
      <c r="C455" s="2" t="s">
        <v>6</v>
      </c>
      <c r="D455" s="2" t="str">
        <f>"朱艺莹"</f>
        <v>朱艺莹</v>
      </c>
      <c r="E455" s="2" t="str">
        <f>"女"</f>
        <v>女</v>
      </c>
    </row>
    <row r="456" spans="1:5" ht="14.4" x14ac:dyDescent="0.25">
      <c r="A456" s="4">
        <v>454</v>
      </c>
      <c r="B456" s="2" t="str">
        <f>"3251202108121432508799"</f>
        <v>3251202108121432508799</v>
      </c>
      <c r="C456" s="2" t="s">
        <v>6</v>
      </c>
      <c r="D456" s="2" t="str">
        <f>"符钰月"</f>
        <v>符钰月</v>
      </c>
      <c r="E456" s="2" t="str">
        <f>"女"</f>
        <v>女</v>
      </c>
    </row>
    <row r="457" spans="1:5" ht="14.4" x14ac:dyDescent="0.25">
      <c r="A457" s="4">
        <v>455</v>
      </c>
      <c r="B457" s="2" t="str">
        <f>"3251202108121505208859"</f>
        <v>3251202108121505208859</v>
      </c>
      <c r="C457" s="2" t="s">
        <v>6</v>
      </c>
      <c r="D457" s="2" t="str">
        <f>"陈泽流"</f>
        <v>陈泽流</v>
      </c>
      <c r="E457" s="2" t="str">
        <f>"男"</f>
        <v>男</v>
      </c>
    </row>
    <row r="458" spans="1:5" ht="14.4" x14ac:dyDescent="0.25">
      <c r="A458" s="4">
        <v>456</v>
      </c>
      <c r="B458" s="2" t="str">
        <f>"3251202108121516538883"</f>
        <v>3251202108121516538883</v>
      </c>
      <c r="C458" s="2" t="s">
        <v>6</v>
      </c>
      <c r="D458" s="2" t="str">
        <f>"高芳禄"</f>
        <v>高芳禄</v>
      </c>
      <c r="E458" s="2" t="str">
        <f>"男"</f>
        <v>男</v>
      </c>
    </row>
    <row r="459" spans="1:5" ht="14.4" x14ac:dyDescent="0.25">
      <c r="A459" s="4">
        <v>457</v>
      </c>
      <c r="B459" s="2" t="str">
        <f>"3251202108121522318895"</f>
        <v>3251202108121522318895</v>
      </c>
      <c r="C459" s="2" t="s">
        <v>6</v>
      </c>
      <c r="D459" s="2" t="str">
        <f>"庄关保"</f>
        <v>庄关保</v>
      </c>
      <c r="E459" s="2" t="str">
        <f>"男"</f>
        <v>男</v>
      </c>
    </row>
    <row r="460" spans="1:5" ht="14.4" x14ac:dyDescent="0.25">
      <c r="A460" s="4">
        <v>458</v>
      </c>
      <c r="B460" s="2" t="str">
        <f>"3251202108121525098905"</f>
        <v>3251202108121525098905</v>
      </c>
      <c r="C460" s="2" t="s">
        <v>6</v>
      </c>
      <c r="D460" s="2" t="str">
        <f>"邢孔佼"</f>
        <v>邢孔佼</v>
      </c>
      <c r="E460" s="2" t="str">
        <f t="shared" ref="E460:E465" si="10">"女"</f>
        <v>女</v>
      </c>
    </row>
    <row r="461" spans="1:5" ht="14.4" x14ac:dyDescent="0.25">
      <c r="A461" s="4">
        <v>459</v>
      </c>
      <c r="B461" s="2" t="str">
        <f>"3251202108121543298935"</f>
        <v>3251202108121543298935</v>
      </c>
      <c r="C461" s="2" t="s">
        <v>6</v>
      </c>
      <c r="D461" s="2" t="str">
        <f>"黄慧萍"</f>
        <v>黄慧萍</v>
      </c>
      <c r="E461" s="2" t="str">
        <f t="shared" si="10"/>
        <v>女</v>
      </c>
    </row>
    <row r="462" spans="1:5" ht="14.4" x14ac:dyDescent="0.25">
      <c r="A462" s="4">
        <v>460</v>
      </c>
      <c r="B462" s="2" t="str">
        <f>"3251202108121554158957"</f>
        <v>3251202108121554158957</v>
      </c>
      <c r="C462" s="2" t="s">
        <v>6</v>
      </c>
      <c r="D462" s="2" t="str">
        <f>"张宇熙"</f>
        <v>张宇熙</v>
      </c>
      <c r="E462" s="2" t="str">
        <f t="shared" si="10"/>
        <v>女</v>
      </c>
    </row>
    <row r="463" spans="1:5" ht="14.4" x14ac:dyDescent="0.25">
      <c r="A463" s="4">
        <v>461</v>
      </c>
      <c r="B463" s="2" t="str">
        <f>"3251202108121556198963"</f>
        <v>3251202108121556198963</v>
      </c>
      <c r="C463" s="2" t="s">
        <v>6</v>
      </c>
      <c r="D463" s="2" t="str">
        <f>"王海燕"</f>
        <v>王海燕</v>
      </c>
      <c r="E463" s="2" t="str">
        <f t="shared" si="10"/>
        <v>女</v>
      </c>
    </row>
    <row r="464" spans="1:5" ht="14.4" x14ac:dyDescent="0.25">
      <c r="A464" s="4">
        <v>462</v>
      </c>
      <c r="B464" s="2" t="str">
        <f>"3251202108121556488966"</f>
        <v>3251202108121556488966</v>
      </c>
      <c r="C464" s="2" t="s">
        <v>6</v>
      </c>
      <c r="D464" s="2" t="str">
        <f>"苏鸿媛"</f>
        <v>苏鸿媛</v>
      </c>
      <c r="E464" s="2" t="str">
        <f t="shared" si="10"/>
        <v>女</v>
      </c>
    </row>
    <row r="465" spans="1:5" ht="14.4" x14ac:dyDescent="0.25">
      <c r="A465" s="4">
        <v>463</v>
      </c>
      <c r="B465" s="2" t="str">
        <f>"3251202108121616348999"</f>
        <v>3251202108121616348999</v>
      </c>
      <c r="C465" s="2" t="s">
        <v>6</v>
      </c>
      <c r="D465" s="2" t="str">
        <f>"何应焕"</f>
        <v>何应焕</v>
      </c>
      <c r="E465" s="2" t="str">
        <f t="shared" si="10"/>
        <v>女</v>
      </c>
    </row>
    <row r="466" spans="1:5" ht="14.4" x14ac:dyDescent="0.25">
      <c r="A466" s="4">
        <v>464</v>
      </c>
      <c r="B466" s="2" t="str">
        <f>"3251202108121623109012"</f>
        <v>3251202108121623109012</v>
      </c>
      <c r="C466" s="2" t="s">
        <v>6</v>
      </c>
      <c r="D466" s="2" t="str">
        <f>"谢正光"</f>
        <v>谢正光</v>
      </c>
      <c r="E466" s="2" t="str">
        <f>"男"</f>
        <v>男</v>
      </c>
    </row>
    <row r="467" spans="1:5" ht="14.4" x14ac:dyDescent="0.25">
      <c r="A467" s="4">
        <v>465</v>
      </c>
      <c r="B467" s="2" t="str">
        <f>"3251202108121628029022"</f>
        <v>3251202108121628029022</v>
      </c>
      <c r="C467" s="2" t="s">
        <v>6</v>
      </c>
      <c r="D467" s="2" t="str">
        <f>"黎美美"</f>
        <v>黎美美</v>
      </c>
      <c r="E467" s="2" t="str">
        <f>"女"</f>
        <v>女</v>
      </c>
    </row>
    <row r="468" spans="1:5" ht="14.4" x14ac:dyDescent="0.25">
      <c r="A468" s="4">
        <v>466</v>
      </c>
      <c r="B468" s="2" t="str">
        <f>"3251202108121632509026"</f>
        <v>3251202108121632509026</v>
      </c>
      <c r="C468" s="2" t="s">
        <v>6</v>
      </c>
      <c r="D468" s="2" t="str">
        <f>"陈青良"</f>
        <v>陈青良</v>
      </c>
      <c r="E468" s="2" t="str">
        <f>"男"</f>
        <v>男</v>
      </c>
    </row>
    <row r="469" spans="1:5" ht="14.4" x14ac:dyDescent="0.25">
      <c r="A469" s="4">
        <v>467</v>
      </c>
      <c r="B469" s="2" t="str">
        <f>"3251202108121639189035"</f>
        <v>3251202108121639189035</v>
      </c>
      <c r="C469" s="2" t="s">
        <v>6</v>
      </c>
      <c r="D469" s="2" t="str">
        <f>"曹旭"</f>
        <v>曹旭</v>
      </c>
      <c r="E469" s="2" t="str">
        <f>"男"</f>
        <v>男</v>
      </c>
    </row>
    <row r="470" spans="1:5" ht="14.4" x14ac:dyDescent="0.25">
      <c r="A470" s="4">
        <v>468</v>
      </c>
      <c r="B470" s="2" t="str">
        <f>"3251202108121654399052"</f>
        <v>3251202108121654399052</v>
      </c>
      <c r="C470" s="2" t="s">
        <v>6</v>
      </c>
      <c r="D470" s="2" t="str">
        <f>"林书德"</f>
        <v>林书德</v>
      </c>
      <c r="E470" s="2" t="str">
        <f>"男"</f>
        <v>男</v>
      </c>
    </row>
    <row r="471" spans="1:5" ht="14.4" x14ac:dyDescent="0.25">
      <c r="A471" s="4">
        <v>469</v>
      </c>
      <c r="B471" s="2" t="str">
        <f>"3251202108121713499086"</f>
        <v>3251202108121713499086</v>
      </c>
      <c r="C471" s="2" t="s">
        <v>6</v>
      </c>
      <c r="D471" s="2" t="str">
        <f>"钟敏秀"</f>
        <v>钟敏秀</v>
      </c>
      <c r="E471" s="2" t="str">
        <f>"女"</f>
        <v>女</v>
      </c>
    </row>
    <row r="472" spans="1:5" ht="14.4" x14ac:dyDescent="0.25">
      <c r="A472" s="4">
        <v>470</v>
      </c>
      <c r="B472" s="2" t="str">
        <f>"3251202108121725239107"</f>
        <v>3251202108121725239107</v>
      </c>
      <c r="C472" s="2" t="s">
        <v>6</v>
      </c>
      <c r="D472" s="2" t="str">
        <f>"李成艳"</f>
        <v>李成艳</v>
      </c>
      <c r="E472" s="2" t="str">
        <f>"女"</f>
        <v>女</v>
      </c>
    </row>
    <row r="473" spans="1:5" ht="14.4" x14ac:dyDescent="0.25">
      <c r="A473" s="4">
        <v>471</v>
      </c>
      <c r="B473" s="2" t="str">
        <f>"3251202108121734449118"</f>
        <v>3251202108121734449118</v>
      </c>
      <c r="C473" s="2" t="s">
        <v>6</v>
      </c>
      <c r="D473" s="2" t="str">
        <f>"王珍"</f>
        <v>王珍</v>
      </c>
      <c r="E473" s="2" t="str">
        <f>"女"</f>
        <v>女</v>
      </c>
    </row>
    <row r="474" spans="1:5" ht="14.4" x14ac:dyDescent="0.25">
      <c r="A474" s="4">
        <v>472</v>
      </c>
      <c r="B474" s="2" t="str">
        <f>"3251202108121812169150"</f>
        <v>3251202108121812169150</v>
      </c>
      <c r="C474" s="2" t="s">
        <v>6</v>
      </c>
      <c r="D474" s="2" t="str">
        <f>"董慧敏"</f>
        <v>董慧敏</v>
      </c>
      <c r="E474" s="2" t="str">
        <f>"女"</f>
        <v>女</v>
      </c>
    </row>
    <row r="475" spans="1:5" ht="14.4" x14ac:dyDescent="0.25">
      <c r="A475" s="4">
        <v>473</v>
      </c>
      <c r="B475" s="2" t="str">
        <f>"3251202108121829139171"</f>
        <v>3251202108121829139171</v>
      </c>
      <c r="C475" s="2" t="s">
        <v>6</v>
      </c>
      <c r="D475" s="2" t="str">
        <f>"朱剑瑞"</f>
        <v>朱剑瑞</v>
      </c>
      <c r="E475" s="2" t="str">
        <f>"男"</f>
        <v>男</v>
      </c>
    </row>
    <row r="476" spans="1:5" ht="14.4" x14ac:dyDescent="0.25">
      <c r="A476" s="4">
        <v>474</v>
      </c>
      <c r="B476" s="2" t="str">
        <f>"3251202108121859419199"</f>
        <v>3251202108121859419199</v>
      </c>
      <c r="C476" s="2" t="s">
        <v>6</v>
      </c>
      <c r="D476" s="2" t="str">
        <f>"王世精"</f>
        <v>王世精</v>
      </c>
      <c r="E476" s="2" t="str">
        <f>"男"</f>
        <v>男</v>
      </c>
    </row>
    <row r="477" spans="1:5" ht="14.4" x14ac:dyDescent="0.25">
      <c r="A477" s="4">
        <v>475</v>
      </c>
      <c r="B477" s="2" t="str">
        <f>"3251202108121908009209"</f>
        <v>3251202108121908009209</v>
      </c>
      <c r="C477" s="2" t="s">
        <v>6</v>
      </c>
      <c r="D477" s="2" t="str">
        <f>"谢伟峰"</f>
        <v>谢伟峰</v>
      </c>
      <c r="E477" s="2" t="str">
        <f>"男"</f>
        <v>男</v>
      </c>
    </row>
    <row r="478" spans="1:5" ht="14.4" x14ac:dyDescent="0.25">
      <c r="A478" s="4">
        <v>476</v>
      </c>
      <c r="B478" s="2" t="str">
        <f>"3251202108121914529215"</f>
        <v>3251202108121914529215</v>
      </c>
      <c r="C478" s="2" t="s">
        <v>6</v>
      </c>
      <c r="D478" s="2" t="str">
        <f>"符永丹"</f>
        <v>符永丹</v>
      </c>
      <c r="E478" s="2" t="str">
        <f>"女"</f>
        <v>女</v>
      </c>
    </row>
    <row r="479" spans="1:5" ht="14.4" x14ac:dyDescent="0.25">
      <c r="A479" s="4">
        <v>477</v>
      </c>
      <c r="B479" s="2" t="str">
        <f>"3251202108122033329275"</f>
        <v>3251202108122033329275</v>
      </c>
      <c r="C479" s="2" t="s">
        <v>6</v>
      </c>
      <c r="D479" s="2" t="str">
        <f>"陈丽婉"</f>
        <v>陈丽婉</v>
      </c>
      <c r="E479" s="2" t="str">
        <f>"女"</f>
        <v>女</v>
      </c>
    </row>
    <row r="480" spans="1:5" ht="14.4" x14ac:dyDescent="0.25">
      <c r="A480" s="4">
        <v>478</v>
      </c>
      <c r="B480" s="2" t="str">
        <f>"3251202108122105379316"</f>
        <v>3251202108122105379316</v>
      </c>
      <c r="C480" s="2" t="s">
        <v>6</v>
      </c>
      <c r="D480" s="2" t="str">
        <f>"赵学伟"</f>
        <v>赵学伟</v>
      </c>
      <c r="E480" s="2" t="str">
        <f>"男"</f>
        <v>男</v>
      </c>
    </row>
    <row r="481" spans="1:5" ht="14.4" x14ac:dyDescent="0.25">
      <c r="A481" s="4">
        <v>479</v>
      </c>
      <c r="B481" s="2" t="str">
        <f>"3251202108122110419321"</f>
        <v>3251202108122110419321</v>
      </c>
      <c r="C481" s="2" t="s">
        <v>6</v>
      </c>
      <c r="D481" s="2" t="str">
        <f>"黄翠姬"</f>
        <v>黄翠姬</v>
      </c>
      <c r="E481" s="2" t="str">
        <f>"女"</f>
        <v>女</v>
      </c>
    </row>
    <row r="482" spans="1:5" ht="14.4" x14ac:dyDescent="0.25">
      <c r="A482" s="4">
        <v>480</v>
      </c>
      <c r="B482" s="2" t="str">
        <f>"3251202108122119219326"</f>
        <v>3251202108122119219326</v>
      </c>
      <c r="C482" s="2" t="s">
        <v>6</v>
      </c>
      <c r="D482" s="2" t="str">
        <f>"王经刘"</f>
        <v>王经刘</v>
      </c>
      <c r="E482" s="2" t="str">
        <f>"男"</f>
        <v>男</v>
      </c>
    </row>
    <row r="483" spans="1:5" ht="14.4" x14ac:dyDescent="0.25">
      <c r="A483" s="4">
        <v>481</v>
      </c>
      <c r="B483" s="2" t="str">
        <f>"3251202108122134459347"</f>
        <v>3251202108122134459347</v>
      </c>
      <c r="C483" s="2" t="s">
        <v>6</v>
      </c>
      <c r="D483" s="2" t="str">
        <f>"钟显贵"</f>
        <v>钟显贵</v>
      </c>
      <c r="E483" s="2" t="str">
        <f>"男"</f>
        <v>男</v>
      </c>
    </row>
    <row r="484" spans="1:5" ht="14.4" x14ac:dyDescent="0.25">
      <c r="A484" s="4">
        <v>482</v>
      </c>
      <c r="B484" s="2" t="str">
        <f>"3251202108122219579391"</f>
        <v>3251202108122219579391</v>
      </c>
      <c r="C484" s="2" t="s">
        <v>6</v>
      </c>
      <c r="D484" s="2" t="str">
        <f>"杨净"</f>
        <v>杨净</v>
      </c>
      <c r="E484" s="2" t="str">
        <f>"女"</f>
        <v>女</v>
      </c>
    </row>
    <row r="485" spans="1:5" ht="14.4" x14ac:dyDescent="0.25">
      <c r="A485" s="4">
        <v>483</v>
      </c>
      <c r="B485" s="2" t="str">
        <f>"3251202108122224499396"</f>
        <v>3251202108122224499396</v>
      </c>
      <c r="C485" s="2" t="s">
        <v>6</v>
      </c>
      <c r="D485" s="2" t="str">
        <f>"蔡笃宇"</f>
        <v>蔡笃宇</v>
      </c>
      <c r="E485" s="2" t="str">
        <f>"男"</f>
        <v>男</v>
      </c>
    </row>
    <row r="486" spans="1:5" ht="14.4" x14ac:dyDescent="0.25">
      <c r="A486" s="4">
        <v>484</v>
      </c>
      <c r="B486" s="2" t="str">
        <f>"3251202108122236099407"</f>
        <v>3251202108122236099407</v>
      </c>
      <c r="C486" s="2" t="s">
        <v>6</v>
      </c>
      <c r="D486" s="2" t="str">
        <f>"李芃欣"</f>
        <v>李芃欣</v>
      </c>
      <c r="E486" s="2" t="str">
        <f>"女"</f>
        <v>女</v>
      </c>
    </row>
    <row r="487" spans="1:5" ht="14.4" x14ac:dyDescent="0.25">
      <c r="A487" s="4">
        <v>485</v>
      </c>
      <c r="B487" s="2" t="str">
        <f>"3251202108122247099414"</f>
        <v>3251202108122247099414</v>
      </c>
      <c r="C487" s="2" t="s">
        <v>6</v>
      </c>
      <c r="D487" s="2" t="str">
        <f>"李荣有"</f>
        <v>李荣有</v>
      </c>
      <c r="E487" s="2" t="str">
        <f>"男"</f>
        <v>男</v>
      </c>
    </row>
    <row r="488" spans="1:5" ht="14.4" x14ac:dyDescent="0.25">
      <c r="A488" s="4">
        <v>486</v>
      </c>
      <c r="B488" s="2" t="str">
        <f>"3251202108122314039440"</f>
        <v>3251202108122314039440</v>
      </c>
      <c r="C488" s="2" t="s">
        <v>6</v>
      </c>
      <c r="D488" s="2" t="str">
        <f>"符兰宋"</f>
        <v>符兰宋</v>
      </c>
      <c r="E488" s="2" t="str">
        <f>"女"</f>
        <v>女</v>
      </c>
    </row>
    <row r="489" spans="1:5" ht="14.4" x14ac:dyDescent="0.25">
      <c r="A489" s="4">
        <v>487</v>
      </c>
      <c r="B489" s="2" t="str">
        <f>"3251202108122317409443"</f>
        <v>3251202108122317409443</v>
      </c>
      <c r="C489" s="2" t="s">
        <v>6</v>
      </c>
      <c r="D489" s="2" t="str">
        <f>"罗昌浓"</f>
        <v>罗昌浓</v>
      </c>
      <c r="E489" s="2" t="str">
        <f>"男"</f>
        <v>男</v>
      </c>
    </row>
    <row r="490" spans="1:5" ht="14.4" x14ac:dyDescent="0.25">
      <c r="A490" s="4">
        <v>488</v>
      </c>
      <c r="B490" s="2" t="str">
        <f>"3251202108122338099454"</f>
        <v>3251202108122338099454</v>
      </c>
      <c r="C490" s="2" t="s">
        <v>6</v>
      </c>
      <c r="D490" s="2" t="str">
        <f>"王欢欢"</f>
        <v>王欢欢</v>
      </c>
      <c r="E490" s="2" t="str">
        <f>"女"</f>
        <v>女</v>
      </c>
    </row>
    <row r="491" spans="1:5" ht="14.4" x14ac:dyDescent="0.25">
      <c r="A491" s="4">
        <v>489</v>
      </c>
      <c r="B491" s="2" t="str">
        <f>"3251202108130317439483"</f>
        <v>3251202108130317439483</v>
      </c>
      <c r="C491" s="2" t="s">
        <v>6</v>
      </c>
      <c r="D491" s="2" t="str">
        <f>"张皓洋"</f>
        <v>张皓洋</v>
      </c>
      <c r="E491" s="2" t="str">
        <f>"男"</f>
        <v>男</v>
      </c>
    </row>
    <row r="492" spans="1:5" ht="14.4" x14ac:dyDescent="0.25">
      <c r="A492" s="4">
        <v>490</v>
      </c>
      <c r="B492" s="2" t="str">
        <f>"3251202108130652599488"</f>
        <v>3251202108130652599488</v>
      </c>
      <c r="C492" s="2" t="s">
        <v>6</v>
      </c>
      <c r="D492" s="2" t="str">
        <f>"符才花"</f>
        <v>符才花</v>
      </c>
      <c r="E492" s="2" t="str">
        <f>"女"</f>
        <v>女</v>
      </c>
    </row>
    <row r="493" spans="1:5" ht="14.4" x14ac:dyDescent="0.25">
      <c r="A493" s="4">
        <v>491</v>
      </c>
      <c r="B493" s="2" t="str">
        <f>"3251202108130724269493"</f>
        <v>3251202108130724269493</v>
      </c>
      <c r="C493" s="2" t="s">
        <v>6</v>
      </c>
      <c r="D493" s="2" t="str">
        <f>"薛婆荣"</f>
        <v>薛婆荣</v>
      </c>
      <c r="E493" s="2" t="str">
        <f>"女"</f>
        <v>女</v>
      </c>
    </row>
    <row r="494" spans="1:5" ht="14.4" x14ac:dyDescent="0.25">
      <c r="A494" s="4">
        <v>492</v>
      </c>
      <c r="B494" s="2" t="str">
        <f>"3251202108130753299497"</f>
        <v>3251202108130753299497</v>
      </c>
      <c r="C494" s="2" t="s">
        <v>6</v>
      </c>
      <c r="D494" s="2" t="str">
        <f>"黄志攀"</f>
        <v>黄志攀</v>
      </c>
      <c r="E494" s="2" t="str">
        <f>"男"</f>
        <v>男</v>
      </c>
    </row>
    <row r="495" spans="1:5" ht="14.4" x14ac:dyDescent="0.25">
      <c r="A495" s="4">
        <v>493</v>
      </c>
      <c r="B495" s="2" t="str">
        <f>"3251202108130831239514"</f>
        <v>3251202108130831239514</v>
      </c>
      <c r="C495" s="2" t="s">
        <v>6</v>
      </c>
      <c r="D495" s="2" t="str">
        <f>"崔灿"</f>
        <v>崔灿</v>
      </c>
      <c r="E495" s="2" t="str">
        <f>"男"</f>
        <v>男</v>
      </c>
    </row>
    <row r="496" spans="1:5" ht="14.4" x14ac:dyDescent="0.25">
      <c r="A496" s="4">
        <v>494</v>
      </c>
      <c r="B496" s="2" t="str">
        <f>"3251202108130859509539"</f>
        <v>3251202108130859509539</v>
      </c>
      <c r="C496" s="2" t="s">
        <v>6</v>
      </c>
      <c r="D496" s="2" t="str">
        <f>"廖雯妹"</f>
        <v>廖雯妹</v>
      </c>
      <c r="E496" s="2" t="str">
        <f>"女"</f>
        <v>女</v>
      </c>
    </row>
    <row r="497" spans="1:5" ht="14.4" x14ac:dyDescent="0.25">
      <c r="A497" s="4">
        <v>495</v>
      </c>
      <c r="B497" s="2" t="str">
        <f>"3251202108130903259543"</f>
        <v>3251202108130903259543</v>
      </c>
      <c r="C497" s="2" t="s">
        <v>6</v>
      </c>
      <c r="D497" s="2" t="str">
        <f>"徐新媛"</f>
        <v>徐新媛</v>
      </c>
      <c r="E497" s="2" t="str">
        <f>"女"</f>
        <v>女</v>
      </c>
    </row>
    <row r="498" spans="1:5" ht="14.4" x14ac:dyDescent="0.25">
      <c r="A498" s="4">
        <v>496</v>
      </c>
      <c r="B498" s="2" t="str">
        <f>"3251202108130921409570"</f>
        <v>3251202108130921409570</v>
      </c>
      <c r="C498" s="2" t="s">
        <v>6</v>
      </c>
      <c r="D498" s="2" t="str">
        <f>"陈之楠"</f>
        <v>陈之楠</v>
      </c>
      <c r="E498" s="2" t="str">
        <f>"男"</f>
        <v>男</v>
      </c>
    </row>
    <row r="499" spans="1:5" ht="14.4" x14ac:dyDescent="0.25">
      <c r="A499" s="4">
        <v>497</v>
      </c>
      <c r="B499" s="2" t="str">
        <f>"3251202108130952129611"</f>
        <v>3251202108130952129611</v>
      </c>
      <c r="C499" s="2" t="s">
        <v>6</v>
      </c>
      <c r="D499" s="2" t="str">
        <f>"杨翠银"</f>
        <v>杨翠银</v>
      </c>
      <c r="E499" s="2" t="str">
        <f>"女"</f>
        <v>女</v>
      </c>
    </row>
    <row r="500" spans="1:5" ht="14.4" x14ac:dyDescent="0.25">
      <c r="A500" s="4">
        <v>498</v>
      </c>
      <c r="B500" s="2" t="str">
        <f>"3251202108130954169616"</f>
        <v>3251202108130954169616</v>
      </c>
      <c r="C500" s="2" t="s">
        <v>6</v>
      </c>
      <c r="D500" s="2" t="str">
        <f>"王学花"</f>
        <v>王学花</v>
      </c>
      <c r="E500" s="2" t="str">
        <f>"女"</f>
        <v>女</v>
      </c>
    </row>
    <row r="501" spans="1:5" ht="14.4" x14ac:dyDescent="0.25">
      <c r="A501" s="4">
        <v>499</v>
      </c>
      <c r="B501" s="2" t="str">
        <f>"3251202108130959289622"</f>
        <v>3251202108130959289622</v>
      </c>
      <c r="C501" s="2" t="s">
        <v>6</v>
      </c>
      <c r="D501" s="2" t="str">
        <f>"陈春燕"</f>
        <v>陈春燕</v>
      </c>
      <c r="E501" s="2" t="str">
        <f>"女"</f>
        <v>女</v>
      </c>
    </row>
    <row r="502" spans="1:5" ht="14.4" x14ac:dyDescent="0.25">
      <c r="A502" s="4">
        <v>500</v>
      </c>
      <c r="B502" s="2" t="str">
        <f>"3251202108131015379635"</f>
        <v>3251202108131015379635</v>
      </c>
      <c r="C502" s="2" t="s">
        <v>6</v>
      </c>
      <c r="D502" s="2" t="str">
        <f>"王康铭"</f>
        <v>王康铭</v>
      </c>
      <c r="E502" s="2" t="str">
        <f t="shared" ref="E502:E509" si="11">"男"</f>
        <v>男</v>
      </c>
    </row>
    <row r="503" spans="1:5" ht="14.4" x14ac:dyDescent="0.25">
      <c r="A503" s="4">
        <v>501</v>
      </c>
      <c r="B503" s="2" t="str">
        <f>"3251202108131024349649"</f>
        <v>3251202108131024349649</v>
      </c>
      <c r="C503" s="2" t="s">
        <v>6</v>
      </c>
      <c r="D503" s="2" t="str">
        <f>"钟振峰"</f>
        <v>钟振峰</v>
      </c>
      <c r="E503" s="2" t="str">
        <f t="shared" si="11"/>
        <v>男</v>
      </c>
    </row>
    <row r="504" spans="1:5" ht="14.4" x14ac:dyDescent="0.25">
      <c r="A504" s="4">
        <v>502</v>
      </c>
      <c r="B504" s="2" t="str">
        <f>"3251202108131024599650"</f>
        <v>3251202108131024599650</v>
      </c>
      <c r="C504" s="2" t="s">
        <v>6</v>
      </c>
      <c r="D504" s="2" t="str">
        <f>"唐侯坚"</f>
        <v>唐侯坚</v>
      </c>
      <c r="E504" s="2" t="str">
        <f t="shared" si="11"/>
        <v>男</v>
      </c>
    </row>
    <row r="505" spans="1:5" ht="14.4" x14ac:dyDescent="0.25">
      <c r="A505" s="4">
        <v>503</v>
      </c>
      <c r="B505" s="2" t="str">
        <f>"3251202108131029349657"</f>
        <v>3251202108131029349657</v>
      </c>
      <c r="C505" s="2" t="s">
        <v>6</v>
      </c>
      <c r="D505" s="2" t="str">
        <f>"唐海东"</f>
        <v>唐海东</v>
      </c>
      <c r="E505" s="2" t="str">
        <f t="shared" si="11"/>
        <v>男</v>
      </c>
    </row>
    <row r="506" spans="1:5" ht="14.4" x14ac:dyDescent="0.25">
      <c r="A506" s="4">
        <v>504</v>
      </c>
      <c r="B506" s="2" t="str">
        <f>"3251202108131031179663"</f>
        <v>3251202108131031179663</v>
      </c>
      <c r="C506" s="2" t="s">
        <v>6</v>
      </c>
      <c r="D506" s="2" t="str">
        <f>"陈炳三"</f>
        <v>陈炳三</v>
      </c>
      <c r="E506" s="2" t="str">
        <f t="shared" si="11"/>
        <v>男</v>
      </c>
    </row>
    <row r="507" spans="1:5" ht="14.4" x14ac:dyDescent="0.25">
      <c r="A507" s="4">
        <v>505</v>
      </c>
      <c r="B507" s="2" t="str">
        <f>"3251202108131044329679"</f>
        <v>3251202108131044329679</v>
      </c>
      <c r="C507" s="2" t="s">
        <v>6</v>
      </c>
      <c r="D507" s="2" t="str">
        <f>"文晓雄"</f>
        <v>文晓雄</v>
      </c>
      <c r="E507" s="2" t="str">
        <f t="shared" si="11"/>
        <v>男</v>
      </c>
    </row>
    <row r="508" spans="1:5" ht="14.4" x14ac:dyDescent="0.25">
      <c r="A508" s="4">
        <v>506</v>
      </c>
      <c r="B508" s="2" t="str">
        <f>"3251202108131044489680"</f>
        <v>3251202108131044489680</v>
      </c>
      <c r="C508" s="2" t="s">
        <v>6</v>
      </c>
      <c r="D508" s="2" t="str">
        <f>"周宗海"</f>
        <v>周宗海</v>
      </c>
      <c r="E508" s="2" t="str">
        <f t="shared" si="11"/>
        <v>男</v>
      </c>
    </row>
    <row r="509" spans="1:5" ht="14.4" x14ac:dyDescent="0.25">
      <c r="A509" s="4">
        <v>507</v>
      </c>
      <c r="B509" s="2" t="str">
        <f>"3251202108131046519685"</f>
        <v>3251202108131046519685</v>
      </c>
      <c r="C509" s="2" t="s">
        <v>6</v>
      </c>
      <c r="D509" s="2" t="str">
        <f>"韦嘉隆"</f>
        <v>韦嘉隆</v>
      </c>
      <c r="E509" s="2" t="str">
        <f t="shared" si="11"/>
        <v>男</v>
      </c>
    </row>
    <row r="510" spans="1:5" ht="14.4" x14ac:dyDescent="0.25">
      <c r="A510" s="4">
        <v>508</v>
      </c>
      <c r="B510" s="2" t="str">
        <f>"3251202108131047019686"</f>
        <v>3251202108131047019686</v>
      </c>
      <c r="C510" s="2" t="s">
        <v>6</v>
      </c>
      <c r="D510" s="2" t="str">
        <f>"王彩欣"</f>
        <v>王彩欣</v>
      </c>
      <c r="E510" s="2" t="str">
        <f>"女"</f>
        <v>女</v>
      </c>
    </row>
    <row r="511" spans="1:5" ht="14.4" x14ac:dyDescent="0.25">
      <c r="A511" s="4">
        <v>509</v>
      </c>
      <c r="B511" s="2" t="str">
        <f>"3251202108131049429689"</f>
        <v>3251202108131049429689</v>
      </c>
      <c r="C511" s="2" t="s">
        <v>6</v>
      </c>
      <c r="D511" s="2" t="str">
        <f>"吴敏"</f>
        <v>吴敏</v>
      </c>
      <c r="E511" s="2" t="str">
        <f>"男"</f>
        <v>男</v>
      </c>
    </row>
    <row r="512" spans="1:5" ht="14.4" x14ac:dyDescent="0.25">
      <c r="A512" s="4">
        <v>510</v>
      </c>
      <c r="B512" s="2" t="str">
        <f>"3251202108131058129703"</f>
        <v>3251202108131058129703</v>
      </c>
      <c r="C512" s="2" t="s">
        <v>6</v>
      </c>
      <c r="D512" s="2" t="str">
        <f>"羊家聪"</f>
        <v>羊家聪</v>
      </c>
      <c r="E512" s="2" t="str">
        <f>"男"</f>
        <v>男</v>
      </c>
    </row>
    <row r="513" spans="1:5" ht="14.4" x14ac:dyDescent="0.25">
      <c r="A513" s="4">
        <v>511</v>
      </c>
      <c r="B513" s="2" t="str">
        <f>"3251202108131100519707"</f>
        <v>3251202108131100519707</v>
      </c>
      <c r="C513" s="2" t="s">
        <v>6</v>
      </c>
      <c r="D513" s="2" t="str">
        <f>"麦民毅"</f>
        <v>麦民毅</v>
      </c>
      <c r="E513" s="2" t="str">
        <f>"男"</f>
        <v>男</v>
      </c>
    </row>
    <row r="514" spans="1:5" ht="14.4" x14ac:dyDescent="0.25">
      <c r="A514" s="4">
        <v>512</v>
      </c>
      <c r="B514" s="2" t="str">
        <f>"3251202108131102109708"</f>
        <v>3251202108131102109708</v>
      </c>
      <c r="C514" s="2" t="s">
        <v>6</v>
      </c>
      <c r="D514" s="2" t="str">
        <f>"杨茵"</f>
        <v>杨茵</v>
      </c>
      <c r="E514" s="2" t="str">
        <f>"女"</f>
        <v>女</v>
      </c>
    </row>
    <row r="515" spans="1:5" ht="14.4" x14ac:dyDescent="0.25">
      <c r="A515" s="4">
        <v>513</v>
      </c>
      <c r="B515" s="2" t="str">
        <f>"3251202108131109299722"</f>
        <v>3251202108131109299722</v>
      </c>
      <c r="C515" s="2" t="s">
        <v>6</v>
      </c>
      <c r="D515" s="2" t="str">
        <f>"汤婷云"</f>
        <v>汤婷云</v>
      </c>
      <c r="E515" s="2" t="str">
        <f>"女"</f>
        <v>女</v>
      </c>
    </row>
    <row r="516" spans="1:5" ht="14.4" x14ac:dyDescent="0.25">
      <c r="A516" s="4">
        <v>514</v>
      </c>
      <c r="B516" s="2" t="str">
        <f>"3251202108131109419723"</f>
        <v>3251202108131109419723</v>
      </c>
      <c r="C516" s="2" t="s">
        <v>6</v>
      </c>
      <c r="D516" s="2" t="str">
        <f>"王凌霞"</f>
        <v>王凌霞</v>
      </c>
      <c r="E516" s="2" t="str">
        <f>"女"</f>
        <v>女</v>
      </c>
    </row>
    <row r="517" spans="1:5" ht="14.4" x14ac:dyDescent="0.25">
      <c r="A517" s="4">
        <v>515</v>
      </c>
      <c r="B517" s="2" t="str">
        <f>"3251202108131126529744"</f>
        <v>3251202108131126529744</v>
      </c>
      <c r="C517" s="2" t="s">
        <v>6</v>
      </c>
      <c r="D517" s="2" t="str">
        <f>"杨立业"</f>
        <v>杨立业</v>
      </c>
      <c r="E517" s="2" t="str">
        <f>"男"</f>
        <v>男</v>
      </c>
    </row>
    <row r="518" spans="1:5" ht="14.4" x14ac:dyDescent="0.25">
      <c r="A518" s="4">
        <v>516</v>
      </c>
      <c r="B518" s="2" t="str">
        <f>"3251202108131136409757"</f>
        <v>3251202108131136409757</v>
      </c>
      <c r="C518" s="2" t="s">
        <v>6</v>
      </c>
      <c r="D518" s="2" t="str">
        <f>"王春跟"</f>
        <v>王春跟</v>
      </c>
      <c r="E518" s="2" t="str">
        <f>"女"</f>
        <v>女</v>
      </c>
    </row>
    <row r="519" spans="1:5" ht="14.4" x14ac:dyDescent="0.25">
      <c r="A519" s="4">
        <v>517</v>
      </c>
      <c r="B519" s="2" t="str">
        <f>"3251202108131152439778"</f>
        <v>3251202108131152439778</v>
      </c>
      <c r="C519" s="2" t="s">
        <v>6</v>
      </c>
      <c r="D519" s="2" t="str">
        <f>"王锦"</f>
        <v>王锦</v>
      </c>
      <c r="E519" s="2" t="str">
        <f>"女"</f>
        <v>女</v>
      </c>
    </row>
    <row r="520" spans="1:5" ht="14.4" x14ac:dyDescent="0.25">
      <c r="A520" s="4">
        <v>518</v>
      </c>
      <c r="B520" s="2" t="str">
        <f>"3251202108131206009790"</f>
        <v>3251202108131206009790</v>
      </c>
      <c r="C520" s="2" t="s">
        <v>6</v>
      </c>
      <c r="D520" s="2" t="str">
        <f>"董春波"</f>
        <v>董春波</v>
      </c>
      <c r="E520" s="2" t="str">
        <f>"女"</f>
        <v>女</v>
      </c>
    </row>
    <row r="521" spans="1:5" ht="14.4" x14ac:dyDescent="0.25">
      <c r="A521" s="4">
        <v>519</v>
      </c>
      <c r="B521" s="2" t="str">
        <f>"3251202108131334019846"</f>
        <v>3251202108131334019846</v>
      </c>
      <c r="C521" s="2" t="s">
        <v>6</v>
      </c>
      <c r="D521" s="2" t="str">
        <f>"唐发敏"</f>
        <v>唐发敏</v>
      </c>
      <c r="E521" s="2" t="str">
        <f>"男"</f>
        <v>男</v>
      </c>
    </row>
    <row r="522" spans="1:5" ht="14.4" x14ac:dyDescent="0.25">
      <c r="A522" s="4">
        <v>520</v>
      </c>
      <c r="B522" s="2" t="str">
        <f>"3251202108131454189908"</f>
        <v>3251202108131454189908</v>
      </c>
      <c r="C522" s="2" t="s">
        <v>6</v>
      </c>
      <c r="D522" s="2" t="str">
        <f>"唐海强"</f>
        <v>唐海强</v>
      </c>
      <c r="E522" s="2" t="str">
        <f>"男"</f>
        <v>男</v>
      </c>
    </row>
    <row r="523" spans="1:5" ht="14.4" x14ac:dyDescent="0.25">
      <c r="A523" s="4">
        <v>521</v>
      </c>
      <c r="B523" s="2" t="str">
        <f>"3251202108131531219955"</f>
        <v>3251202108131531219955</v>
      </c>
      <c r="C523" s="2" t="s">
        <v>6</v>
      </c>
      <c r="D523" s="2" t="str">
        <f>"陈孝强"</f>
        <v>陈孝强</v>
      </c>
      <c r="E523" s="2" t="str">
        <f>"男"</f>
        <v>男</v>
      </c>
    </row>
    <row r="524" spans="1:5" ht="14.4" x14ac:dyDescent="0.25">
      <c r="A524" s="4">
        <v>522</v>
      </c>
      <c r="B524" s="2" t="str">
        <f>"3251202108131542319975"</f>
        <v>3251202108131542319975</v>
      </c>
      <c r="C524" s="2" t="s">
        <v>6</v>
      </c>
      <c r="D524" s="2" t="str">
        <f>"黄兹旺"</f>
        <v>黄兹旺</v>
      </c>
      <c r="E524" s="2" t="str">
        <f>"男"</f>
        <v>男</v>
      </c>
    </row>
    <row r="525" spans="1:5" ht="14.4" x14ac:dyDescent="0.25">
      <c r="A525" s="4">
        <v>523</v>
      </c>
      <c r="B525" s="2" t="str">
        <f>"3251202108131551169983"</f>
        <v>3251202108131551169983</v>
      </c>
      <c r="C525" s="2" t="s">
        <v>6</v>
      </c>
      <c r="D525" s="2" t="str">
        <f>"邢增乐"</f>
        <v>邢增乐</v>
      </c>
      <c r="E525" s="2" t="str">
        <f>"男"</f>
        <v>男</v>
      </c>
    </row>
    <row r="526" spans="1:5" ht="14.4" x14ac:dyDescent="0.25">
      <c r="A526" s="4">
        <v>524</v>
      </c>
      <c r="B526" s="2" t="str">
        <f>"3251202108131557569993"</f>
        <v>3251202108131557569993</v>
      </c>
      <c r="C526" s="2" t="s">
        <v>6</v>
      </c>
      <c r="D526" s="2" t="str">
        <f>"千熙庭"</f>
        <v>千熙庭</v>
      </c>
      <c r="E526" s="2" t="str">
        <f t="shared" ref="E526:E532" si="12">"女"</f>
        <v>女</v>
      </c>
    </row>
    <row r="527" spans="1:5" ht="14.4" x14ac:dyDescent="0.25">
      <c r="A527" s="4">
        <v>525</v>
      </c>
      <c r="B527" s="2" t="str">
        <f>"32512021081316180610022"</f>
        <v>32512021081316180610022</v>
      </c>
      <c r="C527" s="2" t="s">
        <v>6</v>
      </c>
      <c r="D527" s="2" t="str">
        <f>"曾娇环"</f>
        <v>曾娇环</v>
      </c>
      <c r="E527" s="2" t="str">
        <f t="shared" si="12"/>
        <v>女</v>
      </c>
    </row>
    <row r="528" spans="1:5" ht="14.4" x14ac:dyDescent="0.25">
      <c r="A528" s="4">
        <v>526</v>
      </c>
      <c r="B528" s="2" t="str">
        <f>"32512021081316285510035"</f>
        <v>32512021081316285510035</v>
      </c>
      <c r="C528" s="2" t="s">
        <v>6</v>
      </c>
      <c r="D528" s="2" t="str">
        <f>"何慧怡"</f>
        <v>何慧怡</v>
      </c>
      <c r="E528" s="2" t="str">
        <f t="shared" si="12"/>
        <v>女</v>
      </c>
    </row>
    <row r="529" spans="1:5" ht="14.4" x14ac:dyDescent="0.25">
      <c r="A529" s="4">
        <v>527</v>
      </c>
      <c r="B529" s="2" t="str">
        <f>"32512021081316394910046"</f>
        <v>32512021081316394910046</v>
      </c>
      <c r="C529" s="2" t="s">
        <v>6</v>
      </c>
      <c r="D529" s="2" t="str">
        <f>"毛雨薇"</f>
        <v>毛雨薇</v>
      </c>
      <c r="E529" s="2" t="str">
        <f t="shared" si="12"/>
        <v>女</v>
      </c>
    </row>
    <row r="530" spans="1:5" ht="14.4" x14ac:dyDescent="0.25">
      <c r="A530" s="4">
        <v>528</v>
      </c>
      <c r="B530" s="2" t="str">
        <f>"32512021081317230510105"</f>
        <v>32512021081317230510105</v>
      </c>
      <c r="C530" s="2" t="s">
        <v>6</v>
      </c>
      <c r="D530" s="2" t="str">
        <f>"陈美玲"</f>
        <v>陈美玲</v>
      </c>
      <c r="E530" s="2" t="str">
        <f t="shared" si="12"/>
        <v>女</v>
      </c>
    </row>
    <row r="531" spans="1:5" ht="14.4" x14ac:dyDescent="0.25">
      <c r="A531" s="4">
        <v>529</v>
      </c>
      <c r="B531" s="2" t="str">
        <f>"32512021081317310810110"</f>
        <v>32512021081317310810110</v>
      </c>
      <c r="C531" s="2" t="s">
        <v>6</v>
      </c>
      <c r="D531" s="2" t="str">
        <f>"陈玛利"</f>
        <v>陈玛利</v>
      </c>
      <c r="E531" s="2" t="str">
        <f t="shared" si="12"/>
        <v>女</v>
      </c>
    </row>
    <row r="532" spans="1:5" ht="14.4" x14ac:dyDescent="0.25">
      <c r="A532" s="4">
        <v>530</v>
      </c>
      <c r="B532" s="2" t="str">
        <f>"32512021081317322610111"</f>
        <v>32512021081317322610111</v>
      </c>
      <c r="C532" s="2" t="s">
        <v>6</v>
      </c>
      <c r="D532" s="2" t="str">
        <f>"林友颖"</f>
        <v>林友颖</v>
      </c>
      <c r="E532" s="2" t="str">
        <f t="shared" si="12"/>
        <v>女</v>
      </c>
    </row>
    <row r="533" spans="1:5" ht="14.4" x14ac:dyDescent="0.25">
      <c r="A533" s="4">
        <v>531</v>
      </c>
      <c r="B533" s="2" t="str">
        <f>"32512021081317332610112"</f>
        <v>32512021081317332610112</v>
      </c>
      <c r="C533" s="2" t="s">
        <v>6</v>
      </c>
      <c r="D533" s="2" t="str">
        <f>"羊强进"</f>
        <v>羊强进</v>
      </c>
      <c r="E533" s="2" t="str">
        <f>"男"</f>
        <v>男</v>
      </c>
    </row>
    <row r="534" spans="1:5" ht="14.4" x14ac:dyDescent="0.25">
      <c r="A534" s="4">
        <v>532</v>
      </c>
      <c r="B534" s="2" t="str">
        <f>"32512021081317370810119"</f>
        <v>32512021081317370810119</v>
      </c>
      <c r="C534" s="2" t="s">
        <v>6</v>
      </c>
      <c r="D534" s="2" t="str">
        <f>"杨盛征"</f>
        <v>杨盛征</v>
      </c>
      <c r="E534" s="2" t="str">
        <f>"女"</f>
        <v>女</v>
      </c>
    </row>
    <row r="535" spans="1:5" ht="14.4" x14ac:dyDescent="0.25">
      <c r="A535" s="4">
        <v>533</v>
      </c>
      <c r="B535" s="2" t="str">
        <f>"32512021081317510110134"</f>
        <v>32512021081317510110134</v>
      </c>
      <c r="C535" s="2" t="s">
        <v>6</v>
      </c>
      <c r="D535" s="2" t="str">
        <f>"康霞"</f>
        <v>康霞</v>
      </c>
      <c r="E535" s="2" t="str">
        <f>"女"</f>
        <v>女</v>
      </c>
    </row>
    <row r="536" spans="1:5" ht="14.4" x14ac:dyDescent="0.25">
      <c r="A536" s="4">
        <v>534</v>
      </c>
      <c r="B536" s="2" t="str">
        <f>"32512021081317551110137"</f>
        <v>32512021081317551110137</v>
      </c>
      <c r="C536" s="2" t="s">
        <v>6</v>
      </c>
      <c r="D536" s="2" t="str">
        <f>"叶春燕"</f>
        <v>叶春燕</v>
      </c>
      <c r="E536" s="2" t="str">
        <f>"女"</f>
        <v>女</v>
      </c>
    </row>
    <row r="537" spans="1:5" ht="14.4" x14ac:dyDescent="0.25">
      <c r="A537" s="4">
        <v>535</v>
      </c>
      <c r="B537" s="2" t="str">
        <f>"32512021081318431410168"</f>
        <v>32512021081318431410168</v>
      </c>
      <c r="C537" s="2" t="s">
        <v>6</v>
      </c>
      <c r="D537" s="2" t="str">
        <f>"林杰玲"</f>
        <v>林杰玲</v>
      </c>
      <c r="E537" s="2" t="str">
        <f>"女"</f>
        <v>女</v>
      </c>
    </row>
    <row r="538" spans="1:5" ht="14.4" x14ac:dyDescent="0.25">
      <c r="A538" s="4">
        <v>536</v>
      </c>
      <c r="B538" s="2" t="str">
        <f>"32512021081318450610169"</f>
        <v>32512021081318450610169</v>
      </c>
      <c r="C538" s="2" t="s">
        <v>6</v>
      </c>
      <c r="D538" s="2" t="str">
        <f>"赵陈晓"</f>
        <v>赵陈晓</v>
      </c>
      <c r="E538" s="2" t="str">
        <f>"男"</f>
        <v>男</v>
      </c>
    </row>
    <row r="539" spans="1:5" ht="14.4" x14ac:dyDescent="0.25">
      <c r="A539" s="4">
        <v>537</v>
      </c>
      <c r="B539" s="2" t="str">
        <f>"32512021081319132310193"</f>
        <v>32512021081319132310193</v>
      </c>
      <c r="C539" s="2" t="s">
        <v>6</v>
      </c>
      <c r="D539" s="2" t="str">
        <f>"谢春花"</f>
        <v>谢春花</v>
      </c>
      <c r="E539" s="2" t="str">
        <f>"女"</f>
        <v>女</v>
      </c>
    </row>
    <row r="540" spans="1:5" ht="14.4" x14ac:dyDescent="0.25">
      <c r="A540" s="4">
        <v>538</v>
      </c>
      <c r="B540" s="2" t="str">
        <f>"32512021081320172510224"</f>
        <v>32512021081320172510224</v>
      </c>
      <c r="C540" s="2" t="s">
        <v>6</v>
      </c>
      <c r="D540" s="2" t="str">
        <f>"陈昕"</f>
        <v>陈昕</v>
      </c>
      <c r="E540" s="2" t="str">
        <f>"女"</f>
        <v>女</v>
      </c>
    </row>
    <row r="541" spans="1:5" ht="14.4" x14ac:dyDescent="0.25">
      <c r="A541" s="4">
        <v>539</v>
      </c>
      <c r="B541" s="2" t="str">
        <f>"32512021081321044710253"</f>
        <v>32512021081321044710253</v>
      </c>
      <c r="C541" s="2" t="s">
        <v>6</v>
      </c>
      <c r="D541" s="2" t="str">
        <f>"符克播"</f>
        <v>符克播</v>
      </c>
      <c r="E541" s="2" t="str">
        <f>"男"</f>
        <v>男</v>
      </c>
    </row>
    <row r="542" spans="1:5" ht="14.4" x14ac:dyDescent="0.25">
      <c r="A542" s="4">
        <v>540</v>
      </c>
      <c r="B542" s="2" t="str">
        <f>"32512021081321310010264"</f>
        <v>32512021081321310010264</v>
      </c>
      <c r="C542" s="2" t="s">
        <v>6</v>
      </c>
      <c r="D542" s="2" t="str">
        <f>"王小霞"</f>
        <v>王小霞</v>
      </c>
      <c r="E542" s="2" t="str">
        <f>"女"</f>
        <v>女</v>
      </c>
    </row>
    <row r="543" spans="1:5" ht="14.4" x14ac:dyDescent="0.25">
      <c r="A543" s="4">
        <v>541</v>
      </c>
      <c r="B543" s="2" t="str">
        <f>"32512021081321324510268"</f>
        <v>32512021081321324510268</v>
      </c>
      <c r="C543" s="2" t="s">
        <v>6</v>
      </c>
      <c r="D543" s="2" t="str">
        <f>"陈一魏"</f>
        <v>陈一魏</v>
      </c>
      <c r="E543" s="2" t="str">
        <f>"男"</f>
        <v>男</v>
      </c>
    </row>
    <row r="544" spans="1:5" ht="14.4" x14ac:dyDescent="0.25">
      <c r="A544" s="4">
        <v>542</v>
      </c>
      <c r="B544" s="2" t="str">
        <f>"32512021081322163210294"</f>
        <v>32512021081322163210294</v>
      </c>
      <c r="C544" s="2" t="s">
        <v>6</v>
      </c>
      <c r="D544" s="2" t="str">
        <f>"黄进财"</f>
        <v>黄进财</v>
      </c>
      <c r="E544" s="2" t="str">
        <f>"男"</f>
        <v>男</v>
      </c>
    </row>
    <row r="545" spans="1:5" ht="14.4" x14ac:dyDescent="0.25">
      <c r="A545" s="4">
        <v>543</v>
      </c>
      <c r="B545" s="2" t="str">
        <f>"32512021081322344510301"</f>
        <v>32512021081322344510301</v>
      </c>
      <c r="C545" s="2" t="s">
        <v>6</v>
      </c>
      <c r="D545" s="2" t="str">
        <f>"陈日花"</f>
        <v>陈日花</v>
      </c>
      <c r="E545" s="2" t="str">
        <f>"女"</f>
        <v>女</v>
      </c>
    </row>
    <row r="546" spans="1:5" ht="14.4" x14ac:dyDescent="0.25">
      <c r="A546" s="4">
        <v>544</v>
      </c>
      <c r="B546" s="2" t="str">
        <f>"32512021081322420910306"</f>
        <v>32512021081322420910306</v>
      </c>
      <c r="C546" s="2" t="s">
        <v>6</v>
      </c>
      <c r="D546" s="2" t="str">
        <f>"王昌瑰"</f>
        <v>王昌瑰</v>
      </c>
      <c r="E546" s="2" t="str">
        <f>"男"</f>
        <v>男</v>
      </c>
    </row>
    <row r="547" spans="1:5" ht="14.4" x14ac:dyDescent="0.25">
      <c r="A547" s="4">
        <v>545</v>
      </c>
      <c r="B547" s="2" t="str">
        <f>"32512021081407473210367"</f>
        <v>32512021081407473210367</v>
      </c>
      <c r="C547" s="2" t="s">
        <v>6</v>
      </c>
      <c r="D547" s="2" t="str">
        <f>"张杰超"</f>
        <v>张杰超</v>
      </c>
      <c r="E547" s="2" t="str">
        <f>"男"</f>
        <v>男</v>
      </c>
    </row>
    <row r="548" spans="1:5" ht="14.4" x14ac:dyDescent="0.25">
      <c r="A548" s="4">
        <v>546</v>
      </c>
      <c r="B548" s="2" t="str">
        <f>"32512021081408174710377"</f>
        <v>32512021081408174710377</v>
      </c>
      <c r="C548" s="2" t="s">
        <v>6</v>
      </c>
      <c r="D548" s="2" t="str">
        <f>"王智"</f>
        <v>王智</v>
      </c>
      <c r="E548" s="2" t="str">
        <f>"男"</f>
        <v>男</v>
      </c>
    </row>
    <row r="549" spans="1:5" ht="14.4" x14ac:dyDescent="0.25">
      <c r="A549" s="4">
        <v>547</v>
      </c>
      <c r="B549" s="2" t="str">
        <f>"32512021081411164410496"</f>
        <v>32512021081411164410496</v>
      </c>
      <c r="C549" s="2" t="s">
        <v>6</v>
      </c>
      <c r="D549" s="2" t="str">
        <f>"陈柳蓉"</f>
        <v>陈柳蓉</v>
      </c>
      <c r="E549" s="2" t="str">
        <f>"女"</f>
        <v>女</v>
      </c>
    </row>
    <row r="550" spans="1:5" ht="14.4" x14ac:dyDescent="0.25">
      <c r="A550" s="4">
        <v>548</v>
      </c>
      <c r="B550" s="2" t="str">
        <f>"32512021081411232610505"</f>
        <v>32512021081411232610505</v>
      </c>
      <c r="C550" s="2" t="s">
        <v>6</v>
      </c>
      <c r="D550" s="2" t="str">
        <f>"文钰"</f>
        <v>文钰</v>
      </c>
      <c r="E550" s="2" t="str">
        <f>"女"</f>
        <v>女</v>
      </c>
    </row>
    <row r="551" spans="1:5" ht="14.4" x14ac:dyDescent="0.25">
      <c r="A551" s="4">
        <v>549</v>
      </c>
      <c r="B551" s="2" t="str">
        <f>"32512021081411304510510"</f>
        <v>32512021081411304510510</v>
      </c>
      <c r="C551" s="2" t="s">
        <v>6</v>
      </c>
      <c r="D551" s="2" t="str">
        <f>"马晓梅"</f>
        <v>马晓梅</v>
      </c>
      <c r="E551" s="2" t="str">
        <f>"女"</f>
        <v>女</v>
      </c>
    </row>
    <row r="552" spans="1:5" ht="14.4" x14ac:dyDescent="0.25">
      <c r="A552" s="4">
        <v>550</v>
      </c>
      <c r="B552" s="2" t="str">
        <f>"32512021081411391310517"</f>
        <v>32512021081411391310517</v>
      </c>
      <c r="C552" s="2" t="s">
        <v>6</v>
      </c>
      <c r="D552" s="2" t="str">
        <f>"李芳继"</f>
        <v>李芳继</v>
      </c>
      <c r="E552" s="2" t="str">
        <f>"男"</f>
        <v>男</v>
      </c>
    </row>
    <row r="553" spans="1:5" ht="14.4" x14ac:dyDescent="0.25">
      <c r="A553" s="4">
        <v>551</v>
      </c>
      <c r="B553" s="2" t="str">
        <f>"32512021081413042610558"</f>
        <v>32512021081413042610558</v>
      </c>
      <c r="C553" s="2" t="s">
        <v>6</v>
      </c>
      <c r="D553" s="2" t="str">
        <f>"符海花"</f>
        <v>符海花</v>
      </c>
      <c r="E553" s="2" t="str">
        <f>"女"</f>
        <v>女</v>
      </c>
    </row>
    <row r="554" spans="1:5" ht="14.4" x14ac:dyDescent="0.25">
      <c r="A554" s="4">
        <v>552</v>
      </c>
      <c r="B554" s="2" t="str">
        <f>"32512021081415390110656"</f>
        <v>32512021081415390110656</v>
      </c>
      <c r="C554" s="2" t="s">
        <v>6</v>
      </c>
      <c r="D554" s="2" t="str">
        <f>"黎恒荷"</f>
        <v>黎恒荷</v>
      </c>
      <c r="E554" s="2" t="str">
        <f>"女"</f>
        <v>女</v>
      </c>
    </row>
    <row r="555" spans="1:5" ht="14.4" x14ac:dyDescent="0.25">
      <c r="A555" s="4">
        <v>553</v>
      </c>
      <c r="B555" s="2" t="str">
        <f>"32512021081416010810675"</f>
        <v>32512021081416010810675</v>
      </c>
      <c r="C555" s="2" t="s">
        <v>6</v>
      </c>
      <c r="D555" s="2" t="str">
        <f>"林茂"</f>
        <v>林茂</v>
      </c>
      <c r="E555" s="2" t="str">
        <f t="shared" ref="E555:E561" si="13">"男"</f>
        <v>男</v>
      </c>
    </row>
    <row r="556" spans="1:5" ht="14.4" x14ac:dyDescent="0.25">
      <c r="A556" s="4">
        <v>554</v>
      </c>
      <c r="B556" s="2" t="str">
        <f>"32512021081417234610737"</f>
        <v>32512021081417234610737</v>
      </c>
      <c r="C556" s="2" t="s">
        <v>6</v>
      </c>
      <c r="D556" s="2" t="str">
        <f>"郭福高"</f>
        <v>郭福高</v>
      </c>
      <c r="E556" s="2" t="str">
        <f t="shared" si="13"/>
        <v>男</v>
      </c>
    </row>
    <row r="557" spans="1:5" ht="14.4" x14ac:dyDescent="0.25">
      <c r="A557" s="4">
        <v>555</v>
      </c>
      <c r="B557" s="2" t="str">
        <f>"32512021081418192710760"</f>
        <v>32512021081418192710760</v>
      </c>
      <c r="C557" s="2" t="s">
        <v>6</v>
      </c>
      <c r="D557" s="2" t="str">
        <f>"吴淑茂"</f>
        <v>吴淑茂</v>
      </c>
      <c r="E557" s="2" t="str">
        <f t="shared" si="13"/>
        <v>男</v>
      </c>
    </row>
    <row r="558" spans="1:5" ht="14.4" x14ac:dyDescent="0.25">
      <c r="A558" s="4">
        <v>556</v>
      </c>
      <c r="B558" s="2" t="str">
        <f>"32512021081419022810778"</f>
        <v>32512021081419022810778</v>
      </c>
      <c r="C558" s="2" t="s">
        <v>6</v>
      </c>
      <c r="D558" s="2" t="str">
        <f>"黄炳龙"</f>
        <v>黄炳龙</v>
      </c>
      <c r="E558" s="2" t="str">
        <f t="shared" si="13"/>
        <v>男</v>
      </c>
    </row>
    <row r="559" spans="1:5" ht="14.4" x14ac:dyDescent="0.25">
      <c r="A559" s="4">
        <v>557</v>
      </c>
      <c r="B559" s="2" t="str">
        <f>"32512021081419024410779"</f>
        <v>32512021081419024410779</v>
      </c>
      <c r="C559" s="2" t="s">
        <v>6</v>
      </c>
      <c r="D559" s="2" t="str">
        <f>"陈伟军"</f>
        <v>陈伟军</v>
      </c>
      <c r="E559" s="2" t="str">
        <f t="shared" si="13"/>
        <v>男</v>
      </c>
    </row>
    <row r="560" spans="1:5" ht="14.4" x14ac:dyDescent="0.25">
      <c r="A560" s="4">
        <v>558</v>
      </c>
      <c r="B560" s="2" t="str">
        <f>"32512021081419113510784"</f>
        <v>32512021081419113510784</v>
      </c>
      <c r="C560" s="2" t="s">
        <v>6</v>
      </c>
      <c r="D560" s="2" t="str">
        <f>"李德成"</f>
        <v>李德成</v>
      </c>
      <c r="E560" s="2" t="str">
        <f t="shared" si="13"/>
        <v>男</v>
      </c>
    </row>
    <row r="561" spans="1:5" ht="14.4" x14ac:dyDescent="0.25">
      <c r="A561" s="4">
        <v>559</v>
      </c>
      <c r="B561" s="2" t="str">
        <f>"32512021081419434510802"</f>
        <v>32512021081419434510802</v>
      </c>
      <c r="C561" s="2" t="s">
        <v>6</v>
      </c>
      <c r="D561" s="2" t="str">
        <f>"符英刚"</f>
        <v>符英刚</v>
      </c>
      <c r="E561" s="2" t="str">
        <f t="shared" si="13"/>
        <v>男</v>
      </c>
    </row>
    <row r="562" spans="1:5" ht="14.4" x14ac:dyDescent="0.25">
      <c r="A562" s="4">
        <v>560</v>
      </c>
      <c r="B562" s="2" t="str">
        <f>"32512021081419473210803"</f>
        <v>32512021081419473210803</v>
      </c>
      <c r="C562" s="2" t="s">
        <v>6</v>
      </c>
      <c r="D562" s="2" t="str">
        <f>"邹香莲"</f>
        <v>邹香莲</v>
      </c>
      <c r="E562" s="2" t="str">
        <f>"女"</f>
        <v>女</v>
      </c>
    </row>
    <row r="563" spans="1:5" ht="14.4" x14ac:dyDescent="0.25">
      <c r="A563" s="4">
        <v>561</v>
      </c>
      <c r="B563" s="2" t="str">
        <f>"32512021081420002510807"</f>
        <v>32512021081420002510807</v>
      </c>
      <c r="C563" s="2" t="s">
        <v>6</v>
      </c>
      <c r="D563" s="2" t="str">
        <f>"梁皇燕"</f>
        <v>梁皇燕</v>
      </c>
      <c r="E563" s="2" t="str">
        <f>"男"</f>
        <v>男</v>
      </c>
    </row>
    <row r="564" spans="1:5" ht="14.4" x14ac:dyDescent="0.25">
      <c r="A564" s="4">
        <v>562</v>
      </c>
      <c r="B564" s="2" t="str">
        <f>"32512021081420485910829"</f>
        <v>32512021081420485910829</v>
      </c>
      <c r="C564" s="2" t="s">
        <v>6</v>
      </c>
      <c r="D564" s="2" t="str">
        <f>"李祝秀"</f>
        <v>李祝秀</v>
      </c>
      <c r="E564" s="2" t="str">
        <f>"女"</f>
        <v>女</v>
      </c>
    </row>
    <row r="565" spans="1:5" ht="14.4" x14ac:dyDescent="0.25">
      <c r="A565" s="4">
        <v>563</v>
      </c>
      <c r="B565" s="2" t="str">
        <f>"32512021081421195310844"</f>
        <v>32512021081421195310844</v>
      </c>
      <c r="C565" s="2" t="s">
        <v>6</v>
      </c>
      <c r="D565" s="2" t="str">
        <f>"符文莹"</f>
        <v>符文莹</v>
      </c>
      <c r="E565" s="2" t="str">
        <f>"女"</f>
        <v>女</v>
      </c>
    </row>
    <row r="566" spans="1:5" ht="14.4" x14ac:dyDescent="0.25">
      <c r="A566" s="4">
        <v>564</v>
      </c>
      <c r="B566" s="2" t="str">
        <f>"32512021081422141910871"</f>
        <v>32512021081422141910871</v>
      </c>
      <c r="C566" s="2" t="s">
        <v>6</v>
      </c>
      <c r="D566" s="2" t="str">
        <f>"桂菲"</f>
        <v>桂菲</v>
      </c>
      <c r="E566" s="2" t="str">
        <f>"女"</f>
        <v>女</v>
      </c>
    </row>
    <row r="567" spans="1:5" ht="14.4" x14ac:dyDescent="0.25">
      <c r="A567" s="4">
        <v>565</v>
      </c>
      <c r="B567" s="2" t="str">
        <f>"32512021081423023410893"</f>
        <v>32512021081423023410893</v>
      </c>
      <c r="C567" s="2" t="s">
        <v>6</v>
      </c>
      <c r="D567" s="2" t="str">
        <f>"梁学锋"</f>
        <v>梁学锋</v>
      </c>
      <c r="E567" s="2" t="str">
        <f>"男"</f>
        <v>男</v>
      </c>
    </row>
    <row r="568" spans="1:5" ht="14.4" x14ac:dyDescent="0.25">
      <c r="A568" s="4">
        <v>566</v>
      </c>
      <c r="B568" s="2" t="str">
        <f>"32512021081423185510897"</f>
        <v>32512021081423185510897</v>
      </c>
      <c r="C568" s="2" t="s">
        <v>6</v>
      </c>
      <c r="D568" s="2" t="str">
        <f>"卢丹"</f>
        <v>卢丹</v>
      </c>
      <c r="E568" s="2" t="str">
        <f>"女"</f>
        <v>女</v>
      </c>
    </row>
    <row r="569" spans="1:5" ht="14.4" x14ac:dyDescent="0.25">
      <c r="A569" s="4">
        <v>567</v>
      </c>
      <c r="B569" s="2" t="str">
        <f>"32512021081423513510902"</f>
        <v>32512021081423513510902</v>
      </c>
      <c r="C569" s="2" t="s">
        <v>6</v>
      </c>
      <c r="D569" s="2" t="str">
        <f>"陈泽"</f>
        <v>陈泽</v>
      </c>
      <c r="E569" s="2" t="str">
        <f>"男"</f>
        <v>男</v>
      </c>
    </row>
    <row r="570" spans="1:5" ht="14.4" x14ac:dyDescent="0.25">
      <c r="A570" s="4">
        <v>568</v>
      </c>
      <c r="B570" s="2" t="str">
        <f>"32512021081500573010915"</f>
        <v>32512021081500573010915</v>
      </c>
      <c r="C570" s="2" t="s">
        <v>6</v>
      </c>
      <c r="D570" s="2" t="str">
        <f>"王安帅"</f>
        <v>王安帅</v>
      </c>
      <c r="E570" s="2" t="str">
        <f>"男"</f>
        <v>男</v>
      </c>
    </row>
    <row r="571" spans="1:5" ht="14.4" x14ac:dyDescent="0.25">
      <c r="A571" s="4">
        <v>569</v>
      </c>
      <c r="B571" s="2" t="str">
        <f>"32512021081501431410919"</f>
        <v>32512021081501431410919</v>
      </c>
      <c r="C571" s="2" t="s">
        <v>6</v>
      </c>
      <c r="D571" s="2" t="str">
        <f>"李高能"</f>
        <v>李高能</v>
      </c>
      <c r="E571" s="2" t="str">
        <f>"女"</f>
        <v>女</v>
      </c>
    </row>
    <row r="572" spans="1:5" ht="14.4" x14ac:dyDescent="0.25">
      <c r="A572" s="4">
        <v>570</v>
      </c>
      <c r="B572" s="2" t="str">
        <f>"32512021081501431410920"</f>
        <v>32512021081501431410920</v>
      </c>
      <c r="C572" s="2" t="s">
        <v>6</v>
      </c>
      <c r="D572" s="2" t="str">
        <f>"张峻"</f>
        <v>张峻</v>
      </c>
      <c r="E572" s="2" t="str">
        <f>"男"</f>
        <v>男</v>
      </c>
    </row>
    <row r="573" spans="1:5" ht="14.4" x14ac:dyDescent="0.25">
      <c r="A573" s="4">
        <v>571</v>
      </c>
      <c r="B573" s="2" t="str">
        <f>"32512021081504324210926"</f>
        <v>32512021081504324210926</v>
      </c>
      <c r="C573" s="2" t="s">
        <v>6</v>
      </c>
      <c r="D573" s="2" t="str">
        <f>"刘健"</f>
        <v>刘健</v>
      </c>
      <c r="E573" s="2" t="str">
        <f>"男"</f>
        <v>男</v>
      </c>
    </row>
    <row r="574" spans="1:5" ht="14.4" x14ac:dyDescent="0.25">
      <c r="A574" s="4">
        <v>572</v>
      </c>
      <c r="B574" s="2" t="str">
        <f>"32512021081507525810933"</f>
        <v>32512021081507525810933</v>
      </c>
      <c r="C574" s="2" t="s">
        <v>6</v>
      </c>
      <c r="D574" s="2" t="str">
        <f>"林宏华"</f>
        <v>林宏华</v>
      </c>
      <c r="E574" s="2" t="str">
        <f>"男"</f>
        <v>男</v>
      </c>
    </row>
    <row r="575" spans="1:5" ht="14.4" x14ac:dyDescent="0.25">
      <c r="A575" s="4">
        <v>573</v>
      </c>
      <c r="B575" s="2" t="str">
        <f>"32512021081509141910958"</f>
        <v>32512021081509141910958</v>
      </c>
      <c r="C575" s="2" t="s">
        <v>6</v>
      </c>
      <c r="D575" s="2" t="str">
        <f>"王燕清"</f>
        <v>王燕清</v>
      </c>
      <c r="E575" s="2" t="str">
        <f>"女"</f>
        <v>女</v>
      </c>
    </row>
    <row r="576" spans="1:5" ht="14.4" x14ac:dyDescent="0.25">
      <c r="A576" s="4">
        <v>574</v>
      </c>
      <c r="B576" s="2" t="str">
        <f>"32512021081509510610970"</f>
        <v>32512021081509510610970</v>
      </c>
      <c r="C576" s="2" t="s">
        <v>6</v>
      </c>
      <c r="D576" s="2" t="str">
        <f>"彭莎莎"</f>
        <v>彭莎莎</v>
      </c>
      <c r="E576" s="2" t="str">
        <f>"女"</f>
        <v>女</v>
      </c>
    </row>
    <row r="577" spans="1:5" ht="14.4" x14ac:dyDescent="0.25">
      <c r="A577" s="4">
        <v>575</v>
      </c>
      <c r="B577" s="2" t="str">
        <f>"32512021081510214110989"</f>
        <v>32512021081510214110989</v>
      </c>
      <c r="C577" s="2" t="s">
        <v>6</v>
      </c>
      <c r="D577" s="2" t="str">
        <f>"陈春初"</f>
        <v>陈春初</v>
      </c>
      <c r="E577" s="2" t="str">
        <f>"女"</f>
        <v>女</v>
      </c>
    </row>
    <row r="578" spans="1:5" ht="14.4" x14ac:dyDescent="0.25">
      <c r="A578" s="4">
        <v>576</v>
      </c>
      <c r="B578" s="2" t="str">
        <f>"32512021081511090311027"</f>
        <v>32512021081511090311027</v>
      </c>
      <c r="C578" s="2" t="s">
        <v>6</v>
      </c>
      <c r="D578" s="2" t="str">
        <f>"黎贤丽"</f>
        <v>黎贤丽</v>
      </c>
      <c r="E578" s="2" t="str">
        <f>"女"</f>
        <v>女</v>
      </c>
    </row>
    <row r="579" spans="1:5" ht="14.4" x14ac:dyDescent="0.25">
      <c r="A579" s="4">
        <v>577</v>
      </c>
      <c r="B579" s="2" t="str">
        <f>"32512021081511393511049"</f>
        <v>32512021081511393511049</v>
      </c>
      <c r="C579" s="2" t="s">
        <v>6</v>
      </c>
      <c r="D579" s="2" t="str">
        <f>"符圣安"</f>
        <v>符圣安</v>
      </c>
      <c r="E579" s="2" t="str">
        <f>"男"</f>
        <v>男</v>
      </c>
    </row>
    <row r="580" spans="1:5" ht="14.4" x14ac:dyDescent="0.25">
      <c r="A580" s="4">
        <v>578</v>
      </c>
      <c r="B580" s="2" t="str">
        <f>"32512021081512553311090"</f>
        <v>32512021081512553311090</v>
      </c>
      <c r="C580" s="2" t="s">
        <v>6</v>
      </c>
      <c r="D580" s="2" t="str">
        <f>"康凯"</f>
        <v>康凯</v>
      </c>
      <c r="E580" s="2" t="str">
        <f>"男"</f>
        <v>男</v>
      </c>
    </row>
    <row r="581" spans="1:5" ht="14.4" x14ac:dyDescent="0.25">
      <c r="A581" s="4">
        <v>579</v>
      </c>
      <c r="B581" s="2" t="str">
        <f>"32512021081515363611208"</f>
        <v>32512021081515363611208</v>
      </c>
      <c r="C581" s="2" t="s">
        <v>6</v>
      </c>
      <c r="D581" s="2" t="str">
        <f>"朱冉"</f>
        <v>朱冉</v>
      </c>
      <c r="E581" s="2" t="str">
        <f>"女"</f>
        <v>女</v>
      </c>
    </row>
    <row r="582" spans="1:5" ht="14.4" x14ac:dyDescent="0.25">
      <c r="A582" s="4">
        <v>580</v>
      </c>
      <c r="B582" s="2" t="str">
        <f>"32512021081516503711269"</f>
        <v>32512021081516503711269</v>
      </c>
      <c r="C582" s="2" t="s">
        <v>6</v>
      </c>
      <c r="D582" s="2" t="str">
        <f>"麦淑庆"</f>
        <v>麦淑庆</v>
      </c>
      <c r="E582" s="2" t="str">
        <f>"女"</f>
        <v>女</v>
      </c>
    </row>
    <row r="583" spans="1:5" ht="14.4" x14ac:dyDescent="0.25">
      <c r="A583" s="4">
        <v>581</v>
      </c>
      <c r="B583" s="2" t="str">
        <f>"32512021081518303111349"</f>
        <v>32512021081518303111349</v>
      </c>
      <c r="C583" s="2" t="s">
        <v>6</v>
      </c>
      <c r="D583" s="2" t="str">
        <f>"王文招"</f>
        <v>王文招</v>
      </c>
      <c r="E583" s="2" t="str">
        <f>"男"</f>
        <v>男</v>
      </c>
    </row>
    <row r="584" spans="1:5" ht="14.4" x14ac:dyDescent="0.25">
      <c r="A584" s="4">
        <v>582</v>
      </c>
      <c r="B584" s="2" t="str">
        <f>"32512021081518511311364"</f>
        <v>32512021081518511311364</v>
      </c>
      <c r="C584" s="2" t="s">
        <v>6</v>
      </c>
      <c r="D584" s="2" t="str">
        <f>"陈曼娟"</f>
        <v>陈曼娟</v>
      </c>
      <c r="E584" s="2" t="str">
        <f>"女"</f>
        <v>女</v>
      </c>
    </row>
    <row r="585" spans="1:5" ht="14.4" x14ac:dyDescent="0.25">
      <c r="A585" s="4">
        <v>583</v>
      </c>
      <c r="B585" s="2" t="str">
        <f>"32512021081519315511394"</f>
        <v>32512021081519315511394</v>
      </c>
      <c r="C585" s="2" t="s">
        <v>6</v>
      </c>
      <c r="D585" s="2" t="str">
        <f>"陈然"</f>
        <v>陈然</v>
      </c>
      <c r="E585" s="2" t="str">
        <f>"男"</f>
        <v>男</v>
      </c>
    </row>
    <row r="586" spans="1:5" ht="14.4" x14ac:dyDescent="0.25">
      <c r="A586" s="4">
        <v>584</v>
      </c>
      <c r="B586" s="2" t="str">
        <f>"32512021081519354711395"</f>
        <v>32512021081519354711395</v>
      </c>
      <c r="C586" s="2" t="s">
        <v>6</v>
      </c>
      <c r="D586" s="2" t="str">
        <f>"杨亭"</f>
        <v>杨亭</v>
      </c>
      <c r="E586" s="2" t="str">
        <f>"女"</f>
        <v>女</v>
      </c>
    </row>
    <row r="587" spans="1:5" ht="14.4" x14ac:dyDescent="0.25">
      <c r="A587" s="4">
        <v>585</v>
      </c>
      <c r="B587" s="2" t="str">
        <f>"32512021081520052611424"</f>
        <v>32512021081520052611424</v>
      </c>
      <c r="C587" s="2" t="s">
        <v>6</v>
      </c>
      <c r="D587" s="2" t="str">
        <f>"黄发玲"</f>
        <v>黄发玲</v>
      </c>
      <c r="E587" s="2" t="str">
        <f>"女"</f>
        <v>女</v>
      </c>
    </row>
    <row r="588" spans="1:5" ht="14.4" x14ac:dyDescent="0.25">
      <c r="A588" s="4">
        <v>586</v>
      </c>
      <c r="B588" s="2" t="str">
        <f>"32512021081520184711435"</f>
        <v>32512021081520184711435</v>
      </c>
      <c r="C588" s="2" t="s">
        <v>6</v>
      </c>
      <c r="D588" s="2" t="str">
        <f>"羊兴霞"</f>
        <v>羊兴霞</v>
      </c>
      <c r="E588" s="2" t="str">
        <f>"女"</f>
        <v>女</v>
      </c>
    </row>
    <row r="589" spans="1:5" ht="14.4" x14ac:dyDescent="0.25">
      <c r="A589" s="4">
        <v>587</v>
      </c>
      <c r="B589" s="2" t="str">
        <f>"32512021081520524111471"</f>
        <v>32512021081520524111471</v>
      </c>
      <c r="C589" s="2" t="s">
        <v>6</v>
      </c>
      <c r="D589" s="2" t="str">
        <f>"羊聪"</f>
        <v>羊聪</v>
      </c>
      <c r="E589" s="2" t="str">
        <f>"男"</f>
        <v>男</v>
      </c>
    </row>
    <row r="590" spans="1:5" ht="14.4" x14ac:dyDescent="0.25">
      <c r="A590" s="4">
        <v>588</v>
      </c>
      <c r="B590" s="2" t="str">
        <f>"32512021081521173411498"</f>
        <v>32512021081521173411498</v>
      </c>
      <c r="C590" s="2" t="s">
        <v>6</v>
      </c>
      <c r="D590" s="2" t="str">
        <f>"罗九天"</f>
        <v>罗九天</v>
      </c>
      <c r="E590" s="2" t="str">
        <f>"男"</f>
        <v>男</v>
      </c>
    </row>
    <row r="591" spans="1:5" ht="14.4" x14ac:dyDescent="0.25">
      <c r="A591" s="4">
        <v>589</v>
      </c>
      <c r="B591" s="2" t="str">
        <f>"32512021081521230811504"</f>
        <v>32512021081521230811504</v>
      </c>
      <c r="C591" s="2" t="s">
        <v>6</v>
      </c>
      <c r="D591" s="2" t="str">
        <f>"吴蔚"</f>
        <v>吴蔚</v>
      </c>
      <c r="E591" s="2" t="str">
        <f>"女"</f>
        <v>女</v>
      </c>
    </row>
    <row r="592" spans="1:5" ht="14.4" x14ac:dyDescent="0.25">
      <c r="A592" s="4">
        <v>590</v>
      </c>
      <c r="B592" s="2" t="str">
        <f>"32512021081521380411516"</f>
        <v>32512021081521380411516</v>
      </c>
      <c r="C592" s="2" t="s">
        <v>6</v>
      </c>
      <c r="D592" s="2" t="str">
        <f>"文晓云"</f>
        <v>文晓云</v>
      </c>
      <c r="E592" s="2" t="str">
        <f>"男"</f>
        <v>男</v>
      </c>
    </row>
    <row r="593" spans="1:5" ht="14.4" x14ac:dyDescent="0.25">
      <c r="A593" s="4">
        <v>591</v>
      </c>
      <c r="B593" s="2" t="str">
        <f>"32512021081521382611517"</f>
        <v>32512021081521382611517</v>
      </c>
      <c r="C593" s="2" t="s">
        <v>6</v>
      </c>
      <c r="D593" s="2" t="str">
        <f>"蔡燕霞"</f>
        <v>蔡燕霞</v>
      </c>
      <c r="E593" s="2" t="str">
        <f>"女"</f>
        <v>女</v>
      </c>
    </row>
    <row r="594" spans="1:5" ht="14.4" x14ac:dyDescent="0.25">
      <c r="A594" s="4">
        <v>592</v>
      </c>
      <c r="B594" s="2" t="str">
        <f>"32512021081521451711526"</f>
        <v>32512021081521451711526</v>
      </c>
      <c r="C594" s="2" t="s">
        <v>6</v>
      </c>
      <c r="D594" s="2" t="str">
        <f>"杨国作"</f>
        <v>杨国作</v>
      </c>
      <c r="E594" s="2" t="str">
        <f>"男"</f>
        <v>男</v>
      </c>
    </row>
    <row r="595" spans="1:5" ht="14.4" x14ac:dyDescent="0.25">
      <c r="A595" s="4">
        <v>593</v>
      </c>
      <c r="B595" s="2" t="str">
        <f>"32512021081521465011527"</f>
        <v>32512021081521465011527</v>
      </c>
      <c r="C595" s="2" t="s">
        <v>6</v>
      </c>
      <c r="D595" s="2" t="str">
        <f>"姚金璎"</f>
        <v>姚金璎</v>
      </c>
      <c r="E595" s="2" t="str">
        <f>"女"</f>
        <v>女</v>
      </c>
    </row>
    <row r="596" spans="1:5" ht="14.4" x14ac:dyDescent="0.25">
      <c r="A596" s="4">
        <v>594</v>
      </c>
      <c r="B596" s="2" t="str">
        <f>"32512021081522091311550"</f>
        <v>32512021081522091311550</v>
      </c>
      <c r="C596" s="2" t="s">
        <v>6</v>
      </c>
      <c r="D596" s="2" t="str">
        <f>"章丽"</f>
        <v>章丽</v>
      </c>
      <c r="E596" s="2" t="str">
        <f>"女"</f>
        <v>女</v>
      </c>
    </row>
    <row r="597" spans="1:5" ht="14.4" x14ac:dyDescent="0.25">
      <c r="A597" s="4">
        <v>595</v>
      </c>
      <c r="B597" s="2" t="str">
        <f>"32512021081522291411568"</f>
        <v>32512021081522291411568</v>
      </c>
      <c r="C597" s="2" t="s">
        <v>6</v>
      </c>
      <c r="D597" s="2" t="str">
        <f>"王运洪"</f>
        <v>王运洪</v>
      </c>
      <c r="E597" s="2" t="str">
        <f>"男"</f>
        <v>男</v>
      </c>
    </row>
    <row r="598" spans="1:5" ht="14.4" x14ac:dyDescent="0.25">
      <c r="A598" s="4">
        <v>596</v>
      </c>
      <c r="B598" s="2" t="str">
        <f>"32512021081522421511587"</f>
        <v>32512021081522421511587</v>
      </c>
      <c r="C598" s="2" t="s">
        <v>6</v>
      </c>
      <c r="D598" s="2" t="str">
        <f>"曾繁宏"</f>
        <v>曾繁宏</v>
      </c>
      <c r="E598" s="2" t="str">
        <f>"男"</f>
        <v>男</v>
      </c>
    </row>
    <row r="599" spans="1:5" ht="14.4" x14ac:dyDescent="0.25">
      <c r="A599" s="4">
        <v>597</v>
      </c>
      <c r="B599" s="2" t="str">
        <f>"32512021081522511811595"</f>
        <v>32512021081522511811595</v>
      </c>
      <c r="C599" s="2" t="s">
        <v>6</v>
      </c>
      <c r="D599" s="2" t="str">
        <f>"路文芳"</f>
        <v>路文芳</v>
      </c>
      <c r="E599" s="2" t="str">
        <f>"女"</f>
        <v>女</v>
      </c>
    </row>
    <row r="600" spans="1:5" ht="14.4" x14ac:dyDescent="0.25">
      <c r="A600" s="4">
        <v>598</v>
      </c>
      <c r="B600" s="2" t="str">
        <f>"32512021081522513511596"</f>
        <v>32512021081522513511596</v>
      </c>
      <c r="C600" s="2" t="s">
        <v>6</v>
      </c>
      <c r="D600" s="2" t="str">
        <f>"符芳道"</f>
        <v>符芳道</v>
      </c>
      <c r="E600" s="2" t="str">
        <f>"男"</f>
        <v>男</v>
      </c>
    </row>
    <row r="601" spans="1:5" ht="14.4" x14ac:dyDescent="0.25">
      <c r="A601" s="4">
        <v>599</v>
      </c>
      <c r="B601" s="2" t="str">
        <f>"32512021081522581911602"</f>
        <v>32512021081522581911602</v>
      </c>
      <c r="C601" s="2" t="s">
        <v>6</v>
      </c>
      <c r="D601" s="2" t="str">
        <f>"李佳新"</f>
        <v>李佳新</v>
      </c>
      <c r="E601" s="2" t="str">
        <f>"男"</f>
        <v>男</v>
      </c>
    </row>
    <row r="602" spans="1:5" ht="14.4" x14ac:dyDescent="0.25">
      <c r="A602" s="4">
        <v>600</v>
      </c>
      <c r="B602" s="2" t="str">
        <f>"32512021081523050411607"</f>
        <v>32512021081523050411607</v>
      </c>
      <c r="C602" s="2" t="s">
        <v>6</v>
      </c>
      <c r="D602" s="2" t="str">
        <f>"方焕"</f>
        <v>方焕</v>
      </c>
      <c r="E602" s="2" t="str">
        <f>"女"</f>
        <v>女</v>
      </c>
    </row>
    <row r="603" spans="1:5" ht="14.4" x14ac:dyDescent="0.25">
      <c r="A603" s="4">
        <v>601</v>
      </c>
      <c r="B603" s="2" t="str">
        <f>"32512021081523261511623"</f>
        <v>32512021081523261511623</v>
      </c>
      <c r="C603" s="2" t="s">
        <v>6</v>
      </c>
      <c r="D603" s="2" t="str">
        <f>"陈佳敏 "</f>
        <v xml:space="preserve">陈佳敏 </v>
      </c>
      <c r="E603" s="2" t="str">
        <f>"女"</f>
        <v>女</v>
      </c>
    </row>
    <row r="604" spans="1:5" ht="14.4" x14ac:dyDescent="0.25">
      <c r="A604" s="4">
        <v>602</v>
      </c>
      <c r="B604" s="2" t="str">
        <f>"32512021081523294111625"</f>
        <v>32512021081523294111625</v>
      </c>
      <c r="C604" s="2" t="s">
        <v>6</v>
      </c>
      <c r="D604" s="2" t="str">
        <f>"吴佳怡"</f>
        <v>吴佳怡</v>
      </c>
      <c r="E604" s="2" t="str">
        <f>"女"</f>
        <v>女</v>
      </c>
    </row>
    <row r="605" spans="1:5" ht="14.4" x14ac:dyDescent="0.25">
      <c r="A605" s="4">
        <v>603</v>
      </c>
      <c r="B605" s="2" t="str">
        <f>"32512021081600154711639"</f>
        <v>32512021081600154711639</v>
      </c>
      <c r="C605" s="2" t="s">
        <v>6</v>
      </c>
      <c r="D605" s="2" t="str">
        <f>"罗楠"</f>
        <v>罗楠</v>
      </c>
      <c r="E605" s="2" t="str">
        <f>"女"</f>
        <v>女</v>
      </c>
    </row>
    <row r="606" spans="1:5" ht="14.4" x14ac:dyDescent="0.25">
      <c r="A606" s="4">
        <v>604</v>
      </c>
      <c r="B606" s="2" t="str">
        <f>"32512021081600175211641"</f>
        <v>32512021081600175211641</v>
      </c>
      <c r="C606" s="2" t="s">
        <v>6</v>
      </c>
      <c r="D606" s="2" t="str">
        <f>"王梦露"</f>
        <v>王梦露</v>
      </c>
      <c r="E606" s="2" t="str">
        <f>"女"</f>
        <v>女</v>
      </c>
    </row>
    <row r="607" spans="1:5" ht="14.4" x14ac:dyDescent="0.25">
      <c r="A607" s="4">
        <v>605</v>
      </c>
      <c r="B607" s="2" t="str">
        <f>"32512021081601203711665"</f>
        <v>32512021081601203711665</v>
      </c>
      <c r="C607" s="2" t="s">
        <v>6</v>
      </c>
      <c r="D607" s="2" t="str">
        <f>"李发登"</f>
        <v>李发登</v>
      </c>
      <c r="E607" s="2" t="str">
        <f>"男"</f>
        <v>男</v>
      </c>
    </row>
    <row r="608" spans="1:5" ht="14.4" x14ac:dyDescent="0.25">
      <c r="A608" s="4">
        <v>606</v>
      </c>
      <c r="B608" s="2" t="str">
        <f>"32512021081601245711666"</f>
        <v>32512021081601245711666</v>
      </c>
      <c r="C608" s="2" t="s">
        <v>6</v>
      </c>
      <c r="D608" s="2" t="str">
        <f>"谢明海"</f>
        <v>谢明海</v>
      </c>
      <c r="E608" s="2" t="str">
        <f>"男"</f>
        <v>男</v>
      </c>
    </row>
    <row r="609" spans="1:5" ht="14.4" x14ac:dyDescent="0.25">
      <c r="A609" s="4">
        <v>607</v>
      </c>
      <c r="B609" s="2" t="str">
        <f>"32512021081603223911678"</f>
        <v>32512021081603223911678</v>
      </c>
      <c r="C609" s="2" t="s">
        <v>6</v>
      </c>
      <c r="D609" s="2" t="str">
        <f>"骆日坚"</f>
        <v>骆日坚</v>
      </c>
      <c r="E609" s="2" t="str">
        <f>"男"</f>
        <v>男</v>
      </c>
    </row>
    <row r="610" spans="1:5" ht="14.4" x14ac:dyDescent="0.25">
      <c r="A610" s="4">
        <v>608</v>
      </c>
      <c r="B610" s="2" t="str">
        <f>"32512021081608465811778"</f>
        <v>32512021081608465811778</v>
      </c>
      <c r="C610" s="2" t="s">
        <v>6</v>
      </c>
      <c r="D610" s="2" t="str">
        <f>"杜梦丹"</f>
        <v>杜梦丹</v>
      </c>
      <c r="E610" s="2" t="str">
        <f>"女"</f>
        <v>女</v>
      </c>
    </row>
    <row r="611" spans="1:5" ht="14.4" x14ac:dyDescent="0.25">
      <c r="A611" s="4">
        <v>609</v>
      </c>
      <c r="B611" s="2" t="str">
        <f>"32512021081608483011779"</f>
        <v>32512021081608483011779</v>
      </c>
      <c r="C611" s="2" t="s">
        <v>6</v>
      </c>
      <c r="D611" s="2" t="str">
        <f>"吴泽明"</f>
        <v>吴泽明</v>
      </c>
      <c r="E611" s="2" t="str">
        <f>"男"</f>
        <v>男</v>
      </c>
    </row>
    <row r="612" spans="1:5" ht="14.4" x14ac:dyDescent="0.25">
      <c r="A612" s="4">
        <v>610</v>
      </c>
      <c r="B612" s="2" t="str">
        <f>"32512021081608541311791"</f>
        <v>32512021081608541311791</v>
      </c>
      <c r="C612" s="2" t="s">
        <v>6</v>
      </c>
      <c r="D612" s="2" t="str">
        <f>"周美满"</f>
        <v>周美满</v>
      </c>
      <c r="E612" s="2" t="str">
        <f>"女"</f>
        <v>女</v>
      </c>
    </row>
    <row r="613" spans="1:5" ht="14.4" x14ac:dyDescent="0.25">
      <c r="A613" s="4">
        <v>611</v>
      </c>
      <c r="B613" s="2" t="str">
        <f>"32512021081608554711795"</f>
        <v>32512021081608554711795</v>
      </c>
      <c r="C613" s="2" t="s">
        <v>6</v>
      </c>
      <c r="D613" s="2" t="str">
        <f>"牛冠琼"</f>
        <v>牛冠琼</v>
      </c>
      <c r="E613" s="2" t="str">
        <f>"男"</f>
        <v>男</v>
      </c>
    </row>
    <row r="614" spans="1:5" ht="14.4" x14ac:dyDescent="0.25">
      <c r="A614" s="4">
        <v>612</v>
      </c>
      <c r="B614" s="2" t="str">
        <f>"32512021081609061311856"</f>
        <v>32512021081609061311856</v>
      </c>
      <c r="C614" s="2" t="s">
        <v>6</v>
      </c>
      <c r="D614" s="2" t="str">
        <f>"林红叶"</f>
        <v>林红叶</v>
      </c>
      <c r="E614" s="2" t="str">
        <f>"女"</f>
        <v>女</v>
      </c>
    </row>
    <row r="615" spans="1:5" ht="14.4" x14ac:dyDescent="0.25">
      <c r="A615" s="4">
        <v>613</v>
      </c>
      <c r="B615" s="2" t="str">
        <f>"32512021081609455212037"</f>
        <v>32512021081609455212037</v>
      </c>
      <c r="C615" s="2" t="s">
        <v>6</v>
      </c>
      <c r="D615" s="2" t="str">
        <f>"王良"</f>
        <v>王良</v>
      </c>
      <c r="E615" s="2" t="str">
        <f>"男"</f>
        <v>男</v>
      </c>
    </row>
    <row r="616" spans="1:5" ht="14.4" x14ac:dyDescent="0.25">
      <c r="A616" s="4">
        <v>614</v>
      </c>
      <c r="B616" s="2" t="str">
        <f>"32512021081609494812054"</f>
        <v>32512021081609494812054</v>
      </c>
      <c r="C616" s="2" t="s">
        <v>6</v>
      </c>
      <c r="D616" s="2" t="str">
        <f>"莫庄文"</f>
        <v>莫庄文</v>
      </c>
      <c r="E616" s="2" t="str">
        <f>"女"</f>
        <v>女</v>
      </c>
    </row>
    <row r="617" spans="1:5" ht="14.4" x14ac:dyDescent="0.25">
      <c r="A617" s="4">
        <v>615</v>
      </c>
      <c r="B617" s="2" t="str">
        <f>"32512021081609552612079"</f>
        <v>32512021081609552612079</v>
      </c>
      <c r="C617" s="2" t="s">
        <v>6</v>
      </c>
      <c r="D617" s="2" t="str">
        <f>"李永鹏"</f>
        <v>李永鹏</v>
      </c>
      <c r="E617" s="2" t="str">
        <f>"男"</f>
        <v>男</v>
      </c>
    </row>
    <row r="618" spans="1:5" ht="14.4" x14ac:dyDescent="0.25">
      <c r="A618" s="4">
        <v>616</v>
      </c>
      <c r="B618" s="2" t="str">
        <f>"32512021081609582712092"</f>
        <v>32512021081609582712092</v>
      </c>
      <c r="C618" s="2" t="s">
        <v>6</v>
      </c>
      <c r="D618" s="2" t="str">
        <f>"胡杨"</f>
        <v>胡杨</v>
      </c>
      <c r="E618" s="2" t="str">
        <f>"女"</f>
        <v>女</v>
      </c>
    </row>
    <row r="619" spans="1:5" ht="14.4" x14ac:dyDescent="0.25">
      <c r="A619" s="4">
        <v>617</v>
      </c>
      <c r="B619" s="2" t="str">
        <f>"32512021081610064712137"</f>
        <v>32512021081610064712137</v>
      </c>
      <c r="C619" s="2" t="s">
        <v>6</v>
      </c>
      <c r="D619" s="2" t="str">
        <f>"尹艳敏"</f>
        <v>尹艳敏</v>
      </c>
      <c r="E619" s="2" t="str">
        <f>"女"</f>
        <v>女</v>
      </c>
    </row>
    <row r="620" spans="1:5" ht="14.4" x14ac:dyDescent="0.25">
      <c r="A620" s="4">
        <v>618</v>
      </c>
      <c r="B620" s="2" t="str">
        <f>"32512021081610070112140"</f>
        <v>32512021081610070112140</v>
      </c>
      <c r="C620" s="2" t="s">
        <v>6</v>
      </c>
      <c r="D620" s="2" t="str">
        <f>"陆以专"</f>
        <v>陆以专</v>
      </c>
      <c r="E620" s="2" t="str">
        <f>"男"</f>
        <v>男</v>
      </c>
    </row>
    <row r="621" spans="1:5" ht="14.4" x14ac:dyDescent="0.25">
      <c r="A621" s="4">
        <v>619</v>
      </c>
      <c r="B621" s="2" t="str">
        <f>"32512021081610231212240"</f>
        <v>32512021081610231212240</v>
      </c>
      <c r="C621" s="2" t="s">
        <v>6</v>
      </c>
      <c r="D621" s="2" t="str">
        <f>"陈俊全"</f>
        <v>陈俊全</v>
      </c>
      <c r="E621" s="2" t="str">
        <f>"男"</f>
        <v>男</v>
      </c>
    </row>
    <row r="622" spans="1:5" ht="14.4" x14ac:dyDescent="0.25">
      <c r="A622" s="4">
        <v>620</v>
      </c>
      <c r="B622" s="2" t="str">
        <f>"32512021081610240612243"</f>
        <v>32512021081610240612243</v>
      </c>
      <c r="C622" s="2" t="s">
        <v>6</v>
      </c>
      <c r="D622" s="2" t="str">
        <f>"羊雄强"</f>
        <v>羊雄强</v>
      </c>
      <c r="E622" s="2" t="str">
        <f>"男"</f>
        <v>男</v>
      </c>
    </row>
    <row r="623" spans="1:5" ht="14.4" x14ac:dyDescent="0.25">
      <c r="A623" s="4">
        <v>621</v>
      </c>
      <c r="B623" s="2" t="str">
        <f>"32512021081610282412265"</f>
        <v>32512021081610282412265</v>
      </c>
      <c r="C623" s="2" t="s">
        <v>6</v>
      </c>
      <c r="D623" s="2" t="str">
        <f>"陈云虹"</f>
        <v>陈云虹</v>
      </c>
      <c r="E623" s="2" t="str">
        <f>"女"</f>
        <v>女</v>
      </c>
    </row>
    <row r="624" spans="1:5" ht="14.4" x14ac:dyDescent="0.25">
      <c r="A624" s="4">
        <v>622</v>
      </c>
      <c r="B624" s="2" t="str">
        <f>"32512021081610303012277"</f>
        <v>32512021081610303012277</v>
      </c>
      <c r="C624" s="2" t="s">
        <v>6</v>
      </c>
      <c r="D624" s="2" t="str">
        <f>"陈小峰"</f>
        <v>陈小峰</v>
      </c>
      <c r="E624" s="2" t="str">
        <f>"男"</f>
        <v>男</v>
      </c>
    </row>
    <row r="625" spans="1:5" ht="14.4" x14ac:dyDescent="0.25">
      <c r="A625" s="4">
        <v>623</v>
      </c>
      <c r="B625" s="2" t="str">
        <f>"32512021081610391012322"</f>
        <v>32512021081610391012322</v>
      </c>
      <c r="C625" s="2" t="s">
        <v>6</v>
      </c>
      <c r="D625" s="2" t="str">
        <f>"王升阳"</f>
        <v>王升阳</v>
      </c>
      <c r="E625" s="2" t="str">
        <f>"男"</f>
        <v>男</v>
      </c>
    </row>
    <row r="626" spans="1:5" ht="14.4" x14ac:dyDescent="0.25">
      <c r="A626" s="4">
        <v>624</v>
      </c>
      <c r="B626" s="2" t="str">
        <f>"32512021081610395012325"</f>
        <v>32512021081610395012325</v>
      </c>
      <c r="C626" s="2" t="s">
        <v>6</v>
      </c>
      <c r="D626" s="2" t="str">
        <f>"高广"</f>
        <v>高广</v>
      </c>
      <c r="E626" s="2" t="str">
        <f>"男"</f>
        <v>男</v>
      </c>
    </row>
    <row r="627" spans="1:5" ht="14.4" x14ac:dyDescent="0.25">
      <c r="A627" s="4">
        <v>625</v>
      </c>
      <c r="B627" s="2" t="str">
        <f>"32512021081610523312373"</f>
        <v>32512021081610523312373</v>
      </c>
      <c r="C627" s="2" t="s">
        <v>6</v>
      </c>
      <c r="D627" s="2" t="str">
        <f>"罗倩"</f>
        <v>罗倩</v>
      </c>
      <c r="E627" s="2" t="str">
        <f>"女"</f>
        <v>女</v>
      </c>
    </row>
    <row r="628" spans="1:5" ht="14.4" x14ac:dyDescent="0.25">
      <c r="A628" s="4">
        <v>626</v>
      </c>
      <c r="B628" s="2" t="str">
        <f>"32512021081610573912394"</f>
        <v>32512021081610573912394</v>
      </c>
      <c r="C628" s="2" t="s">
        <v>6</v>
      </c>
      <c r="D628" s="2" t="str">
        <f>"陈选忠"</f>
        <v>陈选忠</v>
      </c>
      <c r="E628" s="2" t="str">
        <f>"男"</f>
        <v>男</v>
      </c>
    </row>
    <row r="629" spans="1:5" ht="14.4" x14ac:dyDescent="0.25">
      <c r="A629" s="4">
        <v>627</v>
      </c>
      <c r="B629" s="2" t="str">
        <f>"32512021081610592912400"</f>
        <v>32512021081610592912400</v>
      </c>
      <c r="C629" s="2" t="s">
        <v>6</v>
      </c>
      <c r="D629" s="2" t="str">
        <f>"陈秀花"</f>
        <v>陈秀花</v>
      </c>
      <c r="E629" s="2" t="str">
        <f>"女"</f>
        <v>女</v>
      </c>
    </row>
    <row r="630" spans="1:5" ht="14.4" x14ac:dyDescent="0.25">
      <c r="A630" s="4">
        <v>628</v>
      </c>
      <c r="B630" s="2" t="str">
        <f>"32512021081611012012404"</f>
        <v>32512021081611012012404</v>
      </c>
      <c r="C630" s="2" t="s">
        <v>6</v>
      </c>
      <c r="D630" s="2" t="str">
        <f>"陈豪"</f>
        <v>陈豪</v>
      </c>
      <c r="E630" s="2" t="str">
        <f>"男"</f>
        <v>男</v>
      </c>
    </row>
    <row r="631" spans="1:5" ht="14.4" x14ac:dyDescent="0.25">
      <c r="A631" s="4">
        <v>629</v>
      </c>
      <c r="B631" s="2" t="str">
        <f>"32512021081611031012418"</f>
        <v>32512021081611031012418</v>
      </c>
      <c r="C631" s="2" t="s">
        <v>6</v>
      </c>
      <c r="D631" s="2" t="str">
        <f>"王新发"</f>
        <v>王新发</v>
      </c>
      <c r="E631" s="2" t="str">
        <f>"男"</f>
        <v>男</v>
      </c>
    </row>
    <row r="632" spans="1:5" ht="14.4" x14ac:dyDescent="0.25">
      <c r="A632" s="4">
        <v>630</v>
      </c>
      <c r="B632" s="2" t="str">
        <f>"32512021081611085312446"</f>
        <v>32512021081611085312446</v>
      </c>
      <c r="C632" s="2" t="s">
        <v>6</v>
      </c>
      <c r="D632" s="2" t="str">
        <f>"关艳"</f>
        <v>关艳</v>
      </c>
      <c r="E632" s="2" t="str">
        <f>"女"</f>
        <v>女</v>
      </c>
    </row>
    <row r="633" spans="1:5" ht="14.4" x14ac:dyDescent="0.25">
      <c r="A633" s="4">
        <v>631</v>
      </c>
      <c r="B633" s="2" t="str">
        <f>"32512021081611164512481"</f>
        <v>32512021081611164512481</v>
      </c>
      <c r="C633" s="2" t="s">
        <v>6</v>
      </c>
      <c r="D633" s="2" t="str">
        <f>"文君"</f>
        <v>文君</v>
      </c>
      <c r="E633" s="2" t="str">
        <f>"女"</f>
        <v>女</v>
      </c>
    </row>
    <row r="634" spans="1:5" ht="14.4" x14ac:dyDescent="0.25">
      <c r="A634" s="4">
        <v>632</v>
      </c>
      <c r="B634" s="2" t="str">
        <f>"32512021081611290512536"</f>
        <v>32512021081611290512536</v>
      </c>
      <c r="C634" s="2" t="s">
        <v>6</v>
      </c>
      <c r="D634" s="2" t="str">
        <f>"薛婆保"</f>
        <v>薛婆保</v>
      </c>
      <c r="E634" s="2" t="str">
        <f>"女"</f>
        <v>女</v>
      </c>
    </row>
    <row r="635" spans="1:5" ht="14.4" x14ac:dyDescent="0.25">
      <c r="A635" s="4">
        <v>633</v>
      </c>
      <c r="B635" s="2" t="str">
        <f>"32512021081611365412562"</f>
        <v>32512021081611365412562</v>
      </c>
      <c r="C635" s="2" t="s">
        <v>6</v>
      </c>
      <c r="D635" s="2" t="str">
        <f>"陈永球"</f>
        <v>陈永球</v>
      </c>
      <c r="E635" s="2" t="str">
        <f>"男"</f>
        <v>男</v>
      </c>
    </row>
    <row r="636" spans="1:5" ht="14.4" x14ac:dyDescent="0.25">
      <c r="A636" s="4">
        <v>634</v>
      </c>
      <c r="B636" s="2" t="str">
        <f>"32512021081611373112566"</f>
        <v>32512021081611373112566</v>
      </c>
      <c r="C636" s="2" t="s">
        <v>6</v>
      </c>
      <c r="D636" s="2" t="str">
        <f>"赵蕊"</f>
        <v>赵蕊</v>
      </c>
      <c r="E636" s="2" t="str">
        <f>"女"</f>
        <v>女</v>
      </c>
    </row>
    <row r="637" spans="1:5" ht="14.4" x14ac:dyDescent="0.25">
      <c r="A637" s="4">
        <v>635</v>
      </c>
      <c r="B637" s="2" t="str">
        <f>"32512021081611433112584"</f>
        <v>32512021081611433112584</v>
      </c>
      <c r="C637" s="2" t="s">
        <v>6</v>
      </c>
      <c r="D637" s="2" t="str">
        <f>"吴泰彬"</f>
        <v>吴泰彬</v>
      </c>
      <c r="E637" s="2" t="str">
        <f>"男"</f>
        <v>男</v>
      </c>
    </row>
    <row r="638" spans="1:5" ht="14.4" x14ac:dyDescent="0.25">
      <c r="A638" s="4">
        <v>636</v>
      </c>
      <c r="B638" s="2" t="str">
        <f>"32512021081611445512591"</f>
        <v>32512021081611445512591</v>
      </c>
      <c r="C638" s="2" t="s">
        <v>6</v>
      </c>
      <c r="D638" s="2" t="str">
        <f>"方观音"</f>
        <v>方观音</v>
      </c>
      <c r="E638" s="2" t="str">
        <f>"女"</f>
        <v>女</v>
      </c>
    </row>
    <row r="639" spans="1:5" ht="14.4" x14ac:dyDescent="0.25">
      <c r="A639" s="4">
        <v>637</v>
      </c>
      <c r="B639" s="2" t="str">
        <f>"32512021081611475012601"</f>
        <v>32512021081611475012601</v>
      </c>
      <c r="C639" s="2" t="s">
        <v>6</v>
      </c>
      <c r="D639" s="2" t="str">
        <f>"张小贤"</f>
        <v>张小贤</v>
      </c>
      <c r="E639" s="2" t="str">
        <f>"男"</f>
        <v>男</v>
      </c>
    </row>
    <row r="640" spans="1:5" ht="14.4" x14ac:dyDescent="0.25">
      <c r="A640" s="4">
        <v>638</v>
      </c>
      <c r="B640" s="2" t="str">
        <f>"32512021081611521812614"</f>
        <v>32512021081611521812614</v>
      </c>
      <c r="C640" s="2" t="s">
        <v>6</v>
      </c>
      <c r="D640" s="2" t="str">
        <f>"朱奎国"</f>
        <v>朱奎国</v>
      </c>
      <c r="E640" s="2" t="str">
        <f>"男"</f>
        <v>男</v>
      </c>
    </row>
    <row r="641" spans="1:5" ht="14.4" x14ac:dyDescent="0.25">
      <c r="A641" s="4">
        <v>639</v>
      </c>
      <c r="B641" s="2" t="str">
        <f>"32512021081612011612634"</f>
        <v>32512021081612011612634</v>
      </c>
      <c r="C641" s="2" t="s">
        <v>6</v>
      </c>
      <c r="D641" s="2" t="str">
        <f>"李国耀"</f>
        <v>李国耀</v>
      </c>
      <c r="E641" s="2" t="str">
        <f>"男"</f>
        <v>男</v>
      </c>
    </row>
    <row r="642" spans="1:5" ht="14.4" x14ac:dyDescent="0.25">
      <c r="A642" s="4">
        <v>640</v>
      </c>
      <c r="B642" s="2" t="str">
        <f>"32512021081612322412712"</f>
        <v>32512021081612322412712</v>
      </c>
      <c r="C642" s="2" t="s">
        <v>6</v>
      </c>
      <c r="D642" s="2" t="str">
        <f>"谭伟"</f>
        <v>谭伟</v>
      </c>
      <c r="E642" s="2" t="str">
        <f>"男"</f>
        <v>男</v>
      </c>
    </row>
    <row r="643" spans="1:5" ht="14.4" x14ac:dyDescent="0.25">
      <c r="A643" s="4">
        <v>641</v>
      </c>
      <c r="B643" s="2" t="str">
        <f>"32512021081612324612713"</f>
        <v>32512021081612324612713</v>
      </c>
      <c r="C643" s="2" t="s">
        <v>6</v>
      </c>
      <c r="D643" s="2" t="str">
        <f>"陈梅香"</f>
        <v>陈梅香</v>
      </c>
      <c r="E643" s="2" t="str">
        <f>"女"</f>
        <v>女</v>
      </c>
    </row>
    <row r="644" spans="1:5" ht="14.4" x14ac:dyDescent="0.25">
      <c r="A644" s="4">
        <v>642</v>
      </c>
      <c r="B644" s="2" t="str">
        <f>"32512021081612353012722"</f>
        <v>32512021081612353012722</v>
      </c>
      <c r="C644" s="2" t="s">
        <v>6</v>
      </c>
      <c r="D644" s="2" t="str">
        <f>"董壮娟"</f>
        <v>董壮娟</v>
      </c>
      <c r="E644" s="2" t="str">
        <f>"女"</f>
        <v>女</v>
      </c>
    </row>
    <row r="645" spans="1:5" ht="14.4" x14ac:dyDescent="0.25">
      <c r="A645" s="4">
        <v>643</v>
      </c>
      <c r="B645" s="2" t="str">
        <f>"32512021081612475412752"</f>
        <v>32512021081612475412752</v>
      </c>
      <c r="C645" s="2" t="s">
        <v>6</v>
      </c>
      <c r="D645" s="2" t="str">
        <f>"唐允君"</f>
        <v>唐允君</v>
      </c>
      <c r="E645" s="2" t="str">
        <f>"男"</f>
        <v>男</v>
      </c>
    </row>
    <row r="646" spans="1:5" ht="14.4" x14ac:dyDescent="0.25">
      <c r="A646" s="4">
        <v>644</v>
      </c>
      <c r="B646" s="2" t="str">
        <f>"32512021081612592912769"</f>
        <v>32512021081612592912769</v>
      </c>
      <c r="C646" s="2" t="s">
        <v>6</v>
      </c>
      <c r="D646" s="2" t="str">
        <f>"张艺山"</f>
        <v>张艺山</v>
      </c>
      <c r="E646" s="2" t="str">
        <f>"男"</f>
        <v>男</v>
      </c>
    </row>
    <row r="647" spans="1:5" ht="14.4" x14ac:dyDescent="0.25">
      <c r="A647" s="4">
        <v>645</v>
      </c>
      <c r="B647" s="2" t="str">
        <f>"32512021081613010812771"</f>
        <v>32512021081613010812771</v>
      </c>
      <c r="C647" s="2" t="s">
        <v>6</v>
      </c>
      <c r="D647" s="2" t="str">
        <f>"杜春燕"</f>
        <v>杜春燕</v>
      </c>
      <c r="E647" s="2" t="str">
        <f>"女"</f>
        <v>女</v>
      </c>
    </row>
    <row r="648" spans="1:5" ht="14.4" x14ac:dyDescent="0.25">
      <c r="A648" s="4">
        <v>646</v>
      </c>
      <c r="B648" s="2" t="str">
        <f>"32512021081613054012785"</f>
        <v>32512021081613054012785</v>
      </c>
      <c r="C648" s="2" t="s">
        <v>6</v>
      </c>
      <c r="D648" s="2" t="str">
        <f>"郭易侨"</f>
        <v>郭易侨</v>
      </c>
      <c r="E648" s="2" t="str">
        <f>"男"</f>
        <v>男</v>
      </c>
    </row>
    <row r="649" spans="1:5" ht="14.4" x14ac:dyDescent="0.25">
      <c r="A649" s="4">
        <v>647</v>
      </c>
      <c r="B649" s="2" t="str">
        <f>"32512021081613211612817"</f>
        <v>32512021081613211612817</v>
      </c>
      <c r="C649" s="2" t="s">
        <v>6</v>
      </c>
      <c r="D649" s="2" t="str">
        <f>"杨兹润"</f>
        <v>杨兹润</v>
      </c>
      <c r="E649" s="2" t="str">
        <f>"男"</f>
        <v>男</v>
      </c>
    </row>
    <row r="650" spans="1:5" ht="14.4" x14ac:dyDescent="0.25">
      <c r="A650" s="4">
        <v>648</v>
      </c>
      <c r="B650" s="2" t="str">
        <f>"32512021081613254812825"</f>
        <v>32512021081613254812825</v>
      </c>
      <c r="C650" s="2" t="s">
        <v>6</v>
      </c>
      <c r="D650" s="2" t="str">
        <f>"王英杆"</f>
        <v>王英杆</v>
      </c>
      <c r="E650" s="2" t="str">
        <f>"男"</f>
        <v>男</v>
      </c>
    </row>
    <row r="651" spans="1:5" ht="14.4" x14ac:dyDescent="0.25">
      <c r="A651" s="4">
        <v>649</v>
      </c>
      <c r="B651" s="2" t="str">
        <f>"32512021081613275912832"</f>
        <v>32512021081613275912832</v>
      </c>
      <c r="C651" s="2" t="s">
        <v>6</v>
      </c>
      <c r="D651" s="2" t="str">
        <f>"林日甜"</f>
        <v>林日甜</v>
      </c>
      <c r="E651" s="2" t="str">
        <f>"女"</f>
        <v>女</v>
      </c>
    </row>
    <row r="652" spans="1:5" ht="14.4" x14ac:dyDescent="0.25">
      <c r="A652" s="4">
        <v>650</v>
      </c>
      <c r="B652" s="2" t="str">
        <f>"32512021081613331212841"</f>
        <v>32512021081613331212841</v>
      </c>
      <c r="C652" s="2" t="s">
        <v>6</v>
      </c>
      <c r="D652" s="2" t="str">
        <f>"符雪梅"</f>
        <v>符雪梅</v>
      </c>
      <c r="E652" s="2" t="str">
        <f>"女"</f>
        <v>女</v>
      </c>
    </row>
    <row r="653" spans="1:5" ht="14.4" x14ac:dyDescent="0.25">
      <c r="A653" s="4">
        <v>651</v>
      </c>
      <c r="B653" s="2" t="str">
        <f>"32512021081613363712847"</f>
        <v>32512021081613363712847</v>
      </c>
      <c r="C653" s="2" t="s">
        <v>6</v>
      </c>
      <c r="D653" s="2" t="str">
        <f>"李子骥"</f>
        <v>李子骥</v>
      </c>
      <c r="E653" s="2" t="str">
        <f>"男"</f>
        <v>男</v>
      </c>
    </row>
    <row r="654" spans="1:5" ht="14.4" x14ac:dyDescent="0.25">
      <c r="A654" s="4">
        <v>652</v>
      </c>
      <c r="B654" s="2" t="str">
        <f>"32512021081613523212871"</f>
        <v>32512021081613523212871</v>
      </c>
      <c r="C654" s="2" t="s">
        <v>6</v>
      </c>
      <c r="D654" s="2" t="str">
        <f>"陈财"</f>
        <v>陈财</v>
      </c>
      <c r="E654" s="2" t="str">
        <f>"男"</f>
        <v>男</v>
      </c>
    </row>
    <row r="655" spans="1:5" ht="14.4" x14ac:dyDescent="0.25">
      <c r="A655" s="4">
        <v>653</v>
      </c>
      <c r="B655" s="2" t="str">
        <f>"32512021081614210512924"</f>
        <v>32512021081614210512924</v>
      </c>
      <c r="C655" s="2" t="s">
        <v>6</v>
      </c>
      <c r="D655" s="2" t="str">
        <f>"洪浩"</f>
        <v>洪浩</v>
      </c>
      <c r="E655" s="2" t="str">
        <f>"男"</f>
        <v>男</v>
      </c>
    </row>
    <row r="656" spans="1:5" ht="14.4" x14ac:dyDescent="0.25">
      <c r="A656" s="4">
        <v>654</v>
      </c>
      <c r="B656" s="2" t="str">
        <f>"32512021081614252612936"</f>
        <v>32512021081614252612936</v>
      </c>
      <c r="C656" s="2" t="s">
        <v>6</v>
      </c>
      <c r="D656" s="2" t="str">
        <f>"隋鑫"</f>
        <v>隋鑫</v>
      </c>
      <c r="E656" s="2" t="str">
        <f>"男"</f>
        <v>男</v>
      </c>
    </row>
    <row r="657" spans="1:5" ht="14.4" x14ac:dyDescent="0.25">
      <c r="A657" s="4">
        <v>655</v>
      </c>
      <c r="B657" s="2" t="str">
        <f>"32512021081614373412955"</f>
        <v>32512021081614373412955</v>
      </c>
      <c r="C657" s="2" t="s">
        <v>6</v>
      </c>
      <c r="D657" s="2" t="str">
        <f>"黄艳"</f>
        <v>黄艳</v>
      </c>
      <c r="E657" s="2" t="str">
        <f>"女"</f>
        <v>女</v>
      </c>
    </row>
    <row r="658" spans="1:5" ht="14.4" x14ac:dyDescent="0.25">
      <c r="A658" s="4">
        <v>656</v>
      </c>
      <c r="B658" s="2" t="str">
        <f>"32512021081614442412973"</f>
        <v>32512021081614442412973</v>
      </c>
      <c r="C658" s="2" t="s">
        <v>6</v>
      </c>
      <c r="D658" s="2" t="str">
        <f>"朱世伟"</f>
        <v>朱世伟</v>
      </c>
      <c r="E658" s="2" t="str">
        <f>"男"</f>
        <v>男</v>
      </c>
    </row>
    <row r="659" spans="1:5" ht="14.4" x14ac:dyDescent="0.25">
      <c r="A659" s="4">
        <v>657</v>
      </c>
      <c r="B659" s="2" t="str">
        <f>"32512021081614460212978"</f>
        <v>32512021081614460212978</v>
      </c>
      <c r="C659" s="2" t="s">
        <v>6</v>
      </c>
      <c r="D659" s="2" t="str">
        <f>"陈才平"</f>
        <v>陈才平</v>
      </c>
      <c r="E659" s="2" t="str">
        <f>"男"</f>
        <v>男</v>
      </c>
    </row>
    <row r="660" spans="1:5" ht="14.4" x14ac:dyDescent="0.25">
      <c r="A660" s="4">
        <v>658</v>
      </c>
      <c r="B660" s="2" t="str">
        <f>"32512021081614495712989"</f>
        <v>32512021081614495712989</v>
      </c>
      <c r="C660" s="2" t="s">
        <v>6</v>
      </c>
      <c r="D660" s="2" t="str">
        <f>"严居青"</f>
        <v>严居青</v>
      </c>
      <c r="E660" s="2" t="str">
        <f>"男"</f>
        <v>男</v>
      </c>
    </row>
    <row r="661" spans="1:5" ht="14.4" x14ac:dyDescent="0.25">
      <c r="A661" s="4">
        <v>659</v>
      </c>
      <c r="B661" s="2" t="str">
        <f>"32512021081614574313008"</f>
        <v>32512021081614574313008</v>
      </c>
      <c r="C661" s="2" t="s">
        <v>6</v>
      </c>
      <c r="D661" s="2" t="str">
        <f>"赖钻运"</f>
        <v>赖钻运</v>
      </c>
      <c r="E661" s="2" t="str">
        <f>"男"</f>
        <v>男</v>
      </c>
    </row>
    <row r="662" spans="1:5" ht="14.4" x14ac:dyDescent="0.25">
      <c r="A662" s="4">
        <v>660</v>
      </c>
      <c r="B662" s="2" t="str">
        <f>"32512021081615094013042"</f>
        <v>32512021081615094013042</v>
      </c>
      <c r="C662" s="2" t="s">
        <v>6</v>
      </c>
      <c r="D662" s="2" t="str">
        <f>"王小妹"</f>
        <v>王小妹</v>
      </c>
      <c r="E662" s="2" t="str">
        <f>"女"</f>
        <v>女</v>
      </c>
    </row>
    <row r="663" spans="1:5" ht="14.4" x14ac:dyDescent="0.25">
      <c r="A663" s="4">
        <v>661</v>
      </c>
      <c r="B663" s="2" t="str">
        <f>"32512021081615214913073"</f>
        <v>32512021081615214913073</v>
      </c>
      <c r="C663" s="2" t="s">
        <v>6</v>
      </c>
      <c r="D663" s="2" t="str">
        <f>"陈永吉"</f>
        <v>陈永吉</v>
      </c>
      <c r="E663" s="2" t="str">
        <f>"女"</f>
        <v>女</v>
      </c>
    </row>
    <row r="664" spans="1:5" ht="14.4" x14ac:dyDescent="0.25">
      <c r="A664" s="4">
        <v>662</v>
      </c>
      <c r="B664" s="2" t="str">
        <f>"32512021081615410713111"</f>
        <v>32512021081615410713111</v>
      </c>
      <c r="C664" s="2" t="s">
        <v>6</v>
      </c>
      <c r="D664" s="2" t="str">
        <f>"陈定祥"</f>
        <v>陈定祥</v>
      </c>
      <c r="E664" s="2" t="str">
        <f>"男"</f>
        <v>男</v>
      </c>
    </row>
    <row r="665" spans="1:5" ht="14.4" x14ac:dyDescent="0.25">
      <c r="A665" s="4">
        <v>663</v>
      </c>
      <c r="B665" s="2" t="str">
        <f>"32512021081615492913133"</f>
        <v>32512021081615492913133</v>
      </c>
      <c r="C665" s="2" t="s">
        <v>6</v>
      </c>
      <c r="D665" s="2" t="str">
        <f>"梁宇晨"</f>
        <v>梁宇晨</v>
      </c>
      <c r="E665" s="2" t="str">
        <f>"女"</f>
        <v>女</v>
      </c>
    </row>
    <row r="666" spans="1:5" ht="14.4" x14ac:dyDescent="0.25">
      <c r="A666" s="4">
        <v>664</v>
      </c>
      <c r="B666" s="2" t="str">
        <f>"32512021081615503613134"</f>
        <v>32512021081615503613134</v>
      </c>
      <c r="C666" s="2" t="s">
        <v>6</v>
      </c>
      <c r="D666" s="2" t="str">
        <f>"黄昌华"</f>
        <v>黄昌华</v>
      </c>
      <c r="E666" s="2" t="str">
        <f>"男"</f>
        <v>男</v>
      </c>
    </row>
    <row r="667" spans="1:5" ht="14.4" x14ac:dyDescent="0.25">
      <c r="A667" s="4">
        <v>665</v>
      </c>
      <c r="B667" s="2" t="str">
        <f>"32512021081615575513156"</f>
        <v>32512021081615575513156</v>
      </c>
      <c r="C667" s="2" t="s">
        <v>6</v>
      </c>
      <c r="D667" s="2" t="str">
        <f>"林永翠"</f>
        <v>林永翠</v>
      </c>
      <c r="E667" s="2" t="str">
        <f t="shared" ref="E667:E673" si="14">"女"</f>
        <v>女</v>
      </c>
    </row>
    <row r="668" spans="1:5" ht="14.4" x14ac:dyDescent="0.25">
      <c r="A668" s="4">
        <v>666</v>
      </c>
      <c r="B668" s="2" t="str">
        <f>"32512021081616010313168"</f>
        <v>32512021081616010313168</v>
      </c>
      <c r="C668" s="2" t="s">
        <v>6</v>
      </c>
      <c r="D668" s="2" t="str">
        <f>"周小妹"</f>
        <v>周小妹</v>
      </c>
      <c r="E668" s="2" t="str">
        <f t="shared" si="14"/>
        <v>女</v>
      </c>
    </row>
    <row r="669" spans="1:5" ht="14.4" x14ac:dyDescent="0.25">
      <c r="A669" s="4">
        <v>667</v>
      </c>
      <c r="B669" s="2" t="str">
        <f>"32512021081616051213176"</f>
        <v>32512021081616051213176</v>
      </c>
      <c r="C669" s="2" t="s">
        <v>6</v>
      </c>
      <c r="D669" s="2" t="str">
        <f>"符公日"</f>
        <v>符公日</v>
      </c>
      <c r="E669" s="2" t="str">
        <f t="shared" si="14"/>
        <v>女</v>
      </c>
    </row>
    <row r="670" spans="1:5" ht="14.4" x14ac:dyDescent="0.25">
      <c r="A670" s="4">
        <v>668</v>
      </c>
      <c r="B670" s="2" t="str">
        <f>"32512021081616074013182"</f>
        <v>32512021081616074013182</v>
      </c>
      <c r="C670" s="2" t="s">
        <v>6</v>
      </c>
      <c r="D670" s="2" t="str">
        <f>"林玉"</f>
        <v>林玉</v>
      </c>
      <c r="E670" s="2" t="str">
        <f t="shared" si="14"/>
        <v>女</v>
      </c>
    </row>
    <row r="671" spans="1:5" ht="14.4" x14ac:dyDescent="0.25">
      <c r="A671" s="4">
        <v>669</v>
      </c>
      <c r="B671" s="2" t="str">
        <f>"3251202108100909473839"</f>
        <v>3251202108100909473839</v>
      </c>
      <c r="C671" s="2" t="s">
        <v>7</v>
      </c>
      <c r="D671" s="2" t="str">
        <f>"符美晶"</f>
        <v>符美晶</v>
      </c>
      <c r="E671" s="2" t="str">
        <f t="shared" si="14"/>
        <v>女</v>
      </c>
    </row>
    <row r="672" spans="1:5" ht="14.4" x14ac:dyDescent="0.25">
      <c r="A672" s="4">
        <v>670</v>
      </c>
      <c r="B672" s="2" t="str">
        <f>"3251202108100949444156"</f>
        <v>3251202108100949444156</v>
      </c>
      <c r="C672" s="2" t="s">
        <v>7</v>
      </c>
      <c r="D672" s="2" t="str">
        <f>"田虹瑰"</f>
        <v>田虹瑰</v>
      </c>
      <c r="E672" s="2" t="str">
        <f t="shared" si="14"/>
        <v>女</v>
      </c>
    </row>
    <row r="673" spans="1:5" ht="14.4" x14ac:dyDescent="0.25">
      <c r="A673" s="4">
        <v>671</v>
      </c>
      <c r="B673" s="2" t="str">
        <f>"3251202108101102214551"</f>
        <v>3251202108101102214551</v>
      </c>
      <c r="C673" s="2" t="s">
        <v>7</v>
      </c>
      <c r="D673" s="2" t="str">
        <f>"梁红"</f>
        <v>梁红</v>
      </c>
      <c r="E673" s="2" t="str">
        <f t="shared" si="14"/>
        <v>女</v>
      </c>
    </row>
    <row r="674" spans="1:5" ht="14.4" x14ac:dyDescent="0.25">
      <c r="A674" s="4">
        <v>672</v>
      </c>
      <c r="B674" s="2" t="str">
        <f>"3251202108101108334585"</f>
        <v>3251202108101108334585</v>
      </c>
      <c r="C674" s="2" t="s">
        <v>7</v>
      </c>
      <c r="D674" s="2" t="str">
        <f>"林开灿"</f>
        <v>林开灿</v>
      </c>
      <c r="E674" s="2" t="str">
        <f>"男"</f>
        <v>男</v>
      </c>
    </row>
    <row r="675" spans="1:5" ht="14.4" x14ac:dyDescent="0.25">
      <c r="A675" s="4">
        <v>673</v>
      </c>
      <c r="B675" s="2" t="str">
        <f>"3251202108101439355217"</f>
        <v>3251202108101439355217</v>
      </c>
      <c r="C675" s="2" t="s">
        <v>7</v>
      </c>
      <c r="D675" s="2" t="str">
        <f>"王也"</f>
        <v>王也</v>
      </c>
      <c r="E675" s="2" t="str">
        <f>"男"</f>
        <v>男</v>
      </c>
    </row>
    <row r="676" spans="1:5" ht="14.4" x14ac:dyDescent="0.25">
      <c r="A676" s="4">
        <v>674</v>
      </c>
      <c r="B676" s="2" t="str">
        <f>"3251202108101500095293"</f>
        <v>3251202108101500095293</v>
      </c>
      <c r="C676" s="2" t="s">
        <v>7</v>
      </c>
      <c r="D676" s="2" t="str">
        <f>"范妙莉"</f>
        <v>范妙莉</v>
      </c>
      <c r="E676" s="2" t="str">
        <f>"女"</f>
        <v>女</v>
      </c>
    </row>
    <row r="677" spans="1:5" ht="14.4" x14ac:dyDescent="0.25">
      <c r="A677" s="4">
        <v>675</v>
      </c>
      <c r="B677" s="2" t="str">
        <f>"3251202108101541175437"</f>
        <v>3251202108101541175437</v>
      </c>
      <c r="C677" s="2" t="s">
        <v>7</v>
      </c>
      <c r="D677" s="2" t="str">
        <f>"吴万惠"</f>
        <v>吴万惠</v>
      </c>
      <c r="E677" s="2" t="str">
        <f>"女"</f>
        <v>女</v>
      </c>
    </row>
    <row r="678" spans="1:5" ht="14.4" x14ac:dyDescent="0.25">
      <c r="A678" s="4">
        <v>676</v>
      </c>
      <c r="B678" s="2" t="str">
        <f>"3251202108101724155821"</f>
        <v>3251202108101724155821</v>
      </c>
      <c r="C678" s="2" t="s">
        <v>7</v>
      </c>
      <c r="D678" s="2" t="str">
        <f>"符成巍"</f>
        <v>符成巍</v>
      </c>
      <c r="E678" s="2" t="str">
        <f>"男"</f>
        <v>男</v>
      </c>
    </row>
    <row r="679" spans="1:5" ht="14.4" x14ac:dyDescent="0.25">
      <c r="A679" s="4">
        <v>677</v>
      </c>
      <c r="B679" s="2" t="str">
        <f>"3251202108101811505930"</f>
        <v>3251202108101811505930</v>
      </c>
      <c r="C679" s="2" t="s">
        <v>7</v>
      </c>
      <c r="D679" s="2" t="str">
        <f>"谭芳芬"</f>
        <v>谭芳芬</v>
      </c>
      <c r="E679" s="2" t="str">
        <f>"女"</f>
        <v>女</v>
      </c>
    </row>
    <row r="680" spans="1:5" ht="14.4" x14ac:dyDescent="0.25">
      <c r="A680" s="4">
        <v>678</v>
      </c>
      <c r="B680" s="2" t="str">
        <f>"3251202108110944486794"</f>
        <v>3251202108110944486794</v>
      </c>
      <c r="C680" s="2" t="s">
        <v>7</v>
      </c>
      <c r="D680" s="2" t="str">
        <f>"何于玲"</f>
        <v>何于玲</v>
      </c>
      <c r="E680" s="2" t="str">
        <f>"女"</f>
        <v>女</v>
      </c>
    </row>
    <row r="681" spans="1:5" ht="14.4" x14ac:dyDescent="0.25">
      <c r="A681" s="4">
        <v>679</v>
      </c>
      <c r="B681" s="2" t="str">
        <f>"3251202108111159287134"</f>
        <v>3251202108111159287134</v>
      </c>
      <c r="C681" s="2" t="s">
        <v>7</v>
      </c>
      <c r="D681" s="2" t="str">
        <f>"谭丽神"</f>
        <v>谭丽神</v>
      </c>
      <c r="E681" s="2" t="str">
        <f>"女"</f>
        <v>女</v>
      </c>
    </row>
    <row r="682" spans="1:5" ht="14.4" x14ac:dyDescent="0.25">
      <c r="A682" s="4">
        <v>680</v>
      </c>
      <c r="B682" s="2" t="str">
        <f>"3251202108111215077152"</f>
        <v>3251202108111215077152</v>
      </c>
      <c r="C682" s="2" t="s">
        <v>7</v>
      </c>
      <c r="D682" s="2" t="str">
        <f>"周文君"</f>
        <v>周文君</v>
      </c>
      <c r="E682" s="2" t="str">
        <f>"女"</f>
        <v>女</v>
      </c>
    </row>
    <row r="683" spans="1:5" ht="14.4" x14ac:dyDescent="0.25">
      <c r="A683" s="4">
        <v>681</v>
      </c>
      <c r="B683" s="2" t="str">
        <f>"3251202108111458127357"</f>
        <v>3251202108111458127357</v>
      </c>
      <c r="C683" s="2" t="s">
        <v>7</v>
      </c>
      <c r="D683" s="2" t="str">
        <f>"符晓琪"</f>
        <v>符晓琪</v>
      </c>
      <c r="E683" s="2" t="str">
        <f>"女"</f>
        <v>女</v>
      </c>
    </row>
    <row r="684" spans="1:5" ht="14.4" x14ac:dyDescent="0.25">
      <c r="A684" s="4">
        <v>682</v>
      </c>
      <c r="B684" s="2" t="str">
        <f>"3251202108111706007598"</f>
        <v>3251202108111706007598</v>
      </c>
      <c r="C684" s="2" t="s">
        <v>7</v>
      </c>
      <c r="D684" s="2" t="str">
        <f>"李毅清"</f>
        <v>李毅清</v>
      </c>
      <c r="E684" s="2" t="str">
        <f>"男"</f>
        <v>男</v>
      </c>
    </row>
    <row r="685" spans="1:5" ht="14.4" x14ac:dyDescent="0.25">
      <c r="A685" s="4">
        <v>683</v>
      </c>
      <c r="B685" s="2" t="str">
        <f>"3251202108111941087813"</f>
        <v>3251202108111941087813</v>
      </c>
      <c r="C685" s="2" t="s">
        <v>7</v>
      </c>
      <c r="D685" s="2" t="str">
        <f>"陈奕蓉"</f>
        <v>陈奕蓉</v>
      </c>
      <c r="E685" s="2" t="str">
        <f>"女"</f>
        <v>女</v>
      </c>
    </row>
    <row r="686" spans="1:5" ht="14.4" x14ac:dyDescent="0.25">
      <c r="A686" s="4">
        <v>684</v>
      </c>
      <c r="B686" s="2" t="str">
        <f>"3251202108121454418835"</f>
        <v>3251202108121454418835</v>
      </c>
      <c r="C686" s="2" t="s">
        <v>7</v>
      </c>
      <c r="D686" s="2" t="str">
        <f>"王升山"</f>
        <v>王升山</v>
      </c>
      <c r="E686" s="2" t="str">
        <f>"男"</f>
        <v>男</v>
      </c>
    </row>
    <row r="687" spans="1:5" ht="14.4" x14ac:dyDescent="0.25">
      <c r="A687" s="4">
        <v>685</v>
      </c>
      <c r="B687" s="2" t="str">
        <f>"32512021081320431410240"</f>
        <v>32512021081320431410240</v>
      </c>
      <c r="C687" s="2" t="s">
        <v>7</v>
      </c>
      <c r="D687" s="2" t="str">
        <f>"陈玉海"</f>
        <v>陈玉海</v>
      </c>
      <c r="E687" s="2" t="str">
        <f>"男"</f>
        <v>男</v>
      </c>
    </row>
    <row r="688" spans="1:5" ht="14.4" x14ac:dyDescent="0.25">
      <c r="A688" s="4">
        <v>686</v>
      </c>
      <c r="B688" s="2" t="str">
        <f>"32512021081321295110263"</f>
        <v>32512021081321295110263</v>
      </c>
      <c r="C688" s="2" t="s">
        <v>7</v>
      </c>
      <c r="D688" s="2" t="str">
        <f>"刘兆怡"</f>
        <v>刘兆怡</v>
      </c>
      <c r="E688" s="2" t="str">
        <f>"女"</f>
        <v>女</v>
      </c>
    </row>
    <row r="689" spans="1:5" ht="14.4" x14ac:dyDescent="0.25">
      <c r="A689" s="4">
        <v>687</v>
      </c>
      <c r="B689" s="2" t="str">
        <f>"32512021081523344611628"</f>
        <v>32512021081523344611628</v>
      </c>
      <c r="C689" s="2" t="s">
        <v>7</v>
      </c>
      <c r="D689" s="2" t="str">
        <f>"符佳"</f>
        <v>符佳</v>
      </c>
      <c r="E689" s="2" t="str">
        <f>"女"</f>
        <v>女</v>
      </c>
    </row>
    <row r="690" spans="1:5" ht="14.4" x14ac:dyDescent="0.25">
      <c r="A690" s="4">
        <v>688</v>
      </c>
      <c r="B690" s="2" t="str">
        <f>"3251202108100903383775"</f>
        <v>3251202108100903383775</v>
      </c>
      <c r="C690" s="2" t="s">
        <v>8</v>
      </c>
      <c r="D690" s="2" t="str">
        <f>"陈青金"</f>
        <v>陈青金</v>
      </c>
      <c r="E690" s="2" t="str">
        <f>"女"</f>
        <v>女</v>
      </c>
    </row>
    <row r="691" spans="1:5" ht="14.4" x14ac:dyDescent="0.25">
      <c r="A691" s="4">
        <v>689</v>
      </c>
      <c r="B691" s="2" t="str">
        <f>"3251202108100908153824"</f>
        <v>3251202108100908153824</v>
      </c>
      <c r="C691" s="2" t="s">
        <v>8</v>
      </c>
      <c r="D691" s="2" t="str">
        <f>"周德晓"</f>
        <v>周德晓</v>
      </c>
      <c r="E691" s="2" t="str">
        <f>"男"</f>
        <v>男</v>
      </c>
    </row>
    <row r="692" spans="1:5" ht="14.4" x14ac:dyDescent="0.25">
      <c r="A692" s="4">
        <v>690</v>
      </c>
      <c r="B692" s="2" t="str">
        <f>"3251202108100908213826"</f>
        <v>3251202108100908213826</v>
      </c>
      <c r="C692" s="2" t="s">
        <v>8</v>
      </c>
      <c r="D692" s="2" t="str">
        <f>"庞小艾"</f>
        <v>庞小艾</v>
      </c>
      <c r="E692" s="2" t="str">
        <f>"女"</f>
        <v>女</v>
      </c>
    </row>
    <row r="693" spans="1:5" ht="14.4" x14ac:dyDescent="0.25">
      <c r="A693" s="4">
        <v>691</v>
      </c>
      <c r="B693" s="2" t="str">
        <f>"3251202108100909493841"</f>
        <v>3251202108100909493841</v>
      </c>
      <c r="C693" s="2" t="s">
        <v>8</v>
      </c>
      <c r="D693" s="2" t="str">
        <f>"吉晓宇"</f>
        <v>吉晓宇</v>
      </c>
      <c r="E693" s="2" t="str">
        <f>"女"</f>
        <v>女</v>
      </c>
    </row>
    <row r="694" spans="1:5" ht="14.4" x14ac:dyDescent="0.25">
      <c r="A694" s="4">
        <v>692</v>
      </c>
      <c r="B694" s="2" t="str">
        <f>"3251202108100911133860"</f>
        <v>3251202108100911133860</v>
      </c>
      <c r="C694" s="2" t="s">
        <v>8</v>
      </c>
      <c r="D694" s="2" t="str">
        <f>"林冰花"</f>
        <v>林冰花</v>
      </c>
      <c r="E694" s="2" t="str">
        <f>"女"</f>
        <v>女</v>
      </c>
    </row>
    <row r="695" spans="1:5" ht="14.4" x14ac:dyDescent="0.25">
      <c r="A695" s="4">
        <v>693</v>
      </c>
      <c r="B695" s="2" t="str">
        <f>"3251202108100927123999"</f>
        <v>3251202108100927123999</v>
      </c>
      <c r="C695" s="2" t="s">
        <v>8</v>
      </c>
      <c r="D695" s="2" t="str">
        <f>"陈金妹"</f>
        <v>陈金妹</v>
      </c>
      <c r="E695" s="2" t="str">
        <f>"女"</f>
        <v>女</v>
      </c>
    </row>
    <row r="696" spans="1:5" ht="14.4" x14ac:dyDescent="0.25">
      <c r="A696" s="4">
        <v>694</v>
      </c>
      <c r="B696" s="2" t="str">
        <f>"3251202108100932004035"</f>
        <v>3251202108100932004035</v>
      </c>
      <c r="C696" s="2" t="s">
        <v>8</v>
      </c>
      <c r="D696" s="2" t="str">
        <f>"卓丽娟"</f>
        <v>卓丽娟</v>
      </c>
      <c r="E696" s="2" t="str">
        <f>"女"</f>
        <v>女</v>
      </c>
    </row>
    <row r="697" spans="1:5" ht="14.4" x14ac:dyDescent="0.25">
      <c r="A697" s="4">
        <v>695</v>
      </c>
      <c r="B697" s="2" t="str">
        <f>"3251202108100938474073"</f>
        <v>3251202108100938474073</v>
      </c>
      <c r="C697" s="2" t="s">
        <v>8</v>
      </c>
      <c r="D697" s="2" t="str">
        <f>"董好安"</f>
        <v>董好安</v>
      </c>
      <c r="E697" s="2" t="str">
        <f>"男"</f>
        <v>男</v>
      </c>
    </row>
    <row r="698" spans="1:5" ht="14.4" x14ac:dyDescent="0.25">
      <c r="A698" s="4">
        <v>696</v>
      </c>
      <c r="B698" s="2" t="str">
        <f>"3251202108100940304085"</f>
        <v>3251202108100940304085</v>
      </c>
      <c r="C698" s="2" t="s">
        <v>8</v>
      </c>
      <c r="D698" s="2" t="str">
        <f>"谭学晶"</f>
        <v>谭学晶</v>
      </c>
      <c r="E698" s="2" t="str">
        <f>"女"</f>
        <v>女</v>
      </c>
    </row>
    <row r="699" spans="1:5" ht="14.4" x14ac:dyDescent="0.25">
      <c r="A699" s="4">
        <v>697</v>
      </c>
      <c r="B699" s="2" t="str">
        <f>"3251202108100947224134"</f>
        <v>3251202108100947224134</v>
      </c>
      <c r="C699" s="2" t="s">
        <v>8</v>
      </c>
      <c r="D699" s="2" t="str">
        <f>"王周雪"</f>
        <v>王周雪</v>
      </c>
      <c r="E699" s="2" t="str">
        <f>"女"</f>
        <v>女</v>
      </c>
    </row>
    <row r="700" spans="1:5" ht="14.4" x14ac:dyDescent="0.25">
      <c r="A700" s="4">
        <v>698</v>
      </c>
      <c r="B700" s="2" t="str">
        <f>"3251202108100948434145"</f>
        <v>3251202108100948434145</v>
      </c>
      <c r="C700" s="2" t="s">
        <v>8</v>
      </c>
      <c r="D700" s="2" t="str">
        <f>"李茂霞"</f>
        <v>李茂霞</v>
      </c>
      <c r="E700" s="2" t="str">
        <f>"女"</f>
        <v>女</v>
      </c>
    </row>
    <row r="701" spans="1:5" ht="14.4" x14ac:dyDescent="0.25">
      <c r="A701" s="4">
        <v>699</v>
      </c>
      <c r="B701" s="2" t="str">
        <f>"3251202108100958014212"</f>
        <v>3251202108100958014212</v>
      </c>
      <c r="C701" s="2" t="s">
        <v>8</v>
      </c>
      <c r="D701" s="2" t="str">
        <f>"陈芳慧"</f>
        <v>陈芳慧</v>
      </c>
      <c r="E701" s="2" t="str">
        <f>"女"</f>
        <v>女</v>
      </c>
    </row>
    <row r="702" spans="1:5" ht="14.4" x14ac:dyDescent="0.25">
      <c r="A702" s="4">
        <v>700</v>
      </c>
      <c r="B702" s="2" t="str">
        <f>"3251202108101004114249"</f>
        <v>3251202108101004114249</v>
      </c>
      <c r="C702" s="2" t="s">
        <v>8</v>
      </c>
      <c r="D702" s="2" t="str">
        <f>"黎万师"</f>
        <v>黎万师</v>
      </c>
      <c r="E702" s="2" t="str">
        <f>"男"</f>
        <v>男</v>
      </c>
    </row>
    <row r="703" spans="1:5" ht="14.4" x14ac:dyDescent="0.25">
      <c r="A703" s="4">
        <v>701</v>
      </c>
      <c r="B703" s="2" t="str">
        <f>"3251202108101006284264"</f>
        <v>3251202108101006284264</v>
      </c>
      <c r="C703" s="2" t="s">
        <v>8</v>
      </c>
      <c r="D703" s="2" t="str">
        <f>"杨育菁"</f>
        <v>杨育菁</v>
      </c>
      <c r="E703" s="2" t="str">
        <f t="shared" ref="E703:E711" si="15">"女"</f>
        <v>女</v>
      </c>
    </row>
    <row r="704" spans="1:5" ht="14.4" x14ac:dyDescent="0.25">
      <c r="A704" s="4">
        <v>702</v>
      </c>
      <c r="B704" s="2" t="str">
        <f>"3251202108101011034290"</f>
        <v>3251202108101011034290</v>
      </c>
      <c r="C704" s="2" t="s">
        <v>8</v>
      </c>
      <c r="D704" s="2" t="str">
        <f>"余荟娟"</f>
        <v>余荟娟</v>
      </c>
      <c r="E704" s="2" t="str">
        <f t="shared" si="15"/>
        <v>女</v>
      </c>
    </row>
    <row r="705" spans="1:5" ht="14.4" x14ac:dyDescent="0.25">
      <c r="A705" s="4">
        <v>703</v>
      </c>
      <c r="B705" s="2" t="str">
        <f>"3251202108101011264295"</f>
        <v>3251202108101011264295</v>
      </c>
      <c r="C705" s="2" t="s">
        <v>8</v>
      </c>
      <c r="D705" s="2" t="str">
        <f>"翁琼霞"</f>
        <v>翁琼霞</v>
      </c>
      <c r="E705" s="2" t="str">
        <f t="shared" si="15"/>
        <v>女</v>
      </c>
    </row>
    <row r="706" spans="1:5" ht="14.4" x14ac:dyDescent="0.25">
      <c r="A706" s="4">
        <v>704</v>
      </c>
      <c r="B706" s="2" t="str">
        <f>"3251202108101014544315"</f>
        <v>3251202108101014544315</v>
      </c>
      <c r="C706" s="2" t="s">
        <v>8</v>
      </c>
      <c r="D706" s="2" t="str">
        <f>"李娜"</f>
        <v>李娜</v>
      </c>
      <c r="E706" s="2" t="str">
        <f t="shared" si="15"/>
        <v>女</v>
      </c>
    </row>
    <row r="707" spans="1:5" ht="14.4" x14ac:dyDescent="0.25">
      <c r="A707" s="4">
        <v>705</v>
      </c>
      <c r="B707" s="2" t="str">
        <f>"3251202108101017044327"</f>
        <v>3251202108101017044327</v>
      </c>
      <c r="C707" s="2" t="s">
        <v>8</v>
      </c>
      <c r="D707" s="2" t="str">
        <f>"黄亦皇黄"</f>
        <v>黄亦皇黄</v>
      </c>
      <c r="E707" s="2" t="str">
        <f t="shared" si="15"/>
        <v>女</v>
      </c>
    </row>
    <row r="708" spans="1:5" ht="14.4" x14ac:dyDescent="0.25">
      <c r="A708" s="4">
        <v>706</v>
      </c>
      <c r="B708" s="2" t="str">
        <f>"3251202108101017134329"</f>
        <v>3251202108101017134329</v>
      </c>
      <c r="C708" s="2" t="s">
        <v>8</v>
      </c>
      <c r="D708" s="2" t="str">
        <f>"文小静"</f>
        <v>文小静</v>
      </c>
      <c r="E708" s="2" t="str">
        <f t="shared" si="15"/>
        <v>女</v>
      </c>
    </row>
    <row r="709" spans="1:5" ht="14.4" x14ac:dyDescent="0.25">
      <c r="A709" s="4">
        <v>707</v>
      </c>
      <c r="B709" s="2" t="str">
        <f>"3251202108101025324369"</f>
        <v>3251202108101025324369</v>
      </c>
      <c r="C709" s="2" t="s">
        <v>8</v>
      </c>
      <c r="D709" s="2" t="str">
        <f>"高俊丽"</f>
        <v>高俊丽</v>
      </c>
      <c r="E709" s="2" t="str">
        <f t="shared" si="15"/>
        <v>女</v>
      </c>
    </row>
    <row r="710" spans="1:5" ht="14.4" x14ac:dyDescent="0.25">
      <c r="A710" s="4">
        <v>708</v>
      </c>
      <c r="B710" s="2" t="str">
        <f>"3251202108101032094403"</f>
        <v>3251202108101032094403</v>
      </c>
      <c r="C710" s="2" t="s">
        <v>8</v>
      </c>
      <c r="D710" s="2" t="str">
        <f>"羊妹丹"</f>
        <v>羊妹丹</v>
      </c>
      <c r="E710" s="2" t="str">
        <f t="shared" si="15"/>
        <v>女</v>
      </c>
    </row>
    <row r="711" spans="1:5" ht="14.4" x14ac:dyDescent="0.25">
      <c r="A711" s="4">
        <v>709</v>
      </c>
      <c r="B711" s="2" t="str">
        <f>"3251202108101058474527"</f>
        <v>3251202108101058474527</v>
      </c>
      <c r="C711" s="2" t="s">
        <v>8</v>
      </c>
      <c r="D711" s="2" t="str">
        <f>"符宠祝"</f>
        <v>符宠祝</v>
      </c>
      <c r="E711" s="2" t="str">
        <f t="shared" si="15"/>
        <v>女</v>
      </c>
    </row>
    <row r="712" spans="1:5" ht="14.4" x14ac:dyDescent="0.25">
      <c r="A712" s="4">
        <v>710</v>
      </c>
      <c r="B712" s="2" t="str">
        <f>"3251202108101100054534"</f>
        <v>3251202108101100054534</v>
      </c>
      <c r="C712" s="2" t="s">
        <v>8</v>
      </c>
      <c r="D712" s="2" t="str">
        <f>"符克宁"</f>
        <v>符克宁</v>
      </c>
      <c r="E712" s="2" t="str">
        <f>"男"</f>
        <v>男</v>
      </c>
    </row>
    <row r="713" spans="1:5" ht="14.4" x14ac:dyDescent="0.25">
      <c r="A713" s="4">
        <v>711</v>
      </c>
      <c r="B713" s="2" t="str">
        <f>"3251202108101105324569"</f>
        <v>3251202108101105324569</v>
      </c>
      <c r="C713" s="2" t="s">
        <v>8</v>
      </c>
      <c r="D713" s="2" t="str">
        <f>"吴佩婷"</f>
        <v>吴佩婷</v>
      </c>
      <c r="E713" s="2" t="str">
        <f>"女"</f>
        <v>女</v>
      </c>
    </row>
    <row r="714" spans="1:5" ht="14.4" x14ac:dyDescent="0.25">
      <c r="A714" s="4">
        <v>712</v>
      </c>
      <c r="B714" s="2" t="str">
        <f>"3251202108101122174653"</f>
        <v>3251202108101122174653</v>
      </c>
      <c r="C714" s="2" t="s">
        <v>8</v>
      </c>
      <c r="D714" s="2" t="str">
        <f>"刘秀萍"</f>
        <v>刘秀萍</v>
      </c>
      <c r="E714" s="2" t="str">
        <f>"女"</f>
        <v>女</v>
      </c>
    </row>
    <row r="715" spans="1:5" ht="14.4" x14ac:dyDescent="0.25">
      <c r="A715" s="4">
        <v>713</v>
      </c>
      <c r="B715" s="2" t="str">
        <f>"3251202108101131414700"</f>
        <v>3251202108101131414700</v>
      </c>
      <c r="C715" s="2" t="s">
        <v>8</v>
      </c>
      <c r="D715" s="2" t="str">
        <f>"李向城"</f>
        <v>李向城</v>
      </c>
      <c r="E715" s="2" t="str">
        <f>"男"</f>
        <v>男</v>
      </c>
    </row>
    <row r="716" spans="1:5" ht="14.4" x14ac:dyDescent="0.25">
      <c r="A716" s="4">
        <v>714</v>
      </c>
      <c r="B716" s="2" t="str">
        <f>"3251202108101132194704"</f>
        <v>3251202108101132194704</v>
      </c>
      <c r="C716" s="2" t="s">
        <v>8</v>
      </c>
      <c r="D716" s="2" t="str">
        <f>"陈纪炎"</f>
        <v>陈纪炎</v>
      </c>
      <c r="E716" s="2" t="str">
        <f>"男"</f>
        <v>男</v>
      </c>
    </row>
    <row r="717" spans="1:5" ht="14.4" x14ac:dyDescent="0.25">
      <c r="A717" s="4">
        <v>715</v>
      </c>
      <c r="B717" s="2" t="str">
        <f>"3251202108101132244705"</f>
        <v>3251202108101132244705</v>
      </c>
      <c r="C717" s="2" t="s">
        <v>8</v>
      </c>
      <c r="D717" s="2" t="str">
        <f>"杨丹丹"</f>
        <v>杨丹丹</v>
      </c>
      <c r="E717" s="2" t="str">
        <f>"女"</f>
        <v>女</v>
      </c>
    </row>
    <row r="718" spans="1:5" ht="14.4" x14ac:dyDescent="0.25">
      <c r="A718" s="4">
        <v>716</v>
      </c>
      <c r="B718" s="2" t="str">
        <f>"3251202108101133024712"</f>
        <v>3251202108101133024712</v>
      </c>
      <c r="C718" s="2" t="s">
        <v>8</v>
      </c>
      <c r="D718" s="2" t="str">
        <f>"吴瑛琪"</f>
        <v>吴瑛琪</v>
      </c>
      <c r="E718" s="2" t="str">
        <f>"女"</f>
        <v>女</v>
      </c>
    </row>
    <row r="719" spans="1:5" ht="14.4" x14ac:dyDescent="0.25">
      <c r="A719" s="4">
        <v>717</v>
      </c>
      <c r="B719" s="2" t="str">
        <f>"3251202108101208504828"</f>
        <v>3251202108101208504828</v>
      </c>
      <c r="C719" s="2" t="s">
        <v>8</v>
      </c>
      <c r="D719" s="2" t="str">
        <f>"邓婉靖"</f>
        <v>邓婉靖</v>
      </c>
      <c r="E719" s="2" t="str">
        <f>"女"</f>
        <v>女</v>
      </c>
    </row>
    <row r="720" spans="1:5" ht="14.4" x14ac:dyDescent="0.25">
      <c r="A720" s="4">
        <v>718</v>
      </c>
      <c r="B720" s="2" t="str">
        <f>"3251202108101217294856"</f>
        <v>3251202108101217294856</v>
      </c>
      <c r="C720" s="2" t="s">
        <v>8</v>
      </c>
      <c r="D720" s="2" t="str">
        <f>"罗思婷"</f>
        <v>罗思婷</v>
      </c>
      <c r="E720" s="2" t="str">
        <f>"女"</f>
        <v>女</v>
      </c>
    </row>
    <row r="721" spans="1:5" ht="14.4" x14ac:dyDescent="0.25">
      <c r="A721" s="4">
        <v>719</v>
      </c>
      <c r="B721" s="2" t="str">
        <f>"3251202108101244374948"</f>
        <v>3251202108101244374948</v>
      </c>
      <c r="C721" s="2" t="s">
        <v>8</v>
      </c>
      <c r="D721" s="2" t="str">
        <f>"符发邓"</f>
        <v>符发邓</v>
      </c>
      <c r="E721" s="2" t="str">
        <f>"男"</f>
        <v>男</v>
      </c>
    </row>
    <row r="722" spans="1:5" ht="14.4" x14ac:dyDescent="0.25">
      <c r="A722" s="4">
        <v>720</v>
      </c>
      <c r="B722" s="2" t="str">
        <f>"3251202108101250154964"</f>
        <v>3251202108101250154964</v>
      </c>
      <c r="C722" s="2" t="s">
        <v>8</v>
      </c>
      <c r="D722" s="2" t="str">
        <f>"陈英子"</f>
        <v>陈英子</v>
      </c>
      <c r="E722" s="2" t="str">
        <f>"女"</f>
        <v>女</v>
      </c>
    </row>
    <row r="723" spans="1:5" ht="14.4" x14ac:dyDescent="0.25">
      <c r="A723" s="4">
        <v>721</v>
      </c>
      <c r="B723" s="2" t="str">
        <f>"3251202108101257564985"</f>
        <v>3251202108101257564985</v>
      </c>
      <c r="C723" s="2" t="s">
        <v>8</v>
      </c>
      <c r="D723" s="2" t="str">
        <f>"王淇"</f>
        <v>王淇</v>
      </c>
      <c r="E723" s="2" t="str">
        <f>"男"</f>
        <v>男</v>
      </c>
    </row>
    <row r="724" spans="1:5" ht="14.4" x14ac:dyDescent="0.25">
      <c r="A724" s="4">
        <v>722</v>
      </c>
      <c r="B724" s="2" t="str">
        <f>"3251202108101311095007"</f>
        <v>3251202108101311095007</v>
      </c>
      <c r="C724" s="2" t="s">
        <v>8</v>
      </c>
      <c r="D724" s="2" t="str">
        <f>"李龙"</f>
        <v>李龙</v>
      </c>
      <c r="E724" s="2" t="str">
        <f>"男"</f>
        <v>男</v>
      </c>
    </row>
    <row r="725" spans="1:5" ht="14.4" x14ac:dyDescent="0.25">
      <c r="A725" s="4">
        <v>723</v>
      </c>
      <c r="B725" s="2" t="str">
        <f>"3251202108101429195175"</f>
        <v>3251202108101429195175</v>
      </c>
      <c r="C725" s="2" t="s">
        <v>8</v>
      </c>
      <c r="D725" s="2" t="str">
        <f>"李娟"</f>
        <v>李娟</v>
      </c>
      <c r="E725" s="2" t="str">
        <f>"女"</f>
        <v>女</v>
      </c>
    </row>
    <row r="726" spans="1:5" ht="14.4" x14ac:dyDescent="0.25">
      <c r="A726" s="4">
        <v>724</v>
      </c>
      <c r="B726" s="2" t="str">
        <f>"3251202108101431285187"</f>
        <v>3251202108101431285187</v>
      </c>
      <c r="C726" s="2" t="s">
        <v>8</v>
      </c>
      <c r="D726" s="2" t="str">
        <f>"李昱炫"</f>
        <v>李昱炫</v>
      </c>
      <c r="E726" s="2" t="str">
        <f>"男"</f>
        <v>男</v>
      </c>
    </row>
    <row r="727" spans="1:5" ht="14.4" x14ac:dyDescent="0.25">
      <c r="A727" s="4">
        <v>725</v>
      </c>
      <c r="B727" s="2" t="str">
        <f>"3251202108101522555386"</f>
        <v>3251202108101522555386</v>
      </c>
      <c r="C727" s="2" t="s">
        <v>8</v>
      </c>
      <c r="D727" s="2" t="str">
        <f>"羊晓颖"</f>
        <v>羊晓颖</v>
      </c>
      <c r="E727" s="2" t="str">
        <f t="shared" ref="E727:E732" si="16">"女"</f>
        <v>女</v>
      </c>
    </row>
    <row r="728" spans="1:5" ht="14.4" x14ac:dyDescent="0.25">
      <c r="A728" s="4">
        <v>726</v>
      </c>
      <c r="B728" s="2" t="str">
        <f>"3251202108101529305402"</f>
        <v>3251202108101529305402</v>
      </c>
      <c r="C728" s="2" t="s">
        <v>8</v>
      </c>
      <c r="D728" s="2" t="str">
        <f>"张绍丽"</f>
        <v>张绍丽</v>
      </c>
      <c r="E728" s="2" t="str">
        <f t="shared" si="16"/>
        <v>女</v>
      </c>
    </row>
    <row r="729" spans="1:5" ht="14.4" x14ac:dyDescent="0.25">
      <c r="A729" s="4">
        <v>727</v>
      </c>
      <c r="B729" s="2" t="str">
        <f>"3251202108101552475463"</f>
        <v>3251202108101552475463</v>
      </c>
      <c r="C729" s="2" t="s">
        <v>8</v>
      </c>
      <c r="D729" s="2" t="str">
        <f>"陈焜"</f>
        <v>陈焜</v>
      </c>
      <c r="E729" s="2" t="str">
        <f t="shared" si="16"/>
        <v>女</v>
      </c>
    </row>
    <row r="730" spans="1:5" ht="14.4" x14ac:dyDescent="0.25">
      <c r="A730" s="4">
        <v>728</v>
      </c>
      <c r="B730" s="2" t="str">
        <f>"3251202108101553115467"</f>
        <v>3251202108101553115467</v>
      </c>
      <c r="C730" s="2" t="s">
        <v>8</v>
      </c>
      <c r="D730" s="2" t="str">
        <f>"李喜兰"</f>
        <v>李喜兰</v>
      </c>
      <c r="E730" s="2" t="str">
        <f t="shared" si="16"/>
        <v>女</v>
      </c>
    </row>
    <row r="731" spans="1:5" ht="14.4" x14ac:dyDescent="0.25">
      <c r="A731" s="4">
        <v>729</v>
      </c>
      <c r="B731" s="2" t="str">
        <f>"3251202108101605285522"</f>
        <v>3251202108101605285522</v>
      </c>
      <c r="C731" s="2" t="s">
        <v>8</v>
      </c>
      <c r="D731" s="2" t="str">
        <f>"王清香"</f>
        <v>王清香</v>
      </c>
      <c r="E731" s="2" t="str">
        <f t="shared" si="16"/>
        <v>女</v>
      </c>
    </row>
    <row r="732" spans="1:5" ht="14.4" x14ac:dyDescent="0.25">
      <c r="A732" s="4">
        <v>730</v>
      </c>
      <c r="B732" s="2" t="str">
        <f>"3251202108101643155672"</f>
        <v>3251202108101643155672</v>
      </c>
      <c r="C732" s="2" t="s">
        <v>8</v>
      </c>
      <c r="D732" s="2" t="str">
        <f>"云晓蕾"</f>
        <v>云晓蕾</v>
      </c>
      <c r="E732" s="2" t="str">
        <f t="shared" si="16"/>
        <v>女</v>
      </c>
    </row>
    <row r="733" spans="1:5" ht="14.4" x14ac:dyDescent="0.25">
      <c r="A733" s="4">
        <v>731</v>
      </c>
      <c r="B733" s="2" t="str">
        <f>"3251202108101643195673"</f>
        <v>3251202108101643195673</v>
      </c>
      <c r="C733" s="2" t="s">
        <v>8</v>
      </c>
      <c r="D733" s="2" t="str">
        <f>"王登"</f>
        <v>王登</v>
      </c>
      <c r="E733" s="2" t="str">
        <f>"男"</f>
        <v>男</v>
      </c>
    </row>
    <row r="734" spans="1:5" ht="14.4" x14ac:dyDescent="0.25">
      <c r="A734" s="4">
        <v>732</v>
      </c>
      <c r="B734" s="2" t="str">
        <f>"3251202108101644535681"</f>
        <v>3251202108101644535681</v>
      </c>
      <c r="C734" s="2" t="s">
        <v>8</v>
      </c>
      <c r="D734" s="2" t="str">
        <f>"林玉慧"</f>
        <v>林玉慧</v>
      </c>
      <c r="E734" s="2" t="str">
        <f t="shared" ref="E734:E739" si="17">"女"</f>
        <v>女</v>
      </c>
    </row>
    <row r="735" spans="1:5" ht="14.4" x14ac:dyDescent="0.25">
      <c r="A735" s="4">
        <v>733</v>
      </c>
      <c r="B735" s="2" t="str">
        <f>"3251202108101658125718"</f>
        <v>3251202108101658125718</v>
      </c>
      <c r="C735" s="2" t="s">
        <v>8</v>
      </c>
      <c r="D735" s="2" t="str">
        <f>"符冬"</f>
        <v>符冬</v>
      </c>
      <c r="E735" s="2" t="str">
        <f t="shared" si="17"/>
        <v>女</v>
      </c>
    </row>
    <row r="736" spans="1:5" ht="14.4" x14ac:dyDescent="0.25">
      <c r="A736" s="4">
        <v>734</v>
      </c>
      <c r="B736" s="2" t="str">
        <f>"3251202108101703135740"</f>
        <v>3251202108101703135740</v>
      </c>
      <c r="C736" s="2" t="s">
        <v>8</v>
      </c>
      <c r="D736" s="2" t="str">
        <f>"林宋萍"</f>
        <v>林宋萍</v>
      </c>
      <c r="E736" s="2" t="str">
        <f t="shared" si="17"/>
        <v>女</v>
      </c>
    </row>
    <row r="737" spans="1:5" ht="14.4" x14ac:dyDescent="0.25">
      <c r="A737" s="4">
        <v>735</v>
      </c>
      <c r="B737" s="2" t="str">
        <f>"3251202108101713485783"</f>
        <v>3251202108101713485783</v>
      </c>
      <c r="C737" s="2" t="s">
        <v>8</v>
      </c>
      <c r="D737" s="2" t="str">
        <f>"吴淑妹"</f>
        <v>吴淑妹</v>
      </c>
      <c r="E737" s="2" t="str">
        <f t="shared" si="17"/>
        <v>女</v>
      </c>
    </row>
    <row r="738" spans="1:5" ht="14.4" x14ac:dyDescent="0.25">
      <c r="A738" s="4">
        <v>736</v>
      </c>
      <c r="B738" s="2" t="str">
        <f>"3251202108101727325829"</f>
        <v>3251202108101727325829</v>
      </c>
      <c r="C738" s="2" t="s">
        <v>8</v>
      </c>
      <c r="D738" s="2" t="str">
        <f>"陈彩丽"</f>
        <v>陈彩丽</v>
      </c>
      <c r="E738" s="2" t="str">
        <f t="shared" si="17"/>
        <v>女</v>
      </c>
    </row>
    <row r="739" spans="1:5" ht="14.4" x14ac:dyDescent="0.25">
      <c r="A739" s="4">
        <v>737</v>
      </c>
      <c r="B739" s="2" t="str">
        <f>"3251202108101903466047"</f>
        <v>3251202108101903466047</v>
      </c>
      <c r="C739" s="2" t="s">
        <v>8</v>
      </c>
      <c r="D739" s="2" t="str">
        <f>"符慧琳"</f>
        <v>符慧琳</v>
      </c>
      <c r="E739" s="2" t="str">
        <f t="shared" si="17"/>
        <v>女</v>
      </c>
    </row>
    <row r="740" spans="1:5" ht="14.4" x14ac:dyDescent="0.25">
      <c r="A740" s="4">
        <v>738</v>
      </c>
      <c r="B740" s="2" t="str">
        <f>"3251202108101934226102"</f>
        <v>3251202108101934226102</v>
      </c>
      <c r="C740" s="2" t="s">
        <v>8</v>
      </c>
      <c r="D740" s="2" t="str">
        <f>"林晖程"</f>
        <v>林晖程</v>
      </c>
      <c r="E740" s="2" t="str">
        <f>"男"</f>
        <v>男</v>
      </c>
    </row>
    <row r="741" spans="1:5" ht="14.4" x14ac:dyDescent="0.25">
      <c r="A741" s="4">
        <v>739</v>
      </c>
      <c r="B741" s="2" t="str">
        <f>"3251202108101937196111"</f>
        <v>3251202108101937196111</v>
      </c>
      <c r="C741" s="2" t="s">
        <v>8</v>
      </c>
      <c r="D741" s="2" t="str">
        <f>"符文荟"</f>
        <v>符文荟</v>
      </c>
      <c r="E741" s="2" t="str">
        <f>"女"</f>
        <v>女</v>
      </c>
    </row>
    <row r="742" spans="1:5" ht="14.4" x14ac:dyDescent="0.25">
      <c r="A742" s="4">
        <v>740</v>
      </c>
      <c r="B742" s="2" t="str">
        <f>"3251202108101946436135"</f>
        <v>3251202108101946436135</v>
      </c>
      <c r="C742" s="2" t="s">
        <v>8</v>
      </c>
      <c r="D742" s="2" t="str">
        <f>"吴克龙"</f>
        <v>吴克龙</v>
      </c>
      <c r="E742" s="2" t="str">
        <f>"男"</f>
        <v>男</v>
      </c>
    </row>
    <row r="743" spans="1:5" ht="14.4" x14ac:dyDescent="0.25">
      <c r="A743" s="4">
        <v>741</v>
      </c>
      <c r="B743" s="2" t="str">
        <f>"3251202108101949356142"</f>
        <v>3251202108101949356142</v>
      </c>
      <c r="C743" s="2" t="s">
        <v>8</v>
      </c>
      <c r="D743" s="2" t="str">
        <f>"符加卫"</f>
        <v>符加卫</v>
      </c>
      <c r="E743" s="2" t="str">
        <f>"男"</f>
        <v>男</v>
      </c>
    </row>
    <row r="744" spans="1:5" ht="14.4" x14ac:dyDescent="0.25">
      <c r="A744" s="4">
        <v>742</v>
      </c>
      <c r="B744" s="2" t="str">
        <f>"3251202108102020076205"</f>
        <v>3251202108102020076205</v>
      </c>
      <c r="C744" s="2" t="s">
        <v>8</v>
      </c>
      <c r="D744" s="2" t="str">
        <f>"陈新海"</f>
        <v>陈新海</v>
      </c>
      <c r="E744" s="2" t="str">
        <f>"男"</f>
        <v>男</v>
      </c>
    </row>
    <row r="745" spans="1:5" ht="14.4" x14ac:dyDescent="0.25">
      <c r="A745" s="4">
        <v>743</v>
      </c>
      <c r="B745" s="2" t="str">
        <f>"3251202108102100056277"</f>
        <v>3251202108102100056277</v>
      </c>
      <c r="C745" s="2" t="s">
        <v>8</v>
      </c>
      <c r="D745" s="2" t="str">
        <f>"符方伟"</f>
        <v>符方伟</v>
      </c>
      <c r="E745" s="2" t="str">
        <f>"男"</f>
        <v>男</v>
      </c>
    </row>
    <row r="746" spans="1:5" ht="14.4" x14ac:dyDescent="0.25">
      <c r="A746" s="4">
        <v>744</v>
      </c>
      <c r="B746" s="2" t="str">
        <f>"3251202108102106076289"</f>
        <v>3251202108102106076289</v>
      </c>
      <c r="C746" s="2" t="s">
        <v>8</v>
      </c>
      <c r="D746" s="2" t="str">
        <f>"叶金秋"</f>
        <v>叶金秋</v>
      </c>
      <c r="E746" s="2" t="str">
        <f>"女"</f>
        <v>女</v>
      </c>
    </row>
    <row r="747" spans="1:5" ht="14.4" x14ac:dyDescent="0.25">
      <c r="A747" s="4">
        <v>745</v>
      </c>
      <c r="B747" s="2" t="str">
        <f>"3251202108102136226348"</f>
        <v>3251202108102136226348</v>
      </c>
      <c r="C747" s="2" t="s">
        <v>8</v>
      </c>
      <c r="D747" s="2" t="str">
        <f>"何万常"</f>
        <v>何万常</v>
      </c>
      <c r="E747" s="2" t="str">
        <f>"男"</f>
        <v>男</v>
      </c>
    </row>
    <row r="748" spans="1:5" ht="14.4" x14ac:dyDescent="0.25">
      <c r="A748" s="4">
        <v>746</v>
      </c>
      <c r="B748" s="2" t="str">
        <f>"3251202108102141356357"</f>
        <v>3251202108102141356357</v>
      </c>
      <c r="C748" s="2" t="s">
        <v>8</v>
      </c>
      <c r="D748" s="2" t="str">
        <f>"陈俏华"</f>
        <v>陈俏华</v>
      </c>
      <c r="E748" s="2" t="str">
        <f>"女"</f>
        <v>女</v>
      </c>
    </row>
    <row r="749" spans="1:5" ht="14.4" x14ac:dyDescent="0.25">
      <c r="A749" s="4">
        <v>747</v>
      </c>
      <c r="B749" s="2" t="str">
        <f>"3251202108102203066382"</f>
        <v>3251202108102203066382</v>
      </c>
      <c r="C749" s="2" t="s">
        <v>8</v>
      </c>
      <c r="D749" s="2" t="str">
        <f>"谢瑞鸾"</f>
        <v>谢瑞鸾</v>
      </c>
      <c r="E749" s="2" t="str">
        <f>"女"</f>
        <v>女</v>
      </c>
    </row>
    <row r="750" spans="1:5" ht="14.4" x14ac:dyDescent="0.25">
      <c r="A750" s="4">
        <v>748</v>
      </c>
      <c r="B750" s="2" t="str">
        <f>"3251202108102208216391"</f>
        <v>3251202108102208216391</v>
      </c>
      <c r="C750" s="2" t="s">
        <v>8</v>
      </c>
      <c r="D750" s="2" t="str">
        <f>"李荣瑕"</f>
        <v>李荣瑕</v>
      </c>
      <c r="E750" s="2" t="str">
        <f>"女"</f>
        <v>女</v>
      </c>
    </row>
    <row r="751" spans="1:5" ht="14.4" x14ac:dyDescent="0.25">
      <c r="A751" s="4">
        <v>749</v>
      </c>
      <c r="B751" s="2" t="str">
        <f>"3251202108102227416427"</f>
        <v>3251202108102227416427</v>
      </c>
      <c r="C751" s="2" t="s">
        <v>8</v>
      </c>
      <c r="D751" s="2" t="str">
        <f>"王博"</f>
        <v>王博</v>
      </c>
      <c r="E751" s="2" t="str">
        <f>"男"</f>
        <v>男</v>
      </c>
    </row>
    <row r="752" spans="1:5" ht="14.4" x14ac:dyDescent="0.25">
      <c r="A752" s="4">
        <v>750</v>
      </c>
      <c r="B752" s="2" t="str">
        <f>"3251202108102232586439"</f>
        <v>3251202108102232586439</v>
      </c>
      <c r="C752" s="2" t="s">
        <v>8</v>
      </c>
      <c r="D752" s="2" t="str">
        <f>"李婷"</f>
        <v>李婷</v>
      </c>
      <c r="E752" s="2" t="str">
        <f>"女"</f>
        <v>女</v>
      </c>
    </row>
    <row r="753" spans="1:5" ht="14.4" x14ac:dyDescent="0.25">
      <c r="A753" s="4">
        <v>751</v>
      </c>
      <c r="B753" s="2" t="str">
        <f>"3251202108102246426460"</f>
        <v>3251202108102246426460</v>
      </c>
      <c r="C753" s="2" t="s">
        <v>8</v>
      </c>
      <c r="D753" s="2" t="str">
        <f>"谢珊珊"</f>
        <v>谢珊珊</v>
      </c>
      <c r="E753" s="2" t="str">
        <f>"女"</f>
        <v>女</v>
      </c>
    </row>
    <row r="754" spans="1:5" ht="14.4" x14ac:dyDescent="0.25">
      <c r="A754" s="4">
        <v>752</v>
      </c>
      <c r="B754" s="2" t="str">
        <f>"3251202108102312086491"</f>
        <v>3251202108102312086491</v>
      </c>
      <c r="C754" s="2" t="s">
        <v>8</v>
      </c>
      <c r="D754" s="2" t="str">
        <f>"傅颂文"</f>
        <v>傅颂文</v>
      </c>
      <c r="E754" s="2" t="str">
        <f>"男"</f>
        <v>男</v>
      </c>
    </row>
    <row r="755" spans="1:5" ht="14.4" x14ac:dyDescent="0.25">
      <c r="A755" s="4">
        <v>753</v>
      </c>
      <c r="B755" s="2" t="str">
        <f>"3251202108102347216521"</f>
        <v>3251202108102347216521</v>
      </c>
      <c r="C755" s="2" t="s">
        <v>8</v>
      </c>
      <c r="D755" s="2" t="str">
        <f>"符帮泽"</f>
        <v>符帮泽</v>
      </c>
      <c r="E755" s="2" t="str">
        <f>"男"</f>
        <v>男</v>
      </c>
    </row>
    <row r="756" spans="1:5" ht="14.4" x14ac:dyDescent="0.25">
      <c r="A756" s="4">
        <v>754</v>
      </c>
      <c r="B756" s="2" t="str">
        <f>"3251202108110157316555"</f>
        <v>3251202108110157316555</v>
      </c>
      <c r="C756" s="2" t="s">
        <v>8</v>
      </c>
      <c r="D756" s="2" t="str">
        <f>"苏春秀"</f>
        <v>苏春秀</v>
      </c>
      <c r="E756" s="2" t="str">
        <f>"女"</f>
        <v>女</v>
      </c>
    </row>
    <row r="757" spans="1:5" ht="14.4" x14ac:dyDescent="0.25">
      <c r="A757" s="4">
        <v>755</v>
      </c>
      <c r="B757" s="2" t="str">
        <f>"3251202108110906506686"</f>
        <v>3251202108110906506686</v>
      </c>
      <c r="C757" s="2" t="s">
        <v>8</v>
      </c>
      <c r="D757" s="2" t="str">
        <f>"郭丽明"</f>
        <v>郭丽明</v>
      </c>
      <c r="E757" s="2" t="str">
        <f>"女"</f>
        <v>女</v>
      </c>
    </row>
    <row r="758" spans="1:5" ht="14.4" x14ac:dyDescent="0.25">
      <c r="A758" s="4">
        <v>756</v>
      </c>
      <c r="B758" s="2" t="str">
        <f>"3251202108110920016723"</f>
        <v>3251202108110920016723</v>
      </c>
      <c r="C758" s="2" t="s">
        <v>8</v>
      </c>
      <c r="D758" s="2" t="str">
        <f>"符达莲"</f>
        <v>符达莲</v>
      </c>
      <c r="E758" s="2" t="str">
        <f>"女"</f>
        <v>女</v>
      </c>
    </row>
    <row r="759" spans="1:5" ht="14.4" x14ac:dyDescent="0.25">
      <c r="A759" s="4">
        <v>757</v>
      </c>
      <c r="B759" s="2" t="str">
        <f>"3251202108110920596725"</f>
        <v>3251202108110920596725</v>
      </c>
      <c r="C759" s="2" t="s">
        <v>8</v>
      </c>
      <c r="D759" s="2" t="str">
        <f>"肖洋"</f>
        <v>肖洋</v>
      </c>
      <c r="E759" s="2" t="str">
        <f>"男"</f>
        <v>男</v>
      </c>
    </row>
    <row r="760" spans="1:5" ht="14.4" x14ac:dyDescent="0.25">
      <c r="A760" s="4">
        <v>758</v>
      </c>
      <c r="B760" s="2" t="str">
        <f>"3251202108110931206755"</f>
        <v>3251202108110931206755</v>
      </c>
      <c r="C760" s="2" t="s">
        <v>8</v>
      </c>
      <c r="D760" s="2" t="str">
        <f>"陈柳"</f>
        <v>陈柳</v>
      </c>
      <c r="E760" s="2" t="str">
        <f t="shared" ref="E760:E767" si="18">"女"</f>
        <v>女</v>
      </c>
    </row>
    <row r="761" spans="1:5" ht="14.4" x14ac:dyDescent="0.25">
      <c r="A761" s="4">
        <v>759</v>
      </c>
      <c r="B761" s="2" t="str">
        <f>"3251202108110932136761"</f>
        <v>3251202108110932136761</v>
      </c>
      <c r="C761" s="2" t="s">
        <v>8</v>
      </c>
      <c r="D761" s="2" t="str">
        <f>"羊顺玲"</f>
        <v>羊顺玲</v>
      </c>
      <c r="E761" s="2" t="str">
        <f t="shared" si="18"/>
        <v>女</v>
      </c>
    </row>
    <row r="762" spans="1:5" ht="14.4" x14ac:dyDescent="0.25">
      <c r="A762" s="4">
        <v>760</v>
      </c>
      <c r="B762" s="2" t="str">
        <f>"3251202108110940516782"</f>
        <v>3251202108110940516782</v>
      </c>
      <c r="C762" s="2" t="s">
        <v>8</v>
      </c>
      <c r="D762" s="2" t="str">
        <f>"符国妃"</f>
        <v>符国妃</v>
      </c>
      <c r="E762" s="2" t="str">
        <f t="shared" si="18"/>
        <v>女</v>
      </c>
    </row>
    <row r="763" spans="1:5" ht="14.4" x14ac:dyDescent="0.25">
      <c r="A763" s="4">
        <v>761</v>
      </c>
      <c r="B763" s="2" t="str">
        <f>"3251202108110947476802"</f>
        <v>3251202108110947476802</v>
      </c>
      <c r="C763" s="2" t="s">
        <v>8</v>
      </c>
      <c r="D763" s="2" t="str">
        <f>"吴祥燕"</f>
        <v>吴祥燕</v>
      </c>
      <c r="E763" s="2" t="str">
        <f t="shared" si="18"/>
        <v>女</v>
      </c>
    </row>
    <row r="764" spans="1:5" ht="14.4" x14ac:dyDescent="0.25">
      <c r="A764" s="4">
        <v>762</v>
      </c>
      <c r="B764" s="2" t="str">
        <f>"3251202108111014136881"</f>
        <v>3251202108111014136881</v>
      </c>
      <c r="C764" s="2" t="s">
        <v>8</v>
      </c>
      <c r="D764" s="2" t="str">
        <f>"黄梅珍"</f>
        <v>黄梅珍</v>
      </c>
      <c r="E764" s="2" t="str">
        <f t="shared" si="18"/>
        <v>女</v>
      </c>
    </row>
    <row r="765" spans="1:5" ht="14.4" x14ac:dyDescent="0.25">
      <c r="A765" s="4">
        <v>763</v>
      </c>
      <c r="B765" s="2" t="str">
        <f>"3251202108111014346885"</f>
        <v>3251202108111014346885</v>
      </c>
      <c r="C765" s="2" t="s">
        <v>8</v>
      </c>
      <c r="D765" s="2" t="str">
        <f>"谢佳佳"</f>
        <v>谢佳佳</v>
      </c>
      <c r="E765" s="2" t="str">
        <f t="shared" si="18"/>
        <v>女</v>
      </c>
    </row>
    <row r="766" spans="1:5" ht="14.4" x14ac:dyDescent="0.25">
      <c r="A766" s="4">
        <v>764</v>
      </c>
      <c r="B766" s="2" t="str">
        <f>"3251202108111018296893"</f>
        <v>3251202108111018296893</v>
      </c>
      <c r="C766" s="2" t="s">
        <v>8</v>
      </c>
      <c r="D766" s="2" t="str">
        <f>"张婉营"</f>
        <v>张婉营</v>
      </c>
      <c r="E766" s="2" t="str">
        <f t="shared" si="18"/>
        <v>女</v>
      </c>
    </row>
    <row r="767" spans="1:5" ht="14.4" x14ac:dyDescent="0.25">
      <c r="A767" s="4">
        <v>765</v>
      </c>
      <c r="B767" s="2" t="str">
        <f>"3251202108111021286904"</f>
        <v>3251202108111021286904</v>
      </c>
      <c r="C767" s="2" t="s">
        <v>8</v>
      </c>
      <c r="D767" s="2" t="str">
        <f>"王珍妹"</f>
        <v>王珍妹</v>
      </c>
      <c r="E767" s="2" t="str">
        <f t="shared" si="18"/>
        <v>女</v>
      </c>
    </row>
    <row r="768" spans="1:5" ht="14.4" x14ac:dyDescent="0.25">
      <c r="A768" s="4">
        <v>766</v>
      </c>
      <c r="B768" s="2" t="str">
        <f>"3251202108111026336912"</f>
        <v>3251202108111026336912</v>
      </c>
      <c r="C768" s="2" t="s">
        <v>8</v>
      </c>
      <c r="D768" s="2" t="str">
        <f>"刘铭帅"</f>
        <v>刘铭帅</v>
      </c>
      <c r="E768" s="2" t="str">
        <f>"男"</f>
        <v>男</v>
      </c>
    </row>
    <row r="769" spans="1:5" ht="14.4" x14ac:dyDescent="0.25">
      <c r="A769" s="4">
        <v>767</v>
      </c>
      <c r="B769" s="2" t="str">
        <f>"3251202108111054206979"</f>
        <v>3251202108111054206979</v>
      </c>
      <c r="C769" s="2" t="s">
        <v>8</v>
      </c>
      <c r="D769" s="2" t="str">
        <f>"吴碧江"</f>
        <v>吴碧江</v>
      </c>
      <c r="E769" s="2" t="str">
        <f>"男"</f>
        <v>男</v>
      </c>
    </row>
    <row r="770" spans="1:5" ht="14.4" x14ac:dyDescent="0.25">
      <c r="A770" s="4">
        <v>768</v>
      </c>
      <c r="B770" s="2" t="str">
        <f>"3251202108111106537005"</f>
        <v>3251202108111106537005</v>
      </c>
      <c r="C770" s="2" t="s">
        <v>8</v>
      </c>
      <c r="D770" s="2" t="str">
        <f>"张薇"</f>
        <v>张薇</v>
      </c>
      <c r="E770" s="2" t="str">
        <f>"女"</f>
        <v>女</v>
      </c>
    </row>
    <row r="771" spans="1:5" ht="14.4" x14ac:dyDescent="0.25">
      <c r="A771" s="4">
        <v>769</v>
      </c>
      <c r="B771" s="2" t="str">
        <f>"3251202108111118497041"</f>
        <v>3251202108111118497041</v>
      </c>
      <c r="C771" s="2" t="s">
        <v>8</v>
      </c>
      <c r="D771" s="2" t="str">
        <f>"文精义"</f>
        <v>文精义</v>
      </c>
      <c r="E771" s="2" t="str">
        <f>"男"</f>
        <v>男</v>
      </c>
    </row>
    <row r="772" spans="1:5" ht="14.4" x14ac:dyDescent="0.25">
      <c r="A772" s="4">
        <v>770</v>
      </c>
      <c r="B772" s="2" t="str">
        <f>"3251202108111119377045"</f>
        <v>3251202108111119377045</v>
      </c>
      <c r="C772" s="2" t="s">
        <v>8</v>
      </c>
      <c r="D772" s="2" t="str">
        <f>"陈晓林"</f>
        <v>陈晓林</v>
      </c>
      <c r="E772" s="2" t="str">
        <f>"女"</f>
        <v>女</v>
      </c>
    </row>
    <row r="773" spans="1:5" ht="14.4" x14ac:dyDescent="0.25">
      <c r="A773" s="4">
        <v>771</v>
      </c>
      <c r="B773" s="2" t="str">
        <f>"3251202108111126377068"</f>
        <v>3251202108111126377068</v>
      </c>
      <c r="C773" s="2" t="s">
        <v>8</v>
      </c>
      <c r="D773" s="2" t="str">
        <f>"李梦君"</f>
        <v>李梦君</v>
      </c>
      <c r="E773" s="2" t="str">
        <f>"女"</f>
        <v>女</v>
      </c>
    </row>
    <row r="774" spans="1:5" ht="14.4" x14ac:dyDescent="0.25">
      <c r="A774" s="4">
        <v>772</v>
      </c>
      <c r="B774" s="2" t="str">
        <f>"3251202108111128257075"</f>
        <v>3251202108111128257075</v>
      </c>
      <c r="C774" s="2" t="s">
        <v>8</v>
      </c>
      <c r="D774" s="2" t="str">
        <f>"周悦"</f>
        <v>周悦</v>
      </c>
      <c r="E774" s="2" t="str">
        <f>"女"</f>
        <v>女</v>
      </c>
    </row>
    <row r="775" spans="1:5" ht="14.4" x14ac:dyDescent="0.25">
      <c r="A775" s="4">
        <v>773</v>
      </c>
      <c r="B775" s="2" t="str">
        <f>"3251202108111131407082"</f>
        <v>3251202108111131407082</v>
      </c>
      <c r="C775" s="2" t="s">
        <v>8</v>
      </c>
      <c r="D775" s="2" t="str">
        <f>"陈春霞"</f>
        <v>陈春霞</v>
      </c>
      <c r="E775" s="2" t="str">
        <f>"女"</f>
        <v>女</v>
      </c>
    </row>
    <row r="776" spans="1:5" ht="14.4" x14ac:dyDescent="0.25">
      <c r="A776" s="4">
        <v>774</v>
      </c>
      <c r="B776" s="2" t="str">
        <f>"3251202108111155527125"</f>
        <v>3251202108111155527125</v>
      </c>
      <c r="C776" s="2" t="s">
        <v>8</v>
      </c>
      <c r="D776" s="2" t="str">
        <f>"黎慧怡"</f>
        <v>黎慧怡</v>
      </c>
      <c r="E776" s="2" t="str">
        <f>"女"</f>
        <v>女</v>
      </c>
    </row>
    <row r="777" spans="1:5" ht="14.4" x14ac:dyDescent="0.25">
      <c r="A777" s="4">
        <v>775</v>
      </c>
      <c r="B777" s="2" t="str">
        <f>"3251202108111156317127"</f>
        <v>3251202108111156317127</v>
      </c>
      <c r="C777" s="2" t="s">
        <v>8</v>
      </c>
      <c r="D777" s="2" t="str">
        <f>"李双灼"</f>
        <v>李双灼</v>
      </c>
      <c r="E777" s="2" t="str">
        <f>"男"</f>
        <v>男</v>
      </c>
    </row>
    <row r="778" spans="1:5" ht="14.4" x14ac:dyDescent="0.25">
      <c r="A778" s="4">
        <v>776</v>
      </c>
      <c r="B778" s="2" t="str">
        <f>"3251202108111249297196"</f>
        <v>3251202108111249297196</v>
      </c>
      <c r="C778" s="2" t="s">
        <v>8</v>
      </c>
      <c r="D778" s="2" t="str">
        <f>"王秋和"</f>
        <v>王秋和</v>
      </c>
      <c r="E778" s="2" t="str">
        <f>"女"</f>
        <v>女</v>
      </c>
    </row>
    <row r="779" spans="1:5" ht="14.4" x14ac:dyDescent="0.25">
      <c r="A779" s="4">
        <v>777</v>
      </c>
      <c r="B779" s="2" t="str">
        <f>"3251202108111332217235"</f>
        <v>3251202108111332217235</v>
      </c>
      <c r="C779" s="2" t="s">
        <v>8</v>
      </c>
      <c r="D779" s="2" t="str">
        <f>"罗红莹"</f>
        <v>罗红莹</v>
      </c>
      <c r="E779" s="2" t="str">
        <f>"女"</f>
        <v>女</v>
      </c>
    </row>
    <row r="780" spans="1:5" ht="14.4" x14ac:dyDescent="0.25">
      <c r="A780" s="4">
        <v>778</v>
      </c>
      <c r="B780" s="2" t="str">
        <f>"3251202108111412237273"</f>
        <v>3251202108111412237273</v>
      </c>
      <c r="C780" s="2" t="s">
        <v>8</v>
      </c>
      <c r="D780" s="2" t="str">
        <f>"孙玲"</f>
        <v>孙玲</v>
      </c>
      <c r="E780" s="2" t="str">
        <f>"女"</f>
        <v>女</v>
      </c>
    </row>
    <row r="781" spans="1:5" ht="14.4" x14ac:dyDescent="0.25">
      <c r="A781" s="4">
        <v>779</v>
      </c>
      <c r="B781" s="2" t="str">
        <f>"3251202108111412267274"</f>
        <v>3251202108111412267274</v>
      </c>
      <c r="C781" s="2" t="s">
        <v>8</v>
      </c>
      <c r="D781" s="2" t="str">
        <f>"梁姑美"</f>
        <v>梁姑美</v>
      </c>
      <c r="E781" s="2" t="str">
        <f>"女"</f>
        <v>女</v>
      </c>
    </row>
    <row r="782" spans="1:5" ht="14.4" x14ac:dyDescent="0.25">
      <c r="A782" s="4">
        <v>780</v>
      </c>
      <c r="B782" s="2" t="str">
        <f>"3251202108111520367399"</f>
        <v>3251202108111520367399</v>
      </c>
      <c r="C782" s="2" t="s">
        <v>8</v>
      </c>
      <c r="D782" s="2" t="str">
        <f>"张鑫"</f>
        <v>张鑫</v>
      </c>
      <c r="E782" s="2" t="str">
        <f>"男"</f>
        <v>男</v>
      </c>
    </row>
    <row r="783" spans="1:5" ht="14.4" x14ac:dyDescent="0.25">
      <c r="A783" s="4">
        <v>781</v>
      </c>
      <c r="B783" s="2" t="str">
        <f>"3251202108111522347403"</f>
        <v>3251202108111522347403</v>
      </c>
      <c r="C783" s="2" t="s">
        <v>8</v>
      </c>
      <c r="D783" s="2" t="str">
        <f>"陈蕾"</f>
        <v>陈蕾</v>
      </c>
      <c r="E783" s="2" t="str">
        <f>"女"</f>
        <v>女</v>
      </c>
    </row>
    <row r="784" spans="1:5" ht="14.4" x14ac:dyDescent="0.25">
      <c r="A784" s="4">
        <v>782</v>
      </c>
      <c r="B784" s="2" t="str">
        <f>"3251202108111541577456"</f>
        <v>3251202108111541577456</v>
      </c>
      <c r="C784" s="2" t="s">
        <v>8</v>
      </c>
      <c r="D784" s="2" t="str">
        <f>"赵君全"</f>
        <v>赵君全</v>
      </c>
      <c r="E784" s="2" t="str">
        <f>"男"</f>
        <v>男</v>
      </c>
    </row>
    <row r="785" spans="1:5" ht="14.4" x14ac:dyDescent="0.25">
      <c r="A785" s="4">
        <v>783</v>
      </c>
      <c r="B785" s="2" t="str">
        <f>"3251202108111550587468"</f>
        <v>3251202108111550587468</v>
      </c>
      <c r="C785" s="2" t="s">
        <v>8</v>
      </c>
      <c r="D785" s="2" t="str">
        <f>"陈光潭"</f>
        <v>陈光潭</v>
      </c>
      <c r="E785" s="2" t="str">
        <f t="shared" ref="E785:E790" si="19">"女"</f>
        <v>女</v>
      </c>
    </row>
    <row r="786" spans="1:5" ht="14.4" x14ac:dyDescent="0.25">
      <c r="A786" s="4">
        <v>784</v>
      </c>
      <c r="B786" s="2" t="str">
        <f>"3251202108111557527485"</f>
        <v>3251202108111557527485</v>
      </c>
      <c r="C786" s="2" t="s">
        <v>8</v>
      </c>
      <c r="D786" s="2" t="str">
        <f>"蔡欣彤"</f>
        <v>蔡欣彤</v>
      </c>
      <c r="E786" s="2" t="str">
        <f t="shared" si="19"/>
        <v>女</v>
      </c>
    </row>
    <row r="787" spans="1:5" ht="14.4" x14ac:dyDescent="0.25">
      <c r="A787" s="4">
        <v>785</v>
      </c>
      <c r="B787" s="2" t="str">
        <f>"3251202108111601247491"</f>
        <v>3251202108111601247491</v>
      </c>
      <c r="C787" s="2" t="s">
        <v>8</v>
      </c>
      <c r="D787" s="2" t="str">
        <f>"张运霞"</f>
        <v>张运霞</v>
      </c>
      <c r="E787" s="2" t="str">
        <f t="shared" si="19"/>
        <v>女</v>
      </c>
    </row>
    <row r="788" spans="1:5" ht="14.4" x14ac:dyDescent="0.25">
      <c r="A788" s="4">
        <v>786</v>
      </c>
      <c r="B788" s="2" t="str">
        <f>"3251202108111614327516"</f>
        <v>3251202108111614327516</v>
      </c>
      <c r="C788" s="2" t="s">
        <v>8</v>
      </c>
      <c r="D788" s="2" t="str">
        <f>"兰敏"</f>
        <v>兰敏</v>
      </c>
      <c r="E788" s="2" t="str">
        <f t="shared" si="19"/>
        <v>女</v>
      </c>
    </row>
    <row r="789" spans="1:5" ht="14.4" x14ac:dyDescent="0.25">
      <c r="A789" s="4">
        <v>787</v>
      </c>
      <c r="B789" s="2" t="str">
        <f>"3251202108111615027518"</f>
        <v>3251202108111615027518</v>
      </c>
      <c r="C789" s="2" t="s">
        <v>8</v>
      </c>
      <c r="D789" s="2" t="str">
        <f>"林小娜"</f>
        <v>林小娜</v>
      </c>
      <c r="E789" s="2" t="str">
        <f t="shared" si="19"/>
        <v>女</v>
      </c>
    </row>
    <row r="790" spans="1:5" ht="14.4" x14ac:dyDescent="0.25">
      <c r="A790" s="4">
        <v>788</v>
      </c>
      <c r="B790" s="2" t="str">
        <f>"3251202108111705047596"</f>
        <v>3251202108111705047596</v>
      </c>
      <c r="C790" s="2" t="s">
        <v>8</v>
      </c>
      <c r="D790" s="2" t="str">
        <f>"吴文君"</f>
        <v>吴文君</v>
      </c>
      <c r="E790" s="2" t="str">
        <f t="shared" si="19"/>
        <v>女</v>
      </c>
    </row>
    <row r="791" spans="1:5" ht="14.4" x14ac:dyDescent="0.25">
      <c r="A791" s="4">
        <v>789</v>
      </c>
      <c r="B791" s="2" t="str">
        <f>"3251202108111816577706"</f>
        <v>3251202108111816577706</v>
      </c>
      <c r="C791" s="2" t="s">
        <v>8</v>
      </c>
      <c r="D791" s="2" t="str">
        <f>"赵秀发"</f>
        <v>赵秀发</v>
      </c>
      <c r="E791" s="2" t="str">
        <f>"男"</f>
        <v>男</v>
      </c>
    </row>
    <row r="792" spans="1:5" ht="14.4" x14ac:dyDescent="0.25">
      <c r="A792" s="4">
        <v>790</v>
      </c>
      <c r="B792" s="2" t="str">
        <f>"3251202108111818007712"</f>
        <v>3251202108111818007712</v>
      </c>
      <c r="C792" s="2" t="s">
        <v>8</v>
      </c>
      <c r="D792" s="2" t="str">
        <f>"符卜满"</f>
        <v>符卜满</v>
      </c>
      <c r="E792" s="2" t="str">
        <f>"女"</f>
        <v>女</v>
      </c>
    </row>
    <row r="793" spans="1:5" ht="14.4" x14ac:dyDescent="0.25">
      <c r="A793" s="4">
        <v>791</v>
      </c>
      <c r="B793" s="2" t="str">
        <f>"3251202108111829467731"</f>
        <v>3251202108111829467731</v>
      </c>
      <c r="C793" s="2" t="s">
        <v>8</v>
      </c>
      <c r="D793" s="2" t="str">
        <f>"郑洋"</f>
        <v>郑洋</v>
      </c>
      <c r="E793" s="2" t="str">
        <f>"男"</f>
        <v>男</v>
      </c>
    </row>
    <row r="794" spans="1:5" ht="14.4" x14ac:dyDescent="0.25">
      <c r="A794" s="4">
        <v>792</v>
      </c>
      <c r="B794" s="2" t="str">
        <f>"3251202108111830097732"</f>
        <v>3251202108111830097732</v>
      </c>
      <c r="C794" s="2" t="s">
        <v>8</v>
      </c>
      <c r="D794" s="2" t="str">
        <f>"王芳玉"</f>
        <v>王芳玉</v>
      </c>
      <c r="E794" s="2" t="str">
        <f t="shared" ref="E794:E799" si="20">"女"</f>
        <v>女</v>
      </c>
    </row>
    <row r="795" spans="1:5" ht="14.4" x14ac:dyDescent="0.25">
      <c r="A795" s="4">
        <v>793</v>
      </c>
      <c r="B795" s="2" t="str">
        <f>"3251202108111926007794"</f>
        <v>3251202108111926007794</v>
      </c>
      <c r="C795" s="2" t="s">
        <v>8</v>
      </c>
      <c r="D795" s="2" t="str">
        <f>"胥林爽"</f>
        <v>胥林爽</v>
      </c>
      <c r="E795" s="2" t="str">
        <f t="shared" si="20"/>
        <v>女</v>
      </c>
    </row>
    <row r="796" spans="1:5" ht="14.4" x14ac:dyDescent="0.25">
      <c r="A796" s="4">
        <v>794</v>
      </c>
      <c r="B796" s="2" t="str">
        <f>"3251202108111930127803"</f>
        <v>3251202108111930127803</v>
      </c>
      <c r="C796" s="2" t="s">
        <v>8</v>
      </c>
      <c r="D796" s="2" t="str">
        <f>"符博霞"</f>
        <v>符博霞</v>
      </c>
      <c r="E796" s="2" t="str">
        <f t="shared" si="20"/>
        <v>女</v>
      </c>
    </row>
    <row r="797" spans="1:5" ht="14.4" x14ac:dyDescent="0.25">
      <c r="A797" s="4">
        <v>795</v>
      </c>
      <c r="B797" s="2" t="str">
        <f>"3251202108111941497814"</f>
        <v>3251202108111941497814</v>
      </c>
      <c r="C797" s="2" t="s">
        <v>8</v>
      </c>
      <c r="D797" s="2" t="str">
        <f>"许巧燕"</f>
        <v>许巧燕</v>
      </c>
      <c r="E797" s="2" t="str">
        <f t="shared" si="20"/>
        <v>女</v>
      </c>
    </row>
    <row r="798" spans="1:5" ht="14.4" x14ac:dyDescent="0.25">
      <c r="A798" s="4">
        <v>796</v>
      </c>
      <c r="B798" s="2" t="str">
        <f>"3251202108111945377821"</f>
        <v>3251202108111945377821</v>
      </c>
      <c r="C798" s="2" t="s">
        <v>8</v>
      </c>
      <c r="D798" s="2" t="str">
        <f>"王爱霞"</f>
        <v>王爱霞</v>
      </c>
      <c r="E798" s="2" t="str">
        <f t="shared" si="20"/>
        <v>女</v>
      </c>
    </row>
    <row r="799" spans="1:5" ht="14.4" x14ac:dyDescent="0.25">
      <c r="A799" s="4">
        <v>797</v>
      </c>
      <c r="B799" s="2" t="str">
        <f>"3251202108112007257850"</f>
        <v>3251202108112007257850</v>
      </c>
      <c r="C799" s="2" t="s">
        <v>8</v>
      </c>
      <c r="D799" s="2" t="str">
        <f>"赵毓炎"</f>
        <v>赵毓炎</v>
      </c>
      <c r="E799" s="2" t="str">
        <f t="shared" si="20"/>
        <v>女</v>
      </c>
    </row>
    <row r="800" spans="1:5" ht="14.4" x14ac:dyDescent="0.25">
      <c r="A800" s="4">
        <v>798</v>
      </c>
      <c r="B800" s="2" t="str">
        <f>"3251202108112039567889"</f>
        <v>3251202108112039567889</v>
      </c>
      <c r="C800" s="2" t="s">
        <v>8</v>
      </c>
      <c r="D800" s="2" t="str">
        <f>"李绍远"</f>
        <v>李绍远</v>
      </c>
      <c r="E800" s="2" t="str">
        <f>"男"</f>
        <v>男</v>
      </c>
    </row>
    <row r="801" spans="1:5" ht="14.4" x14ac:dyDescent="0.25">
      <c r="A801" s="4">
        <v>799</v>
      </c>
      <c r="B801" s="2" t="str">
        <f>"3251202108112051467917"</f>
        <v>3251202108112051467917</v>
      </c>
      <c r="C801" s="2" t="s">
        <v>8</v>
      </c>
      <c r="D801" s="2" t="str">
        <f>"符传俊"</f>
        <v>符传俊</v>
      </c>
      <c r="E801" s="2" t="str">
        <f>"男"</f>
        <v>男</v>
      </c>
    </row>
    <row r="802" spans="1:5" ht="14.4" x14ac:dyDescent="0.25">
      <c r="A802" s="4">
        <v>800</v>
      </c>
      <c r="B802" s="2" t="str">
        <f>"3251202108112103417938"</f>
        <v>3251202108112103417938</v>
      </c>
      <c r="C802" s="2" t="s">
        <v>8</v>
      </c>
      <c r="D802" s="2" t="str">
        <f>"李瑞荣"</f>
        <v>李瑞荣</v>
      </c>
      <c r="E802" s="2" t="str">
        <f>"女"</f>
        <v>女</v>
      </c>
    </row>
    <row r="803" spans="1:5" ht="14.4" x14ac:dyDescent="0.25">
      <c r="A803" s="4">
        <v>801</v>
      </c>
      <c r="B803" s="2" t="str">
        <f>"3251202108112107427947"</f>
        <v>3251202108112107427947</v>
      </c>
      <c r="C803" s="2" t="s">
        <v>8</v>
      </c>
      <c r="D803" s="2" t="str">
        <f>"高程美"</f>
        <v>高程美</v>
      </c>
      <c r="E803" s="2" t="str">
        <f>"女"</f>
        <v>女</v>
      </c>
    </row>
    <row r="804" spans="1:5" ht="14.4" x14ac:dyDescent="0.25">
      <c r="A804" s="4">
        <v>802</v>
      </c>
      <c r="B804" s="2" t="str">
        <f>"3251202108112129037985"</f>
        <v>3251202108112129037985</v>
      </c>
      <c r="C804" s="2" t="s">
        <v>8</v>
      </c>
      <c r="D804" s="2" t="str">
        <f>"谢莉梅"</f>
        <v>谢莉梅</v>
      </c>
      <c r="E804" s="2" t="str">
        <f>"女"</f>
        <v>女</v>
      </c>
    </row>
    <row r="805" spans="1:5" ht="14.4" x14ac:dyDescent="0.25">
      <c r="A805" s="4">
        <v>803</v>
      </c>
      <c r="B805" s="2" t="str">
        <f>"3251202108112136287992"</f>
        <v>3251202108112136287992</v>
      </c>
      <c r="C805" s="2" t="s">
        <v>8</v>
      </c>
      <c r="D805" s="2" t="str">
        <f>"陈驰"</f>
        <v>陈驰</v>
      </c>
      <c r="E805" s="2" t="str">
        <f>"女"</f>
        <v>女</v>
      </c>
    </row>
    <row r="806" spans="1:5" ht="14.4" x14ac:dyDescent="0.25">
      <c r="A806" s="4">
        <v>804</v>
      </c>
      <c r="B806" s="2" t="str">
        <f>"3251202108112150578011"</f>
        <v>3251202108112150578011</v>
      </c>
      <c r="C806" s="2" t="s">
        <v>8</v>
      </c>
      <c r="D806" s="2" t="str">
        <f>"林廷群"</f>
        <v>林廷群</v>
      </c>
      <c r="E806" s="2" t="str">
        <f>"男"</f>
        <v>男</v>
      </c>
    </row>
    <row r="807" spans="1:5" ht="14.4" x14ac:dyDescent="0.25">
      <c r="A807" s="4">
        <v>805</v>
      </c>
      <c r="B807" s="2" t="str">
        <f>"3251202108112220428051"</f>
        <v>3251202108112220428051</v>
      </c>
      <c r="C807" s="2" t="s">
        <v>8</v>
      </c>
      <c r="D807" s="2" t="str">
        <f>"许玉婷"</f>
        <v>许玉婷</v>
      </c>
      <c r="E807" s="2" t="str">
        <f>"女"</f>
        <v>女</v>
      </c>
    </row>
    <row r="808" spans="1:5" ht="14.4" x14ac:dyDescent="0.25">
      <c r="A808" s="4">
        <v>806</v>
      </c>
      <c r="B808" s="2" t="str">
        <f>"3251202108112327508135"</f>
        <v>3251202108112327508135</v>
      </c>
      <c r="C808" s="2" t="s">
        <v>8</v>
      </c>
      <c r="D808" s="2" t="str">
        <f>"王晓宇"</f>
        <v>王晓宇</v>
      </c>
      <c r="E808" s="2" t="str">
        <f>"男"</f>
        <v>男</v>
      </c>
    </row>
    <row r="809" spans="1:5" ht="14.4" x14ac:dyDescent="0.25">
      <c r="A809" s="4">
        <v>807</v>
      </c>
      <c r="B809" s="2" t="str">
        <f>"3251202108120220508164"</f>
        <v>3251202108120220508164</v>
      </c>
      <c r="C809" s="2" t="s">
        <v>8</v>
      </c>
      <c r="D809" s="2" t="str">
        <f>"刘家宋"</f>
        <v>刘家宋</v>
      </c>
      <c r="E809" s="2" t="str">
        <f>"男"</f>
        <v>男</v>
      </c>
    </row>
    <row r="810" spans="1:5" ht="14.4" x14ac:dyDescent="0.25">
      <c r="A810" s="4">
        <v>808</v>
      </c>
      <c r="B810" s="2" t="str">
        <f>"3251202108120747438174"</f>
        <v>3251202108120747438174</v>
      </c>
      <c r="C810" s="2" t="s">
        <v>8</v>
      </c>
      <c r="D810" s="2" t="str">
        <f>"郑祥花"</f>
        <v>郑祥花</v>
      </c>
      <c r="E810" s="2" t="str">
        <f>"女"</f>
        <v>女</v>
      </c>
    </row>
    <row r="811" spans="1:5" ht="14.4" x14ac:dyDescent="0.25">
      <c r="A811" s="4">
        <v>809</v>
      </c>
      <c r="B811" s="2" t="str">
        <f>"3251202108120816338184"</f>
        <v>3251202108120816338184</v>
      </c>
      <c r="C811" s="2" t="s">
        <v>8</v>
      </c>
      <c r="D811" s="2" t="str">
        <f>"吴卓里"</f>
        <v>吴卓里</v>
      </c>
      <c r="E811" s="2" t="str">
        <f>"男"</f>
        <v>男</v>
      </c>
    </row>
    <row r="812" spans="1:5" ht="14.4" x14ac:dyDescent="0.25">
      <c r="A812" s="4">
        <v>810</v>
      </c>
      <c r="B812" s="2" t="str">
        <f>"3251202108120840438212"</f>
        <v>3251202108120840438212</v>
      </c>
      <c r="C812" s="2" t="s">
        <v>8</v>
      </c>
      <c r="D812" s="2" t="str">
        <f>"李宗清"</f>
        <v>李宗清</v>
      </c>
      <c r="E812" s="2" t="str">
        <f>"女"</f>
        <v>女</v>
      </c>
    </row>
    <row r="813" spans="1:5" ht="14.4" x14ac:dyDescent="0.25">
      <c r="A813" s="4">
        <v>811</v>
      </c>
      <c r="B813" s="2" t="str">
        <f>"3251202108120844278216"</f>
        <v>3251202108120844278216</v>
      </c>
      <c r="C813" s="2" t="s">
        <v>8</v>
      </c>
      <c r="D813" s="2" t="str">
        <f>"林娟"</f>
        <v>林娟</v>
      </c>
      <c r="E813" s="2" t="str">
        <f>"女"</f>
        <v>女</v>
      </c>
    </row>
    <row r="814" spans="1:5" ht="14.4" x14ac:dyDescent="0.25">
      <c r="A814" s="4">
        <v>812</v>
      </c>
      <c r="B814" s="2" t="str">
        <f>"3251202108120932098335"</f>
        <v>3251202108120932098335</v>
      </c>
      <c r="C814" s="2" t="s">
        <v>8</v>
      </c>
      <c r="D814" s="2" t="str">
        <f>"俞春丽"</f>
        <v>俞春丽</v>
      </c>
      <c r="E814" s="2" t="str">
        <f>"女"</f>
        <v>女</v>
      </c>
    </row>
    <row r="815" spans="1:5" ht="14.4" x14ac:dyDescent="0.25">
      <c r="A815" s="4">
        <v>813</v>
      </c>
      <c r="B815" s="2" t="str">
        <f>"3251202108120932268338"</f>
        <v>3251202108120932268338</v>
      </c>
      <c r="C815" s="2" t="s">
        <v>8</v>
      </c>
      <c r="D815" s="2" t="str">
        <f>"陈榕"</f>
        <v>陈榕</v>
      </c>
      <c r="E815" s="2" t="str">
        <f>"女"</f>
        <v>女</v>
      </c>
    </row>
    <row r="816" spans="1:5" ht="14.4" x14ac:dyDescent="0.25">
      <c r="A816" s="4">
        <v>814</v>
      </c>
      <c r="B816" s="2" t="str">
        <f>"3251202108120954288398"</f>
        <v>3251202108120954288398</v>
      </c>
      <c r="C816" s="2" t="s">
        <v>8</v>
      </c>
      <c r="D816" s="2" t="str">
        <f>"曹婷"</f>
        <v>曹婷</v>
      </c>
      <c r="E816" s="2" t="str">
        <f>"女"</f>
        <v>女</v>
      </c>
    </row>
    <row r="817" spans="1:5" ht="14.4" x14ac:dyDescent="0.25">
      <c r="A817" s="4">
        <v>815</v>
      </c>
      <c r="B817" s="2" t="str">
        <f>"3251202108121041048490"</f>
        <v>3251202108121041048490</v>
      </c>
      <c r="C817" s="2" t="s">
        <v>8</v>
      </c>
      <c r="D817" s="2" t="str">
        <f>"陈世珲"</f>
        <v>陈世珲</v>
      </c>
      <c r="E817" s="2" t="str">
        <f>"男"</f>
        <v>男</v>
      </c>
    </row>
    <row r="818" spans="1:5" ht="14.4" x14ac:dyDescent="0.25">
      <c r="A818" s="4">
        <v>816</v>
      </c>
      <c r="B818" s="2" t="str">
        <f>"3251202108121119018567"</f>
        <v>3251202108121119018567</v>
      </c>
      <c r="C818" s="2" t="s">
        <v>8</v>
      </c>
      <c r="D818" s="2" t="str">
        <f>"王秋叶"</f>
        <v>王秋叶</v>
      </c>
      <c r="E818" s="2" t="str">
        <f>"女"</f>
        <v>女</v>
      </c>
    </row>
    <row r="819" spans="1:5" ht="14.4" x14ac:dyDescent="0.25">
      <c r="A819" s="4">
        <v>817</v>
      </c>
      <c r="B819" s="2" t="str">
        <f>"3251202108121237078671"</f>
        <v>3251202108121237078671</v>
      </c>
      <c r="C819" s="2" t="s">
        <v>8</v>
      </c>
      <c r="D819" s="2" t="str">
        <f>"李妹喜"</f>
        <v>李妹喜</v>
      </c>
      <c r="E819" s="2" t="str">
        <f>"女"</f>
        <v>女</v>
      </c>
    </row>
    <row r="820" spans="1:5" ht="14.4" x14ac:dyDescent="0.25">
      <c r="A820" s="4">
        <v>818</v>
      </c>
      <c r="B820" s="2" t="str">
        <f>"3251202108121312568712"</f>
        <v>3251202108121312568712</v>
      </c>
      <c r="C820" s="2" t="s">
        <v>8</v>
      </c>
      <c r="D820" s="2" t="str">
        <f>"周娴婧"</f>
        <v>周娴婧</v>
      </c>
      <c r="E820" s="2" t="str">
        <f>"女"</f>
        <v>女</v>
      </c>
    </row>
    <row r="821" spans="1:5" ht="14.4" x14ac:dyDescent="0.25">
      <c r="A821" s="4">
        <v>819</v>
      </c>
      <c r="B821" s="2" t="str">
        <f>"3251202108121446578826"</f>
        <v>3251202108121446578826</v>
      </c>
      <c r="C821" s="2" t="s">
        <v>8</v>
      </c>
      <c r="D821" s="2" t="str">
        <f>"林思豪"</f>
        <v>林思豪</v>
      </c>
      <c r="E821" s="2" t="str">
        <f>"男"</f>
        <v>男</v>
      </c>
    </row>
    <row r="822" spans="1:5" ht="14.4" x14ac:dyDescent="0.25">
      <c r="A822" s="4">
        <v>820</v>
      </c>
      <c r="B822" s="2" t="str">
        <f>"3251202108121533148918"</f>
        <v>3251202108121533148918</v>
      </c>
      <c r="C822" s="2" t="s">
        <v>8</v>
      </c>
      <c r="D822" s="2" t="str">
        <f>"陈丽丽"</f>
        <v>陈丽丽</v>
      </c>
      <c r="E822" s="2" t="str">
        <f t="shared" ref="E822:E831" si="21">"女"</f>
        <v>女</v>
      </c>
    </row>
    <row r="823" spans="1:5" ht="14.4" x14ac:dyDescent="0.25">
      <c r="A823" s="4">
        <v>821</v>
      </c>
      <c r="B823" s="2" t="str">
        <f>"3251202108121534528920"</f>
        <v>3251202108121534528920</v>
      </c>
      <c r="C823" s="2" t="s">
        <v>8</v>
      </c>
      <c r="D823" s="2" t="str">
        <f>"韩莉"</f>
        <v>韩莉</v>
      </c>
      <c r="E823" s="2" t="str">
        <f t="shared" si="21"/>
        <v>女</v>
      </c>
    </row>
    <row r="824" spans="1:5" ht="14.4" x14ac:dyDescent="0.25">
      <c r="A824" s="4">
        <v>822</v>
      </c>
      <c r="B824" s="2" t="str">
        <f>"3251202108121623449013"</f>
        <v>3251202108121623449013</v>
      </c>
      <c r="C824" s="2" t="s">
        <v>8</v>
      </c>
      <c r="D824" s="2" t="str">
        <f>"钟圆圆"</f>
        <v>钟圆圆</v>
      </c>
      <c r="E824" s="2" t="str">
        <f t="shared" si="21"/>
        <v>女</v>
      </c>
    </row>
    <row r="825" spans="1:5" ht="14.4" x14ac:dyDescent="0.25">
      <c r="A825" s="4">
        <v>823</v>
      </c>
      <c r="B825" s="2" t="str">
        <f>"3251202108121658329061"</f>
        <v>3251202108121658329061</v>
      </c>
      <c r="C825" s="2" t="s">
        <v>8</v>
      </c>
      <c r="D825" s="2" t="str">
        <f>"罗薇"</f>
        <v>罗薇</v>
      </c>
      <c r="E825" s="2" t="str">
        <f t="shared" si="21"/>
        <v>女</v>
      </c>
    </row>
    <row r="826" spans="1:5" ht="14.4" x14ac:dyDescent="0.25">
      <c r="A826" s="4">
        <v>824</v>
      </c>
      <c r="B826" s="2" t="str">
        <f>"3251202108121712599083"</f>
        <v>3251202108121712599083</v>
      </c>
      <c r="C826" s="2" t="s">
        <v>8</v>
      </c>
      <c r="D826" s="2" t="str">
        <f>"郭文珍"</f>
        <v>郭文珍</v>
      </c>
      <c r="E826" s="2" t="str">
        <f t="shared" si="21"/>
        <v>女</v>
      </c>
    </row>
    <row r="827" spans="1:5" ht="14.4" x14ac:dyDescent="0.25">
      <c r="A827" s="4">
        <v>825</v>
      </c>
      <c r="B827" s="2" t="str">
        <f>"3251202108121737159120"</f>
        <v>3251202108121737159120</v>
      </c>
      <c r="C827" s="2" t="s">
        <v>8</v>
      </c>
      <c r="D827" s="2" t="str">
        <f>"张海君"</f>
        <v>张海君</v>
      </c>
      <c r="E827" s="2" t="str">
        <f t="shared" si="21"/>
        <v>女</v>
      </c>
    </row>
    <row r="828" spans="1:5" ht="14.4" x14ac:dyDescent="0.25">
      <c r="A828" s="4">
        <v>826</v>
      </c>
      <c r="B828" s="2" t="str">
        <f>"3251202108121859099198"</f>
        <v>3251202108121859099198</v>
      </c>
      <c r="C828" s="2" t="s">
        <v>8</v>
      </c>
      <c r="D828" s="2" t="str">
        <f>"吴晓婷"</f>
        <v>吴晓婷</v>
      </c>
      <c r="E828" s="2" t="str">
        <f t="shared" si="21"/>
        <v>女</v>
      </c>
    </row>
    <row r="829" spans="1:5" ht="14.4" x14ac:dyDescent="0.25">
      <c r="A829" s="4">
        <v>827</v>
      </c>
      <c r="B829" s="2" t="str">
        <f>"3251202108121945029239"</f>
        <v>3251202108121945029239</v>
      </c>
      <c r="C829" s="2" t="s">
        <v>8</v>
      </c>
      <c r="D829" s="2" t="str">
        <f>"郑丕华"</f>
        <v>郑丕华</v>
      </c>
      <c r="E829" s="2" t="str">
        <f t="shared" si="21"/>
        <v>女</v>
      </c>
    </row>
    <row r="830" spans="1:5" ht="14.4" x14ac:dyDescent="0.25">
      <c r="A830" s="4">
        <v>828</v>
      </c>
      <c r="B830" s="2" t="str">
        <f>"3251202108122100539312"</f>
        <v>3251202108122100539312</v>
      </c>
      <c r="C830" s="2" t="s">
        <v>8</v>
      </c>
      <c r="D830" s="2" t="str">
        <f>"吴桃艳"</f>
        <v>吴桃艳</v>
      </c>
      <c r="E830" s="2" t="str">
        <f t="shared" si="21"/>
        <v>女</v>
      </c>
    </row>
    <row r="831" spans="1:5" ht="14.4" x14ac:dyDescent="0.25">
      <c r="A831" s="4">
        <v>829</v>
      </c>
      <c r="B831" s="2" t="str">
        <f>"3251202108122347549459"</f>
        <v>3251202108122347549459</v>
      </c>
      <c r="C831" s="2" t="s">
        <v>8</v>
      </c>
      <c r="D831" s="2" t="str">
        <f>"张旅"</f>
        <v>张旅</v>
      </c>
      <c r="E831" s="2" t="str">
        <f t="shared" si="21"/>
        <v>女</v>
      </c>
    </row>
    <row r="832" spans="1:5" ht="14.4" x14ac:dyDescent="0.25">
      <c r="A832" s="4">
        <v>830</v>
      </c>
      <c r="B832" s="2" t="str">
        <f>"3251202108130812209502"</f>
        <v>3251202108130812209502</v>
      </c>
      <c r="C832" s="2" t="s">
        <v>8</v>
      </c>
      <c r="D832" s="2" t="str">
        <f>"麦豪强"</f>
        <v>麦豪强</v>
      </c>
      <c r="E832" s="2" t="str">
        <f>"男"</f>
        <v>男</v>
      </c>
    </row>
    <row r="833" spans="1:5" ht="14.4" x14ac:dyDescent="0.25">
      <c r="A833" s="4">
        <v>831</v>
      </c>
      <c r="B833" s="2" t="str">
        <f>"3251202108130907159548"</f>
        <v>3251202108130907159548</v>
      </c>
      <c r="C833" s="2" t="s">
        <v>8</v>
      </c>
      <c r="D833" s="2" t="str">
        <f>"吴体海"</f>
        <v>吴体海</v>
      </c>
      <c r="E833" s="2" t="str">
        <f>"男"</f>
        <v>男</v>
      </c>
    </row>
    <row r="834" spans="1:5" ht="14.4" x14ac:dyDescent="0.25">
      <c r="A834" s="4">
        <v>832</v>
      </c>
      <c r="B834" s="2" t="str">
        <f>"3251202108130939219596"</f>
        <v>3251202108130939219596</v>
      </c>
      <c r="C834" s="2" t="s">
        <v>8</v>
      </c>
      <c r="D834" s="2" t="str">
        <f>"林洁"</f>
        <v>林洁</v>
      </c>
      <c r="E834" s="2" t="str">
        <f t="shared" ref="E834:E851" si="22">"女"</f>
        <v>女</v>
      </c>
    </row>
    <row r="835" spans="1:5" ht="14.4" x14ac:dyDescent="0.25">
      <c r="A835" s="4">
        <v>833</v>
      </c>
      <c r="B835" s="2" t="str">
        <f>"3251202108130944499603"</f>
        <v>3251202108130944499603</v>
      </c>
      <c r="C835" s="2" t="s">
        <v>8</v>
      </c>
      <c r="D835" s="2" t="str">
        <f>"唐娥飞"</f>
        <v>唐娥飞</v>
      </c>
      <c r="E835" s="2" t="str">
        <f t="shared" si="22"/>
        <v>女</v>
      </c>
    </row>
    <row r="836" spans="1:5" ht="14.4" x14ac:dyDescent="0.25">
      <c r="A836" s="4">
        <v>834</v>
      </c>
      <c r="B836" s="2" t="str">
        <f>"3251202108131010569629"</f>
        <v>3251202108131010569629</v>
      </c>
      <c r="C836" s="2" t="s">
        <v>8</v>
      </c>
      <c r="D836" s="2" t="str">
        <f>"吴菲娜"</f>
        <v>吴菲娜</v>
      </c>
      <c r="E836" s="2" t="str">
        <f t="shared" si="22"/>
        <v>女</v>
      </c>
    </row>
    <row r="837" spans="1:5" ht="14.4" x14ac:dyDescent="0.25">
      <c r="A837" s="4">
        <v>835</v>
      </c>
      <c r="B837" s="2" t="str">
        <f>"3251202108131035279669"</f>
        <v>3251202108131035279669</v>
      </c>
      <c r="C837" s="2" t="s">
        <v>8</v>
      </c>
      <c r="D837" s="2" t="str">
        <f>"郑精梅"</f>
        <v>郑精梅</v>
      </c>
      <c r="E837" s="2" t="str">
        <f t="shared" si="22"/>
        <v>女</v>
      </c>
    </row>
    <row r="838" spans="1:5" ht="14.4" x14ac:dyDescent="0.25">
      <c r="A838" s="4">
        <v>836</v>
      </c>
      <c r="B838" s="2" t="str">
        <f>"3251202108131117429733"</f>
        <v>3251202108131117429733</v>
      </c>
      <c r="C838" s="2" t="s">
        <v>8</v>
      </c>
      <c r="D838" s="2" t="str">
        <f>"邓梅花"</f>
        <v>邓梅花</v>
      </c>
      <c r="E838" s="2" t="str">
        <f t="shared" si="22"/>
        <v>女</v>
      </c>
    </row>
    <row r="839" spans="1:5" ht="14.4" x14ac:dyDescent="0.25">
      <c r="A839" s="4">
        <v>837</v>
      </c>
      <c r="B839" s="2" t="str">
        <f>"3251202108131134029754"</f>
        <v>3251202108131134029754</v>
      </c>
      <c r="C839" s="2" t="s">
        <v>8</v>
      </c>
      <c r="D839" s="2" t="str">
        <f>"娄剑玲"</f>
        <v>娄剑玲</v>
      </c>
      <c r="E839" s="2" t="str">
        <f t="shared" si="22"/>
        <v>女</v>
      </c>
    </row>
    <row r="840" spans="1:5" ht="14.4" x14ac:dyDescent="0.25">
      <c r="A840" s="4">
        <v>838</v>
      </c>
      <c r="B840" s="2" t="str">
        <f>"3251202108131237339808"</f>
        <v>3251202108131237339808</v>
      </c>
      <c r="C840" s="2" t="s">
        <v>8</v>
      </c>
      <c r="D840" s="2" t="str">
        <f>"周暖暖"</f>
        <v>周暖暖</v>
      </c>
      <c r="E840" s="2" t="str">
        <f t="shared" si="22"/>
        <v>女</v>
      </c>
    </row>
    <row r="841" spans="1:5" ht="14.4" x14ac:dyDescent="0.25">
      <c r="A841" s="4">
        <v>839</v>
      </c>
      <c r="B841" s="2" t="str">
        <f>"3251202108131321389837"</f>
        <v>3251202108131321389837</v>
      </c>
      <c r="C841" s="2" t="s">
        <v>8</v>
      </c>
      <c r="D841" s="2" t="str">
        <f>"符文婷"</f>
        <v>符文婷</v>
      </c>
      <c r="E841" s="2" t="str">
        <f t="shared" si="22"/>
        <v>女</v>
      </c>
    </row>
    <row r="842" spans="1:5" ht="14.4" x14ac:dyDescent="0.25">
      <c r="A842" s="4">
        <v>840</v>
      </c>
      <c r="B842" s="2" t="str">
        <f>"3251202108131439119887"</f>
        <v>3251202108131439119887</v>
      </c>
      <c r="C842" s="2" t="s">
        <v>8</v>
      </c>
      <c r="D842" s="2" t="str">
        <f>"杨惠"</f>
        <v>杨惠</v>
      </c>
      <c r="E842" s="2" t="str">
        <f t="shared" si="22"/>
        <v>女</v>
      </c>
    </row>
    <row r="843" spans="1:5" ht="14.4" x14ac:dyDescent="0.25">
      <c r="A843" s="4">
        <v>841</v>
      </c>
      <c r="B843" s="2" t="str">
        <f>"3251202108131440349889"</f>
        <v>3251202108131440349889</v>
      </c>
      <c r="C843" s="2" t="s">
        <v>8</v>
      </c>
      <c r="D843" s="2" t="str">
        <f>"尹妃"</f>
        <v>尹妃</v>
      </c>
      <c r="E843" s="2" t="str">
        <f t="shared" si="22"/>
        <v>女</v>
      </c>
    </row>
    <row r="844" spans="1:5" ht="14.4" x14ac:dyDescent="0.25">
      <c r="A844" s="4">
        <v>842</v>
      </c>
      <c r="B844" s="2" t="str">
        <f>"3251202108131449329898"</f>
        <v>3251202108131449329898</v>
      </c>
      <c r="C844" s="2" t="s">
        <v>8</v>
      </c>
      <c r="D844" s="2" t="str">
        <f>"苏万姣"</f>
        <v>苏万姣</v>
      </c>
      <c r="E844" s="2" t="str">
        <f t="shared" si="22"/>
        <v>女</v>
      </c>
    </row>
    <row r="845" spans="1:5" ht="14.4" x14ac:dyDescent="0.25">
      <c r="A845" s="4">
        <v>843</v>
      </c>
      <c r="B845" s="2" t="str">
        <f>"3251202108131500439912"</f>
        <v>3251202108131500439912</v>
      </c>
      <c r="C845" s="2" t="s">
        <v>8</v>
      </c>
      <c r="D845" s="2" t="str">
        <f>"苏文哲"</f>
        <v>苏文哲</v>
      </c>
      <c r="E845" s="2" t="str">
        <f t="shared" si="22"/>
        <v>女</v>
      </c>
    </row>
    <row r="846" spans="1:5" ht="14.4" x14ac:dyDescent="0.25">
      <c r="A846" s="4">
        <v>844</v>
      </c>
      <c r="B846" s="2" t="str">
        <f>"3251202108131519189936"</f>
        <v>3251202108131519189936</v>
      </c>
      <c r="C846" s="2" t="s">
        <v>8</v>
      </c>
      <c r="D846" s="2" t="str">
        <f>"骆梓晴"</f>
        <v>骆梓晴</v>
      </c>
      <c r="E846" s="2" t="str">
        <f t="shared" si="22"/>
        <v>女</v>
      </c>
    </row>
    <row r="847" spans="1:5" ht="14.4" x14ac:dyDescent="0.25">
      <c r="A847" s="4">
        <v>845</v>
      </c>
      <c r="B847" s="2" t="str">
        <f>"32512021081316040910007"</f>
        <v>32512021081316040910007</v>
      </c>
      <c r="C847" s="2" t="s">
        <v>8</v>
      </c>
      <c r="D847" s="2" t="str">
        <f>"王小集"</f>
        <v>王小集</v>
      </c>
      <c r="E847" s="2" t="str">
        <f t="shared" si="22"/>
        <v>女</v>
      </c>
    </row>
    <row r="848" spans="1:5" ht="14.4" x14ac:dyDescent="0.25">
      <c r="A848" s="4">
        <v>846</v>
      </c>
      <c r="B848" s="2" t="str">
        <f>"32512021081316133910016"</f>
        <v>32512021081316133910016</v>
      </c>
      <c r="C848" s="2" t="s">
        <v>8</v>
      </c>
      <c r="D848" s="2" t="str">
        <f>"庞小晴"</f>
        <v>庞小晴</v>
      </c>
      <c r="E848" s="2" t="str">
        <f t="shared" si="22"/>
        <v>女</v>
      </c>
    </row>
    <row r="849" spans="1:5" ht="14.4" x14ac:dyDescent="0.25">
      <c r="A849" s="4">
        <v>847</v>
      </c>
      <c r="B849" s="2" t="str">
        <f>"32512021081317543810136"</f>
        <v>32512021081317543810136</v>
      </c>
      <c r="C849" s="2" t="s">
        <v>8</v>
      </c>
      <c r="D849" s="2" t="str">
        <f>"吕世丹"</f>
        <v>吕世丹</v>
      </c>
      <c r="E849" s="2" t="str">
        <f t="shared" si="22"/>
        <v>女</v>
      </c>
    </row>
    <row r="850" spans="1:5" ht="14.4" x14ac:dyDescent="0.25">
      <c r="A850" s="4">
        <v>848</v>
      </c>
      <c r="B850" s="2" t="str">
        <f>"32512021081321170610260"</f>
        <v>32512021081321170610260</v>
      </c>
      <c r="C850" s="2" t="s">
        <v>8</v>
      </c>
      <c r="D850" s="2" t="str">
        <f>"胡诗妮"</f>
        <v>胡诗妮</v>
      </c>
      <c r="E850" s="2" t="str">
        <f t="shared" si="22"/>
        <v>女</v>
      </c>
    </row>
    <row r="851" spans="1:5" ht="14.4" x14ac:dyDescent="0.25">
      <c r="A851" s="4">
        <v>849</v>
      </c>
      <c r="B851" s="2" t="str">
        <f>"32512021081400143010348"</f>
        <v>32512021081400143010348</v>
      </c>
      <c r="C851" s="2" t="s">
        <v>8</v>
      </c>
      <c r="D851" s="2" t="str">
        <f>"唐庆慧"</f>
        <v>唐庆慧</v>
      </c>
      <c r="E851" s="2" t="str">
        <f t="shared" si="22"/>
        <v>女</v>
      </c>
    </row>
    <row r="852" spans="1:5" ht="14.4" x14ac:dyDescent="0.25">
      <c r="A852" s="4">
        <v>850</v>
      </c>
      <c r="B852" s="2" t="str">
        <f>"32512021081400401010353"</f>
        <v>32512021081400401010353</v>
      </c>
      <c r="C852" s="2" t="s">
        <v>8</v>
      </c>
      <c r="D852" s="2" t="str">
        <f>"许治荣"</f>
        <v>许治荣</v>
      </c>
      <c r="E852" s="2" t="str">
        <f>"男"</f>
        <v>男</v>
      </c>
    </row>
    <row r="853" spans="1:5" ht="14.4" x14ac:dyDescent="0.25">
      <c r="A853" s="4">
        <v>851</v>
      </c>
      <c r="B853" s="2" t="str">
        <f>"32512021081402000810359"</f>
        <v>32512021081402000810359</v>
      </c>
      <c r="C853" s="2" t="s">
        <v>8</v>
      </c>
      <c r="D853" s="2" t="str">
        <f>"欧方才"</f>
        <v>欧方才</v>
      </c>
      <c r="E853" s="2" t="str">
        <f>"男"</f>
        <v>男</v>
      </c>
    </row>
    <row r="854" spans="1:5" ht="14.4" x14ac:dyDescent="0.25">
      <c r="A854" s="4">
        <v>852</v>
      </c>
      <c r="B854" s="2" t="str">
        <f>"32512021081408215510378"</f>
        <v>32512021081408215510378</v>
      </c>
      <c r="C854" s="2" t="s">
        <v>8</v>
      </c>
      <c r="D854" s="2" t="str">
        <f>"符秀玲"</f>
        <v>符秀玲</v>
      </c>
      <c r="E854" s="2" t="str">
        <f>"女"</f>
        <v>女</v>
      </c>
    </row>
    <row r="855" spans="1:5" ht="14.4" x14ac:dyDescent="0.25">
      <c r="A855" s="4">
        <v>853</v>
      </c>
      <c r="B855" s="2" t="str">
        <f>"32512021081411242210506"</f>
        <v>32512021081411242210506</v>
      </c>
      <c r="C855" s="2" t="s">
        <v>8</v>
      </c>
      <c r="D855" s="2" t="str">
        <f>"王晨燕"</f>
        <v>王晨燕</v>
      </c>
      <c r="E855" s="2" t="str">
        <f>"女"</f>
        <v>女</v>
      </c>
    </row>
    <row r="856" spans="1:5" ht="14.4" x14ac:dyDescent="0.25">
      <c r="A856" s="4">
        <v>854</v>
      </c>
      <c r="B856" s="2" t="str">
        <f>"32512021081412574410555"</f>
        <v>32512021081412574410555</v>
      </c>
      <c r="C856" s="2" t="s">
        <v>8</v>
      </c>
      <c r="D856" s="2" t="str">
        <f>"符克婷"</f>
        <v>符克婷</v>
      </c>
      <c r="E856" s="2" t="str">
        <f>"女"</f>
        <v>女</v>
      </c>
    </row>
    <row r="857" spans="1:5" ht="14.4" x14ac:dyDescent="0.25">
      <c r="A857" s="4">
        <v>855</v>
      </c>
      <c r="B857" s="2" t="str">
        <f>"32512021081413343910569"</f>
        <v>32512021081413343910569</v>
      </c>
      <c r="C857" s="2" t="s">
        <v>8</v>
      </c>
      <c r="D857" s="2" t="str">
        <f>"邓斌斌"</f>
        <v>邓斌斌</v>
      </c>
      <c r="E857" s="2" t="str">
        <f>"男"</f>
        <v>男</v>
      </c>
    </row>
    <row r="858" spans="1:5" ht="14.4" x14ac:dyDescent="0.25">
      <c r="A858" s="4">
        <v>856</v>
      </c>
      <c r="B858" s="2" t="str">
        <f>"32512021081415502510666"</f>
        <v>32512021081415502510666</v>
      </c>
      <c r="C858" s="2" t="s">
        <v>8</v>
      </c>
      <c r="D858" s="2" t="str">
        <f>"蔡雯"</f>
        <v>蔡雯</v>
      </c>
      <c r="E858" s="2" t="str">
        <f>"女"</f>
        <v>女</v>
      </c>
    </row>
    <row r="859" spans="1:5" ht="14.4" x14ac:dyDescent="0.25">
      <c r="A859" s="4">
        <v>857</v>
      </c>
      <c r="B859" s="2" t="str">
        <f>"32512021081418320510767"</f>
        <v>32512021081418320510767</v>
      </c>
      <c r="C859" s="2" t="s">
        <v>8</v>
      </c>
      <c r="D859" s="2" t="str">
        <f>"魏丽婷"</f>
        <v>魏丽婷</v>
      </c>
      <c r="E859" s="2" t="str">
        <f>"女"</f>
        <v>女</v>
      </c>
    </row>
    <row r="860" spans="1:5" ht="14.4" x14ac:dyDescent="0.25">
      <c r="A860" s="4">
        <v>858</v>
      </c>
      <c r="B860" s="2" t="str">
        <f>"32512021081422220510874"</f>
        <v>32512021081422220510874</v>
      </c>
      <c r="C860" s="2" t="s">
        <v>8</v>
      </c>
      <c r="D860" s="2" t="str">
        <f>"谢杏楼"</f>
        <v>谢杏楼</v>
      </c>
      <c r="E860" s="2" t="str">
        <f>"女"</f>
        <v>女</v>
      </c>
    </row>
    <row r="861" spans="1:5" ht="14.4" x14ac:dyDescent="0.25">
      <c r="A861" s="4">
        <v>859</v>
      </c>
      <c r="B861" s="2" t="str">
        <f>"32512021081422412310880"</f>
        <v>32512021081422412310880</v>
      </c>
      <c r="C861" s="2" t="s">
        <v>8</v>
      </c>
      <c r="D861" s="2" t="str">
        <f>"陈旭"</f>
        <v>陈旭</v>
      </c>
      <c r="E861" s="2" t="str">
        <f>"女"</f>
        <v>女</v>
      </c>
    </row>
    <row r="862" spans="1:5" ht="14.4" x14ac:dyDescent="0.25">
      <c r="A862" s="4">
        <v>860</v>
      </c>
      <c r="B862" s="2" t="str">
        <f>"32512021081500462810913"</f>
        <v>32512021081500462810913</v>
      </c>
      <c r="C862" s="2" t="s">
        <v>8</v>
      </c>
      <c r="D862" s="2" t="str">
        <f>"陈文静"</f>
        <v>陈文静</v>
      </c>
      <c r="E862" s="2" t="str">
        <f>"女"</f>
        <v>女</v>
      </c>
    </row>
    <row r="863" spans="1:5" ht="14.4" x14ac:dyDescent="0.25">
      <c r="A863" s="4">
        <v>861</v>
      </c>
      <c r="B863" s="2" t="str">
        <f>"32512021081508525810947"</f>
        <v>32512021081508525810947</v>
      </c>
      <c r="C863" s="2" t="s">
        <v>8</v>
      </c>
      <c r="D863" s="2" t="str">
        <f>"黄歆珂"</f>
        <v>黄歆珂</v>
      </c>
      <c r="E863" s="2" t="str">
        <f>"男"</f>
        <v>男</v>
      </c>
    </row>
    <row r="864" spans="1:5" ht="14.4" x14ac:dyDescent="0.25">
      <c r="A864" s="4">
        <v>862</v>
      </c>
      <c r="B864" s="2" t="str">
        <f>"32512021081509143010959"</f>
        <v>32512021081509143010959</v>
      </c>
      <c r="C864" s="2" t="s">
        <v>8</v>
      </c>
      <c r="D864" s="2" t="str">
        <f>"蔡婷婷"</f>
        <v>蔡婷婷</v>
      </c>
      <c r="E864" s="2" t="str">
        <f>"女"</f>
        <v>女</v>
      </c>
    </row>
    <row r="865" spans="1:5" ht="14.4" x14ac:dyDescent="0.25">
      <c r="A865" s="4">
        <v>863</v>
      </c>
      <c r="B865" s="2" t="str">
        <f>"32512021081510584811019"</f>
        <v>32512021081510584811019</v>
      </c>
      <c r="C865" s="2" t="s">
        <v>8</v>
      </c>
      <c r="D865" s="2" t="str">
        <f>"石云峰"</f>
        <v>石云峰</v>
      </c>
      <c r="E865" s="2" t="str">
        <f>"男"</f>
        <v>男</v>
      </c>
    </row>
    <row r="866" spans="1:5" ht="14.4" x14ac:dyDescent="0.25">
      <c r="A866" s="4">
        <v>864</v>
      </c>
      <c r="B866" s="2" t="str">
        <f>"32512021081512191211072"</f>
        <v>32512021081512191211072</v>
      </c>
      <c r="C866" s="2" t="s">
        <v>8</v>
      </c>
      <c r="D866" s="2" t="str">
        <f>"黄小槟"</f>
        <v>黄小槟</v>
      </c>
      <c r="E866" s="2" t="str">
        <f>"女"</f>
        <v>女</v>
      </c>
    </row>
    <row r="867" spans="1:5" ht="14.4" x14ac:dyDescent="0.25">
      <c r="A867" s="4">
        <v>865</v>
      </c>
      <c r="B867" s="2" t="str">
        <f>"32512021081513445311124"</f>
        <v>32512021081513445311124</v>
      </c>
      <c r="C867" s="2" t="s">
        <v>8</v>
      </c>
      <c r="D867" s="2" t="str">
        <f>"冯宣华"</f>
        <v>冯宣华</v>
      </c>
      <c r="E867" s="2" t="str">
        <f>"男"</f>
        <v>男</v>
      </c>
    </row>
    <row r="868" spans="1:5" ht="14.4" x14ac:dyDescent="0.25">
      <c r="A868" s="4">
        <v>866</v>
      </c>
      <c r="B868" s="2" t="str">
        <f>"32512021081514041811140"</f>
        <v>32512021081514041811140</v>
      </c>
      <c r="C868" s="2" t="s">
        <v>8</v>
      </c>
      <c r="D868" s="2" t="str">
        <f>"林杰丹"</f>
        <v>林杰丹</v>
      </c>
      <c r="E868" s="2" t="str">
        <f>"女"</f>
        <v>女</v>
      </c>
    </row>
    <row r="869" spans="1:5" ht="14.4" x14ac:dyDescent="0.25">
      <c r="A869" s="4">
        <v>867</v>
      </c>
      <c r="B869" s="2" t="str">
        <f>"32512021081516024711222"</f>
        <v>32512021081516024711222</v>
      </c>
      <c r="C869" s="2" t="s">
        <v>8</v>
      </c>
      <c r="D869" s="2" t="str">
        <f>"邢馨之"</f>
        <v>邢馨之</v>
      </c>
      <c r="E869" s="2" t="str">
        <f>"女"</f>
        <v>女</v>
      </c>
    </row>
    <row r="870" spans="1:5" ht="14.4" x14ac:dyDescent="0.25">
      <c r="A870" s="4">
        <v>868</v>
      </c>
      <c r="B870" s="2" t="str">
        <f>"32512021081517243611299"</f>
        <v>32512021081517243611299</v>
      </c>
      <c r="C870" s="2" t="s">
        <v>8</v>
      </c>
      <c r="D870" s="2" t="str">
        <f>"黄志鸿"</f>
        <v>黄志鸿</v>
      </c>
      <c r="E870" s="2" t="str">
        <f>"男"</f>
        <v>男</v>
      </c>
    </row>
    <row r="871" spans="1:5" ht="14.4" x14ac:dyDescent="0.25">
      <c r="A871" s="4">
        <v>869</v>
      </c>
      <c r="B871" s="2" t="str">
        <f>"32512021081518051011327"</f>
        <v>32512021081518051011327</v>
      </c>
      <c r="C871" s="2" t="s">
        <v>8</v>
      </c>
      <c r="D871" s="2" t="str">
        <f>"林志雅"</f>
        <v>林志雅</v>
      </c>
      <c r="E871" s="2" t="str">
        <f t="shared" ref="E871:E876" si="23">"女"</f>
        <v>女</v>
      </c>
    </row>
    <row r="872" spans="1:5" ht="14.4" x14ac:dyDescent="0.25">
      <c r="A872" s="4">
        <v>870</v>
      </c>
      <c r="B872" s="2" t="str">
        <f>"32512021081519002211369"</f>
        <v>32512021081519002211369</v>
      </c>
      <c r="C872" s="2" t="s">
        <v>8</v>
      </c>
      <c r="D872" s="2" t="str">
        <f>"邢思凡"</f>
        <v>邢思凡</v>
      </c>
      <c r="E872" s="2" t="str">
        <f t="shared" si="23"/>
        <v>女</v>
      </c>
    </row>
    <row r="873" spans="1:5" ht="14.4" x14ac:dyDescent="0.25">
      <c r="A873" s="4">
        <v>871</v>
      </c>
      <c r="B873" s="2" t="str">
        <f>"32512021081519185311384"</f>
        <v>32512021081519185311384</v>
      </c>
      <c r="C873" s="2" t="s">
        <v>8</v>
      </c>
      <c r="D873" s="2" t="str">
        <f>"符鉴苗"</f>
        <v>符鉴苗</v>
      </c>
      <c r="E873" s="2" t="str">
        <f t="shared" si="23"/>
        <v>女</v>
      </c>
    </row>
    <row r="874" spans="1:5" ht="14.4" x14ac:dyDescent="0.25">
      <c r="A874" s="4">
        <v>872</v>
      </c>
      <c r="B874" s="2" t="str">
        <f>"32512021081519482511408"</f>
        <v>32512021081519482511408</v>
      </c>
      <c r="C874" s="2" t="s">
        <v>8</v>
      </c>
      <c r="D874" s="2" t="str">
        <f>"郭小娜"</f>
        <v>郭小娜</v>
      </c>
      <c r="E874" s="2" t="str">
        <f t="shared" si="23"/>
        <v>女</v>
      </c>
    </row>
    <row r="875" spans="1:5" ht="14.4" x14ac:dyDescent="0.25">
      <c r="A875" s="4">
        <v>873</v>
      </c>
      <c r="B875" s="2" t="str">
        <f>"32512021081521161911497"</f>
        <v>32512021081521161911497</v>
      </c>
      <c r="C875" s="2" t="s">
        <v>8</v>
      </c>
      <c r="D875" s="2" t="str">
        <f>"柯灵丹"</f>
        <v>柯灵丹</v>
      </c>
      <c r="E875" s="2" t="str">
        <f t="shared" si="23"/>
        <v>女</v>
      </c>
    </row>
    <row r="876" spans="1:5" ht="14.4" x14ac:dyDescent="0.25">
      <c r="A876" s="4">
        <v>874</v>
      </c>
      <c r="B876" s="2" t="str">
        <f>"32512021081522073211547"</f>
        <v>32512021081522073211547</v>
      </c>
      <c r="C876" s="2" t="s">
        <v>8</v>
      </c>
      <c r="D876" s="2" t="str">
        <f>"文倩"</f>
        <v>文倩</v>
      </c>
      <c r="E876" s="2" t="str">
        <f t="shared" si="23"/>
        <v>女</v>
      </c>
    </row>
    <row r="877" spans="1:5" ht="14.4" x14ac:dyDescent="0.25">
      <c r="A877" s="4">
        <v>875</v>
      </c>
      <c r="B877" s="2" t="str">
        <f>"32512021081522274211567"</f>
        <v>32512021081522274211567</v>
      </c>
      <c r="C877" s="2" t="s">
        <v>8</v>
      </c>
      <c r="D877" s="2" t="str">
        <f>"陈尔殷"</f>
        <v>陈尔殷</v>
      </c>
      <c r="E877" s="2" t="str">
        <f>"男"</f>
        <v>男</v>
      </c>
    </row>
    <row r="878" spans="1:5" ht="14.4" x14ac:dyDescent="0.25">
      <c r="A878" s="4">
        <v>876</v>
      </c>
      <c r="B878" s="2" t="str">
        <f>"32512021081523042511605"</f>
        <v>32512021081523042511605</v>
      </c>
      <c r="C878" s="2" t="s">
        <v>8</v>
      </c>
      <c r="D878" s="2" t="str">
        <f>"陈雪"</f>
        <v>陈雪</v>
      </c>
      <c r="E878" s="2" t="str">
        <f>"女"</f>
        <v>女</v>
      </c>
    </row>
    <row r="879" spans="1:5" ht="14.4" x14ac:dyDescent="0.25">
      <c r="A879" s="4">
        <v>877</v>
      </c>
      <c r="B879" s="2" t="str">
        <f>"32512021081603433011680"</f>
        <v>32512021081603433011680</v>
      </c>
      <c r="C879" s="2" t="s">
        <v>8</v>
      </c>
      <c r="D879" s="2" t="str">
        <f>"侯轶伦"</f>
        <v>侯轶伦</v>
      </c>
      <c r="E879" s="2" t="str">
        <f>"男"</f>
        <v>男</v>
      </c>
    </row>
    <row r="880" spans="1:5" ht="14.4" x14ac:dyDescent="0.25">
      <c r="A880" s="4">
        <v>878</v>
      </c>
      <c r="B880" s="2" t="str">
        <f>"32512021081607453711695"</f>
        <v>32512021081607453711695</v>
      </c>
      <c r="C880" s="2" t="s">
        <v>8</v>
      </c>
      <c r="D880" s="2" t="str">
        <f>"陈善勇"</f>
        <v>陈善勇</v>
      </c>
      <c r="E880" s="2" t="str">
        <f>"男"</f>
        <v>男</v>
      </c>
    </row>
    <row r="881" spans="1:5" ht="14.4" x14ac:dyDescent="0.25">
      <c r="A881" s="4">
        <v>879</v>
      </c>
      <c r="B881" s="2" t="str">
        <f>"32512021081609194311933"</f>
        <v>32512021081609194311933</v>
      </c>
      <c r="C881" s="2" t="s">
        <v>8</v>
      </c>
      <c r="D881" s="2" t="str">
        <f>"蔡於良"</f>
        <v>蔡於良</v>
      </c>
      <c r="E881" s="2" t="str">
        <f>"男"</f>
        <v>男</v>
      </c>
    </row>
    <row r="882" spans="1:5" ht="14.4" x14ac:dyDescent="0.25">
      <c r="A882" s="4">
        <v>880</v>
      </c>
      <c r="B882" s="2" t="str">
        <f>"32512021081609485212050"</f>
        <v>32512021081609485212050</v>
      </c>
      <c r="C882" s="2" t="s">
        <v>8</v>
      </c>
      <c r="D882" s="2" t="str">
        <f>"吴中雄"</f>
        <v>吴中雄</v>
      </c>
      <c r="E882" s="2" t="str">
        <f>"男"</f>
        <v>男</v>
      </c>
    </row>
    <row r="883" spans="1:5" ht="14.4" x14ac:dyDescent="0.25">
      <c r="A883" s="4">
        <v>881</v>
      </c>
      <c r="B883" s="2" t="str">
        <f>"32512021081609592312095"</f>
        <v>32512021081609592312095</v>
      </c>
      <c r="C883" s="2" t="s">
        <v>8</v>
      </c>
      <c r="D883" s="2" t="str">
        <f>"吴儒菊"</f>
        <v>吴儒菊</v>
      </c>
      <c r="E883" s="2" t="str">
        <f>"女"</f>
        <v>女</v>
      </c>
    </row>
    <row r="884" spans="1:5" ht="14.4" x14ac:dyDescent="0.25">
      <c r="A884" s="4">
        <v>882</v>
      </c>
      <c r="B884" s="2" t="str">
        <f>"32512021081610182612210"</f>
        <v>32512021081610182612210</v>
      </c>
      <c r="C884" s="2" t="s">
        <v>8</v>
      </c>
      <c r="D884" s="2" t="str">
        <f>"王春暖"</f>
        <v>王春暖</v>
      </c>
      <c r="E884" s="2" t="str">
        <f>"女"</f>
        <v>女</v>
      </c>
    </row>
    <row r="885" spans="1:5" ht="14.4" x14ac:dyDescent="0.25">
      <c r="A885" s="4">
        <v>883</v>
      </c>
      <c r="B885" s="2" t="str">
        <f>"32512021081610242112245"</f>
        <v>32512021081610242112245</v>
      </c>
      <c r="C885" s="2" t="s">
        <v>8</v>
      </c>
      <c r="D885" s="2" t="str">
        <f>"梁江通"</f>
        <v>梁江通</v>
      </c>
      <c r="E885" s="2" t="str">
        <f>"男"</f>
        <v>男</v>
      </c>
    </row>
    <row r="886" spans="1:5" ht="14.4" x14ac:dyDescent="0.25">
      <c r="A886" s="4">
        <v>884</v>
      </c>
      <c r="B886" s="2" t="str">
        <f>"32512021081610341112296"</f>
        <v>32512021081610341112296</v>
      </c>
      <c r="C886" s="2" t="s">
        <v>8</v>
      </c>
      <c r="D886" s="2" t="str">
        <f>"吴兴美"</f>
        <v>吴兴美</v>
      </c>
      <c r="E886" s="2" t="str">
        <f>"女"</f>
        <v>女</v>
      </c>
    </row>
    <row r="887" spans="1:5" ht="14.4" x14ac:dyDescent="0.25">
      <c r="A887" s="4">
        <v>885</v>
      </c>
      <c r="B887" s="2" t="str">
        <f>"32512021081611030012416"</f>
        <v>32512021081611030012416</v>
      </c>
      <c r="C887" s="2" t="s">
        <v>8</v>
      </c>
      <c r="D887" s="2" t="str">
        <f>"余佳佳"</f>
        <v>余佳佳</v>
      </c>
      <c r="E887" s="2" t="str">
        <f>"女"</f>
        <v>女</v>
      </c>
    </row>
    <row r="888" spans="1:5" ht="14.4" x14ac:dyDescent="0.25">
      <c r="A888" s="4">
        <v>886</v>
      </c>
      <c r="B888" s="2" t="str">
        <f>"32512021081611463612594"</f>
        <v>32512021081611463612594</v>
      </c>
      <c r="C888" s="2" t="s">
        <v>8</v>
      </c>
      <c r="D888" s="2" t="str">
        <f>"黎金丽"</f>
        <v>黎金丽</v>
      </c>
      <c r="E888" s="2" t="str">
        <f>"女"</f>
        <v>女</v>
      </c>
    </row>
    <row r="889" spans="1:5" ht="14.4" x14ac:dyDescent="0.25">
      <c r="A889" s="4">
        <v>887</v>
      </c>
      <c r="B889" s="2" t="str">
        <f>"32512021081614251912934"</f>
        <v>32512021081614251912934</v>
      </c>
      <c r="C889" s="2" t="s">
        <v>8</v>
      </c>
      <c r="D889" s="2" t="str">
        <f>"尤萱"</f>
        <v>尤萱</v>
      </c>
      <c r="E889" s="2" t="str">
        <f>"女"</f>
        <v>女</v>
      </c>
    </row>
    <row r="890" spans="1:5" ht="14.4" x14ac:dyDescent="0.25">
      <c r="A890" s="4">
        <v>888</v>
      </c>
      <c r="B890" s="2" t="str">
        <f>"32512021081614424512966"</f>
        <v>32512021081614424512966</v>
      </c>
      <c r="C890" s="2" t="s">
        <v>8</v>
      </c>
      <c r="D890" s="2" t="str">
        <f>"陈玮"</f>
        <v>陈玮</v>
      </c>
      <c r="E890" s="2" t="str">
        <f>"女"</f>
        <v>女</v>
      </c>
    </row>
    <row r="891" spans="1:5" ht="14.4" x14ac:dyDescent="0.25">
      <c r="A891" s="4">
        <v>889</v>
      </c>
      <c r="B891" s="2" t="str">
        <f>"32512021081614561013003"</f>
        <v>32512021081614561013003</v>
      </c>
      <c r="C891" s="2" t="s">
        <v>8</v>
      </c>
      <c r="D891" s="2" t="str">
        <f>"程畅"</f>
        <v>程畅</v>
      </c>
      <c r="E891" s="2" t="str">
        <f>"男"</f>
        <v>男</v>
      </c>
    </row>
    <row r="892" spans="1:5" ht="14.4" x14ac:dyDescent="0.25">
      <c r="A892" s="4">
        <v>890</v>
      </c>
      <c r="B892" s="2" t="str">
        <f>"32512021081615174413062"</f>
        <v>32512021081615174413062</v>
      </c>
      <c r="C892" s="2" t="s">
        <v>8</v>
      </c>
      <c r="D892" s="2" t="str">
        <f>"符蓉蓉"</f>
        <v>符蓉蓉</v>
      </c>
      <c r="E892" s="2" t="str">
        <f>"女"</f>
        <v>女</v>
      </c>
    </row>
    <row r="893" spans="1:5" ht="14.4" x14ac:dyDescent="0.25">
      <c r="A893" s="4">
        <v>891</v>
      </c>
      <c r="B893" s="2" t="str">
        <f>"32512021081615204313070"</f>
        <v>32512021081615204313070</v>
      </c>
      <c r="C893" s="2" t="s">
        <v>8</v>
      </c>
      <c r="D893" s="2" t="str">
        <f>"许玲"</f>
        <v>许玲</v>
      </c>
      <c r="E893" s="2" t="str">
        <f>"女"</f>
        <v>女</v>
      </c>
    </row>
    <row r="894" spans="1:5" ht="14.4" x14ac:dyDescent="0.25">
      <c r="A894" s="4">
        <v>892</v>
      </c>
      <c r="B894" s="2" t="str">
        <f>"32512021081615402413108"</f>
        <v>32512021081615402413108</v>
      </c>
      <c r="C894" s="2" t="s">
        <v>8</v>
      </c>
      <c r="D894" s="2" t="str">
        <f>"林小楚"</f>
        <v>林小楚</v>
      </c>
      <c r="E894" s="2" t="str">
        <f>"女"</f>
        <v>女</v>
      </c>
    </row>
    <row r="895" spans="1:5" ht="14.4" x14ac:dyDescent="0.25">
      <c r="A895" s="4">
        <v>893</v>
      </c>
      <c r="B895" s="2" t="str">
        <f>"32512021081616021613172"</f>
        <v>32512021081616021613172</v>
      </c>
      <c r="C895" s="2" t="s">
        <v>8</v>
      </c>
      <c r="D895" s="2" t="str">
        <f>"牛子俊"</f>
        <v>牛子俊</v>
      </c>
      <c r="E895" s="2" t="str">
        <f>"男"</f>
        <v>男</v>
      </c>
    </row>
    <row r="896" spans="1:5" ht="14.4" x14ac:dyDescent="0.25">
      <c r="A896" s="4">
        <v>894</v>
      </c>
      <c r="B896" s="2" t="str">
        <f>"3251202108100905243789"</f>
        <v>3251202108100905243789</v>
      </c>
      <c r="C896" s="2" t="s">
        <v>9</v>
      </c>
      <c r="D896" s="2" t="str">
        <f>"周湛人"</f>
        <v>周湛人</v>
      </c>
      <c r="E896" s="2" t="str">
        <f>"男"</f>
        <v>男</v>
      </c>
    </row>
    <row r="897" spans="1:5" ht="14.4" x14ac:dyDescent="0.25">
      <c r="A897" s="4">
        <v>895</v>
      </c>
      <c r="B897" s="2" t="str">
        <f>"3251202108100933004043"</f>
        <v>3251202108100933004043</v>
      </c>
      <c r="C897" s="2" t="s">
        <v>9</v>
      </c>
      <c r="D897" s="2" t="str">
        <f>"陈太亨"</f>
        <v>陈太亨</v>
      </c>
      <c r="E897" s="2" t="str">
        <f>"男"</f>
        <v>男</v>
      </c>
    </row>
    <row r="898" spans="1:5" ht="14.4" x14ac:dyDescent="0.25">
      <c r="A898" s="4">
        <v>896</v>
      </c>
      <c r="B898" s="2" t="str">
        <f>"3251202108100959234219"</f>
        <v>3251202108100959234219</v>
      </c>
      <c r="C898" s="2" t="s">
        <v>9</v>
      </c>
      <c r="D898" s="2" t="str">
        <f>"王干"</f>
        <v>王干</v>
      </c>
      <c r="E898" s="2" t="str">
        <f>"男"</f>
        <v>男</v>
      </c>
    </row>
    <row r="899" spans="1:5" ht="14.4" x14ac:dyDescent="0.25">
      <c r="A899" s="4">
        <v>897</v>
      </c>
      <c r="B899" s="2" t="str">
        <f>"3251202108101008554275"</f>
        <v>3251202108101008554275</v>
      </c>
      <c r="C899" s="2" t="s">
        <v>9</v>
      </c>
      <c r="D899" s="2" t="str">
        <f>"陆圣谱"</f>
        <v>陆圣谱</v>
      </c>
      <c r="E899" s="2" t="str">
        <f>"男"</f>
        <v>男</v>
      </c>
    </row>
    <row r="900" spans="1:5" ht="14.4" x14ac:dyDescent="0.25">
      <c r="A900" s="4">
        <v>898</v>
      </c>
      <c r="B900" s="2" t="str">
        <f>"3251202108101142494757"</f>
        <v>3251202108101142494757</v>
      </c>
      <c r="C900" s="2" t="s">
        <v>9</v>
      </c>
      <c r="D900" s="2" t="str">
        <f>"钟彩虹"</f>
        <v>钟彩虹</v>
      </c>
      <c r="E900" s="2" t="str">
        <f>"女"</f>
        <v>女</v>
      </c>
    </row>
    <row r="901" spans="1:5" ht="14.4" x14ac:dyDescent="0.25">
      <c r="A901" s="4">
        <v>899</v>
      </c>
      <c r="B901" s="2" t="str">
        <f>"3251202108101223424878"</f>
        <v>3251202108101223424878</v>
      </c>
      <c r="C901" s="2" t="s">
        <v>9</v>
      </c>
      <c r="D901" s="2" t="str">
        <f>"林师贤"</f>
        <v>林师贤</v>
      </c>
      <c r="E901" s="2" t="str">
        <f>"男"</f>
        <v>男</v>
      </c>
    </row>
    <row r="902" spans="1:5" ht="14.4" x14ac:dyDescent="0.25">
      <c r="A902" s="4">
        <v>900</v>
      </c>
      <c r="B902" s="2" t="str">
        <f>"3251202108101229494904"</f>
        <v>3251202108101229494904</v>
      </c>
      <c r="C902" s="2" t="s">
        <v>9</v>
      </c>
      <c r="D902" s="2" t="str">
        <f>"吴玮"</f>
        <v>吴玮</v>
      </c>
      <c r="E902" s="2" t="str">
        <f>"男"</f>
        <v>男</v>
      </c>
    </row>
    <row r="903" spans="1:5" ht="14.4" x14ac:dyDescent="0.25">
      <c r="A903" s="4">
        <v>901</v>
      </c>
      <c r="B903" s="2" t="str">
        <f>"3251202108101836285978"</f>
        <v>3251202108101836285978</v>
      </c>
      <c r="C903" s="2" t="s">
        <v>9</v>
      </c>
      <c r="D903" s="2" t="str">
        <f>"符李建"</f>
        <v>符李建</v>
      </c>
      <c r="E903" s="2" t="str">
        <f>"男"</f>
        <v>男</v>
      </c>
    </row>
    <row r="904" spans="1:5" ht="14.4" x14ac:dyDescent="0.25">
      <c r="A904" s="4">
        <v>902</v>
      </c>
      <c r="B904" s="2" t="str">
        <f>"3251202108101845026002"</f>
        <v>3251202108101845026002</v>
      </c>
      <c r="C904" s="2" t="s">
        <v>9</v>
      </c>
      <c r="D904" s="2" t="str">
        <f>"符冲"</f>
        <v>符冲</v>
      </c>
      <c r="E904" s="2" t="str">
        <f>"男"</f>
        <v>男</v>
      </c>
    </row>
    <row r="905" spans="1:5" ht="14.4" x14ac:dyDescent="0.25">
      <c r="A905" s="4">
        <v>903</v>
      </c>
      <c r="B905" s="2" t="str">
        <f>"3251202108102002096164"</f>
        <v>3251202108102002096164</v>
      </c>
      <c r="C905" s="2" t="s">
        <v>9</v>
      </c>
      <c r="D905" s="2" t="str">
        <f>"梁静"</f>
        <v>梁静</v>
      </c>
      <c r="E905" s="2" t="str">
        <f>"女"</f>
        <v>女</v>
      </c>
    </row>
    <row r="906" spans="1:5" ht="14.4" x14ac:dyDescent="0.25">
      <c r="A906" s="4">
        <v>904</v>
      </c>
      <c r="B906" s="2" t="str">
        <f>"3251202108110822426594"</f>
        <v>3251202108110822426594</v>
      </c>
      <c r="C906" s="2" t="s">
        <v>9</v>
      </c>
      <c r="D906" s="2" t="str">
        <f>"符宏达"</f>
        <v>符宏达</v>
      </c>
      <c r="E906" s="2" t="str">
        <f>"男"</f>
        <v>男</v>
      </c>
    </row>
    <row r="907" spans="1:5" ht="14.4" x14ac:dyDescent="0.25">
      <c r="A907" s="4">
        <v>905</v>
      </c>
      <c r="B907" s="2" t="str">
        <f>"3251202108110842246631"</f>
        <v>3251202108110842246631</v>
      </c>
      <c r="C907" s="2" t="s">
        <v>9</v>
      </c>
      <c r="D907" s="2" t="str">
        <f>"符夏"</f>
        <v>符夏</v>
      </c>
      <c r="E907" s="2" t="str">
        <f>"男"</f>
        <v>男</v>
      </c>
    </row>
    <row r="908" spans="1:5" ht="14.4" x14ac:dyDescent="0.25">
      <c r="A908" s="4">
        <v>906</v>
      </c>
      <c r="B908" s="2" t="str">
        <f>"3251202108110904246676"</f>
        <v>3251202108110904246676</v>
      </c>
      <c r="C908" s="2" t="s">
        <v>9</v>
      </c>
      <c r="D908" s="2" t="str">
        <f>"吴昌南"</f>
        <v>吴昌南</v>
      </c>
      <c r="E908" s="2" t="str">
        <f>"男"</f>
        <v>男</v>
      </c>
    </row>
    <row r="909" spans="1:5" ht="14.4" x14ac:dyDescent="0.25">
      <c r="A909" s="4">
        <v>907</v>
      </c>
      <c r="B909" s="2" t="str">
        <f>"3251202108110923336733"</f>
        <v>3251202108110923336733</v>
      </c>
      <c r="C909" s="2" t="s">
        <v>9</v>
      </c>
      <c r="D909" s="2" t="str">
        <f>"尹加军"</f>
        <v>尹加军</v>
      </c>
      <c r="E909" s="2" t="str">
        <f>"男"</f>
        <v>男</v>
      </c>
    </row>
    <row r="910" spans="1:5" ht="14.4" x14ac:dyDescent="0.25">
      <c r="A910" s="4">
        <v>908</v>
      </c>
      <c r="B910" s="2" t="str">
        <f>"3251202108111237447184"</f>
        <v>3251202108111237447184</v>
      </c>
      <c r="C910" s="2" t="s">
        <v>9</v>
      </c>
      <c r="D910" s="2" t="str">
        <f>"符永宇"</f>
        <v>符永宇</v>
      </c>
      <c r="E910" s="2" t="str">
        <f>"男"</f>
        <v>男</v>
      </c>
    </row>
    <row r="911" spans="1:5" ht="14.4" x14ac:dyDescent="0.25">
      <c r="A911" s="4">
        <v>909</v>
      </c>
      <c r="B911" s="2" t="str">
        <f>"3251202108111247387194"</f>
        <v>3251202108111247387194</v>
      </c>
      <c r="C911" s="2" t="s">
        <v>9</v>
      </c>
      <c r="D911" s="2" t="str">
        <f>"符丽莹"</f>
        <v>符丽莹</v>
      </c>
      <c r="E911" s="2" t="str">
        <f>"女"</f>
        <v>女</v>
      </c>
    </row>
    <row r="912" spans="1:5" ht="14.4" x14ac:dyDescent="0.25">
      <c r="A912" s="4">
        <v>910</v>
      </c>
      <c r="B912" s="2" t="str">
        <f>"3251202108111946137822"</f>
        <v>3251202108111946137822</v>
      </c>
      <c r="C912" s="2" t="s">
        <v>9</v>
      </c>
      <c r="D912" s="2" t="str">
        <f>"蔡曼娜"</f>
        <v>蔡曼娜</v>
      </c>
      <c r="E912" s="2" t="str">
        <f>"女"</f>
        <v>女</v>
      </c>
    </row>
    <row r="913" spans="1:5" ht="14.4" x14ac:dyDescent="0.25">
      <c r="A913" s="4">
        <v>911</v>
      </c>
      <c r="B913" s="2" t="str">
        <f>"3251202108112003067843"</f>
        <v>3251202108112003067843</v>
      </c>
      <c r="C913" s="2" t="s">
        <v>9</v>
      </c>
      <c r="D913" s="2" t="str">
        <f>"陈运将"</f>
        <v>陈运将</v>
      </c>
      <c r="E913" s="2" t="str">
        <f>"男"</f>
        <v>男</v>
      </c>
    </row>
    <row r="914" spans="1:5" ht="14.4" x14ac:dyDescent="0.25">
      <c r="A914" s="4">
        <v>912</v>
      </c>
      <c r="B914" s="2" t="str">
        <f>"3251202108120001228149"</f>
        <v>3251202108120001228149</v>
      </c>
      <c r="C914" s="2" t="s">
        <v>9</v>
      </c>
      <c r="D914" s="2" t="str">
        <f>"冼城龙"</f>
        <v>冼城龙</v>
      </c>
      <c r="E914" s="2" t="str">
        <f>"男"</f>
        <v>男</v>
      </c>
    </row>
    <row r="915" spans="1:5" ht="14.4" x14ac:dyDescent="0.25">
      <c r="A915" s="4">
        <v>913</v>
      </c>
      <c r="B915" s="2" t="str">
        <f>"3251202108130911079555"</f>
        <v>3251202108130911079555</v>
      </c>
      <c r="C915" s="2" t="s">
        <v>9</v>
      </c>
      <c r="D915" s="2" t="str">
        <f>"王定唐"</f>
        <v>王定唐</v>
      </c>
      <c r="E915" s="2" t="str">
        <f>"男"</f>
        <v>男</v>
      </c>
    </row>
    <row r="916" spans="1:5" ht="14.4" x14ac:dyDescent="0.25">
      <c r="A916" s="4">
        <v>914</v>
      </c>
      <c r="B916" s="2" t="str">
        <f>"32512021081414310210601"</f>
        <v>32512021081414310210601</v>
      </c>
      <c r="C916" s="2" t="s">
        <v>9</v>
      </c>
      <c r="D916" s="2" t="str">
        <f>"黄琳"</f>
        <v>黄琳</v>
      </c>
      <c r="E916" s="2" t="str">
        <f>"女"</f>
        <v>女</v>
      </c>
    </row>
    <row r="917" spans="1:5" ht="14.4" x14ac:dyDescent="0.25">
      <c r="A917" s="4">
        <v>915</v>
      </c>
      <c r="B917" s="2" t="str">
        <f>"32512021081521013211480"</f>
        <v>32512021081521013211480</v>
      </c>
      <c r="C917" s="2" t="s">
        <v>9</v>
      </c>
      <c r="D917" s="2" t="str">
        <f>"王文照"</f>
        <v>王文照</v>
      </c>
      <c r="E917" s="2" t="str">
        <f t="shared" ref="E917:E933" si="24">"男"</f>
        <v>男</v>
      </c>
    </row>
    <row r="918" spans="1:5" ht="14.4" x14ac:dyDescent="0.25">
      <c r="A918" s="4">
        <v>916</v>
      </c>
      <c r="B918" s="2" t="str">
        <f>"32512021081616251913219"</f>
        <v>32512021081616251913219</v>
      </c>
      <c r="C918" s="2" t="s">
        <v>9</v>
      </c>
      <c r="D918" s="2" t="str">
        <f>"王孝"</f>
        <v>王孝</v>
      </c>
      <c r="E918" s="2" t="str">
        <f t="shared" si="24"/>
        <v>男</v>
      </c>
    </row>
    <row r="919" spans="1:5" ht="14.4" x14ac:dyDescent="0.25">
      <c r="A919" s="4">
        <v>917</v>
      </c>
      <c r="B919" s="2" t="str">
        <f>"3251202108100926593997"</f>
        <v>3251202108100926593997</v>
      </c>
      <c r="C919" s="2" t="s">
        <v>10</v>
      </c>
      <c r="D919" s="2" t="str">
        <f>"符作庭"</f>
        <v>符作庭</v>
      </c>
      <c r="E919" s="2" t="str">
        <f t="shared" si="24"/>
        <v>男</v>
      </c>
    </row>
    <row r="920" spans="1:5" ht="14.4" x14ac:dyDescent="0.25">
      <c r="A920" s="4">
        <v>918</v>
      </c>
      <c r="B920" s="2" t="str">
        <f>"3251202108100957014207"</f>
        <v>3251202108100957014207</v>
      </c>
      <c r="C920" s="2" t="s">
        <v>10</v>
      </c>
      <c r="D920" s="2" t="str">
        <f>"符惠权"</f>
        <v>符惠权</v>
      </c>
      <c r="E920" s="2" t="str">
        <f t="shared" si="24"/>
        <v>男</v>
      </c>
    </row>
    <row r="921" spans="1:5" ht="14.4" x14ac:dyDescent="0.25">
      <c r="A921" s="4">
        <v>919</v>
      </c>
      <c r="B921" s="2" t="str">
        <f>"3251202108101658215719"</f>
        <v>3251202108101658215719</v>
      </c>
      <c r="C921" s="2" t="s">
        <v>10</v>
      </c>
      <c r="D921" s="2" t="str">
        <f>"闭祖滨"</f>
        <v>闭祖滨</v>
      </c>
      <c r="E921" s="2" t="str">
        <f t="shared" si="24"/>
        <v>男</v>
      </c>
    </row>
    <row r="922" spans="1:5" ht="14.4" x14ac:dyDescent="0.25">
      <c r="A922" s="4">
        <v>920</v>
      </c>
      <c r="B922" s="2" t="str">
        <f>"3251202108102132546343"</f>
        <v>3251202108102132546343</v>
      </c>
      <c r="C922" s="2" t="s">
        <v>10</v>
      </c>
      <c r="D922" s="2" t="str">
        <f>"王居易"</f>
        <v>王居易</v>
      </c>
      <c r="E922" s="2" t="str">
        <f t="shared" si="24"/>
        <v>男</v>
      </c>
    </row>
    <row r="923" spans="1:5" ht="14.4" x14ac:dyDescent="0.25">
      <c r="A923" s="4">
        <v>921</v>
      </c>
      <c r="B923" s="2" t="str">
        <f>"3251202108111115077033"</f>
        <v>3251202108111115077033</v>
      </c>
      <c r="C923" s="2" t="s">
        <v>10</v>
      </c>
      <c r="D923" s="2" t="str">
        <f>"李晓俊"</f>
        <v>李晓俊</v>
      </c>
      <c r="E923" s="2" t="str">
        <f t="shared" si="24"/>
        <v>男</v>
      </c>
    </row>
    <row r="924" spans="1:5" ht="14.4" x14ac:dyDescent="0.25">
      <c r="A924" s="4">
        <v>922</v>
      </c>
      <c r="B924" s="2" t="str">
        <f>"3251202108122022559269"</f>
        <v>3251202108122022559269</v>
      </c>
      <c r="C924" s="2" t="s">
        <v>10</v>
      </c>
      <c r="D924" s="2" t="str">
        <f>"符志彬"</f>
        <v>符志彬</v>
      </c>
      <c r="E924" s="2" t="str">
        <f t="shared" si="24"/>
        <v>男</v>
      </c>
    </row>
    <row r="925" spans="1:5" ht="14.4" x14ac:dyDescent="0.25">
      <c r="A925" s="4">
        <v>923</v>
      </c>
      <c r="B925" s="2" t="str">
        <f>"3251202108122038279281"</f>
        <v>3251202108122038279281</v>
      </c>
      <c r="C925" s="2" t="s">
        <v>10</v>
      </c>
      <c r="D925" s="2" t="str">
        <f>"孙志绵"</f>
        <v>孙志绵</v>
      </c>
      <c r="E925" s="2" t="str">
        <f t="shared" si="24"/>
        <v>男</v>
      </c>
    </row>
    <row r="926" spans="1:5" ht="14.4" x14ac:dyDescent="0.25">
      <c r="A926" s="4">
        <v>924</v>
      </c>
      <c r="B926" s="2" t="str">
        <f>"3251202108122123519338"</f>
        <v>3251202108122123519338</v>
      </c>
      <c r="C926" s="2" t="s">
        <v>10</v>
      </c>
      <c r="D926" s="2" t="str">
        <f>"王无量"</f>
        <v>王无量</v>
      </c>
      <c r="E926" s="2" t="str">
        <f t="shared" si="24"/>
        <v>男</v>
      </c>
    </row>
    <row r="927" spans="1:5" ht="14.4" x14ac:dyDescent="0.25">
      <c r="A927" s="4">
        <v>925</v>
      </c>
      <c r="B927" s="2" t="str">
        <f>"3251202108130911489556"</f>
        <v>3251202108130911489556</v>
      </c>
      <c r="C927" s="2" t="s">
        <v>10</v>
      </c>
      <c r="D927" s="2" t="str">
        <f>"王艺桥"</f>
        <v>王艺桥</v>
      </c>
      <c r="E927" s="2" t="str">
        <f t="shared" si="24"/>
        <v>男</v>
      </c>
    </row>
    <row r="928" spans="1:5" ht="14.4" x14ac:dyDescent="0.25">
      <c r="A928" s="4">
        <v>926</v>
      </c>
      <c r="B928" s="2" t="str">
        <f>"32512021081412414410544"</f>
        <v>32512021081412414410544</v>
      </c>
      <c r="C928" s="2" t="s">
        <v>10</v>
      </c>
      <c r="D928" s="2" t="str">
        <f>"凌运宝"</f>
        <v>凌运宝</v>
      </c>
      <c r="E928" s="2" t="str">
        <f t="shared" si="24"/>
        <v>男</v>
      </c>
    </row>
    <row r="929" spans="1:5" ht="14.4" x14ac:dyDescent="0.25">
      <c r="A929" s="4">
        <v>927</v>
      </c>
      <c r="B929" s="2" t="str">
        <f>"32512021081509500610969"</f>
        <v>32512021081509500610969</v>
      </c>
      <c r="C929" s="2" t="s">
        <v>10</v>
      </c>
      <c r="D929" s="2" t="str">
        <f>"苏进司"</f>
        <v>苏进司</v>
      </c>
      <c r="E929" s="2" t="str">
        <f t="shared" si="24"/>
        <v>男</v>
      </c>
    </row>
    <row r="930" spans="1:5" ht="14.4" x14ac:dyDescent="0.25">
      <c r="A930" s="4">
        <v>928</v>
      </c>
      <c r="B930" s="2" t="str">
        <f>"32512021081512521211088"</f>
        <v>32512021081512521211088</v>
      </c>
      <c r="C930" s="2" t="s">
        <v>10</v>
      </c>
      <c r="D930" s="2" t="str">
        <f>"曾天浩"</f>
        <v>曾天浩</v>
      </c>
      <c r="E930" s="2" t="str">
        <f t="shared" si="24"/>
        <v>男</v>
      </c>
    </row>
    <row r="931" spans="1:5" ht="14.4" x14ac:dyDescent="0.25">
      <c r="A931" s="4">
        <v>929</v>
      </c>
      <c r="B931" s="2" t="str">
        <f>"32512021081613570912877"</f>
        <v>32512021081613570912877</v>
      </c>
      <c r="C931" s="2" t="s">
        <v>10</v>
      </c>
      <c r="D931" s="2" t="str">
        <f>"何壮瑞"</f>
        <v>何壮瑞</v>
      </c>
      <c r="E931" s="2" t="str">
        <f t="shared" si="24"/>
        <v>男</v>
      </c>
    </row>
    <row r="932" spans="1:5" ht="14.4" x14ac:dyDescent="0.25">
      <c r="A932" s="4">
        <v>930</v>
      </c>
      <c r="B932" s="2" t="str">
        <f>"32512021081616222413215"</f>
        <v>32512021081616222413215</v>
      </c>
      <c r="C932" s="2" t="s">
        <v>10</v>
      </c>
      <c r="D932" s="2" t="str">
        <f>"周克成"</f>
        <v>周克成</v>
      </c>
      <c r="E932" s="2" t="str">
        <f t="shared" si="24"/>
        <v>男</v>
      </c>
    </row>
    <row r="933" spans="1:5" ht="14.4" x14ac:dyDescent="0.25">
      <c r="A933" s="4">
        <v>931</v>
      </c>
      <c r="B933" s="2" t="str">
        <f>"3251202108100906553806"</f>
        <v>3251202108100906553806</v>
      </c>
      <c r="C933" s="2" t="s">
        <v>11</v>
      </c>
      <c r="D933" s="2" t="str">
        <f>"李恒宇"</f>
        <v>李恒宇</v>
      </c>
      <c r="E933" s="2" t="str">
        <f t="shared" si="24"/>
        <v>男</v>
      </c>
    </row>
    <row r="934" spans="1:5" ht="14.4" x14ac:dyDescent="0.25">
      <c r="A934" s="4">
        <v>932</v>
      </c>
      <c r="B934" s="2" t="str">
        <f>"3251202108100909543843"</f>
        <v>3251202108100909543843</v>
      </c>
      <c r="C934" s="2" t="s">
        <v>11</v>
      </c>
      <c r="D934" s="2" t="str">
        <f>"符永佳"</f>
        <v>符永佳</v>
      </c>
      <c r="E934" s="2" t="str">
        <f>"女"</f>
        <v>女</v>
      </c>
    </row>
    <row r="935" spans="1:5" ht="14.4" x14ac:dyDescent="0.25">
      <c r="A935" s="4">
        <v>933</v>
      </c>
      <c r="B935" s="2" t="str">
        <f>"3251202108100920103938"</f>
        <v>3251202108100920103938</v>
      </c>
      <c r="C935" s="2" t="s">
        <v>11</v>
      </c>
      <c r="D935" s="2" t="str">
        <f>"吴祝铭"</f>
        <v>吴祝铭</v>
      </c>
      <c r="E935" s="2" t="str">
        <f>"男"</f>
        <v>男</v>
      </c>
    </row>
    <row r="936" spans="1:5" ht="14.4" x14ac:dyDescent="0.25">
      <c r="A936" s="4">
        <v>934</v>
      </c>
      <c r="B936" s="2" t="str">
        <f>"3251202108100933524047"</f>
        <v>3251202108100933524047</v>
      </c>
      <c r="C936" s="2" t="s">
        <v>11</v>
      </c>
      <c r="D936" s="2" t="str">
        <f>"吴秀川"</f>
        <v>吴秀川</v>
      </c>
      <c r="E936" s="2" t="str">
        <f>"女"</f>
        <v>女</v>
      </c>
    </row>
    <row r="937" spans="1:5" ht="14.4" x14ac:dyDescent="0.25">
      <c r="A937" s="4">
        <v>935</v>
      </c>
      <c r="B937" s="2" t="str">
        <f>"3251202108101003254244"</f>
        <v>3251202108101003254244</v>
      </c>
      <c r="C937" s="2" t="s">
        <v>11</v>
      </c>
      <c r="D937" s="2" t="str">
        <f>"王树奇"</f>
        <v>王树奇</v>
      </c>
      <c r="E937" s="2" t="str">
        <f>"男"</f>
        <v>男</v>
      </c>
    </row>
    <row r="938" spans="1:5" ht="14.4" x14ac:dyDescent="0.25">
      <c r="A938" s="4">
        <v>936</v>
      </c>
      <c r="B938" s="2" t="str">
        <f>"3251202108101010224284"</f>
        <v>3251202108101010224284</v>
      </c>
      <c r="C938" s="2" t="s">
        <v>11</v>
      </c>
      <c r="D938" s="2" t="str">
        <f>"韩守润"</f>
        <v>韩守润</v>
      </c>
      <c r="E938" s="2" t="str">
        <f>"男"</f>
        <v>男</v>
      </c>
    </row>
    <row r="939" spans="1:5" ht="14.4" x14ac:dyDescent="0.25">
      <c r="A939" s="4">
        <v>937</v>
      </c>
      <c r="B939" s="2" t="str">
        <f>"3251202108101019184334"</f>
        <v>3251202108101019184334</v>
      </c>
      <c r="C939" s="2" t="s">
        <v>11</v>
      </c>
      <c r="D939" s="2" t="str">
        <f>"黄蕾"</f>
        <v>黄蕾</v>
      </c>
      <c r="E939" s="2" t="str">
        <f>"女"</f>
        <v>女</v>
      </c>
    </row>
    <row r="940" spans="1:5" ht="14.4" x14ac:dyDescent="0.25">
      <c r="A940" s="4">
        <v>938</v>
      </c>
      <c r="B940" s="2" t="str">
        <f>"3251202108101156204789"</f>
        <v>3251202108101156204789</v>
      </c>
      <c r="C940" s="2" t="s">
        <v>11</v>
      </c>
      <c r="D940" s="2" t="str">
        <f>"冯匡崎"</f>
        <v>冯匡崎</v>
      </c>
      <c r="E940" s="2" t="str">
        <f>"男"</f>
        <v>男</v>
      </c>
    </row>
    <row r="941" spans="1:5" ht="14.4" x14ac:dyDescent="0.25">
      <c r="A941" s="4">
        <v>939</v>
      </c>
      <c r="B941" s="2" t="str">
        <f>"3251202108101202364816"</f>
        <v>3251202108101202364816</v>
      </c>
      <c r="C941" s="2" t="s">
        <v>11</v>
      </c>
      <c r="D941" s="2" t="str">
        <f>"王丽花"</f>
        <v>王丽花</v>
      </c>
      <c r="E941" s="2" t="str">
        <f>"女"</f>
        <v>女</v>
      </c>
    </row>
    <row r="942" spans="1:5" ht="14.4" x14ac:dyDescent="0.25">
      <c r="A942" s="4">
        <v>940</v>
      </c>
      <c r="B942" s="2" t="str">
        <f>"3251202108101518265369"</f>
        <v>3251202108101518265369</v>
      </c>
      <c r="C942" s="2" t="s">
        <v>11</v>
      </c>
      <c r="D942" s="2" t="str">
        <f>"李颖"</f>
        <v>李颖</v>
      </c>
      <c r="E942" s="2" t="str">
        <f>"女"</f>
        <v>女</v>
      </c>
    </row>
    <row r="943" spans="1:5" ht="14.4" x14ac:dyDescent="0.25">
      <c r="A943" s="4">
        <v>941</v>
      </c>
      <c r="B943" s="2" t="str">
        <f>"3251202108101529055401"</f>
        <v>3251202108101529055401</v>
      </c>
      <c r="C943" s="2" t="s">
        <v>11</v>
      </c>
      <c r="D943" s="2" t="str">
        <f>"陈美琼"</f>
        <v>陈美琼</v>
      </c>
      <c r="E943" s="2" t="str">
        <f>"女"</f>
        <v>女</v>
      </c>
    </row>
    <row r="944" spans="1:5" ht="14.4" x14ac:dyDescent="0.25">
      <c r="A944" s="4">
        <v>942</v>
      </c>
      <c r="B944" s="2" t="str">
        <f>"3251202108101532495412"</f>
        <v>3251202108101532495412</v>
      </c>
      <c r="C944" s="2" t="s">
        <v>11</v>
      </c>
      <c r="D944" s="2" t="str">
        <f>"林海弟"</f>
        <v>林海弟</v>
      </c>
      <c r="E944" s="2" t="str">
        <f>"男"</f>
        <v>男</v>
      </c>
    </row>
    <row r="945" spans="1:5" ht="14.4" x14ac:dyDescent="0.25">
      <c r="A945" s="4">
        <v>943</v>
      </c>
      <c r="B945" s="2" t="str">
        <f>"3251202108101534125418"</f>
        <v>3251202108101534125418</v>
      </c>
      <c r="C945" s="2" t="s">
        <v>11</v>
      </c>
      <c r="D945" s="2" t="str">
        <f>"张薰匀"</f>
        <v>张薰匀</v>
      </c>
      <c r="E945" s="2" t="str">
        <f>"女"</f>
        <v>女</v>
      </c>
    </row>
    <row r="946" spans="1:5" ht="14.4" x14ac:dyDescent="0.25">
      <c r="A946" s="4">
        <v>944</v>
      </c>
      <c r="B946" s="2" t="str">
        <f>"3251202108101700265730"</f>
        <v>3251202108101700265730</v>
      </c>
      <c r="C946" s="2" t="s">
        <v>11</v>
      </c>
      <c r="D946" s="2" t="str">
        <f>"杨小婵"</f>
        <v>杨小婵</v>
      </c>
      <c r="E946" s="2" t="str">
        <f>"女"</f>
        <v>女</v>
      </c>
    </row>
    <row r="947" spans="1:5" ht="14.4" x14ac:dyDescent="0.25">
      <c r="A947" s="4">
        <v>945</v>
      </c>
      <c r="B947" s="2" t="str">
        <f>"3251202108101735045846"</f>
        <v>3251202108101735045846</v>
      </c>
      <c r="C947" s="2" t="s">
        <v>11</v>
      </c>
      <c r="D947" s="2" t="str">
        <f>"文丽蔚"</f>
        <v>文丽蔚</v>
      </c>
      <c r="E947" s="2" t="str">
        <f>"女"</f>
        <v>女</v>
      </c>
    </row>
    <row r="948" spans="1:5" ht="14.4" x14ac:dyDescent="0.25">
      <c r="A948" s="4">
        <v>946</v>
      </c>
      <c r="B948" s="2" t="str">
        <f>"3251202108101745255880"</f>
        <v>3251202108101745255880</v>
      </c>
      <c r="C948" s="2" t="s">
        <v>11</v>
      </c>
      <c r="D948" s="2" t="str">
        <f>"林传琨"</f>
        <v>林传琨</v>
      </c>
      <c r="E948" s="2" t="str">
        <f>"男"</f>
        <v>男</v>
      </c>
    </row>
    <row r="949" spans="1:5" ht="14.4" x14ac:dyDescent="0.25">
      <c r="A949" s="4">
        <v>947</v>
      </c>
      <c r="B949" s="2" t="str">
        <f>"3251202108101844216000"</f>
        <v>3251202108101844216000</v>
      </c>
      <c r="C949" s="2" t="s">
        <v>11</v>
      </c>
      <c r="D949" s="2" t="str">
        <f>"李丽霞"</f>
        <v>李丽霞</v>
      </c>
      <c r="E949" s="2" t="str">
        <f>"女"</f>
        <v>女</v>
      </c>
    </row>
    <row r="950" spans="1:5" ht="14.4" x14ac:dyDescent="0.25">
      <c r="A950" s="4">
        <v>948</v>
      </c>
      <c r="B950" s="2" t="str">
        <f>"3251202108101855086027"</f>
        <v>3251202108101855086027</v>
      </c>
      <c r="C950" s="2" t="s">
        <v>11</v>
      </c>
      <c r="D950" s="2" t="str">
        <f>"李云蔚"</f>
        <v>李云蔚</v>
      </c>
      <c r="E950" s="2" t="str">
        <f>"女"</f>
        <v>女</v>
      </c>
    </row>
    <row r="951" spans="1:5" ht="14.4" x14ac:dyDescent="0.25">
      <c r="A951" s="4">
        <v>949</v>
      </c>
      <c r="B951" s="2" t="str">
        <f>"3251202108101910126058"</f>
        <v>3251202108101910126058</v>
      </c>
      <c r="C951" s="2" t="s">
        <v>11</v>
      </c>
      <c r="D951" s="2" t="str">
        <f>"王娟"</f>
        <v>王娟</v>
      </c>
      <c r="E951" s="2" t="str">
        <f>"女"</f>
        <v>女</v>
      </c>
    </row>
    <row r="952" spans="1:5" ht="14.4" x14ac:dyDescent="0.25">
      <c r="A952" s="4">
        <v>950</v>
      </c>
      <c r="B952" s="2" t="str">
        <f>"3251202108101946096133"</f>
        <v>3251202108101946096133</v>
      </c>
      <c r="C952" s="2" t="s">
        <v>11</v>
      </c>
      <c r="D952" s="2" t="str">
        <f>"杨钰玲"</f>
        <v>杨钰玲</v>
      </c>
      <c r="E952" s="2" t="str">
        <f>"女"</f>
        <v>女</v>
      </c>
    </row>
    <row r="953" spans="1:5" ht="14.4" x14ac:dyDescent="0.25">
      <c r="A953" s="4">
        <v>951</v>
      </c>
      <c r="B953" s="2" t="str">
        <f>"3251202108102016286198"</f>
        <v>3251202108102016286198</v>
      </c>
      <c r="C953" s="2" t="s">
        <v>11</v>
      </c>
      <c r="D953" s="2" t="str">
        <f>"苏应杰"</f>
        <v>苏应杰</v>
      </c>
      <c r="E953" s="2" t="str">
        <f>"男"</f>
        <v>男</v>
      </c>
    </row>
    <row r="954" spans="1:5" ht="14.4" x14ac:dyDescent="0.25">
      <c r="A954" s="4">
        <v>952</v>
      </c>
      <c r="B954" s="2" t="str">
        <f>"3251202108102239306449"</f>
        <v>3251202108102239306449</v>
      </c>
      <c r="C954" s="2" t="s">
        <v>11</v>
      </c>
      <c r="D954" s="2" t="str">
        <f>"陈冰"</f>
        <v>陈冰</v>
      </c>
      <c r="E954" s="2" t="str">
        <f>"女"</f>
        <v>女</v>
      </c>
    </row>
    <row r="955" spans="1:5" ht="14.4" x14ac:dyDescent="0.25">
      <c r="A955" s="4">
        <v>953</v>
      </c>
      <c r="B955" s="2" t="str">
        <f>"3251202108102251376473"</f>
        <v>3251202108102251376473</v>
      </c>
      <c r="C955" s="2" t="s">
        <v>11</v>
      </c>
      <c r="D955" s="2" t="str">
        <f>"孙学新"</f>
        <v>孙学新</v>
      </c>
      <c r="E955" s="2" t="str">
        <f>"男"</f>
        <v>男</v>
      </c>
    </row>
    <row r="956" spans="1:5" ht="14.4" x14ac:dyDescent="0.25">
      <c r="A956" s="4">
        <v>954</v>
      </c>
      <c r="B956" s="2" t="str">
        <f>"3251202108102359246529"</f>
        <v>3251202108102359246529</v>
      </c>
      <c r="C956" s="2" t="s">
        <v>11</v>
      </c>
      <c r="D956" s="2" t="str">
        <f>"林珍"</f>
        <v>林珍</v>
      </c>
      <c r="E956" s="2" t="str">
        <f>"女"</f>
        <v>女</v>
      </c>
    </row>
    <row r="957" spans="1:5" ht="14.4" x14ac:dyDescent="0.25">
      <c r="A957" s="4">
        <v>955</v>
      </c>
      <c r="B957" s="2" t="str">
        <f>"3251202108110706396562"</f>
        <v>3251202108110706396562</v>
      </c>
      <c r="C957" s="2" t="s">
        <v>11</v>
      </c>
      <c r="D957" s="2" t="str">
        <f>"陈大卫"</f>
        <v>陈大卫</v>
      </c>
      <c r="E957" s="2" t="str">
        <f>"男"</f>
        <v>男</v>
      </c>
    </row>
    <row r="958" spans="1:5" ht="14.4" x14ac:dyDescent="0.25">
      <c r="A958" s="4">
        <v>956</v>
      </c>
      <c r="B958" s="2" t="str">
        <f>"3251202108110930536753"</f>
        <v>3251202108110930536753</v>
      </c>
      <c r="C958" s="2" t="s">
        <v>11</v>
      </c>
      <c r="D958" s="2" t="str">
        <f>"莫家阳"</f>
        <v>莫家阳</v>
      </c>
      <c r="E958" s="2" t="str">
        <f>"男"</f>
        <v>男</v>
      </c>
    </row>
    <row r="959" spans="1:5" ht="14.4" x14ac:dyDescent="0.25">
      <c r="A959" s="4">
        <v>957</v>
      </c>
      <c r="B959" s="2" t="str">
        <f>"3251202108110931576758"</f>
        <v>3251202108110931576758</v>
      </c>
      <c r="C959" s="2" t="s">
        <v>11</v>
      </c>
      <c r="D959" s="2" t="str">
        <f>"陈小琴"</f>
        <v>陈小琴</v>
      </c>
      <c r="E959" s="2" t="str">
        <f>"女"</f>
        <v>女</v>
      </c>
    </row>
    <row r="960" spans="1:5" ht="14.4" x14ac:dyDescent="0.25">
      <c r="A960" s="4">
        <v>958</v>
      </c>
      <c r="B960" s="2" t="str">
        <f>"3251202108111001216846"</f>
        <v>3251202108111001216846</v>
      </c>
      <c r="C960" s="2" t="s">
        <v>11</v>
      </c>
      <c r="D960" s="2" t="str">
        <f>"吉慧颖"</f>
        <v>吉慧颖</v>
      </c>
      <c r="E960" s="2" t="str">
        <f>"女"</f>
        <v>女</v>
      </c>
    </row>
    <row r="961" spans="1:5" ht="14.4" x14ac:dyDescent="0.25">
      <c r="A961" s="4">
        <v>959</v>
      </c>
      <c r="B961" s="2" t="str">
        <f>"3251202108111058016984"</f>
        <v>3251202108111058016984</v>
      </c>
      <c r="C961" s="2" t="s">
        <v>11</v>
      </c>
      <c r="D961" s="2" t="str">
        <f>"连小婕"</f>
        <v>连小婕</v>
      </c>
      <c r="E961" s="2" t="str">
        <f>"女"</f>
        <v>女</v>
      </c>
    </row>
    <row r="962" spans="1:5" ht="14.4" x14ac:dyDescent="0.25">
      <c r="A962" s="4">
        <v>960</v>
      </c>
      <c r="B962" s="2" t="str">
        <f>"3251202108111114477030"</f>
        <v>3251202108111114477030</v>
      </c>
      <c r="C962" s="2" t="s">
        <v>11</v>
      </c>
      <c r="D962" s="2" t="str">
        <f>"曾文园"</f>
        <v>曾文园</v>
      </c>
      <c r="E962" s="2" t="str">
        <f>"女"</f>
        <v>女</v>
      </c>
    </row>
    <row r="963" spans="1:5" ht="14.4" x14ac:dyDescent="0.25">
      <c r="A963" s="4">
        <v>961</v>
      </c>
      <c r="B963" s="2" t="str">
        <f>"3251202108111114547032"</f>
        <v>3251202108111114547032</v>
      </c>
      <c r="C963" s="2" t="s">
        <v>11</v>
      </c>
      <c r="D963" s="2" t="str">
        <f>"王森"</f>
        <v>王森</v>
      </c>
      <c r="E963" s="2" t="str">
        <f>"男"</f>
        <v>男</v>
      </c>
    </row>
    <row r="964" spans="1:5" ht="14.4" x14ac:dyDescent="0.25">
      <c r="A964" s="4">
        <v>962</v>
      </c>
      <c r="B964" s="2" t="str">
        <f>"3251202108111146547110"</f>
        <v>3251202108111146547110</v>
      </c>
      <c r="C964" s="2" t="s">
        <v>11</v>
      </c>
      <c r="D964" s="2" t="str">
        <f>"仝帅玲"</f>
        <v>仝帅玲</v>
      </c>
      <c r="E964" s="2" t="str">
        <f>"女"</f>
        <v>女</v>
      </c>
    </row>
    <row r="965" spans="1:5" ht="14.4" x14ac:dyDescent="0.25">
      <c r="A965" s="4">
        <v>963</v>
      </c>
      <c r="B965" s="2" t="str">
        <f>"3251202108111454057340"</f>
        <v>3251202108111454057340</v>
      </c>
      <c r="C965" s="2" t="s">
        <v>11</v>
      </c>
      <c r="D965" s="2" t="str">
        <f>"赵文立"</f>
        <v>赵文立</v>
      </c>
      <c r="E965" s="2" t="str">
        <f>"男"</f>
        <v>男</v>
      </c>
    </row>
    <row r="966" spans="1:5" ht="14.4" x14ac:dyDescent="0.25">
      <c r="A966" s="4">
        <v>964</v>
      </c>
      <c r="B966" s="2" t="str">
        <f>"3251202108111506257371"</f>
        <v>3251202108111506257371</v>
      </c>
      <c r="C966" s="2" t="s">
        <v>11</v>
      </c>
      <c r="D966" s="2" t="str">
        <f>"陈飞臻"</f>
        <v>陈飞臻</v>
      </c>
      <c r="E966" s="2" t="str">
        <f>"女"</f>
        <v>女</v>
      </c>
    </row>
    <row r="967" spans="1:5" ht="14.4" x14ac:dyDescent="0.25">
      <c r="A967" s="4">
        <v>965</v>
      </c>
      <c r="B967" s="2" t="str">
        <f>"3251202108111528197420"</f>
        <v>3251202108111528197420</v>
      </c>
      <c r="C967" s="2" t="s">
        <v>11</v>
      </c>
      <c r="D967" s="2" t="str">
        <f>"杜林青"</f>
        <v>杜林青</v>
      </c>
      <c r="E967" s="2" t="str">
        <f>"女"</f>
        <v>女</v>
      </c>
    </row>
    <row r="968" spans="1:5" ht="14.4" x14ac:dyDescent="0.25">
      <c r="A968" s="4">
        <v>966</v>
      </c>
      <c r="B968" s="2" t="str">
        <f>"3251202108111541317455"</f>
        <v>3251202108111541317455</v>
      </c>
      <c r="C968" s="2" t="s">
        <v>11</v>
      </c>
      <c r="D968" s="2" t="str">
        <f>"周婕"</f>
        <v>周婕</v>
      </c>
      <c r="E968" s="2" t="str">
        <f>"女"</f>
        <v>女</v>
      </c>
    </row>
    <row r="969" spans="1:5" ht="14.4" x14ac:dyDescent="0.25">
      <c r="A969" s="4">
        <v>967</v>
      </c>
      <c r="B969" s="2" t="str">
        <f>"3251202108111604517499"</f>
        <v>3251202108111604517499</v>
      </c>
      <c r="C969" s="2" t="s">
        <v>11</v>
      </c>
      <c r="D969" s="2" t="str">
        <f>"李芳湟"</f>
        <v>李芳湟</v>
      </c>
      <c r="E969" s="2" t="str">
        <f>"男"</f>
        <v>男</v>
      </c>
    </row>
    <row r="970" spans="1:5" ht="14.4" x14ac:dyDescent="0.25">
      <c r="A970" s="4">
        <v>968</v>
      </c>
      <c r="B970" s="2" t="str">
        <f>"3251202108111735237644"</f>
        <v>3251202108111735237644</v>
      </c>
      <c r="C970" s="2" t="s">
        <v>11</v>
      </c>
      <c r="D970" s="2" t="str">
        <f>"丁紫欣"</f>
        <v>丁紫欣</v>
      </c>
      <c r="E970" s="2" t="str">
        <f>"女"</f>
        <v>女</v>
      </c>
    </row>
    <row r="971" spans="1:5" ht="14.4" x14ac:dyDescent="0.25">
      <c r="A971" s="4">
        <v>969</v>
      </c>
      <c r="B971" s="2" t="str">
        <f>"3251202108111842347753"</f>
        <v>3251202108111842347753</v>
      </c>
      <c r="C971" s="2" t="s">
        <v>11</v>
      </c>
      <c r="D971" s="2" t="str">
        <f>"陈承吉"</f>
        <v>陈承吉</v>
      </c>
      <c r="E971" s="2" t="str">
        <f>"男"</f>
        <v>男</v>
      </c>
    </row>
    <row r="972" spans="1:5" ht="14.4" x14ac:dyDescent="0.25">
      <c r="A972" s="4">
        <v>970</v>
      </c>
      <c r="B972" s="2" t="str">
        <f>"3251202108111915337782"</f>
        <v>3251202108111915337782</v>
      </c>
      <c r="C972" s="2" t="s">
        <v>11</v>
      </c>
      <c r="D972" s="2" t="str">
        <f>"符加方"</f>
        <v>符加方</v>
      </c>
      <c r="E972" s="2" t="str">
        <f>"男"</f>
        <v>男</v>
      </c>
    </row>
    <row r="973" spans="1:5" ht="14.4" x14ac:dyDescent="0.25">
      <c r="A973" s="4">
        <v>971</v>
      </c>
      <c r="B973" s="2" t="str">
        <f>"3251202108112043427900"</f>
        <v>3251202108112043427900</v>
      </c>
      <c r="C973" s="2" t="s">
        <v>11</v>
      </c>
      <c r="D973" s="2" t="str">
        <f>"石淑芬"</f>
        <v>石淑芬</v>
      </c>
      <c r="E973" s="2" t="str">
        <f>"女"</f>
        <v>女</v>
      </c>
    </row>
    <row r="974" spans="1:5" ht="14.4" x14ac:dyDescent="0.25">
      <c r="A974" s="4">
        <v>972</v>
      </c>
      <c r="B974" s="2" t="str">
        <f>"3251202108112059437928"</f>
        <v>3251202108112059437928</v>
      </c>
      <c r="C974" s="2" t="s">
        <v>11</v>
      </c>
      <c r="D974" s="2" t="str">
        <f>"陈丽艳"</f>
        <v>陈丽艳</v>
      </c>
      <c r="E974" s="2" t="str">
        <f>"女"</f>
        <v>女</v>
      </c>
    </row>
    <row r="975" spans="1:5" ht="14.4" x14ac:dyDescent="0.25">
      <c r="A975" s="4">
        <v>973</v>
      </c>
      <c r="B975" s="2" t="str">
        <f>"3251202108112110557949"</f>
        <v>3251202108112110557949</v>
      </c>
      <c r="C975" s="2" t="s">
        <v>11</v>
      </c>
      <c r="D975" s="2" t="str">
        <f>"朱云霞"</f>
        <v>朱云霞</v>
      </c>
      <c r="E975" s="2" t="str">
        <f>"女"</f>
        <v>女</v>
      </c>
    </row>
    <row r="976" spans="1:5" ht="14.4" x14ac:dyDescent="0.25">
      <c r="A976" s="4">
        <v>974</v>
      </c>
      <c r="B976" s="2" t="str">
        <f>"3251202108112145208007"</f>
        <v>3251202108112145208007</v>
      </c>
      <c r="C976" s="2" t="s">
        <v>11</v>
      </c>
      <c r="D976" s="2" t="str">
        <f>"符馨尹"</f>
        <v>符馨尹</v>
      </c>
      <c r="E976" s="2" t="str">
        <f>"女"</f>
        <v>女</v>
      </c>
    </row>
    <row r="977" spans="1:5" ht="14.4" x14ac:dyDescent="0.25">
      <c r="A977" s="4">
        <v>975</v>
      </c>
      <c r="B977" s="2" t="str">
        <f>"3251202108112247218097"</f>
        <v>3251202108112247218097</v>
      </c>
      <c r="C977" s="2" t="s">
        <v>11</v>
      </c>
      <c r="D977" s="2" t="str">
        <f>"符玉萍"</f>
        <v>符玉萍</v>
      </c>
      <c r="E977" s="2" t="str">
        <f>"女"</f>
        <v>女</v>
      </c>
    </row>
    <row r="978" spans="1:5" ht="14.4" x14ac:dyDescent="0.25">
      <c r="A978" s="4">
        <v>976</v>
      </c>
      <c r="B978" s="2" t="str">
        <f>"3251202108120932258337"</f>
        <v>3251202108120932258337</v>
      </c>
      <c r="C978" s="2" t="s">
        <v>11</v>
      </c>
      <c r="D978" s="2" t="str">
        <f>"刘云涛"</f>
        <v>刘云涛</v>
      </c>
      <c r="E978" s="2" t="str">
        <f>"男"</f>
        <v>男</v>
      </c>
    </row>
    <row r="979" spans="1:5" ht="14.4" x14ac:dyDescent="0.25">
      <c r="A979" s="4">
        <v>977</v>
      </c>
      <c r="B979" s="2" t="str">
        <f>"3251202108120943038371"</f>
        <v>3251202108120943038371</v>
      </c>
      <c r="C979" s="2" t="s">
        <v>11</v>
      </c>
      <c r="D979" s="2" t="str">
        <f>"卢丹"</f>
        <v>卢丹</v>
      </c>
      <c r="E979" s="2" t="str">
        <f>"女"</f>
        <v>女</v>
      </c>
    </row>
    <row r="980" spans="1:5" ht="14.4" x14ac:dyDescent="0.25">
      <c r="A980" s="4">
        <v>978</v>
      </c>
      <c r="B980" s="2" t="str">
        <f>"3251202108121022588453"</f>
        <v>3251202108121022588453</v>
      </c>
      <c r="C980" s="2" t="s">
        <v>11</v>
      </c>
      <c r="D980" s="2" t="str">
        <f>"吴争胜"</f>
        <v>吴争胜</v>
      </c>
      <c r="E980" s="2" t="str">
        <f>"男"</f>
        <v>男</v>
      </c>
    </row>
    <row r="981" spans="1:5" ht="14.4" x14ac:dyDescent="0.25">
      <c r="A981" s="4">
        <v>979</v>
      </c>
      <c r="B981" s="2" t="str">
        <f>"3251202108121034048477"</f>
        <v>3251202108121034048477</v>
      </c>
      <c r="C981" s="2" t="s">
        <v>11</v>
      </c>
      <c r="D981" s="2" t="str">
        <f>"潘优迪"</f>
        <v>潘优迪</v>
      </c>
      <c r="E981" s="2" t="str">
        <f>"女"</f>
        <v>女</v>
      </c>
    </row>
    <row r="982" spans="1:5" ht="14.4" x14ac:dyDescent="0.25">
      <c r="A982" s="4">
        <v>980</v>
      </c>
      <c r="B982" s="2" t="str">
        <f>"3251202108121109148548"</f>
        <v>3251202108121109148548</v>
      </c>
      <c r="C982" s="2" t="s">
        <v>11</v>
      </c>
      <c r="D982" s="2" t="str">
        <f>"王杰"</f>
        <v>王杰</v>
      </c>
      <c r="E982" s="2" t="str">
        <f>"男"</f>
        <v>男</v>
      </c>
    </row>
    <row r="983" spans="1:5" ht="14.4" x14ac:dyDescent="0.25">
      <c r="A983" s="4">
        <v>981</v>
      </c>
      <c r="B983" s="2" t="str">
        <f>"3251202108121422488786"</f>
        <v>3251202108121422488786</v>
      </c>
      <c r="C983" s="2" t="s">
        <v>11</v>
      </c>
      <c r="D983" s="2" t="str">
        <f>"叶造艳"</f>
        <v>叶造艳</v>
      </c>
      <c r="E983" s="2" t="str">
        <f>"女"</f>
        <v>女</v>
      </c>
    </row>
    <row r="984" spans="1:5" ht="14.4" x14ac:dyDescent="0.25">
      <c r="A984" s="4">
        <v>982</v>
      </c>
      <c r="B984" s="2" t="str">
        <f>"3251202108121522138893"</f>
        <v>3251202108121522138893</v>
      </c>
      <c r="C984" s="2" t="s">
        <v>11</v>
      </c>
      <c r="D984" s="2" t="str">
        <f>"曾巧凌"</f>
        <v>曾巧凌</v>
      </c>
      <c r="E984" s="2" t="str">
        <f>"女"</f>
        <v>女</v>
      </c>
    </row>
    <row r="985" spans="1:5" ht="14.4" x14ac:dyDescent="0.25">
      <c r="A985" s="4">
        <v>983</v>
      </c>
      <c r="B985" s="2" t="str">
        <f>"3251202108121609038987"</f>
        <v>3251202108121609038987</v>
      </c>
      <c r="C985" s="2" t="s">
        <v>11</v>
      </c>
      <c r="D985" s="2" t="str">
        <f>"王菁雯"</f>
        <v>王菁雯</v>
      </c>
      <c r="E985" s="2" t="str">
        <f>"女"</f>
        <v>女</v>
      </c>
    </row>
    <row r="986" spans="1:5" ht="14.4" x14ac:dyDescent="0.25">
      <c r="A986" s="4">
        <v>984</v>
      </c>
      <c r="B986" s="2" t="str">
        <f>"3251202108121836069179"</f>
        <v>3251202108121836069179</v>
      </c>
      <c r="C986" s="2" t="s">
        <v>11</v>
      </c>
      <c r="D986" s="2" t="str">
        <f>"苏洁"</f>
        <v>苏洁</v>
      </c>
      <c r="E986" s="2" t="str">
        <f>"女"</f>
        <v>女</v>
      </c>
    </row>
    <row r="987" spans="1:5" ht="14.4" x14ac:dyDescent="0.25">
      <c r="A987" s="4">
        <v>985</v>
      </c>
      <c r="B987" s="2" t="str">
        <f>"3251202108130016259469"</f>
        <v>3251202108130016259469</v>
      </c>
      <c r="C987" s="2" t="s">
        <v>11</v>
      </c>
      <c r="D987" s="2" t="str">
        <f>"秦海莹"</f>
        <v>秦海莹</v>
      </c>
      <c r="E987" s="2" t="str">
        <f>"女"</f>
        <v>女</v>
      </c>
    </row>
    <row r="988" spans="1:5" ht="14.4" x14ac:dyDescent="0.25">
      <c r="A988" s="4">
        <v>986</v>
      </c>
      <c r="B988" s="2" t="str">
        <f>"3251202108130212149479"</f>
        <v>3251202108130212149479</v>
      </c>
      <c r="C988" s="2" t="s">
        <v>11</v>
      </c>
      <c r="D988" s="2" t="str">
        <f>"王秀国"</f>
        <v>王秀国</v>
      </c>
      <c r="E988" s="2" t="str">
        <f>"男"</f>
        <v>男</v>
      </c>
    </row>
    <row r="989" spans="1:5" ht="14.4" x14ac:dyDescent="0.25">
      <c r="A989" s="4">
        <v>987</v>
      </c>
      <c r="B989" s="2" t="str">
        <f>"3251202108131016109637"</f>
        <v>3251202108131016109637</v>
      </c>
      <c r="C989" s="2" t="s">
        <v>11</v>
      </c>
      <c r="D989" s="2" t="str">
        <f>"许慧"</f>
        <v>许慧</v>
      </c>
      <c r="E989" s="2" t="str">
        <f>"女"</f>
        <v>女</v>
      </c>
    </row>
    <row r="990" spans="1:5" ht="14.4" x14ac:dyDescent="0.25">
      <c r="A990" s="4">
        <v>988</v>
      </c>
      <c r="B990" s="2" t="str">
        <f>"3251202108131045099683"</f>
        <v>3251202108131045099683</v>
      </c>
      <c r="C990" s="2" t="s">
        <v>11</v>
      </c>
      <c r="D990" s="2" t="str">
        <f>"周翔"</f>
        <v>周翔</v>
      </c>
      <c r="E990" s="2" t="str">
        <f>"女"</f>
        <v>女</v>
      </c>
    </row>
    <row r="991" spans="1:5" ht="14.4" x14ac:dyDescent="0.25">
      <c r="A991" s="4">
        <v>989</v>
      </c>
      <c r="B991" s="2" t="str">
        <f>"3251202108131058569704"</f>
        <v>3251202108131058569704</v>
      </c>
      <c r="C991" s="2" t="s">
        <v>11</v>
      </c>
      <c r="D991" s="2" t="str">
        <f>"石正儒"</f>
        <v>石正儒</v>
      </c>
      <c r="E991" s="2" t="str">
        <f>"男"</f>
        <v>男</v>
      </c>
    </row>
    <row r="992" spans="1:5" ht="14.4" x14ac:dyDescent="0.25">
      <c r="A992" s="4">
        <v>990</v>
      </c>
      <c r="B992" s="2" t="str">
        <f>"3251202108131204429787"</f>
        <v>3251202108131204429787</v>
      </c>
      <c r="C992" s="2" t="s">
        <v>11</v>
      </c>
      <c r="D992" s="2" t="str">
        <f>"陈子女"</f>
        <v>陈子女</v>
      </c>
      <c r="E992" s="2" t="str">
        <f t="shared" ref="E992:E997" si="25">"女"</f>
        <v>女</v>
      </c>
    </row>
    <row r="993" spans="1:5" ht="14.4" x14ac:dyDescent="0.25">
      <c r="A993" s="4">
        <v>991</v>
      </c>
      <c r="B993" s="2" t="str">
        <f>"3251202108131230069801"</f>
        <v>3251202108131230069801</v>
      </c>
      <c r="C993" s="2" t="s">
        <v>11</v>
      </c>
      <c r="D993" s="2" t="str">
        <f>"王井爱"</f>
        <v>王井爱</v>
      </c>
      <c r="E993" s="2" t="str">
        <f t="shared" si="25"/>
        <v>女</v>
      </c>
    </row>
    <row r="994" spans="1:5" ht="14.4" x14ac:dyDescent="0.25">
      <c r="A994" s="4">
        <v>992</v>
      </c>
      <c r="B994" s="2" t="str">
        <f>"3251202108131244169813"</f>
        <v>3251202108131244169813</v>
      </c>
      <c r="C994" s="2" t="s">
        <v>11</v>
      </c>
      <c r="D994" s="2" t="str">
        <f>"李梦怡"</f>
        <v>李梦怡</v>
      </c>
      <c r="E994" s="2" t="str">
        <f t="shared" si="25"/>
        <v>女</v>
      </c>
    </row>
    <row r="995" spans="1:5" ht="14.4" x14ac:dyDescent="0.25">
      <c r="A995" s="4">
        <v>993</v>
      </c>
      <c r="B995" s="2" t="str">
        <f>"32512021081316285110034"</f>
        <v>32512021081316285110034</v>
      </c>
      <c r="C995" s="2" t="s">
        <v>11</v>
      </c>
      <c r="D995" s="2" t="str">
        <f>"张小盼"</f>
        <v>张小盼</v>
      </c>
      <c r="E995" s="2" t="str">
        <f t="shared" si="25"/>
        <v>女</v>
      </c>
    </row>
    <row r="996" spans="1:5" ht="14.4" x14ac:dyDescent="0.25">
      <c r="A996" s="4">
        <v>994</v>
      </c>
      <c r="B996" s="2" t="str">
        <f>"32512021081409593310429"</f>
        <v>32512021081409593310429</v>
      </c>
      <c r="C996" s="2" t="s">
        <v>11</v>
      </c>
      <c r="D996" s="2" t="str">
        <f>"蔡雪薇"</f>
        <v>蔡雪薇</v>
      </c>
      <c r="E996" s="2" t="str">
        <f t="shared" si="25"/>
        <v>女</v>
      </c>
    </row>
    <row r="997" spans="1:5" ht="14.4" x14ac:dyDescent="0.25">
      <c r="A997" s="4">
        <v>995</v>
      </c>
      <c r="B997" s="2" t="str">
        <f>"32512021081420493310830"</f>
        <v>32512021081420493310830</v>
      </c>
      <c r="C997" s="2" t="s">
        <v>11</v>
      </c>
      <c r="D997" s="2" t="str">
        <f>"陆雪梅"</f>
        <v>陆雪梅</v>
      </c>
      <c r="E997" s="2" t="str">
        <f t="shared" si="25"/>
        <v>女</v>
      </c>
    </row>
    <row r="998" spans="1:5" ht="14.4" x14ac:dyDescent="0.25">
      <c r="A998" s="4">
        <v>996</v>
      </c>
      <c r="B998" s="2" t="str">
        <f>"32512021081513504211127"</f>
        <v>32512021081513504211127</v>
      </c>
      <c r="C998" s="2" t="s">
        <v>11</v>
      </c>
      <c r="D998" s="2" t="str">
        <f>"陈成"</f>
        <v>陈成</v>
      </c>
      <c r="E998" s="2" t="str">
        <f>"男"</f>
        <v>男</v>
      </c>
    </row>
    <row r="999" spans="1:5" ht="14.4" x14ac:dyDescent="0.25">
      <c r="A999" s="4">
        <v>997</v>
      </c>
      <c r="B999" s="2" t="str">
        <f>"32512021081514024311139"</f>
        <v>32512021081514024311139</v>
      </c>
      <c r="C999" s="2" t="s">
        <v>11</v>
      </c>
      <c r="D999" s="2" t="str">
        <f>"杨小丹"</f>
        <v>杨小丹</v>
      </c>
      <c r="E999" s="2" t="str">
        <f>"女"</f>
        <v>女</v>
      </c>
    </row>
    <row r="1000" spans="1:5" ht="14.4" x14ac:dyDescent="0.25">
      <c r="A1000" s="4">
        <v>998</v>
      </c>
      <c r="B1000" s="2" t="str">
        <f>"32512021081516261611246"</f>
        <v>32512021081516261611246</v>
      </c>
      <c r="C1000" s="2" t="s">
        <v>11</v>
      </c>
      <c r="D1000" s="2" t="str">
        <f>"邱功川"</f>
        <v>邱功川</v>
      </c>
      <c r="E1000" s="2" t="str">
        <f>"男"</f>
        <v>男</v>
      </c>
    </row>
    <row r="1001" spans="1:5" ht="14.4" x14ac:dyDescent="0.25">
      <c r="A1001" s="4">
        <v>999</v>
      </c>
      <c r="B1001" s="2" t="str">
        <f>"32512021081519480711407"</f>
        <v>32512021081519480711407</v>
      </c>
      <c r="C1001" s="2" t="s">
        <v>11</v>
      </c>
      <c r="D1001" s="2" t="str">
        <f>"韩佳莉"</f>
        <v>韩佳莉</v>
      </c>
      <c r="E1001" s="2" t="str">
        <f>"女"</f>
        <v>女</v>
      </c>
    </row>
    <row r="1002" spans="1:5" ht="14.4" x14ac:dyDescent="0.25">
      <c r="A1002" s="4">
        <v>1000</v>
      </c>
      <c r="B1002" s="2" t="str">
        <f>"32512021081609013711822"</f>
        <v>32512021081609013711822</v>
      </c>
      <c r="C1002" s="2" t="s">
        <v>11</v>
      </c>
      <c r="D1002" s="2" t="str">
        <f>"胡江文"</f>
        <v>胡江文</v>
      </c>
      <c r="E1002" s="2" t="str">
        <f>"女"</f>
        <v>女</v>
      </c>
    </row>
    <row r="1003" spans="1:5" ht="14.4" x14ac:dyDescent="0.25">
      <c r="A1003" s="4">
        <v>1001</v>
      </c>
      <c r="B1003" s="2" t="str">
        <f>"32512021081609590012094"</f>
        <v>32512021081609590012094</v>
      </c>
      <c r="C1003" s="2" t="s">
        <v>11</v>
      </c>
      <c r="D1003" s="2" t="str">
        <f>"陈星星"</f>
        <v>陈星星</v>
      </c>
      <c r="E1003" s="2" t="str">
        <f>"女"</f>
        <v>女</v>
      </c>
    </row>
    <row r="1004" spans="1:5" ht="14.4" x14ac:dyDescent="0.25">
      <c r="A1004" s="4">
        <v>1002</v>
      </c>
      <c r="B1004" s="2" t="str">
        <f>"32512021081612472512751"</f>
        <v>32512021081612472512751</v>
      </c>
      <c r="C1004" s="2" t="s">
        <v>11</v>
      </c>
      <c r="D1004" s="2" t="str">
        <f>"徐雄姣"</f>
        <v>徐雄姣</v>
      </c>
      <c r="E1004" s="2" t="str">
        <f>"女"</f>
        <v>女</v>
      </c>
    </row>
    <row r="1005" spans="1:5" ht="14.4" x14ac:dyDescent="0.25">
      <c r="A1005" s="4">
        <v>1003</v>
      </c>
      <c r="B1005" s="2" t="str">
        <f>"32512021081613110612797"</f>
        <v>32512021081613110612797</v>
      </c>
      <c r="C1005" s="2" t="s">
        <v>11</v>
      </c>
      <c r="D1005" s="2" t="str">
        <f>"翁清"</f>
        <v>翁清</v>
      </c>
      <c r="E1005" s="2" t="str">
        <f>"男"</f>
        <v>男</v>
      </c>
    </row>
    <row r="1006" spans="1:5" ht="14.4" x14ac:dyDescent="0.25">
      <c r="A1006" s="4">
        <v>1004</v>
      </c>
      <c r="B1006" s="2" t="str">
        <f>"32512021081613140912805"</f>
        <v>32512021081613140912805</v>
      </c>
      <c r="C1006" s="2" t="s">
        <v>11</v>
      </c>
      <c r="D1006" s="2" t="str">
        <f>"王琼利"</f>
        <v>王琼利</v>
      </c>
      <c r="E1006" s="2" t="str">
        <f>"女"</f>
        <v>女</v>
      </c>
    </row>
    <row r="1007" spans="1:5" ht="14.4" x14ac:dyDescent="0.25">
      <c r="A1007" s="4">
        <v>1005</v>
      </c>
      <c r="B1007" s="2" t="str">
        <f>"3251202108100901183741"</f>
        <v>3251202108100901183741</v>
      </c>
      <c r="C1007" s="2" t="s">
        <v>12</v>
      </c>
      <c r="D1007" s="2" t="str">
        <f>"黄芸"</f>
        <v>黄芸</v>
      </c>
      <c r="E1007" s="2" t="str">
        <f>"女"</f>
        <v>女</v>
      </c>
    </row>
    <row r="1008" spans="1:5" ht="14.4" x14ac:dyDescent="0.25">
      <c r="A1008" s="4">
        <v>1006</v>
      </c>
      <c r="B1008" s="2" t="str">
        <f>"3251202108100902213755"</f>
        <v>3251202108100902213755</v>
      </c>
      <c r="C1008" s="2" t="s">
        <v>12</v>
      </c>
      <c r="D1008" s="2" t="str">
        <f>"苏大东"</f>
        <v>苏大东</v>
      </c>
      <c r="E1008" s="2" t="str">
        <f>"男"</f>
        <v>男</v>
      </c>
    </row>
    <row r="1009" spans="1:5" ht="14.4" x14ac:dyDescent="0.25">
      <c r="A1009" s="4">
        <v>1007</v>
      </c>
      <c r="B1009" s="2" t="str">
        <f>"3251202108100910313852"</f>
        <v>3251202108100910313852</v>
      </c>
      <c r="C1009" s="2" t="s">
        <v>12</v>
      </c>
      <c r="D1009" s="2" t="str">
        <f>"廖景华"</f>
        <v>廖景华</v>
      </c>
      <c r="E1009" s="2" t="str">
        <f>"男"</f>
        <v>男</v>
      </c>
    </row>
    <row r="1010" spans="1:5" ht="14.4" x14ac:dyDescent="0.25">
      <c r="A1010" s="4">
        <v>1008</v>
      </c>
      <c r="B1010" s="2" t="str">
        <f>"3251202108100911513866"</f>
        <v>3251202108100911513866</v>
      </c>
      <c r="C1010" s="2" t="s">
        <v>12</v>
      </c>
      <c r="D1010" s="2" t="str">
        <f>"符惠予"</f>
        <v>符惠予</v>
      </c>
      <c r="E1010" s="2" t="str">
        <f>"女"</f>
        <v>女</v>
      </c>
    </row>
    <row r="1011" spans="1:5" ht="14.4" x14ac:dyDescent="0.25">
      <c r="A1011" s="4">
        <v>1009</v>
      </c>
      <c r="B1011" s="2" t="str">
        <f>"3251202108100912013871"</f>
        <v>3251202108100912013871</v>
      </c>
      <c r="C1011" s="2" t="s">
        <v>12</v>
      </c>
      <c r="D1011" s="2" t="str">
        <f>"黎菊青"</f>
        <v>黎菊青</v>
      </c>
      <c r="E1011" s="2" t="str">
        <f>"女"</f>
        <v>女</v>
      </c>
    </row>
    <row r="1012" spans="1:5" ht="14.4" x14ac:dyDescent="0.25">
      <c r="A1012" s="4">
        <v>1010</v>
      </c>
      <c r="B1012" s="2" t="str">
        <f>"3251202108100914323894"</f>
        <v>3251202108100914323894</v>
      </c>
      <c r="C1012" s="2" t="s">
        <v>12</v>
      </c>
      <c r="D1012" s="2" t="str">
        <f>"陈亚男"</f>
        <v>陈亚男</v>
      </c>
      <c r="E1012" s="2" t="str">
        <f>"女"</f>
        <v>女</v>
      </c>
    </row>
    <row r="1013" spans="1:5" ht="14.4" x14ac:dyDescent="0.25">
      <c r="A1013" s="4">
        <v>1011</v>
      </c>
      <c r="B1013" s="2" t="str">
        <f>"3251202108100914483897"</f>
        <v>3251202108100914483897</v>
      </c>
      <c r="C1013" s="2" t="s">
        <v>12</v>
      </c>
      <c r="D1013" s="2" t="str">
        <f>"文良江"</f>
        <v>文良江</v>
      </c>
      <c r="E1013" s="2" t="str">
        <f>"男"</f>
        <v>男</v>
      </c>
    </row>
    <row r="1014" spans="1:5" ht="14.4" x14ac:dyDescent="0.25">
      <c r="A1014" s="4">
        <v>1012</v>
      </c>
      <c r="B1014" s="2" t="str">
        <f>"3251202108100918043923"</f>
        <v>3251202108100918043923</v>
      </c>
      <c r="C1014" s="2" t="s">
        <v>12</v>
      </c>
      <c r="D1014" s="2" t="str">
        <f>"陈太鹏"</f>
        <v>陈太鹏</v>
      </c>
      <c r="E1014" s="2" t="str">
        <f>"男"</f>
        <v>男</v>
      </c>
    </row>
    <row r="1015" spans="1:5" ht="14.4" x14ac:dyDescent="0.25">
      <c r="A1015" s="4">
        <v>1013</v>
      </c>
      <c r="B1015" s="2" t="str">
        <f>"3251202108100918083925"</f>
        <v>3251202108100918083925</v>
      </c>
      <c r="C1015" s="2" t="s">
        <v>12</v>
      </c>
      <c r="D1015" s="2" t="str">
        <f>"陈婷婷"</f>
        <v>陈婷婷</v>
      </c>
      <c r="E1015" s="2" t="str">
        <f>"女"</f>
        <v>女</v>
      </c>
    </row>
    <row r="1016" spans="1:5" ht="14.4" x14ac:dyDescent="0.25">
      <c r="A1016" s="4">
        <v>1014</v>
      </c>
      <c r="B1016" s="2" t="str">
        <f>"3251202108100919343932"</f>
        <v>3251202108100919343932</v>
      </c>
      <c r="C1016" s="2" t="s">
        <v>12</v>
      </c>
      <c r="D1016" s="2" t="str">
        <f>"黎宏政"</f>
        <v>黎宏政</v>
      </c>
      <c r="E1016" s="2" t="str">
        <f>"男"</f>
        <v>男</v>
      </c>
    </row>
    <row r="1017" spans="1:5" ht="14.4" x14ac:dyDescent="0.25">
      <c r="A1017" s="4">
        <v>1015</v>
      </c>
      <c r="B1017" s="2" t="str">
        <f>"3251202108100920053937"</f>
        <v>3251202108100920053937</v>
      </c>
      <c r="C1017" s="2" t="s">
        <v>12</v>
      </c>
      <c r="D1017" s="2" t="str">
        <f>"曾莹颖"</f>
        <v>曾莹颖</v>
      </c>
      <c r="E1017" s="2" t="str">
        <f t="shared" ref="E1017:E1023" si="26">"女"</f>
        <v>女</v>
      </c>
    </row>
    <row r="1018" spans="1:5" ht="14.4" x14ac:dyDescent="0.25">
      <c r="A1018" s="4">
        <v>1016</v>
      </c>
      <c r="B1018" s="2" t="str">
        <f>"3251202108100922003955"</f>
        <v>3251202108100922003955</v>
      </c>
      <c r="C1018" s="2" t="s">
        <v>12</v>
      </c>
      <c r="D1018" s="2" t="str">
        <f>"李婧姝"</f>
        <v>李婧姝</v>
      </c>
      <c r="E1018" s="2" t="str">
        <f t="shared" si="26"/>
        <v>女</v>
      </c>
    </row>
    <row r="1019" spans="1:5" ht="14.4" x14ac:dyDescent="0.25">
      <c r="A1019" s="4">
        <v>1017</v>
      </c>
      <c r="B1019" s="2" t="str">
        <f>"3251202108100923573974"</f>
        <v>3251202108100923573974</v>
      </c>
      <c r="C1019" s="2" t="s">
        <v>12</v>
      </c>
      <c r="D1019" s="2" t="str">
        <f>"何才丁"</f>
        <v>何才丁</v>
      </c>
      <c r="E1019" s="2" t="str">
        <f t="shared" si="26"/>
        <v>女</v>
      </c>
    </row>
    <row r="1020" spans="1:5" ht="14.4" x14ac:dyDescent="0.25">
      <c r="A1020" s="4">
        <v>1018</v>
      </c>
      <c r="B1020" s="2" t="str">
        <f>"3251202108100924133977"</f>
        <v>3251202108100924133977</v>
      </c>
      <c r="C1020" s="2" t="s">
        <v>12</v>
      </c>
      <c r="D1020" s="2" t="str">
        <f>"刘爽"</f>
        <v>刘爽</v>
      </c>
      <c r="E1020" s="2" t="str">
        <f t="shared" si="26"/>
        <v>女</v>
      </c>
    </row>
    <row r="1021" spans="1:5" ht="14.4" x14ac:dyDescent="0.25">
      <c r="A1021" s="4">
        <v>1019</v>
      </c>
      <c r="B1021" s="2" t="str">
        <f>"3251202108100926263993"</f>
        <v>3251202108100926263993</v>
      </c>
      <c r="C1021" s="2" t="s">
        <v>12</v>
      </c>
      <c r="D1021" s="2" t="str">
        <f>"梁湘菲"</f>
        <v>梁湘菲</v>
      </c>
      <c r="E1021" s="2" t="str">
        <f t="shared" si="26"/>
        <v>女</v>
      </c>
    </row>
    <row r="1022" spans="1:5" ht="14.4" x14ac:dyDescent="0.25">
      <c r="A1022" s="4">
        <v>1020</v>
      </c>
      <c r="B1022" s="2" t="str">
        <f>"3251202108100930124019"</f>
        <v>3251202108100930124019</v>
      </c>
      <c r="C1022" s="2" t="s">
        <v>12</v>
      </c>
      <c r="D1022" s="2" t="str">
        <f>"麦伟妮"</f>
        <v>麦伟妮</v>
      </c>
      <c r="E1022" s="2" t="str">
        <f t="shared" si="26"/>
        <v>女</v>
      </c>
    </row>
    <row r="1023" spans="1:5" ht="14.4" x14ac:dyDescent="0.25">
      <c r="A1023" s="4">
        <v>1021</v>
      </c>
      <c r="B1023" s="2" t="str">
        <f>"3251202108100930124020"</f>
        <v>3251202108100930124020</v>
      </c>
      <c r="C1023" s="2" t="s">
        <v>12</v>
      </c>
      <c r="D1023" s="2" t="str">
        <f>"王祖玲"</f>
        <v>王祖玲</v>
      </c>
      <c r="E1023" s="2" t="str">
        <f t="shared" si="26"/>
        <v>女</v>
      </c>
    </row>
    <row r="1024" spans="1:5" ht="14.4" x14ac:dyDescent="0.25">
      <c r="A1024" s="4">
        <v>1022</v>
      </c>
      <c r="B1024" s="2" t="str">
        <f>"3251202108100934064051"</f>
        <v>3251202108100934064051</v>
      </c>
      <c r="C1024" s="2" t="s">
        <v>12</v>
      </c>
      <c r="D1024" s="2" t="str">
        <f>"魏铭云"</f>
        <v>魏铭云</v>
      </c>
      <c r="E1024" s="2" t="str">
        <f>"男"</f>
        <v>男</v>
      </c>
    </row>
    <row r="1025" spans="1:5" ht="14.4" x14ac:dyDescent="0.25">
      <c r="A1025" s="4">
        <v>1023</v>
      </c>
      <c r="B1025" s="2" t="str">
        <f>"3251202108100941324096"</f>
        <v>3251202108100941324096</v>
      </c>
      <c r="C1025" s="2" t="s">
        <v>12</v>
      </c>
      <c r="D1025" s="2" t="str">
        <f>"刘陶龙"</f>
        <v>刘陶龙</v>
      </c>
      <c r="E1025" s="2" t="str">
        <f>"男"</f>
        <v>男</v>
      </c>
    </row>
    <row r="1026" spans="1:5" ht="14.4" x14ac:dyDescent="0.25">
      <c r="A1026" s="4">
        <v>1024</v>
      </c>
      <c r="B1026" s="2" t="str">
        <f>"3251202108100948234142"</f>
        <v>3251202108100948234142</v>
      </c>
      <c r="C1026" s="2" t="s">
        <v>12</v>
      </c>
      <c r="D1026" s="2" t="str">
        <f>"钟敏敏"</f>
        <v>钟敏敏</v>
      </c>
      <c r="E1026" s="2" t="str">
        <f t="shared" ref="E1026:E1031" si="27">"女"</f>
        <v>女</v>
      </c>
    </row>
    <row r="1027" spans="1:5" ht="14.4" x14ac:dyDescent="0.25">
      <c r="A1027" s="4">
        <v>1025</v>
      </c>
      <c r="B1027" s="2" t="str">
        <f>"3251202108100959144218"</f>
        <v>3251202108100959144218</v>
      </c>
      <c r="C1027" s="2" t="s">
        <v>12</v>
      </c>
      <c r="D1027" s="2" t="str">
        <f>"朱嘉嘉"</f>
        <v>朱嘉嘉</v>
      </c>
      <c r="E1027" s="2" t="str">
        <f t="shared" si="27"/>
        <v>女</v>
      </c>
    </row>
    <row r="1028" spans="1:5" ht="14.4" x14ac:dyDescent="0.25">
      <c r="A1028" s="4">
        <v>1026</v>
      </c>
      <c r="B1028" s="2" t="str">
        <f>"3251202108101000594230"</f>
        <v>3251202108101000594230</v>
      </c>
      <c r="C1028" s="2" t="s">
        <v>12</v>
      </c>
      <c r="D1028" s="2" t="str">
        <f>"褚婷婷"</f>
        <v>褚婷婷</v>
      </c>
      <c r="E1028" s="2" t="str">
        <f t="shared" si="27"/>
        <v>女</v>
      </c>
    </row>
    <row r="1029" spans="1:5" ht="14.4" x14ac:dyDescent="0.25">
      <c r="A1029" s="4">
        <v>1027</v>
      </c>
      <c r="B1029" s="2" t="str">
        <f>"3251202108101011164292"</f>
        <v>3251202108101011164292</v>
      </c>
      <c r="C1029" s="2" t="s">
        <v>12</v>
      </c>
      <c r="D1029" s="2" t="str">
        <f>"杜佳娟"</f>
        <v>杜佳娟</v>
      </c>
      <c r="E1029" s="2" t="str">
        <f t="shared" si="27"/>
        <v>女</v>
      </c>
    </row>
    <row r="1030" spans="1:5" ht="14.4" x14ac:dyDescent="0.25">
      <c r="A1030" s="4">
        <v>1028</v>
      </c>
      <c r="B1030" s="2" t="str">
        <f>"3251202108101013034302"</f>
        <v>3251202108101013034302</v>
      </c>
      <c r="C1030" s="2" t="s">
        <v>12</v>
      </c>
      <c r="D1030" s="2" t="str">
        <f>"符美景"</f>
        <v>符美景</v>
      </c>
      <c r="E1030" s="2" t="str">
        <f t="shared" si="27"/>
        <v>女</v>
      </c>
    </row>
    <row r="1031" spans="1:5" ht="14.4" x14ac:dyDescent="0.25">
      <c r="A1031" s="4">
        <v>1029</v>
      </c>
      <c r="B1031" s="2" t="str">
        <f>"3251202108101014064310"</f>
        <v>3251202108101014064310</v>
      </c>
      <c r="C1031" s="2" t="s">
        <v>12</v>
      </c>
      <c r="D1031" s="2" t="str">
        <f>"麦振兰"</f>
        <v>麦振兰</v>
      </c>
      <c r="E1031" s="2" t="str">
        <f t="shared" si="27"/>
        <v>女</v>
      </c>
    </row>
    <row r="1032" spans="1:5" ht="14.4" x14ac:dyDescent="0.25">
      <c r="A1032" s="4">
        <v>1030</v>
      </c>
      <c r="B1032" s="2" t="str">
        <f>"3251202108101020204340"</f>
        <v>3251202108101020204340</v>
      </c>
      <c r="C1032" s="2" t="s">
        <v>12</v>
      </c>
      <c r="D1032" s="2" t="str">
        <f>"肖泽城"</f>
        <v>肖泽城</v>
      </c>
      <c r="E1032" s="2" t="str">
        <f>"男"</f>
        <v>男</v>
      </c>
    </row>
    <row r="1033" spans="1:5" ht="14.4" x14ac:dyDescent="0.25">
      <c r="A1033" s="4">
        <v>1031</v>
      </c>
      <c r="B1033" s="2" t="str">
        <f>"3251202108101021144344"</f>
        <v>3251202108101021144344</v>
      </c>
      <c r="C1033" s="2" t="s">
        <v>12</v>
      </c>
      <c r="D1033" s="2" t="str">
        <f>"王天宝"</f>
        <v>王天宝</v>
      </c>
      <c r="E1033" s="2" t="str">
        <f>"男"</f>
        <v>男</v>
      </c>
    </row>
    <row r="1034" spans="1:5" ht="14.4" x14ac:dyDescent="0.25">
      <c r="A1034" s="4">
        <v>1032</v>
      </c>
      <c r="B1034" s="2" t="str">
        <f>"3251202108101022374352"</f>
        <v>3251202108101022374352</v>
      </c>
      <c r="C1034" s="2" t="s">
        <v>12</v>
      </c>
      <c r="D1034" s="2" t="str">
        <f>"周启媚"</f>
        <v>周启媚</v>
      </c>
      <c r="E1034" s="2" t="str">
        <f>"女"</f>
        <v>女</v>
      </c>
    </row>
    <row r="1035" spans="1:5" ht="14.4" x14ac:dyDescent="0.25">
      <c r="A1035" s="4">
        <v>1033</v>
      </c>
      <c r="B1035" s="2" t="str">
        <f>"3251202108101024544365"</f>
        <v>3251202108101024544365</v>
      </c>
      <c r="C1035" s="2" t="s">
        <v>12</v>
      </c>
      <c r="D1035" s="2" t="str">
        <f>"楼端芬"</f>
        <v>楼端芬</v>
      </c>
      <c r="E1035" s="2" t="str">
        <f>"女"</f>
        <v>女</v>
      </c>
    </row>
    <row r="1036" spans="1:5" ht="14.4" x14ac:dyDescent="0.25">
      <c r="A1036" s="4">
        <v>1034</v>
      </c>
      <c r="B1036" s="2" t="str">
        <f>"3251202108101031164400"</f>
        <v>3251202108101031164400</v>
      </c>
      <c r="C1036" s="2" t="s">
        <v>12</v>
      </c>
      <c r="D1036" s="2" t="str">
        <f>"王茹"</f>
        <v>王茹</v>
      </c>
      <c r="E1036" s="2" t="str">
        <f>"女"</f>
        <v>女</v>
      </c>
    </row>
    <row r="1037" spans="1:5" ht="14.4" x14ac:dyDescent="0.25">
      <c r="A1037" s="4">
        <v>1035</v>
      </c>
      <c r="B1037" s="2" t="str">
        <f>"3251202108101032454408"</f>
        <v>3251202108101032454408</v>
      </c>
      <c r="C1037" s="2" t="s">
        <v>12</v>
      </c>
      <c r="D1037" s="2" t="str">
        <f>"叶子姗"</f>
        <v>叶子姗</v>
      </c>
      <c r="E1037" s="2" t="str">
        <f>"女"</f>
        <v>女</v>
      </c>
    </row>
    <row r="1038" spans="1:5" ht="14.4" x14ac:dyDescent="0.25">
      <c r="A1038" s="4">
        <v>1036</v>
      </c>
      <c r="B1038" s="2" t="str">
        <f>"3251202108101047004473"</f>
        <v>3251202108101047004473</v>
      </c>
      <c r="C1038" s="2" t="s">
        <v>12</v>
      </c>
      <c r="D1038" s="2" t="str">
        <f>"李玄"</f>
        <v>李玄</v>
      </c>
      <c r="E1038" s="2" t="str">
        <f>"男"</f>
        <v>男</v>
      </c>
    </row>
    <row r="1039" spans="1:5" ht="14.4" x14ac:dyDescent="0.25">
      <c r="A1039" s="4">
        <v>1037</v>
      </c>
      <c r="B1039" s="2" t="str">
        <f>"3251202108101049304483"</f>
        <v>3251202108101049304483</v>
      </c>
      <c r="C1039" s="2" t="s">
        <v>12</v>
      </c>
      <c r="D1039" s="2" t="str">
        <f>"李桂兰"</f>
        <v>李桂兰</v>
      </c>
      <c r="E1039" s="2" t="str">
        <f>"女"</f>
        <v>女</v>
      </c>
    </row>
    <row r="1040" spans="1:5" ht="14.4" x14ac:dyDescent="0.25">
      <c r="A1040" s="4">
        <v>1038</v>
      </c>
      <c r="B1040" s="2" t="str">
        <f>"3251202108101051274496"</f>
        <v>3251202108101051274496</v>
      </c>
      <c r="C1040" s="2" t="s">
        <v>12</v>
      </c>
      <c r="D1040" s="2" t="str">
        <f>"洪秋"</f>
        <v>洪秋</v>
      </c>
      <c r="E1040" s="2" t="str">
        <f>"女"</f>
        <v>女</v>
      </c>
    </row>
    <row r="1041" spans="1:5" ht="14.4" x14ac:dyDescent="0.25">
      <c r="A1041" s="4">
        <v>1039</v>
      </c>
      <c r="B1041" s="2" t="str">
        <f>"3251202108101122374655"</f>
        <v>3251202108101122374655</v>
      </c>
      <c r="C1041" s="2" t="s">
        <v>12</v>
      </c>
      <c r="D1041" s="2" t="str">
        <f>"符展鸿"</f>
        <v>符展鸿</v>
      </c>
      <c r="E1041" s="2" t="str">
        <f>"女"</f>
        <v>女</v>
      </c>
    </row>
    <row r="1042" spans="1:5" ht="14.4" x14ac:dyDescent="0.25">
      <c r="A1042" s="4">
        <v>1040</v>
      </c>
      <c r="B1042" s="2" t="str">
        <f>"3251202108101135304723"</f>
        <v>3251202108101135304723</v>
      </c>
      <c r="C1042" s="2" t="s">
        <v>12</v>
      </c>
      <c r="D1042" s="2" t="str">
        <f>"杨娇丽"</f>
        <v>杨娇丽</v>
      </c>
      <c r="E1042" s="2" t="str">
        <f>"女"</f>
        <v>女</v>
      </c>
    </row>
    <row r="1043" spans="1:5" ht="14.4" x14ac:dyDescent="0.25">
      <c r="A1043" s="4">
        <v>1041</v>
      </c>
      <c r="B1043" s="2" t="str">
        <f>"3251202108101137174730"</f>
        <v>3251202108101137174730</v>
      </c>
      <c r="C1043" s="2" t="s">
        <v>12</v>
      </c>
      <c r="D1043" s="2" t="str">
        <f>"吴文滨"</f>
        <v>吴文滨</v>
      </c>
      <c r="E1043" s="2" t="str">
        <f>"男"</f>
        <v>男</v>
      </c>
    </row>
    <row r="1044" spans="1:5" ht="14.4" x14ac:dyDescent="0.25">
      <c r="A1044" s="4">
        <v>1042</v>
      </c>
      <c r="B1044" s="2" t="str">
        <f>"3251202108101141064749"</f>
        <v>3251202108101141064749</v>
      </c>
      <c r="C1044" s="2" t="s">
        <v>12</v>
      </c>
      <c r="D1044" s="2" t="str">
        <f>"王洪景"</f>
        <v>王洪景</v>
      </c>
      <c r="E1044" s="2" t="str">
        <f>"女"</f>
        <v>女</v>
      </c>
    </row>
    <row r="1045" spans="1:5" ht="14.4" x14ac:dyDescent="0.25">
      <c r="A1045" s="4">
        <v>1043</v>
      </c>
      <c r="B1045" s="2" t="str">
        <f>"3251202108101144424764"</f>
        <v>3251202108101144424764</v>
      </c>
      <c r="C1045" s="2" t="s">
        <v>12</v>
      </c>
      <c r="D1045" s="2" t="str">
        <f>"高克剑"</f>
        <v>高克剑</v>
      </c>
      <c r="E1045" s="2" t="str">
        <f>"男"</f>
        <v>男</v>
      </c>
    </row>
    <row r="1046" spans="1:5" ht="14.4" x14ac:dyDescent="0.25">
      <c r="A1046" s="4">
        <v>1044</v>
      </c>
      <c r="B1046" s="2" t="str">
        <f>"3251202108101146224766"</f>
        <v>3251202108101146224766</v>
      </c>
      <c r="C1046" s="2" t="s">
        <v>12</v>
      </c>
      <c r="D1046" s="2" t="str">
        <f>"王珊珊"</f>
        <v>王珊珊</v>
      </c>
      <c r="E1046" s="2" t="str">
        <f>"女"</f>
        <v>女</v>
      </c>
    </row>
    <row r="1047" spans="1:5" ht="14.4" x14ac:dyDescent="0.25">
      <c r="A1047" s="4">
        <v>1045</v>
      </c>
      <c r="B1047" s="2" t="str">
        <f>"3251202108101149074777"</f>
        <v>3251202108101149074777</v>
      </c>
      <c r="C1047" s="2" t="s">
        <v>12</v>
      </c>
      <c r="D1047" s="2" t="str">
        <f>"黄江花"</f>
        <v>黄江花</v>
      </c>
      <c r="E1047" s="2" t="str">
        <f>"女"</f>
        <v>女</v>
      </c>
    </row>
    <row r="1048" spans="1:5" ht="14.4" x14ac:dyDescent="0.25">
      <c r="A1048" s="4">
        <v>1046</v>
      </c>
      <c r="B1048" s="2" t="str">
        <f>"3251202108101204464820"</f>
        <v>3251202108101204464820</v>
      </c>
      <c r="C1048" s="2" t="s">
        <v>12</v>
      </c>
      <c r="D1048" s="2" t="str">
        <f>"叶富正"</f>
        <v>叶富正</v>
      </c>
      <c r="E1048" s="2" t="str">
        <f>"男"</f>
        <v>男</v>
      </c>
    </row>
    <row r="1049" spans="1:5" ht="14.4" x14ac:dyDescent="0.25">
      <c r="A1049" s="4">
        <v>1047</v>
      </c>
      <c r="B1049" s="2" t="str">
        <f>"3251202108101208324826"</f>
        <v>3251202108101208324826</v>
      </c>
      <c r="C1049" s="2" t="s">
        <v>12</v>
      </c>
      <c r="D1049" s="2" t="str">
        <f>"薛石金"</f>
        <v>薛石金</v>
      </c>
      <c r="E1049" s="2" t="str">
        <f>"女"</f>
        <v>女</v>
      </c>
    </row>
    <row r="1050" spans="1:5" ht="14.4" x14ac:dyDescent="0.25">
      <c r="A1050" s="4">
        <v>1048</v>
      </c>
      <c r="B1050" s="2" t="str">
        <f>"3251202108101237214929"</f>
        <v>3251202108101237214929</v>
      </c>
      <c r="C1050" s="2" t="s">
        <v>12</v>
      </c>
      <c r="D1050" s="2" t="str">
        <f>"王文瑶"</f>
        <v>王文瑶</v>
      </c>
      <c r="E1050" s="2" t="str">
        <f>"女"</f>
        <v>女</v>
      </c>
    </row>
    <row r="1051" spans="1:5" ht="14.4" x14ac:dyDescent="0.25">
      <c r="A1051" s="4">
        <v>1049</v>
      </c>
      <c r="B1051" s="2" t="str">
        <f>"3251202108101239324939"</f>
        <v>3251202108101239324939</v>
      </c>
      <c r="C1051" s="2" t="s">
        <v>12</v>
      </c>
      <c r="D1051" s="2" t="str">
        <f>"陈琼铭"</f>
        <v>陈琼铭</v>
      </c>
      <c r="E1051" s="2" t="str">
        <f>"男"</f>
        <v>男</v>
      </c>
    </row>
    <row r="1052" spans="1:5" ht="14.4" x14ac:dyDescent="0.25">
      <c r="A1052" s="4">
        <v>1050</v>
      </c>
      <c r="B1052" s="2" t="str">
        <f>"3251202108101317215024"</f>
        <v>3251202108101317215024</v>
      </c>
      <c r="C1052" s="2" t="s">
        <v>12</v>
      </c>
      <c r="D1052" s="2" t="str">
        <f>"王丽霞"</f>
        <v>王丽霞</v>
      </c>
      <c r="E1052" s="2" t="str">
        <f>"女"</f>
        <v>女</v>
      </c>
    </row>
    <row r="1053" spans="1:5" ht="14.4" x14ac:dyDescent="0.25">
      <c r="A1053" s="4">
        <v>1051</v>
      </c>
      <c r="B1053" s="2" t="str">
        <f>"3251202108101327505048"</f>
        <v>3251202108101327505048</v>
      </c>
      <c r="C1053" s="2" t="s">
        <v>12</v>
      </c>
      <c r="D1053" s="2" t="str">
        <f>"王云"</f>
        <v>王云</v>
      </c>
      <c r="E1053" s="2" t="str">
        <f>"女"</f>
        <v>女</v>
      </c>
    </row>
    <row r="1054" spans="1:5" ht="14.4" x14ac:dyDescent="0.25">
      <c r="A1054" s="4">
        <v>1052</v>
      </c>
      <c r="B1054" s="2" t="str">
        <f>"3251202108101350145084"</f>
        <v>3251202108101350145084</v>
      </c>
      <c r="C1054" s="2" t="s">
        <v>12</v>
      </c>
      <c r="D1054" s="2" t="str">
        <f>"钟章妹"</f>
        <v>钟章妹</v>
      </c>
      <c r="E1054" s="2" t="str">
        <f>"女"</f>
        <v>女</v>
      </c>
    </row>
    <row r="1055" spans="1:5" ht="14.4" x14ac:dyDescent="0.25">
      <c r="A1055" s="4">
        <v>1053</v>
      </c>
      <c r="B1055" s="2" t="str">
        <f>"3251202108101416135143"</f>
        <v>3251202108101416135143</v>
      </c>
      <c r="C1055" s="2" t="s">
        <v>12</v>
      </c>
      <c r="D1055" s="2" t="str">
        <f>"伍丽霞"</f>
        <v>伍丽霞</v>
      </c>
      <c r="E1055" s="2" t="str">
        <f>"女"</f>
        <v>女</v>
      </c>
    </row>
    <row r="1056" spans="1:5" ht="14.4" x14ac:dyDescent="0.25">
      <c r="A1056" s="4">
        <v>1054</v>
      </c>
      <c r="B1056" s="2" t="str">
        <f>"3251202108101432035191"</f>
        <v>3251202108101432035191</v>
      </c>
      <c r="C1056" s="2" t="s">
        <v>12</v>
      </c>
      <c r="D1056" s="2" t="str">
        <f>"梁如士"</f>
        <v>梁如士</v>
      </c>
      <c r="E1056" s="2" t="str">
        <f>"男"</f>
        <v>男</v>
      </c>
    </row>
    <row r="1057" spans="1:5" ht="14.4" x14ac:dyDescent="0.25">
      <c r="A1057" s="4">
        <v>1055</v>
      </c>
      <c r="B1057" s="2" t="str">
        <f>"3251202108101449365253"</f>
        <v>3251202108101449365253</v>
      </c>
      <c r="C1057" s="2" t="s">
        <v>12</v>
      </c>
      <c r="D1057" s="2" t="str">
        <f>"陈若然"</f>
        <v>陈若然</v>
      </c>
      <c r="E1057" s="2" t="str">
        <f>"男"</f>
        <v>男</v>
      </c>
    </row>
    <row r="1058" spans="1:5" ht="14.4" x14ac:dyDescent="0.25">
      <c r="A1058" s="4">
        <v>1056</v>
      </c>
      <c r="B1058" s="2" t="str">
        <f>"3251202108101458125283"</f>
        <v>3251202108101458125283</v>
      </c>
      <c r="C1058" s="2" t="s">
        <v>12</v>
      </c>
      <c r="D1058" s="2" t="str">
        <f>"王祯霞"</f>
        <v>王祯霞</v>
      </c>
      <c r="E1058" s="2" t="str">
        <f>"女"</f>
        <v>女</v>
      </c>
    </row>
    <row r="1059" spans="1:5" ht="14.4" x14ac:dyDescent="0.25">
      <c r="A1059" s="4">
        <v>1057</v>
      </c>
      <c r="B1059" s="2" t="str">
        <f>"3251202108101503075308"</f>
        <v>3251202108101503075308</v>
      </c>
      <c r="C1059" s="2" t="s">
        <v>12</v>
      </c>
      <c r="D1059" s="2" t="str">
        <f>"胡媛媛"</f>
        <v>胡媛媛</v>
      </c>
      <c r="E1059" s="2" t="str">
        <f>"女"</f>
        <v>女</v>
      </c>
    </row>
    <row r="1060" spans="1:5" ht="14.4" x14ac:dyDescent="0.25">
      <c r="A1060" s="4">
        <v>1058</v>
      </c>
      <c r="B1060" s="2" t="str">
        <f>"3251202108101541085435"</f>
        <v>3251202108101541085435</v>
      </c>
      <c r="C1060" s="2" t="s">
        <v>12</v>
      </c>
      <c r="D1060" s="2" t="str">
        <f>"郭宗虎"</f>
        <v>郭宗虎</v>
      </c>
      <c r="E1060" s="2" t="str">
        <f>"男"</f>
        <v>男</v>
      </c>
    </row>
    <row r="1061" spans="1:5" ht="14.4" x14ac:dyDescent="0.25">
      <c r="A1061" s="4">
        <v>1059</v>
      </c>
      <c r="B1061" s="2" t="str">
        <f>"3251202108101616445570"</f>
        <v>3251202108101616445570</v>
      </c>
      <c r="C1061" s="2" t="s">
        <v>12</v>
      </c>
      <c r="D1061" s="2" t="str">
        <f>"陈雪晶"</f>
        <v>陈雪晶</v>
      </c>
      <c r="E1061" s="2" t="str">
        <f>"女"</f>
        <v>女</v>
      </c>
    </row>
    <row r="1062" spans="1:5" ht="14.4" x14ac:dyDescent="0.25">
      <c r="A1062" s="4">
        <v>1060</v>
      </c>
      <c r="B1062" s="2" t="str">
        <f>"3251202108101625345604"</f>
        <v>3251202108101625345604</v>
      </c>
      <c r="C1062" s="2" t="s">
        <v>12</v>
      </c>
      <c r="D1062" s="2" t="str">
        <f>"周诗琪"</f>
        <v>周诗琪</v>
      </c>
      <c r="E1062" s="2" t="str">
        <f>"女"</f>
        <v>女</v>
      </c>
    </row>
    <row r="1063" spans="1:5" ht="14.4" x14ac:dyDescent="0.25">
      <c r="A1063" s="4">
        <v>1061</v>
      </c>
      <c r="B1063" s="2" t="str">
        <f>"3251202108101629375624"</f>
        <v>3251202108101629375624</v>
      </c>
      <c r="C1063" s="2" t="s">
        <v>12</v>
      </c>
      <c r="D1063" s="2" t="str">
        <f>"麦其龙"</f>
        <v>麦其龙</v>
      </c>
      <c r="E1063" s="2" t="str">
        <f>"男"</f>
        <v>男</v>
      </c>
    </row>
    <row r="1064" spans="1:5" ht="14.4" x14ac:dyDescent="0.25">
      <c r="A1064" s="4">
        <v>1062</v>
      </c>
      <c r="B1064" s="2" t="str">
        <f>"3251202108101630575638"</f>
        <v>3251202108101630575638</v>
      </c>
      <c r="C1064" s="2" t="s">
        <v>12</v>
      </c>
      <c r="D1064" s="2" t="str">
        <f>"李华曦"</f>
        <v>李华曦</v>
      </c>
      <c r="E1064" s="2" t="str">
        <f>"女"</f>
        <v>女</v>
      </c>
    </row>
    <row r="1065" spans="1:5" ht="14.4" x14ac:dyDescent="0.25">
      <c r="A1065" s="4">
        <v>1063</v>
      </c>
      <c r="B1065" s="2" t="str">
        <f>"3251202108101642005661"</f>
        <v>3251202108101642005661</v>
      </c>
      <c r="C1065" s="2" t="s">
        <v>12</v>
      </c>
      <c r="D1065" s="2" t="str">
        <f>"梁南玲"</f>
        <v>梁南玲</v>
      </c>
      <c r="E1065" s="2" t="str">
        <f>"女"</f>
        <v>女</v>
      </c>
    </row>
    <row r="1066" spans="1:5" ht="14.4" x14ac:dyDescent="0.25">
      <c r="A1066" s="4">
        <v>1064</v>
      </c>
      <c r="B1066" s="2" t="str">
        <f>"3251202108101704065743"</f>
        <v>3251202108101704065743</v>
      </c>
      <c r="C1066" s="2" t="s">
        <v>12</v>
      </c>
      <c r="D1066" s="2" t="str">
        <f>"符洛珍"</f>
        <v>符洛珍</v>
      </c>
      <c r="E1066" s="2" t="str">
        <f>"男"</f>
        <v>男</v>
      </c>
    </row>
    <row r="1067" spans="1:5" ht="14.4" x14ac:dyDescent="0.25">
      <c r="A1067" s="4">
        <v>1065</v>
      </c>
      <c r="B1067" s="2" t="str">
        <f>"3251202108101704225748"</f>
        <v>3251202108101704225748</v>
      </c>
      <c r="C1067" s="2" t="s">
        <v>12</v>
      </c>
      <c r="D1067" s="2" t="str">
        <f>"封晓云"</f>
        <v>封晓云</v>
      </c>
      <c r="E1067" s="2" t="str">
        <f>"女"</f>
        <v>女</v>
      </c>
    </row>
    <row r="1068" spans="1:5" ht="14.4" x14ac:dyDescent="0.25">
      <c r="A1068" s="4">
        <v>1066</v>
      </c>
      <c r="B1068" s="2" t="str">
        <f>"3251202108101717055800"</f>
        <v>3251202108101717055800</v>
      </c>
      <c r="C1068" s="2" t="s">
        <v>12</v>
      </c>
      <c r="D1068" s="2" t="str">
        <f>"薛桃丽"</f>
        <v>薛桃丽</v>
      </c>
      <c r="E1068" s="2" t="str">
        <f>"女"</f>
        <v>女</v>
      </c>
    </row>
    <row r="1069" spans="1:5" ht="14.4" x14ac:dyDescent="0.25">
      <c r="A1069" s="4">
        <v>1067</v>
      </c>
      <c r="B1069" s="2" t="str">
        <f>"3251202108101721335813"</f>
        <v>3251202108101721335813</v>
      </c>
      <c r="C1069" s="2" t="s">
        <v>12</v>
      </c>
      <c r="D1069" s="2" t="str">
        <f>"王涛"</f>
        <v>王涛</v>
      </c>
      <c r="E1069" s="2" t="str">
        <f>"男"</f>
        <v>男</v>
      </c>
    </row>
    <row r="1070" spans="1:5" ht="14.4" x14ac:dyDescent="0.25">
      <c r="A1070" s="4">
        <v>1068</v>
      </c>
      <c r="B1070" s="2" t="str">
        <f>"3251202108101734475844"</f>
        <v>3251202108101734475844</v>
      </c>
      <c r="C1070" s="2" t="s">
        <v>12</v>
      </c>
      <c r="D1070" s="2" t="str">
        <f>"黄思凯"</f>
        <v>黄思凯</v>
      </c>
      <c r="E1070" s="2" t="str">
        <f>"男"</f>
        <v>男</v>
      </c>
    </row>
    <row r="1071" spans="1:5" ht="14.4" x14ac:dyDescent="0.25">
      <c r="A1071" s="4">
        <v>1069</v>
      </c>
      <c r="B1071" s="2" t="str">
        <f>"3251202108101748095885"</f>
        <v>3251202108101748095885</v>
      </c>
      <c r="C1071" s="2" t="s">
        <v>12</v>
      </c>
      <c r="D1071" s="2" t="str">
        <f>"陈仁花"</f>
        <v>陈仁花</v>
      </c>
      <c r="E1071" s="2" t="str">
        <f>"女"</f>
        <v>女</v>
      </c>
    </row>
    <row r="1072" spans="1:5" ht="14.4" x14ac:dyDescent="0.25">
      <c r="A1072" s="4">
        <v>1070</v>
      </c>
      <c r="B1072" s="2" t="str">
        <f>"3251202108101749355888"</f>
        <v>3251202108101749355888</v>
      </c>
      <c r="C1072" s="2" t="s">
        <v>12</v>
      </c>
      <c r="D1072" s="2" t="str">
        <f>"王南春"</f>
        <v>王南春</v>
      </c>
      <c r="E1072" s="2" t="str">
        <f>"男"</f>
        <v>男</v>
      </c>
    </row>
    <row r="1073" spans="1:5" ht="14.4" x14ac:dyDescent="0.25">
      <c r="A1073" s="4">
        <v>1071</v>
      </c>
      <c r="B1073" s="2" t="str">
        <f>"3251202108101811045928"</f>
        <v>3251202108101811045928</v>
      </c>
      <c r="C1073" s="2" t="s">
        <v>12</v>
      </c>
      <c r="D1073" s="2" t="str">
        <f>"陈创俊"</f>
        <v>陈创俊</v>
      </c>
      <c r="E1073" s="2" t="str">
        <f>"男"</f>
        <v>男</v>
      </c>
    </row>
    <row r="1074" spans="1:5" ht="14.4" x14ac:dyDescent="0.25">
      <c r="A1074" s="4">
        <v>1072</v>
      </c>
      <c r="B1074" s="2" t="str">
        <f>"3251202108101827035961"</f>
        <v>3251202108101827035961</v>
      </c>
      <c r="C1074" s="2" t="s">
        <v>12</v>
      </c>
      <c r="D1074" s="2" t="str">
        <f>"林发诚"</f>
        <v>林发诚</v>
      </c>
      <c r="E1074" s="2" t="str">
        <f>"男"</f>
        <v>男</v>
      </c>
    </row>
    <row r="1075" spans="1:5" ht="14.4" x14ac:dyDescent="0.25">
      <c r="A1075" s="4">
        <v>1073</v>
      </c>
      <c r="B1075" s="2" t="str">
        <f>"3251202108101843405994"</f>
        <v>3251202108101843405994</v>
      </c>
      <c r="C1075" s="2" t="s">
        <v>12</v>
      </c>
      <c r="D1075" s="2" t="str">
        <f>"李友爱"</f>
        <v>李友爱</v>
      </c>
      <c r="E1075" s="2" t="str">
        <f>"女"</f>
        <v>女</v>
      </c>
    </row>
    <row r="1076" spans="1:5" ht="14.4" x14ac:dyDescent="0.25">
      <c r="A1076" s="4">
        <v>1074</v>
      </c>
      <c r="B1076" s="2" t="str">
        <f>"3251202108101914236068"</f>
        <v>3251202108101914236068</v>
      </c>
      <c r="C1076" s="2" t="s">
        <v>12</v>
      </c>
      <c r="D1076" s="2" t="str">
        <f>"邓严峻"</f>
        <v>邓严峻</v>
      </c>
      <c r="E1076" s="2" t="str">
        <f>"男"</f>
        <v>男</v>
      </c>
    </row>
    <row r="1077" spans="1:5" ht="14.4" x14ac:dyDescent="0.25">
      <c r="A1077" s="4">
        <v>1075</v>
      </c>
      <c r="B1077" s="2" t="str">
        <f>"3251202108101938596115"</f>
        <v>3251202108101938596115</v>
      </c>
      <c r="C1077" s="2" t="s">
        <v>12</v>
      </c>
      <c r="D1077" s="2" t="str">
        <f>"苏珍宏"</f>
        <v>苏珍宏</v>
      </c>
      <c r="E1077" s="2" t="str">
        <f>"男"</f>
        <v>男</v>
      </c>
    </row>
    <row r="1078" spans="1:5" ht="14.4" x14ac:dyDescent="0.25">
      <c r="A1078" s="4">
        <v>1076</v>
      </c>
      <c r="B1078" s="2" t="str">
        <f>"3251202108102014186195"</f>
        <v>3251202108102014186195</v>
      </c>
      <c r="C1078" s="2" t="s">
        <v>12</v>
      </c>
      <c r="D1078" s="2" t="str">
        <f>"黄宝莹"</f>
        <v>黄宝莹</v>
      </c>
      <c r="E1078" s="2" t="str">
        <f>"女"</f>
        <v>女</v>
      </c>
    </row>
    <row r="1079" spans="1:5" ht="14.4" x14ac:dyDescent="0.25">
      <c r="A1079" s="4">
        <v>1077</v>
      </c>
      <c r="B1079" s="2" t="str">
        <f>"3251202108102019166204"</f>
        <v>3251202108102019166204</v>
      </c>
      <c r="C1079" s="2" t="s">
        <v>12</v>
      </c>
      <c r="D1079" s="2" t="str">
        <f>"李俊翰"</f>
        <v>李俊翰</v>
      </c>
      <c r="E1079" s="2" t="str">
        <f>"男"</f>
        <v>男</v>
      </c>
    </row>
    <row r="1080" spans="1:5" ht="14.4" x14ac:dyDescent="0.25">
      <c r="A1080" s="4">
        <v>1078</v>
      </c>
      <c r="B1080" s="2" t="str">
        <f>"3251202108102106036288"</f>
        <v>3251202108102106036288</v>
      </c>
      <c r="C1080" s="2" t="s">
        <v>12</v>
      </c>
      <c r="D1080" s="2" t="str">
        <f>"李妹"</f>
        <v>李妹</v>
      </c>
      <c r="E1080" s="2" t="str">
        <f>"女"</f>
        <v>女</v>
      </c>
    </row>
    <row r="1081" spans="1:5" ht="14.4" x14ac:dyDescent="0.25">
      <c r="A1081" s="4">
        <v>1079</v>
      </c>
      <c r="B1081" s="2" t="str">
        <f>"3251202108102108046299"</f>
        <v>3251202108102108046299</v>
      </c>
      <c r="C1081" s="2" t="s">
        <v>12</v>
      </c>
      <c r="D1081" s="2" t="str">
        <f>"杜琪琪"</f>
        <v>杜琪琪</v>
      </c>
      <c r="E1081" s="2" t="str">
        <f>"女"</f>
        <v>女</v>
      </c>
    </row>
    <row r="1082" spans="1:5" ht="14.4" x14ac:dyDescent="0.25">
      <c r="A1082" s="4">
        <v>1080</v>
      </c>
      <c r="B1082" s="2" t="str">
        <f>"3251202108102124016326"</f>
        <v>3251202108102124016326</v>
      </c>
      <c r="C1082" s="2" t="s">
        <v>12</v>
      </c>
      <c r="D1082" s="2" t="str">
        <f>"黄芳晓"</f>
        <v>黄芳晓</v>
      </c>
      <c r="E1082" s="2" t="str">
        <f>"女"</f>
        <v>女</v>
      </c>
    </row>
    <row r="1083" spans="1:5" ht="14.4" x14ac:dyDescent="0.25">
      <c r="A1083" s="4">
        <v>1081</v>
      </c>
      <c r="B1083" s="2" t="str">
        <f>"3251202108102134126345"</f>
        <v>3251202108102134126345</v>
      </c>
      <c r="C1083" s="2" t="s">
        <v>12</v>
      </c>
      <c r="D1083" s="2" t="str">
        <f>"蔡小滨"</f>
        <v>蔡小滨</v>
      </c>
      <c r="E1083" s="2" t="str">
        <f>"男"</f>
        <v>男</v>
      </c>
    </row>
    <row r="1084" spans="1:5" ht="14.4" x14ac:dyDescent="0.25">
      <c r="A1084" s="4">
        <v>1082</v>
      </c>
      <c r="B1084" s="2" t="str">
        <f>"3251202108102153516370"</f>
        <v>3251202108102153516370</v>
      </c>
      <c r="C1084" s="2" t="s">
        <v>12</v>
      </c>
      <c r="D1084" s="2" t="str">
        <f>"朱含倩"</f>
        <v>朱含倩</v>
      </c>
      <c r="E1084" s="2" t="str">
        <f>"女"</f>
        <v>女</v>
      </c>
    </row>
    <row r="1085" spans="1:5" ht="14.4" x14ac:dyDescent="0.25">
      <c r="A1085" s="4">
        <v>1083</v>
      </c>
      <c r="B1085" s="2" t="str">
        <f>"3251202108102218576417"</f>
        <v>3251202108102218576417</v>
      </c>
      <c r="C1085" s="2" t="s">
        <v>12</v>
      </c>
      <c r="D1085" s="2" t="str">
        <f>"符克恩"</f>
        <v>符克恩</v>
      </c>
      <c r="E1085" s="2" t="str">
        <f>"男"</f>
        <v>男</v>
      </c>
    </row>
    <row r="1086" spans="1:5" ht="14.4" x14ac:dyDescent="0.25">
      <c r="A1086" s="4">
        <v>1084</v>
      </c>
      <c r="B1086" s="2" t="str">
        <f>"3251202108102240216453"</f>
        <v>3251202108102240216453</v>
      </c>
      <c r="C1086" s="2" t="s">
        <v>12</v>
      </c>
      <c r="D1086" s="2" t="str">
        <f>"黎源秀"</f>
        <v>黎源秀</v>
      </c>
      <c r="E1086" s="2" t="str">
        <f>"女"</f>
        <v>女</v>
      </c>
    </row>
    <row r="1087" spans="1:5" ht="14.4" x14ac:dyDescent="0.25">
      <c r="A1087" s="4">
        <v>1085</v>
      </c>
      <c r="B1087" s="2" t="str">
        <f>"3251202108102244166457"</f>
        <v>3251202108102244166457</v>
      </c>
      <c r="C1087" s="2" t="s">
        <v>12</v>
      </c>
      <c r="D1087" s="2" t="str">
        <f>"苏建诚"</f>
        <v>苏建诚</v>
      </c>
      <c r="E1087" s="2" t="str">
        <f>"男"</f>
        <v>男</v>
      </c>
    </row>
    <row r="1088" spans="1:5" ht="14.4" x14ac:dyDescent="0.25">
      <c r="A1088" s="4">
        <v>1086</v>
      </c>
      <c r="B1088" s="2" t="str">
        <f>"3251202108110827316600"</f>
        <v>3251202108110827316600</v>
      </c>
      <c r="C1088" s="2" t="s">
        <v>12</v>
      </c>
      <c r="D1088" s="2" t="str">
        <f>"王子召"</f>
        <v>王子召</v>
      </c>
      <c r="E1088" s="2" t="str">
        <f>"女"</f>
        <v>女</v>
      </c>
    </row>
    <row r="1089" spans="1:5" ht="14.4" x14ac:dyDescent="0.25">
      <c r="A1089" s="4">
        <v>1087</v>
      </c>
      <c r="B1089" s="2" t="str">
        <f>"3251202108110837016620"</f>
        <v>3251202108110837016620</v>
      </c>
      <c r="C1089" s="2" t="s">
        <v>12</v>
      </c>
      <c r="D1089" s="2" t="str">
        <f>"黄多炳"</f>
        <v>黄多炳</v>
      </c>
      <c r="E1089" s="2" t="str">
        <f>"男"</f>
        <v>男</v>
      </c>
    </row>
    <row r="1090" spans="1:5" ht="14.4" x14ac:dyDescent="0.25">
      <c r="A1090" s="4">
        <v>1088</v>
      </c>
      <c r="B1090" s="2" t="str">
        <f>"3251202108110855176657"</f>
        <v>3251202108110855176657</v>
      </c>
      <c r="C1090" s="2" t="s">
        <v>12</v>
      </c>
      <c r="D1090" s="2" t="str">
        <f>"钟秋琪"</f>
        <v>钟秋琪</v>
      </c>
      <c r="E1090" s="2" t="str">
        <f>"女"</f>
        <v>女</v>
      </c>
    </row>
    <row r="1091" spans="1:5" ht="14.4" x14ac:dyDescent="0.25">
      <c r="A1091" s="4">
        <v>1089</v>
      </c>
      <c r="B1091" s="2" t="str">
        <f>"3251202108110922146728"</f>
        <v>3251202108110922146728</v>
      </c>
      <c r="C1091" s="2" t="s">
        <v>12</v>
      </c>
      <c r="D1091" s="2" t="str">
        <f>"周一娆"</f>
        <v>周一娆</v>
      </c>
      <c r="E1091" s="2" t="str">
        <f>"女"</f>
        <v>女</v>
      </c>
    </row>
    <row r="1092" spans="1:5" ht="14.4" x14ac:dyDescent="0.25">
      <c r="A1092" s="4">
        <v>1090</v>
      </c>
      <c r="B1092" s="2" t="str">
        <f>"3251202108110936236773"</f>
        <v>3251202108110936236773</v>
      </c>
      <c r="C1092" s="2" t="s">
        <v>12</v>
      </c>
      <c r="D1092" s="2" t="str">
        <f>"谭惠芳"</f>
        <v>谭惠芳</v>
      </c>
      <c r="E1092" s="2" t="str">
        <f>"女"</f>
        <v>女</v>
      </c>
    </row>
    <row r="1093" spans="1:5" ht="14.4" x14ac:dyDescent="0.25">
      <c r="A1093" s="4">
        <v>1091</v>
      </c>
      <c r="B1093" s="2" t="str">
        <f>"3251202108110938586778"</f>
        <v>3251202108110938586778</v>
      </c>
      <c r="C1093" s="2" t="s">
        <v>12</v>
      </c>
      <c r="D1093" s="2" t="str">
        <f>"朱振夫"</f>
        <v>朱振夫</v>
      </c>
      <c r="E1093" s="2" t="str">
        <f>"男"</f>
        <v>男</v>
      </c>
    </row>
    <row r="1094" spans="1:5" ht="14.4" x14ac:dyDescent="0.25">
      <c r="A1094" s="4">
        <v>1092</v>
      </c>
      <c r="B1094" s="2" t="str">
        <f>"3251202108110949086806"</f>
        <v>3251202108110949086806</v>
      </c>
      <c r="C1094" s="2" t="s">
        <v>12</v>
      </c>
      <c r="D1094" s="2" t="str">
        <f>"张颖"</f>
        <v>张颖</v>
      </c>
      <c r="E1094" s="2" t="str">
        <f t="shared" ref="E1094:E1099" si="28">"女"</f>
        <v>女</v>
      </c>
    </row>
    <row r="1095" spans="1:5" ht="14.4" x14ac:dyDescent="0.25">
      <c r="A1095" s="4">
        <v>1093</v>
      </c>
      <c r="B1095" s="2" t="str">
        <f>"3251202108110952426824"</f>
        <v>3251202108110952426824</v>
      </c>
      <c r="C1095" s="2" t="s">
        <v>12</v>
      </c>
      <c r="D1095" s="2" t="str">
        <f>"符志甄"</f>
        <v>符志甄</v>
      </c>
      <c r="E1095" s="2" t="str">
        <f t="shared" si="28"/>
        <v>女</v>
      </c>
    </row>
    <row r="1096" spans="1:5" ht="14.4" x14ac:dyDescent="0.25">
      <c r="A1096" s="4">
        <v>1094</v>
      </c>
      <c r="B1096" s="2" t="str">
        <f>"3251202108111032576925"</f>
        <v>3251202108111032576925</v>
      </c>
      <c r="C1096" s="2" t="s">
        <v>12</v>
      </c>
      <c r="D1096" s="2" t="str">
        <f>"胡小红"</f>
        <v>胡小红</v>
      </c>
      <c r="E1096" s="2" t="str">
        <f t="shared" si="28"/>
        <v>女</v>
      </c>
    </row>
    <row r="1097" spans="1:5" ht="14.4" x14ac:dyDescent="0.25">
      <c r="A1097" s="4">
        <v>1095</v>
      </c>
      <c r="B1097" s="2" t="str">
        <f>"3251202108111044246957"</f>
        <v>3251202108111044246957</v>
      </c>
      <c r="C1097" s="2" t="s">
        <v>12</v>
      </c>
      <c r="D1097" s="2" t="str">
        <f>"王佳芸"</f>
        <v>王佳芸</v>
      </c>
      <c r="E1097" s="2" t="str">
        <f t="shared" si="28"/>
        <v>女</v>
      </c>
    </row>
    <row r="1098" spans="1:5" ht="14.4" x14ac:dyDescent="0.25">
      <c r="A1098" s="4">
        <v>1096</v>
      </c>
      <c r="B1098" s="2" t="str">
        <f>"3251202108111052516976"</f>
        <v>3251202108111052516976</v>
      </c>
      <c r="C1098" s="2" t="s">
        <v>12</v>
      </c>
      <c r="D1098" s="2" t="str">
        <f>"梁锦欢"</f>
        <v>梁锦欢</v>
      </c>
      <c r="E1098" s="2" t="str">
        <f t="shared" si="28"/>
        <v>女</v>
      </c>
    </row>
    <row r="1099" spans="1:5" ht="14.4" x14ac:dyDescent="0.25">
      <c r="A1099" s="4">
        <v>1097</v>
      </c>
      <c r="B1099" s="2" t="str">
        <f>"3251202108111110137017"</f>
        <v>3251202108111110137017</v>
      </c>
      <c r="C1099" s="2" t="s">
        <v>12</v>
      </c>
      <c r="D1099" s="2" t="str">
        <f>"文凤环"</f>
        <v>文凤环</v>
      </c>
      <c r="E1099" s="2" t="str">
        <f t="shared" si="28"/>
        <v>女</v>
      </c>
    </row>
    <row r="1100" spans="1:5" ht="14.4" x14ac:dyDescent="0.25">
      <c r="A1100" s="4">
        <v>1098</v>
      </c>
      <c r="B1100" s="2" t="str">
        <f>"3251202108111120007046"</f>
        <v>3251202108111120007046</v>
      </c>
      <c r="C1100" s="2" t="s">
        <v>12</v>
      </c>
      <c r="D1100" s="2" t="str">
        <f>"陈清豪"</f>
        <v>陈清豪</v>
      </c>
      <c r="E1100" s="2" t="str">
        <f>"男"</f>
        <v>男</v>
      </c>
    </row>
    <row r="1101" spans="1:5" ht="14.4" x14ac:dyDescent="0.25">
      <c r="A1101" s="4">
        <v>1099</v>
      </c>
      <c r="B1101" s="2" t="str">
        <f>"3251202108111227327169"</f>
        <v>3251202108111227327169</v>
      </c>
      <c r="C1101" s="2" t="s">
        <v>12</v>
      </c>
      <c r="D1101" s="2" t="str">
        <f>"宋迎赛"</f>
        <v>宋迎赛</v>
      </c>
      <c r="E1101" s="2" t="str">
        <f>"男"</f>
        <v>男</v>
      </c>
    </row>
    <row r="1102" spans="1:5" ht="14.4" x14ac:dyDescent="0.25">
      <c r="A1102" s="4">
        <v>1100</v>
      </c>
      <c r="B1102" s="2" t="str">
        <f>"3251202108111229147170"</f>
        <v>3251202108111229147170</v>
      </c>
      <c r="C1102" s="2" t="s">
        <v>12</v>
      </c>
      <c r="D1102" s="2" t="str">
        <f>"符旭晓"</f>
        <v>符旭晓</v>
      </c>
      <c r="E1102" s="2" t="str">
        <f>"男"</f>
        <v>男</v>
      </c>
    </row>
    <row r="1103" spans="1:5" ht="14.4" x14ac:dyDescent="0.25">
      <c r="A1103" s="4">
        <v>1101</v>
      </c>
      <c r="B1103" s="2" t="str">
        <f>"3251202108111242457190"</f>
        <v>3251202108111242457190</v>
      </c>
      <c r="C1103" s="2" t="s">
        <v>12</v>
      </c>
      <c r="D1103" s="2" t="str">
        <f>"冯海燕"</f>
        <v>冯海燕</v>
      </c>
      <c r="E1103" s="2" t="str">
        <f>"女"</f>
        <v>女</v>
      </c>
    </row>
    <row r="1104" spans="1:5" ht="14.4" x14ac:dyDescent="0.25">
      <c r="A1104" s="4">
        <v>1102</v>
      </c>
      <c r="B1104" s="2" t="str">
        <f>"3251202108111254487207"</f>
        <v>3251202108111254487207</v>
      </c>
      <c r="C1104" s="2" t="s">
        <v>12</v>
      </c>
      <c r="D1104" s="2" t="str">
        <f>"王月明"</f>
        <v>王月明</v>
      </c>
      <c r="E1104" s="2" t="str">
        <f>"女"</f>
        <v>女</v>
      </c>
    </row>
    <row r="1105" spans="1:5" ht="14.4" x14ac:dyDescent="0.25">
      <c r="A1105" s="4">
        <v>1103</v>
      </c>
      <c r="B1105" s="2" t="str">
        <f>"3251202108111311197222"</f>
        <v>3251202108111311197222</v>
      </c>
      <c r="C1105" s="2" t="s">
        <v>12</v>
      </c>
      <c r="D1105" s="2" t="str">
        <f>"文继饶"</f>
        <v>文继饶</v>
      </c>
      <c r="E1105" s="2" t="str">
        <f>"男"</f>
        <v>男</v>
      </c>
    </row>
    <row r="1106" spans="1:5" ht="14.4" x14ac:dyDescent="0.25">
      <c r="A1106" s="4">
        <v>1104</v>
      </c>
      <c r="B1106" s="2" t="str">
        <f>"3251202108111502297362"</f>
        <v>3251202108111502297362</v>
      </c>
      <c r="C1106" s="2" t="s">
        <v>12</v>
      </c>
      <c r="D1106" s="2" t="str">
        <f>"陈翅洪"</f>
        <v>陈翅洪</v>
      </c>
      <c r="E1106" s="2" t="str">
        <f>"男"</f>
        <v>男</v>
      </c>
    </row>
    <row r="1107" spans="1:5" ht="14.4" x14ac:dyDescent="0.25">
      <c r="A1107" s="4">
        <v>1105</v>
      </c>
      <c r="B1107" s="2" t="str">
        <f>"3251202108111534457441"</f>
        <v>3251202108111534457441</v>
      </c>
      <c r="C1107" s="2" t="s">
        <v>12</v>
      </c>
      <c r="D1107" s="2" t="str">
        <f>"郭屿珏"</f>
        <v>郭屿珏</v>
      </c>
      <c r="E1107" s="2" t="str">
        <f>"女"</f>
        <v>女</v>
      </c>
    </row>
    <row r="1108" spans="1:5" ht="14.4" x14ac:dyDescent="0.25">
      <c r="A1108" s="4">
        <v>1106</v>
      </c>
      <c r="B1108" s="2" t="str">
        <f>"3251202108111544327461"</f>
        <v>3251202108111544327461</v>
      </c>
      <c r="C1108" s="2" t="s">
        <v>12</v>
      </c>
      <c r="D1108" s="2" t="str">
        <f>"黎南行"</f>
        <v>黎南行</v>
      </c>
      <c r="E1108" s="2" t="str">
        <f>"男"</f>
        <v>男</v>
      </c>
    </row>
    <row r="1109" spans="1:5" ht="14.4" x14ac:dyDescent="0.25">
      <c r="A1109" s="4">
        <v>1107</v>
      </c>
      <c r="B1109" s="2" t="str">
        <f>"3251202108111549197467"</f>
        <v>3251202108111549197467</v>
      </c>
      <c r="C1109" s="2" t="s">
        <v>12</v>
      </c>
      <c r="D1109" s="2" t="str">
        <f>"庄慧希"</f>
        <v>庄慧希</v>
      </c>
      <c r="E1109" s="2" t="str">
        <f>"女"</f>
        <v>女</v>
      </c>
    </row>
    <row r="1110" spans="1:5" ht="14.4" x14ac:dyDescent="0.25">
      <c r="A1110" s="4">
        <v>1108</v>
      </c>
      <c r="B1110" s="2" t="str">
        <f>"3251202108111606517501"</f>
        <v>3251202108111606517501</v>
      </c>
      <c r="C1110" s="2" t="s">
        <v>12</v>
      </c>
      <c r="D1110" s="2" t="str">
        <f>"柏伟情"</f>
        <v>柏伟情</v>
      </c>
      <c r="E1110" s="2" t="str">
        <f>"女"</f>
        <v>女</v>
      </c>
    </row>
    <row r="1111" spans="1:5" ht="14.4" x14ac:dyDescent="0.25">
      <c r="A1111" s="4">
        <v>1109</v>
      </c>
      <c r="B1111" s="2" t="str">
        <f>"3251202108111610487508"</f>
        <v>3251202108111610487508</v>
      </c>
      <c r="C1111" s="2" t="s">
        <v>12</v>
      </c>
      <c r="D1111" s="2" t="str">
        <f>"王海旋"</f>
        <v>王海旋</v>
      </c>
      <c r="E1111" s="2" t="str">
        <f>"女"</f>
        <v>女</v>
      </c>
    </row>
    <row r="1112" spans="1:5" ht="14.4" x14ac:dyDescent="0.25">
      <c r="A1112" s="4">
        <v>1110</v>
      </c>
      <c r="B1112" s="2" t="str">
        <f>"3251202108111623437533"</f>
        <v>3251202108111623437533</v>
      </c>
      <c r="C1112" s="2" t="s">
        <v>12</v>
      </c>
      <c r="D1112" s="2" t="str">
        <f>"周文靖"</f>
        <v>周文靖</v>
      </c>
      <c r="E1112" s="2" t="str">
        <f>"女"</f>
        <v>女</v>
      </c>
    </row>
    <row r="1113" spans="1:5" ht="14.4" x14ac:dyDescent="0.25">
      <c r="A1113" s="4">
        <v>1111</v>
      </c>
      <c r="B1113" s="2" t="str">
        <f>"3251202108111627237538"</f>
        <v>3251202108111627237538</v>
      </c>
      <c r="C1113" s="2" t="s">
        <v>12</v>
      </c>
      <c r="D1113" s="2" t="str">
        <f>"万琼"</f>
        <v>万琼</v>
      </c>
      <c r="E1113" s="2" t="str">
        <f>"女"</f>
        <v>女</v>
      </c>
    </row>
    <row r="1114" spans="1:5" ht="14.4" x14ac:dyDescent="0.25">
      <c r="A1114" s="4">
        <v>1112</v>
      </c>
      <c r="B1114" s="2" t="str">
        <f>"3251202108111714367612"</f>
        <v>3251202108111714367612</v>
      </c>
      <c r="C1114" s="2" t="s">
        <v>12</v>
      </c>
      <c r="D1114" s="2" t="str">
        <f>"符学鹏"</f>
        <v>符学鹏</v>
      </c>
      <c r="E1114" s="2" t="str">
        <f>"男"</f>
        <v>男</v>
      </c>
    </row>
    <row r="1115" spans="1:5" ht="14.4" x14ac:dyDescent="0.25">
      <c r="A1115" s="4">
        <v>1113</v>
      </c>
      <c r="B1115" s="2" t="str">
        <f>"3251202108111742207653"</f>
        <v>3251202108111742207653</v>
      </c>
      <c r="C1115" s="2" t="s">
        <v>12</v>
      </c>
      <c r="D1115" s="2" t="str">
        <f>"陈百合"</f>
        <v>陈百合</v>
      </c>
      <c r="E1115" s="2" t="str">
        <f>"女"</f>
        <v>女</v>
      </c>
    </row>
    <row r="1116" spans="1:5" ht="14.4" x14ac:dyDescent="0.25">
      <c r="A1116" s="4">
        <v>1114</v>
      </c>
      <c r="B1116" s="2" t="str">
        <f>"3251202108111748207668"</f>
        <v>3251202108111748207668</v>
      </c>
      <c r="C1116" s="2" t="s">
        <v>12</v>
      </c>
      <c r="D1116" s="2" t="str">
        <f>"薛富强"</f>
        <v>薛富强</v>
      </c>
      <c r="E1116" s="2" t="str">
        <f>"男"</f>
        <v>男</v>
      </c>
    </row>
    <row r="1117" spans="1:5" ht="14.4" x14ac:dyDescent="0.25">
      <c r="A1117" s="4">
        <v>1115</v>
      </c>
      <c r="B1117" s="2" t="str">
        <f>"3251202108111800027685"</f>
        <v>3251202108111800027685</v>
      </c>
      <c r="C1117" s="2" t="s">
        <v>12</v>
      </c>
      <c r="D1117" s="2" t="str">
        <f>"陈祖厚"</f>
        <v>陈祖厚</v>
      </c>
      <c r="E1117" s="2" t="str">
        <f>"男"</f>
        <v>男</v>
      </c>
    </row>
    <row r="1118" spans="1:5" ht="14.4" x14ac:dyDescent="0.25">
      <c r="A1118" s="4">
        <v>1116</v>
      </c>
      <c r="B1118" s="2" t="str">
        <f>"3251202108111814217705"</f>
        <v>3251202108111814217705</v>
      </c>
      <c r="C1118" s="2" t="s">
        <v>12</v>
      </c>
      <c r="D1118" s="2" t="str">
        <f>"陈才平"</f>
        <v>陈才平</v>
      </c>
      <c r="E1118" s="2" t="str">
        <f>"女"</f>
        <v>女</v>
      </c>
    </row>
    <row r="1119" spans="1:5" ht="14.4" x14ac:dyDescent="0.25">
      <c r="A1119" s="4">
        <v>1117</v>
      </c>
      <c r="B1119" s="2" t="str">
        <f>"3251202108111833007736"</f>
        <v>3251202108111833007736</v>
      </c>
      <c r="C1119" s="2" t="s">
        <v>12</v>
      </c>
      <c r="D1119" s="2" t="str">
        <f>"尹大岸"</f>
        <v>尹大岸</v>
      </c>
      <c r="E1119" s="2" t="str">
        <f t="shared" ref="E1119:E1124" si="29">"男"</f>
        <v>男</v>
      </c>
    </row>
    <row r="1120" spans="1:5" ht="14.4" x14ac:dyDescent="0.25">
      <c r="A1120" s="4">
        <v>1118</v>
      </c>
      <c r="B1120" s="2" t="str">
        <f>"3251202108111839587746"</f>
        <v>3251202108111839587746</v>
      </c>
      <c r="C1120" s="2" t="s">
        <v>12</v>
      </c>
      <c r="D1120" s="2" t="str">
        <f>"陈生武"</f>
        <v>陈生武</v>
      </c>
      <c r="E1120" s="2" t="str">
        <f t="shared" si="29"/>
        <v>男</v>
      </c>
    </row>
    <row r="1121" spans="1:5" ht="14.4" x14ac:dyDescent="0.25">
      <c r="A1121" s="4">
        <v>1119</v>
      </c>
      <c r="B1121" s="2" t="str">
        <f>"3251202108111912057780"</f>
        <v>3251202108111912057780</v>
      </c>
      <c r="C1121" s="2" t="s">
        <v>12</v>
      </c>
      <c r="D1121" s="2" t="str">
        <f>"高元刚"</f>
        <v>高元刚</v>
      </c>
      <c r="E1121" s="2" t="str">
        <f t="shared" si="29"/>
        <v>男</v>
      </c>
    </row>
    <row r="1122" spans="1:5" ht="14.4" x14ac:dyDescent="0.25">
      <c r="A1122" s="4">
        <v>1120</v>
      </c>
      <c r="B1122" s="2" t="str">
        <f>"3251202108112056257925"</f>
        <v>3251202108112056257925</v>
      </c>
      <c r="C1122" s="2" t="s">
        <v>12</v>
      </c>
      <c r="D1122" s="2" t="str">
        <f>"刘爱建"</f>
        <v>刘爱建</v>
      </c>
      <c r="E1122" s="2" t="str">
        <f t="shared" si="29"/>
        <v>男</v>
      </c>
    </row>
    <row r="1123" spans="1:5" ht="14.4" x14ac:dyDescent="0.25">
      <c r="A1123" s="4">
        <v>1121</v>
      </c>
      <c r="B1123" s="2" t="str">
        <f>"3251202108112131157988"</f>
        <v>3251202108112131157988</v>
      </c>
      <c r="C1123" s="2" t="s">
        <v>12</v>
      </c>
      <c r="D1123" s="2" t="str">
        <f>"陈星光"</f>
        <v>陈星光</v>
      </c>
      <c r="E1123" s="2" t="str">
        <f t="shared" si="29"/>
        <v>男</v>
      </c>
    </row>
    <row r="1124" spans="1:5" ht="14.4" x14ac:dyDescent="0.25">
      <c r="A1124" s="4">
        <v>1122</v>
      </c>
      <c r="B1124" s="2" t="str">
        <f>"3251202108112142098003"</f>
        <v>3251202108112142098003</v>
      </c>
      <c r="C1124" s="2" t="s">
        <v>12</v>
      </c>
      <c r="D1124" s="2" t="str">
        <f>"王楠"</f>
        <v>王楠</v>
      </c>
      <c r="E1124" s="2" t="str">
        <f t="shared" si="29"/>
        <v>男</v>
      </c>
    </row>
    <row r="1125" spans="1:5" ht="14.4" x14ac:dyDescent="0.25">
      <c r="A1125" s="4">
        <v>1123</v>
      </c>
      <c r="B1125" s="2" t="str">
        <f>"3251202108112249058098"</f>
        <v>3251202108112249058098</v>
      </c>
      <c r="C1125" s="2" t="s">
        <v>12</v>
      </c>
      <c r="D1125" s="2" t="str">
        <f>"蓝英霞"</f>
        <v>蓝英霞</v>
      </c>
      <c r="E1125" s="2" t="str">
        <f>"女"</f>
        <v>女</v>
      </c>
    </row>
    <row r="1126" spans="1:5" ht="14.4" x14ac:dyDescent="0.25">
      <c r="A1126" s="4">
        <v>1124</v>
      </c>
      <c r="B1126" s="2" t="str">
        <f>"3251202108112252048103"</f>
        <v>3251202108112252048103</v>
      </c>
      <c r="C1126" s="2" t="s">
        <v>12</v>
      </c>
      <c r="D1126" s="2" t="str">
        <f>"符徐向"</f>
        <v>符徐向</v>
      </c>
      <c r="E1126" s="2" t="str">
        <f>"女"</f>
        <v>女</v>
      </c>
    </row>
    <row r="1127" spans="1:5" ht="14.4" x14ac:dyDescent="0.25">
      <c r="A1127" s="4">
        <v>1125</v>
      </c>
      <c r="B1127" s="2" t="str">
        <f>"3251202108112313508121"</f>
        <v>3251202108112313508121</v>
      </c>
      <c r="C1127" s="2" t="s">
        <v>12</v>
      </c>
      <c r="D1127" s="2" t="str">
        <f>"李小燕"</f>
        <v>李小燕</v>
      </c>
      <c r="E1127" s="2" t="str">
        <f>"女"</f>
        <v>女</v>
      </c>
    </row>
    <row r="1128" spans="1:5" ht="14.4" x14ac:dyDescent="0.25">
      <c r="A1128" s="4">
        <v>1126</v>
      </c>
      <c r="B1128" s="2" t="str">
        <f>"3251202108120015558153"</f>
        <v>3251202108120015558153</v>
      </c>
      <c r="C1128" s="2" t="s">
        <v>12</v>
      </c>
      <c r="D1128" s="2" t="str">
        <f>"苏文燕"</f>
        <v>苏文燕</v>
      </c>
      <c r="E1128" s="2" t="str">
        <f>"女"</f>
        <v>女</v>
      </c>
    </row>
    <row r="1129" spans="1:5" ht="14.4" x14ac:dyDescent="0.25">
      <c r="A1129" s="4">
        <v>1127</v>
      </c>
      <c r="B1129" s="2" t="str">
        <f>"3251202108121043048498"</f>
        <v>3251202108121043048498</v>
      </c>
      <c r="C1129" s="2" t="s">
        <v>12</v>
      </c>
      <c r="D1129" s="2" t="str">
        <f>"钟皇丰"</f>
        <v>钟皇丰</v>
      </c>
      <c r="E1129" s="2" t="str">
        <f>"男"</f>
        <v>男</v>
      </c>
    </row>
    <row r="1130" spans="1:5" ht="14.4" x14ac:dyDescent="0.25">
      <c r="A1130" s="4">
        <v>1128</v>
      </c>
      <c r="B1130" s="2" t="str">
        <f>"3251202108121044598503"</f>
        <v>3251202108121044598503</v>
      </c>
      <c r="C1130" s="2" t="s">
        <v>12</v>
      </c>
      <c r="D1130" s="2" t="str">
        <f>"卢周武"</f>
        <v>卢周武</v>
      </c>
      <c r="E1130" s="2" t="str">
        <f>"男"</f>
        <v>男</v>
      </c>
    </row>
    <row r="1131" spans="1:5" ht="14.4" x14ac:dyDescent="0.25">
      <c r="A1131" s="4">
        <v>1129</v>
      </c>
      <c r="B1131" s="2" t="str">
        <f>"3251202108121055408531"</f>
        <v>3251202108121055408531</v>
      </c>
      <c r="C1131" s="2" t="s">
        <v>12</v>
      </c>
      <c r="D1131" s="2" t="str">
        <f>"李海婷"</f>
        <v>李海婷</v>
      </c>
      <c r="E1131" s="2" t="str">
        <f>"女"</f>
        <v>女</v>
      </c>
    </row>
    <row r="1132" spans="1:5" ht="14.4" x14ac:dyDescent="0.25">
      <c r="A1132" s="4">
        <v>1130</v>
      </c>
      <c r="B1132" s="2" t="str">
        <f>"3251202108121114158559"</f>
        <v>3251202108121114158559</v>
      </c>
      <c r="C1132" s="2" t="s">
        <v>12</v>
      </c>
      <c r="D1132" s="2" t="str">
        <f>"王艺霞"</f>
        <v>王艺霞</v>
      </c>
      <c r="E1132" s="2" t="str">
        <f>"女"</f>
        <v>女</v>
      </c>
    </row>
    <row r="1133" spans="1:5" ht="14.4" x14ac:dyDescent="0.25">
      <c r="A1133" s="4">
        <v>1131</v>
      </c>
      <c r="B1133" s="2" t="str">
        <f>"3251202108121134208599"</f>
        <v>3251202108121134208599</v>
      </c>
      <c r="C1133" s="2" t="s">
        <v>12</v>
      </c>
      <c r="D1133" s="2" t="str">
        <f>"潘莹"</f>
        <v>潘莹</v>
      </c>
      <c r="E1133" s="2" t="str">
        <f>"女"</f>
        <v>女</v>
      </c>
    </row>
    <row r="1134" spans="1:5" ht="14.4" x14ac:dyDescent="0.25">
      <c r="A1134" s="4">
        <v>1132</v>
      </c>
      <c r="B1134" s="2" t="str">
        <f>"3251202108121135508601"</f>
        <v>3251202108121135508601</v>
      </c>
      <c r="C1134" s="2" t="s">
        <v>12</v>
      </c>
      <c r="D1134" s="2" t="str">
        <f>"黄聪天"</f>
        <v>黄聪天</v>
      </c>
      <c r="E1134" s="2" t="str">
        <f>"男"</f>
        <v>男</v>
      </c>
    </row>
    <row r="1135" spans="1:5" ht="14.4" x14ac:dyDescent="0.25">
      <c r="A1135" s="4">
        <v>1133</v>
      </c>
      <c r="B1135" s="2" t="str">
        <f>"3251202108121241058677"</f>
        <v>3251202108121241058677</v>
      </c>
      <c r="C1135" s="2" t="s">
        <v>12</v>
      </c>
      <c r="D1135" s="2" t="str">
        <f>"韩佩婷"</f>
        <v>韩佩婷</v>
      </c>
      <c r="E1135" s="2" t="str">
        <f>"女"</f>
        <v>女</v>
      </c>
    </row>
    <row r="1136" spans="1:5" ht="14.4" x14ac:dyDescent="0.25">
      <c r="A1136" s="4">
        <v>1134</v>
      </c>
      <c r="B1136" s="2" t="str">
        <f>"3251202108121355088759"</f>
        <v>3251202108121355088759</v>
      </c>
      <c r="C1136" s="2" t="s">
        <v>12</v>
      </c>
      <c r="D1136" s="2" t="str">
        <f>"李垂清"</f>
        <v>李垂清</v>
      </c>
      <c r="E1136" s="2" t="str">
        <f>"男"</f>
        <v>男</v>
      </c>
    </row>
    <row r="1137" spans="1:5" ht="14.4" x14ac:dyDescent="0.25">
      <c r="A1137" s="4">
        <v>1135</v>
      </c>
      <c r="B1137" s="2" t="str">
        <f>"3251202108121446138822"</f>
        <v>3251202108121446138822</v>
      </c>
      <c r="C1137" s="2" t="s">
        <v>12</v>
      </c>
      <c r="D1137" s="2" t="str">
        <f>"陈琳"</f>
        <v>陈琳</v>
      </c>
      <c r="E1137" s="2" t="str">
        <f>"女"</f>
        <v>女</v>
      </c>
    </row>
    <row r="1138" spans="1:5" ht="14.4" x14ac:dyDescent="0.25">
      <c r="A1138" s="4">
        <v>1136</v>
      </c>
      <c r="B1138" s="2" t="str">
        <f>"3251202108121509278864"</f>
        <v>3251202108121509278864</v>
      </c>
      <c r="C1138" s="2" t="s">
        <v>12</v>
      </c>
      <c r="D1138" s="2" t="str">
        <f>"蒲海英"</f>
        <v>蒲海英</v>
      </c>
      <c r="E1138" s="2" t="str">
        <f>"女"</f>
        <v>女</v>
      </c>
    </row>
    <row r="1139" spans="1:5" ht="14.4" x14ac:dyDescent="0.25">
      <c r="A1139" s="4">
        <v>1137</v>
      </c>
      <c r="B1139" s="2" t="str">
        <f>"3251202108121513548872"</f>
        <v>3251202108121513548872</v>
      </c>
      <c r="C1139" s="2" t="s">
        <v>12</v>
      </c>
      <c r="D1139" s="2" t="str">
        <f>"向子清"</f>
        <v>向子清</v>
      </c>
      <c r="E1139" s="2" t="str">
        <f>"男"</f>
        <v>男</v>
      </c>
    </row>
    <row r="1140" spans="1:5" ht="14.4" x14ac:dyDescent="0.25">
      <c r="A1140" s="4">
        <v>1138</v>
      </c>
      <c r="B1140" s="2" t="str">
        <f>"3251202108121516068881"</f>
        <v>3251202108121516068881</v>
      </c>
      <c r="C1140" s="2" t="s">
        <v>12</v>
      </c>
      <c r="D1140" s="2" t="str">
        <f>"王浩然"</f>
        <v>王浩然</v>
      </c>
      <c r="E1140" s="2" t="str">
        <f>"男"</f>
        <v>男</v>
      </c>
    </row>
    <row r="1141" spans="1:5" ht="14.4" x14ac:dyDescent="0.25">
      <c r="A1141" s="4">
        <v>1139</v>
      </c>
      <c r="B1141" s="2" t="str">
        <f>"3251202108121555568961"</f>
        <v>3251202108121555568961</v>
      </c>
      <c r="C1141" s="2" t="s">
        <v>12</v>
      </c>
      <c r="D1141" s="2" t="str">
        <f>"洪敏"</f>
        <v>洪敏</v>
      </c>
      <c r="E1141" s="2" t="str">
        <f>"女"</f>
        <v>女</v>
      </c>
    </row>
    <row r="1142" spans="1:5" ht="14.4" x14ac:dyDescent="0.25">
      <c r="A1142" s="4">
        <v>1140</v>
      </c>
      <c r="B1142" s="2" t="str">
        <f>"3251202108121557248968"</f>
        <v>3251202108121557248968</v>
      </c>
      <c r="C1142" s="2" t="s">
        <v>12</v>
      </c>
      <c r="D1142" s="2" t="str">
        <f>"黄剑胜"</f>
        <v>黄剑胜</v>
      </c>
      <c r="E1142" s="2" t="str">
        <f>"男"</f>
        <v>男</v>
      </c>
    </row>
    <row r="1143" spans="1:5" ht="14.4" x14ac:dyDescent="0.25">
      <c r="A1143" s="4">
        <v>1141</v>
      </c>
      <c r="B1143" s="2" t="str">
        <f>"3251202108121646059042"</f>
        <v>3251202108121646059042</v>
      </c>
      <c r="C1143" s="2" t="s">
        <v>12</v>
      </c>
      <c r="D1143" s="2" t="str">
        <f>"何石养"</f>
        <v>何石养</v>
      </c>
      <c r="E1143" s="2" t="str">
        <f>"女"</f>
        <v>女</v>
      </c>
    </row>
    <row r="1144" spans="1:5" ht="14.4" x14ac:dyDescent="0.25">
      <c r="A1144" s="4">
        <v>1142</v>
      </c>
      <c r="B1144" s="2" t="str">
        <f>"3251202108121647159044"</f>
        <v>3251202108121647159044</v>
      </c>
      <c r="C1144" s="2" t="s">
        <v>12</v>
      </c>
      <c r="D1144" s="2" t="str">
        <f>"吴冠祥"</f>
        <v>吴冠祥</v>
      </c>
      <c r="E1144" s="2" t="str">
        <f>"男"</f>
        <v>男</v>
      </c>
    </row>
    <row r="1145" spans="1:5" ht="14.4" x14ac:dyDescent="0.25">
      <c r="A1145" s="4">
        <v>1143</v>
      </c>
      <c r="B1145" s="2" t="str">
        <f>"3251202108121759539138"</f>
        <v>3251202108121759539138</v>
      </c>
      <c r="C1145" s="2" t="s">
        <v>12</v>
      </c>
      <c r="D1145" s="2" t="str">
        <f>"王红艳"</f>
        <v>王红艳</v>
      </c>
      <c r="E1145" s="2" t="str">
        <f>"女"</f>
        <v>女</v>
      </c>
    </row>
    <row r="1146" spans="1:5" ht="14.4" x14ac:dyDescent="0.25">
      <c r="A1146" s="4">
        <v>1144</v>
      </c>
      <c r="B1146" s="2" t="str">
        <f>"3251202108121820299160"</f>
        <v>3251202108121820299160</v>
      </c>
      <c r="C1146" s="2" t="s">
        <v>12</v>
      </c>
      <c r="D1146" s="2" t="str">
        <f>"邓小兰"</f>
        <v>邓小兰</v>
      </c>
      <c r="E1146" s="2" t="str">
        <f>"女"</f>
        <v>女</v>
      </c>
    </row>
    <row r="1147" spans="1:5" ht="14.4" x14ac:dyDescent="0.25">
      <c r="A1147" s="4">
        <v>1145</v>
      </c>
      <c r="B1147" s="2" t="str">
        <f>"3251202108122018519264"</f>
        <v>3251202108122018519264</v>
      </c>
      <c r="C1147" s="2" t="s">
        <v>12</v>
      </c>
      <c r="D1147" s="2" t="str">
        <f>"周小剑"</f>
        <v>周小剑</v>
      </c>
      <c r="E1147" s="2" t="str">
        <f>"男"</f>
        <v>男</v>
      </c>
    </row>
    <row r="1148" spans="1:5" ht="14.4" x14ac:dyDescent="0.25">
      <c r="A1148" s="4">
        <v>1146</v>
      </c>
      <c r="B1148" s="2" t="str">
        <f>"3251202108122024509271"</f>
        <v>3251202108122024509271</v>
      </c>
      <c r="C1148" s="2" t="s">
        <v>12</v>
      </c>
      <c r="D1148" s="2" t="str">
        <f>"陈淑桃"</f>
        <v>陈淑桃</v>
      </c>
      <c r="E1148" s="2" t="str">
        <f>"女"</f>
        <v>女</v>
      </c>
    </row>
    <row r="1149" spans="1:5" ht="14.4" x14ac:dyDescent="0.25">
      <c r="A1149" s="4">
        <v>1147</v>
      </c>
      <c r="B1149" s="2" t="str">
        <f>"3251202108122027429273"</f>
        <v>3251202108122027429273</v>
      </c>
      <c r="C1149" s="2" t="s">
        <v>12</v>
      </c>
      <c r="D1149" s="2" t="str">
        <f>"陈代炼"</f>
        <v>陈代炼</v>
      </c>
      <c r="E1149" s="2" t="str">
        <f>"女"</f>
        <v>女</v>
      </c>
    </row>
    <row r="1150" spans="1:5" ht="14.4" x14ac:dyDescent="0.25">
      <c r="A1150" s="4">
        <v>1148</v>
      </c>
      <c r="B1150" s="2" t="str">
        <f>"3251202108122045369293"</f>
        <v>3251202108122045369293</v>
      </c>
      <c r="C1150" s="2" t="s">
        <v>12</v>
      </c>
      <c r="D1150" s="2" t="str">
        <f>"何颖"</f>
        <v>何颖</v>
      </c>
      <c r="E1150" s="2" t="str">
        <f>"女"</f>
        <v>女</v>
      </c>
    </row>
    <row r="1151" spans="1:5" ht="14.4" x14ac:dyDescent="0.25">
      <c r="A1151" s="4">
        <v>1149</v>
      </c>
      <c r="B1151" s="2" t="str">
        <f>"3251202108122224359395"</f>
        <v>3251202108122224359395</v>
      </c>
      <c r="C1151" s="2" t="s">
        <v>12</v>
      </c>
      <c r="D1151" s="2" t="str">
        <f>"蔡海菊"</f>
        <v>蔡海菊</v>
      </c>
      <c r="E1151" s="2" t="str">
        <f>"女"</f>
        <v>女</v>
      </c>
    </row>
    <row r="1152" spans="1:5" ht="14.4" x14ac:dyDescent="0.25">
      <c r="A1152" s="4">
        <v>1150</v>
      </c>
      <c r="B1152" s="2" t="str">
        <f>"3251202108122303099428"</f>
        <v>3251202108122303099428</v>
      </c>
      <c r="C1152" s="2" t="s">
        <v>12</v>
      </c>
      <c r="D1152" s="2" t="str">
        <f>"唐多莺"</f>
        <v>唐多莺</v>
      </c>
      <c r="E1152" s="2" t="str">
        <f>"女"</f>
        <v>女</v>
      </c>
    </row>
    <row r="1153" spans="1:5" ht="14.4" x14ac:dyDescent="0.25">
      <c r="A1153" s="4">
        <v>1151</v>
      </c>
      <c r="B1153" s="2" t="str">
        <f>"3251202108122321559450"</f>
        <v>3251202108122321559450</v>
      </c>
      <c r="C1153" s="2" t="s">
        <v>12</v>
      </c>
      <c r="D1153" s="2" t="str">
        <f>"陈军"</f>
        <v>陈军</v>
      </c>
      <c r="E1153" s="2" t="str">
        <f>"男"</f>
        <v>男</v>
      </c>
    </row>
    <row r="1154" spans="1:5" ht="14.4" x14ac:dyDescent="0.25">
      <c r="A1154" s="4">
        <v>1152</v>
      </c>
      <c r="B1154" s="2" t="str">
        <f>"3251202108130006539465"</f>
        <v>3251202108130006539465</v>
      </c>
      <c r="C1154" s="2" t="s">
        <v>12</v>
      </c>
      <c r="D1154" s="2" t="str">
        <f>"李远"</f>
        <v>李远</v>
      </c>
      <c r="E1154" s="2" t="str">
        <f>"男"</f>
        <v>男</v>
      </c>
    </row>
    <row r="1155" spans="1:5" ht="14.4" x14ac:dyDescent="0.25">
      <c r="A1155" s="4">
        <v>1153</v>
      </c>
      <c r="B1155" s="2" t="str">
        <f>"3251202108130955469618"</f>
        <v>3251202108130955469618</v>
      </c>
      <c r="C1155" s="2" t="s">
        <v>12</v>
      </c>
      <c r="D1155" s="2" t="str">
        <f>"文喜"</f>
        <v>文喜</v>
      </c>
      <c r="E1155" s="2" t="str">
        <f>"女"</f>
        <v>女</v>
      </c>
    </row>
    <row r="1156" spans="1:5" ht="14.4" x14ac:dyDescent="0.25">
      <c r="A1156" s="4">
        <v>1154</v>
      </c>
      <c r="B1156" s="2" t="str">
        <f>"3251202108131030039658"</f>
        <v>3251202108131030039658</v>
      </c>
      <c r="C1156" s="2" t="s">
        <v>12</v>
      </c>
      <c r="D1156" s="2" t="str">
        <f>"李尾莲"</f>
        <v>李尾莲</v>
      </c>
      <c r="E1156" s="2" t="str">
        <f>"女"</f>
        <v>女</v>
      </c>
    </row>
    <row r="1157" spans="1:5" ht="14.4" x14ac:dyDescent="0.25">
      <c r="A1157" s="4">
        <v>1155</v>
      </c>
      <c r="B1157" s="2" t="str">
        <f>"3251202108131053599695"</f>
        <v>3251202108131053599695</v>
      </c>
      <c r="C1157" s="2" t="s">
        <v>12</v>
      </c>
      <c r="D1157" s="2" t="str">
        <f>"郭秀民"</f>
        <v>郭秀民</v>
      </c>
      <c r="E1157" s="2" t="str">
        <f>"男"</f>
        <v>男</v>
      </c>
    </row>
    <row r="1158" spans="1:5" ht="14.4" x14ac:dyDescent="0.25">
      <c r="A1158" s="4">
        <v>1156</v>
      </c>
      <c r="B1158" s="2" t="str">
        <f>"3251202108131132359752"</f>
        <v>3251202108131132359752</v>
      </c>
      <c r="C1158" s="2" t="s">
        <v>12</v>
      </c>
      <c r="D1158" s="2" t="str">
        <f>"黎坪宇"</f>
        <v>黎坪宇</v>
      </c>
      <c r="E1158" s="2" t="str">
        <f>"女"</f>
        <v>女</v>
      </c>
    </row>
    <row r="1159" spans="1:5" ht="14.4" x14ac:dyDescent="0.25">
      <c r="A1159" s="4">
        <v>1157</v>
      </c>
      <c r="B1159" s="2" t="str">
        <f>"3251202108131209529793"</f>
        <v>3251202108131209529793</v>
      </c>
      <c r="C1159" s="2" t="s">
        <v>12</v>
      </c>
      <c r="D1159" s="2" t="str">
        <f>"李选军"</f>
        <v>李选军</v>
      </c>
      <c r="E1159" s="2" t="str">
        <f>"男"</f>
        <v>男</v>
      </c>
    </row>
    <row r="1160" spans="1:5" ht="14.4" x14ac:dyDescent="0.25">
      <c r="A1160" s="4">
        <v>1158</v>
      </c>
      <c r="B1160" s="2" t="str">
        <f>"3251202108131336529847"</f>
        <v>3251202108131336529847</v>
      </c>
      <c r="C1160" s="2" t="s">
        <v>12</v>
      </c>
      <c r="D1160" s="2" t="str">
        <f>"谢裕柳"</f>
        <v>谢裕柳</v>
      </c>
      <c r="E1160" s="2" t="str">
        <f>"女"</f>
        <v>女</v>
      </c>
    </row>
    <row r="1161" spans="1:5" ht="14.4" x14ac:dyDescent="0.25">
      <c r="A1161" s="4">
        <v>1159</v>
      </c>
      <c r="B1161" s="2" t="str">
        <f>"3251202108131508219922"</f>
        <v>3251202108131508219922</v>
      </c>
      <c r="C1161" s="2" t="s">
        <v>12</v>
      </c>
      <c r="D1161" s="2" t="str">
        <f>"倪俊莲"</f>
        <v>倪俊莲</v>
      </c>
      <c r="E1161" s="2" t="str">
        <f>"女"</f>
        <v>女</v>
      </c>
    </row>
    <row r="1162" spans="1:5" ht="14.4" x14ac:dyDescent="0.25">
      <c r="A1162" s="4">
        <v>1160</v>
      </c>
      <c r="B1162" s="2" t="str">
        <f>"32512021081316055510010"</f>
        <v>32512021081316055510010</v>
      </c>
      <c r="C1162" s="2" t="s">
        <v>12</v>
      </c>
      <c r="D1162" s="2" t="str">
        <f>"陈志员"</f>
        <v>陈志员</v>
      </c>
      <c r="E1162" s="2" t="str">
        <f>"男"</f>
        <v>男</v>
      </c>
    </row>
    <row r="1163" spans="1:5" ht="14.4" x14ac:dyDescent="0.25">
      <c r="A1163" s="4">
        <v>1161</v>
      </c>
      <c r="B1163" s="2" t="str">
        <f>"32512021081316492010062"</f>
        <v>32512021081316492010062</v>
      </c>
      <c r="C1163" s="2" t="s">
        <v>12</v>
      </c>
      <c r="D1163" s="2" t="str">
        <f>"林婷婷"</f>
        <v>林婷婷</v>
      </c>
      <c r="E1163" s="2" t="str">
        <f>"女"</f>
        <v>女</v>
      </c>
    </row>
    <row r="1164" spans="1:5" ht="14.4" x14ac:dyDescent="0.25">
      <c r="A1164" s="4">
        <v>1162</v>
      </c>
      <c r="B1164" s="2" t="str">
        <f>"32512021081317041110078"</f>
        <v>32512021081317041110078</v>
      </c>
      <c r="C1164" s="2" t="s">
        <v>12</v>
      </c>
      <c r="D1164" s="2" t="str">
        <f>"李诗杰"</f>
        <v>李诗杰</v>
      </c>
      <c r="E1164" s="2" t="str">
        <f>"男"</f>
        <v>男</v>
      </c>
    </row>
    <row r="1165" spans="1:5" ht="14.4" x14ac:dyDescent="0.25">
      <c r="A1165" s="4">
        <v>1163</v>
      </c>
      <c r="B1165" s="2" t="str">
        <f>"32512021081317065310081"</f>
        <v>32512021081317065310081</v>
      </c>
      <c r="C1165" s="2" t="s">
        <v>12</v>
      </c>
      <c r="D1165" s="2" t="str">
        <f>"吴清剑"</f>
        <v>吴清剑</v>
      </c>
      <c r="E1165" s="2" t="str">
        <f>"男"</f>
        <v>男</v>
      </c>
    </row>
    <row r="1166" spans="1:5" ht="14.4" x14ac:dyDescent="0.25">
      <c r="A1166" s="4">
        <v>1164</v>
      </c>
      <c r="B1166" s="2" t="str">
        <f>"32512021081317195310102"</f>
        <v>32512021081317195310102</v>
      </c>
      <c r="C1166" s="2" t="s">
        <v>12</v>
      </c>
      <c r="D1166" s="2" t="str">
        <f>"顾逢杰"</f>
        <v>顾逢杰</v>
      </c>
      <c r="E1166" s="2" t="str">
        <f>"男"</f>
        <v>男</v>
      </c>
    </row>
    <row r="1167" spans="1:5" ht="14.4" x14ac:dyDescent="0.25">
      <c r="A1167" s="4">
        <v>1165</v>
      </c>
      <c r="B1167" s="2" t="str">
        <f>"32512021081317361410116"</f>
        <v>32512021081317361410116</v>
      </c>
      <c r="C1167" s="2" t="s">
        <v>12</v>
      </c>
      <c r="D1167" s="2" t="str">
        <f>"李宇"</f>
        <v>李宇</v>
      </c>
      <c r="E1167" s="2" t="str">
        <f>"男"</f>
        <v>男</v>
      </c>
    </row>
    <row r="1168" spans="1:5" ht="14.4" x14ac:dyDescent="0.25">
      <c r="A1168" s="4">
        <v>1166</v>
      </c>
      <c r="B1168" s="2" t="str">
        <f>"32512021081318231310157"</f>
        <v>32512021081318231310157</v>
      </c>
      <c r="C1168" s="2" t="s">
        <v>12</v>
      </c>
      <c r="D1168" s="2" t="str">
        <f>"李红"</f>
        <v>李红</v>
      </c>
      <c r="E1168" s="2" t="str">
        <f>"女"</f>
        <v>女</v>
      </c>
    </row>
    <row r="1169" spans="1:5" ht="14.4" x14ac:dyDescent="0.25">
      <c r="A1169" s="4">
        <v>1167</v>
      </c>
      <c r="B1169" s="2" t="str">
        <f>"32512021081322521810316"</f>
        <v>32512021081322521810316</v>
      </c>
      <c r="C1169" s="2" t="s">
        <v>12</v>
      </c>
      <c r="D1169" s="2" t="str">
        <f>"李冬艳"</f>
        <v>李冬艳</v>
      </c>
      <c r="E1169" s="2" t="str">
        <f>"女"</f>
        <v>女</v>
      </c>
    </row>
    <row r="1170" spans="1:5" ht="14.4" x14ac:dyDescent="0.25">
      <c r="A1170" s="4">
        <v>1168</v>
      </c>
      <c r="B1170" s="2" t="str">
        <f>"32512021081401014210355"</f>
        <v>32512021081401014210355</v>
      </c>
      <c r="C1170" s="2" t="s">
        <v>12</v>
      </c>
      <c r="D1170" s="2" t="str">
        <f>"薛万王"</f>
        <v>薛万王</v>
      </c>
      <c r="E1170" s="2" t="str">
        <f>"男"</f>
        <v>男</v>
      </c>
    </row>
    <row r="1171" spans="1:5" ht="14.4" x14ac:dyDescent="0.25">
      <c r="A1171" s="4">
        <v>1169</v>
      </c>
      <c r="B1171" s="2" t="str">
        <f>"32512021081408153010375"</f>
        <v>32512021081408153010375</v>
      </c>
      <c r="C1171" s="2" t="s">
        <v>12</v>
      </c>
      <c r="D1171" s="2" t="str">
        <f>"曾令怡"</f>
        <v>曾令怡</v>
      </c>
      <c r="E1171" s="2" t="str">
        <f>"女"</f>
        <v>女</v>
      </c>
    </row>
    <row r="1172" spans="1:5" ht="14.4" x14ac:dyDescent="0.25">
      <c r="A1172" s="4">
        <v>1170</v>
      </c>
      <c r="B1172" s="2" t="str">
        <f>"32512021081410113910440"</f>
        <v>32512021081410113910440</v>
      </c>
      <c r="C1172" s="2" t="s">
        <v>12</v>
      </c>
      <c r="D1172" s="2" t="str">
        <f>"王汉桦"</f>
        <v>王汉桦</v>
      </c>
      <c r="E1172" s="2" t="str">
        <f>"女"</f>
        <v>女</v>
      </c>
    </row>
    <row r="1173" spans="1:5" ht="14.4" x14ac:dyDescent="0.25">
      <c r="A1173" s="4">
        <v>1171</v>
      </c>
      <c r="B1173" s="2" t="str">
        <f>"32512021081414234310594"</f>
        <v>32512021081414234310594</v>
      </c>
      <c r="C1173" s="2" t="s">
        <v>12</v>
      </c>
      <c r="D1173" s="2" t="str">
        <f>"林全"</f>
        <v>林全</v>
      </c>
      <c r="E1173" s="2" t="str">
        <f>"男"</f>
        <v>男</v>
      </c>
    </row>
    <row r="1174" spans="1:5" ht="14.4" x14ac:dyDescent="0.25">
      <c r="A1174" s="4">
        <v>1172</v>
      </c>
      <c r="B1174" s="2" t="str">
        <f>"32512021081500104510907"</f>
        <v>32512021081500104510907</v>
      </c>
      <c r="C1174" s="2" t="s">
        <v>12</v>
      </c>
      <c r="D1174" s="2" t="str">
        <f>"吉婉君"</f>
        <v>吉婉君</v>
      </c>
      <c r="E1174" s="2" t="str">
        <f>"女"</f>
        <v>女</v>
      </c>
    </row>
    <row r="1175" spans="1:5" ht="14.4" x14ac:dyDescent="0.25">
      <c r="A1175" s="4">
        <v>1173</v>
      </c>
      <c r="B1175" s="2" t="str">
        <f>"32512021081508070210935"</f>
        <v>32512021081508070210935</v>
      </c>
      <c r="C1175" s="2" t="s">
        <v>12</v>
      </c>
      <c r="D1175" s="2" t="str">
        <f>"陈里欢"</f>
        <v>陈里欢</v>
      </c>
      <c r="E1175" s="2" t="str">
        <f>"男"</f>
        <v>男</v>
      </c>
    </row>
    <row r="1176" spans="1:5" ht="14.4" x14ac:dyDescent="0.25">
      <c r="A1176" s="4">
        <v>1174</v>
      </c>
      <c r="B1176" s="2" t="str">
        <f>"32512021081509442610967"</f>
        <v>32512021081509442610967</v>
      </c>
      <c r="C1176" s="2" t="s">
        <v>12</v>
      </c>
      <c r="D1176" s="2" t="str">
        <f>"代福"</f>
        <v>代福</v>
      </c>
      <c r="E1176" s="2" t="str">
        <f>"女"</f>
        <v>女</v>
      </c>
    </row>
    <row r="1177" spans="1:5" ht="14.4" x14ac:dyDescent="0.25">
      <c r="A1177" s="4">
        <v>1175</v>
      </c>
      <c r="B1177" s="2" t="str">
        <f>"32512021081510361011002"</f>
        <v>32512021081510361011002</v>
      </c>
      <c r="C1177" s="2" t="s">
        <v>12</v>
      </c>
      <c r="D1177" s="2" t="str">
        <f>"何远程"</f>
        <v>何远程</v>
      </c>
      <c r="E1177" s="2" t="str">
        <f>"男"</f>
        <v>男</v>
      </c>
    </row>
    <row r="1178" spans="1:5" ht="14.4" x14ac:dyDescent="0.25">
      <c r="A1178" s="4">
        <v>1176</v>
      </c>
      <c r="B1178" s="2" t="str">
        <f>"32512021081511413011051"</f>
        <v>32512021081511413011051</v>
      </c>
      <c r="C1178" s="2" t="s">
        <v>12</v>
      </c>
      <c r="D1178" s="2" t="str">
        <f>"王晓航"</f>
        <v>王晓航</v>
      </c>
      <c r="E1178" s="2" t="str">
        <f>"女"</f>
        <v>女</v>
      </c>
    </row>
    <row r="1179" spans="1:5" ht="14.4" x14ac:dyDescent="0.25">
      <c r="A1179" s="4">
        <v>1177</v>
      </c>
      <c r="B1179" s="2" t="str">
        <f>"32512021081512113411067"</f>
        <v>32512021081512113411067</v>
      </c>
      <c r="C1179" s="2" t="s">
        <v>12</v>
      </c>
      <c r="D1179" s="2" t="str">
        <f>"钟前飞"</f>
        <v>钟前飞</v>
      </c>
      <c r="E1179" s="2" t="str">
        <f>"男"</f>
        <v>男</v>
      </c>
    </row>
    <row r="1180" spans="1:5" ht="14.4" x14ac:dyDescent="0.25">
      <c r="A1180" s="4">
        <v>1178</v>
      </c>
      <c r="B1180" s="2" t="str">
        <f>"32512021081513193611108"</f>
        <v>32512021081513193611108</v>
      </c>
      <c r="C1180" s="2" t="s">
        <v>12</v>
      </c>
      <c r="D1180" s="2" t="str">
        <f>"张才容"</f>
        <v>张才容</v>
      </c>
      <c r="E1180" s="2" t="str">
        <f>"男"</f>
        <v>男</v>
      </c>
    </row>
    <row r="1181" spans="1:5" ht="14.4" x14ac:dyDescent="0.25">
      <c r="A1181" s="4">
        <v>1179</v>
      </c>
      <c r="B1181" s="2" t="str">
        <f>"32512021081514084411145"</f>
        <v>32512021081514084411145</v>
      </c>
      <c r="C1181" s="2" t="s">
        <v>12</v>
      </c>
      <c r="D1181" s="2" t="str">
        <f>"刘晓慧"</f>
        <v>刘晓慧</v>
      </c>
      <c r="E1181" s="2" t="str">
        <f>"女"</f>
        <v>女</v>
      </c>
    </row>
    <row r="1182" spans="1:5" ht="14.4" x14ac:dyDescent="0.25">
      <c r="A1182" s="4">
        <v>1180</v>
      </c>
      <c r="B1182" s="2" t="str">
        <f>"32512021081514203911156"</f>
        <v>32512021081514203911156</v>
      </c>
      <c r="C1182" s="2" t="s">
        <v>12</v>
      </c>
      <c r="D1182" s="2" t="str">
        <f>"姜鹏"</f>
        <v>姜鹏</v>
      </c>
      <c r="E1182" s="2" t="str">
        <f>"男"</f>
        <v>男</v>
      </c>
    </row>
    <row r="1183" spans="1:5" ht="14.4" x14ac:dyDescent="0.25">
      <c r="A1183" s="4">
        <v>1181</v>
      </c>
      <c r="B1183" s="2" t="str">
        <f>"32512021081514312211167"</f>
        <v>32512021081514312211167</v>
      </c>
      <c r="C1183" s="2" t="s">
        <v>12</v>
      </c>
      <c r="D1183" s="2" t="str">
        <f>"黄冠宇"</f>
        <v>黄冠宇</v>
      </c>
      <c r="E1183" s="2" t="str">
        <f>"男"</f>
        <v>男</v>
      </c>
    </row>
    <row r="1184" spans="1:5" ht="14.4" x14ac:dyDescent="0.25">
      <c r="A1184" s="4">
        <v>1182</v>
      </c>
      <c r="B1184" s="2" t="str">
        <f>"32512021081515135311195"</f>
        <v>32512021081515135311195</v>
      </c>
      <c r="C1184" s="2" t="s">
        <v>12</v>
      </c>
      <c r="D1184" s="2" t="str">
        <f>"陈曼丽"</f>
        <v>陈曼丽</v>
      </c>
      <c r="E1184" s="2" t="str">
        <f>"女"</f>
        <v>女</v>
      </c>
    </row>
    <row r="1185" spans="1:5" ht="14.4" x14ac:dyDescent="0.25">
      <c r="A1185" s="4">
        <v>1183</v>
      </c>
      <c r="B1185" s="2" t="str">
        <f>"32512021081515161711200"</f>
        <v>32512021081515161711200</v>
      </c>
      <c r="C1185" s="2" t="s">
        <v>12</v>
      </c>
      <c r="D1185" s="2" t="str">
        <f>"杜振诚"</f>
        <v>杜振诚</v>
      </c>
      <c r="E1185" s="2" t="str">
        <f>"男"</f>
        <v>男</v>
      </c>
    </row>
    <row r="1186" spans="1:5" ht="14.4" x14ac:dyDescent="0.25">
      <c r="A1186" s="4">
        <v>1184</v>
      </c>
      <c r="B1186" s="2" t="str">
        <f>"32512021081515523011217"</f>
        <v>32512021081515523011217</v>
      </c>
      <c r="C1186" s="2" t="s">
        <v>12</v>
      </c>
      <c r="D1186" s="2" t="str">
        <f>"谢伊婕"</f>
        <v>谢伊婕</v>
      </c>
      <c r="E1186" s="2" t="str">
        <f>"女"</f>
        <v>女</v>
      </c>
    </row>
    <row r="1187" spans="1:5" ht="14.4" x14ac:dyDescent="0.25">
      <c r="A1187" s="4">
        <v>1185</v>
      </c>
      <c r="B1187" s="2" t="str">
        <f>"32512021081515563211219"</f>
        <v>32512021081515563211219</v>
      </c>
      <c r="C1187" s="2" t="s">
        <v>12</v>
      </c>
      <c r="D1187" s="2" t="str">
        <f>"张丽珍"</f>
        <v>张丽珍</v>
      </c>
      <c r="E1187" s="2" t="str">
        <f>"女"</f>
        <v>女</v>
      </c>
    </row>
    <row r="1188" spans="1:5" ht="14.4" x14ac:dyDescent="0.25">
      <c r="A1188" s="4">
        <v>1186</v>
      </c>
      <c r="B1188" s="2" t="str">
        <f>"32512021081516254511244"</f>
        <v>32512021081516254511244</v>
      </c>
      <c r="C1188" s="2" t="s">
        <v>12</v>
      </c>
      <c r="D1188" s="2" t="str">
        <f>"朱有明"</f>
        <v>朱有明</v>
      </c>
      <c r="E1188" s="2" t="str">
        <f>"男"</f>
        <v>男</v>
      </c>
    </row>
    <row r="1189" spans="1:5" ht="14.4" x14ac:dyDescent="0.25">
      <c r="A1189" s="4">
        <v>1187</v>
      </c>
      <c r="B1189" s="2" t="str">
        <f>"32512021081517072011284"</f>
        <v>32512021081517072011284</v>
      </c>
      <c r="C1189" s="2" t="s">
        <v>12</v>
      </c>
      <c r="D1189" s="2" t="str">
        <f>"倪世天"</f>
        <v>倪世天</v>
      </c>
      <c r="E1189" s="2" t="str">
        <f>"男"</f>
        <v>男</v>
      </c>
    </row>
    <row r="1190" spans="1:5" ht="14.4" x14ac:dyDescent="0.25">
      <c r="A1190" s="4">
        <v>1188</v>
      </c>
      <c r="B1190" s="2" t="str">
        <f>"32512021081517510011319"</f>
        <v>32512021081517510011319</v>
      </c>
      <c r="C1190" s="2" t="s">
        <v>12</v>
      </c>
      <c r="D1190" s="2" t="str">
        <f>"林鸿娟"</f>
        <v>林鸿娟</v>
      </c>
      <c r="E1190" s="2" t="str">
        <f t="shared" ref="E1190:E1195" si="30">"女"</f>
        <v>女</v>
      </c>
    </row>
    <row r="1191" spans="1:5" ht="14.4" x14ac:dyDescent="0.25">
      <c r="A1191" s="4">
        <v>1189</v>
      </c>
      <c r="B1191" s="2" t="str">
        <f>"32512021081519394811399"</f>
        <v>32512021081519394811399</v>
      </c>
      <c r="C1191" s="2" t="s">
        <v>12</v>
      </c>
      <c r="D1191" s="2" t="str">
        <f>"洪莲"</f>
        <v>洪莲</v>
      </c>
      <c r="E1191" s="2" t="str">
        <f t="shared" si="30"/>
        <v>女</v>
      </c>
    </row>
    <row r="1192" spans="1:5" ht="14.4" x14ac:dyDescent="0.25">
      <c r="A1192" s="4">
        <v>1190</v>
      </c>
      <c r="B1192" s="2" t="str">
        <f>"32512021081519525011414"</f>
        <v>32512021081519525011414</v>
      </c>
      <c r="C1192" s="2" t="s">
        <v>12</v>
      </c>
      <c r="D1192" s="2" t="str">
        <f>"吉聪羽"</f>
        <v>吉聪羽</v>
      </c>
      <c r="E1192" s="2" t="str">
        <f t="shared" si="30"/>
        <v>女</v>
      </c>
    </row>
    <row r="1193" spans="1:5" ht="14.4" x14ac:dyDescent="0.25">
      <c r="A1193" s="4">
        <v>1191</v>
      </c>
      <c r="B1193" s="2" t="str">
        <f>"32512021081519545011418"</f>
        <v>32512021081519545011418</v>
      </c>
      <c r="C1193" s="2" t="s">
        <v>12</v>
      </c>
      <c r="D1193" s="2" t="str">
        <f>"梁亚敏"</f>
        <v>梁亚敏</v>
      </c>
      <c r="E1193" s="2" t="str">
        <f t="shared" si="30"/>
        <v>女</v>
      </c>
    </row>
    <row r="1194" spans="1:5" ht="14.4" x14ac:dyDescent="0.25">
      <c r="A1194" s="4">
        <v>1192</v>
      </c>
      <c r="B1194" s="2" t="str">
        <f>"32512021081521081811485"</f>
        <v>32512021081521081811485</v>
      </c>
      <c r="C1194" s="2" t="s">
        <v>12</v>
      </c>
      <c r="D1194" s="2" t="str">
        <f>"廖顺淇"</f>
        <v>廖顺淇</v>
      </c>
      <c r="E1194" s="2" t="str">
        <f t="shared" si="30"/>
        <v>女</v>
      </c>
    </row>
    <row r="1195" spans="1:5" ht="14.4" x14ac:dyDescent="0.25">
      <c r="A1195" s="4">
        <v>1193</v>
      </c>
      <c r="B1195" s="2" t="str">
        <f>"32512021081521530311535"</f>
        <v>32512021081521530311535</v>
      </c>
      <c r="C1195" s="2" t="s">
        <v>12</v>
      </c>
      <c r="D1195" s="2" t="str">
        <f>"王石香"</f>
        <v>王石香</v>
      </c>
      <c r="E1195" s="2" t="str">
        <f t="shared" si="30"/>
        <v>女</v>
      </c>
    </row>
    <row r="1196" spans="1:5" ht="14.4" x14ac:dyDescent="0.25">
      <c r="A1196" s="4">
        <v>1194</v>
      </c>
      <c r="B1196" s="2" t="str">
        <f>"32512021081522144111552"</f>
        <v>32512021081522144111552</v>
      </c>
      <c r="C1196" s="2" t="s">
        <v>12</v>
      </c>
      <c r="D1196" s="2" t="str">
        <f>"王磊"</f>
        <v>王磊</v>
      </c>
      <c r="E1196" s="2" t="str">
        <f>"男"</f>
        <v>男</v>
      </c>
    </row>
    <row r="1197" spans="1:5" ht="14.4" x14ac:dyDescent="0.25">
      <c r="A1197" s="4">
        <v>1195</v>
      </c>
      <c r="B1197" s="2" t="str">
        <f>"32512021081522544611599"</f>
        <v>32512021081522544611599</v>
      </c>
      <c r="C1197" s="2" t="s">
        <v>12</v>
      </c>
      <c r="D1197" s="2" t="str">
        <f>"卢承珑"</f>
        <v>卢承珑</v>
      </c>
      <c r="E1197" s="2" t="str">
        <f>"男"</f>
        <v>男</v>
      </c>
    </row>
    <row r="1198" spans="1:5" ht="14.4" x14ac:dyDescent="0.25">
      <c r="A1198" s="4">
        <v>1196</v>
      </c>
      <c r="B1198" s="2" t="str">
        <f>"32512021081608281411743"</f>
        <v>32512021081608281411743</v>
      </c>
      <c r="C1198" s="2" t="s">
        <v>12</v>
      </c>
      <c r="D1198" s="2" t="str">
        <f>"廖殷"</f>
        <v>廖殷</v>
      </c>
      <c r="E1198" s="2" t="str">
        <f>"女"</f>
        <v>女</v>
      </c>
    </row>
    <row r="1199" spans="1:5" ht="14.4" x14ac:dyDescent="0.25">
      <c r="A1199" s="4">
        <v>1197</v>
      </c>
      <c r="B1199" s="2" t="str">
        <f>"32512021081608332411754"</f>
        <v>32512021081608332411754</v>
      </c>
      <c r="C1199" s="2" t="s">
        <v>12</v>
      </c>
      <c r="D1199" s="2" t="str">
        <f>"周小惠"</f>
        <v>周小惠</v>
      </c>
      <c r="E1199" s="2" t="str">
        <f>"女"</f>
        <v>女</v>
      </c>
    </row>
    <row r="1200" spans="1:5" ht="14.4" x14ac:dyDescent="0.25">
      <c r="A1200" s="4">
        <v>1198</v>
      </c>
      <c r="B1200" s="2" t="str">
        <f>"32512021081608342611758"</f>
        <v>32512021081608342611758</v>
      </c>
      <c r="C1200" s="2" t="s">
        <v>12</v>
      </c>
      <c r="D1200" s="2" t="str">
        <f>"郑石妹"</f>
        <v>郑石妹</v>
      </c>
      <c r="E1200" s="2" t="str">
        <f>"女"</f>
        <v>女</v>
      </c>
    </row>
    <row r="1201" spans="1:5" ht="14.4" x14ac:dyDescent="0.25">
      <c r="A1201" s="4">
        <v>1199</v>
      </c>
      <c r="B1201" s="2" t="str">
        <f>"32512021081608390711766"</f>
        <v>32512021081608390711766</v>
      </c>
      <c r="C1201" s="2" t="s">
        <v>12</v>
      </c>
      <c r="D1201" s="2" t="str">
        <f>"叶仁芬"</f>
        <v>叶仁芬</v>
      </c>
      <c r="E1201" s="2" t="str">
        <f>"女"</f>
        <v>女</v>
      </c>
    </row>
    <row r="1202" spans="1:5" ht="14.4" x14ac:dyDescent="0.25">
      <c r="A1202" s="4">
        <v>1200</v>
      </c>
      <c r="B1202" s="2" t="str">
        <f>"32512021081609220211944"</f>
        <v>32512021081609220211944</v>
      </c>
      <c r="C1202" s="2" t="s">
        <v>12</v>
      </c>
      <c r="D1202" s="2" t="str">
        <f>"王进"</f>
        <v>王进</v>
      </c>
      <c r="E1202" s="2" t="str">
        <f>"男"</f>
        <v>男</v>
      </c>
    </row>
    <row r="1203" spans="1:5" ht="14.4" x14ac:dyDescent="0.25">
      <c r="A1203" s="4">
        <v>1201</v>
      </c>
      <c r="B1203" s="2" t="str">
        <f>"32512021081609521512065"</f>
        <v>32512021081609521512065</v>
      </c>
      <c r="C1203" s="2" t="s">
        <v>12</v>
      </c>
      <c r="D1203" s="2" t="str">
        <f>"李娟"</f>
        <v>李娟</v>
      </c>
      <c r="E1203" s="2" t="str">
        <f>"女"</f>
        <v>女</v>
      </c>
    </row>
    <row r="1204" spans="1:5" ht="14.4" x14ac:dyDescent="0.25">
      <c r="A1204" s="4">
        <v>1202</v>
      </c>
      <c r="B1204" s="2" t="str">
        <f>"32512021081609544312074"</f>
        <v>32512021081609544312074</v>
      </c>
      <c r="C1204" s="2" t="s">
        <v>12</v>
      </c>
      <c r="D1204" s="2" t="str">
        <f>"王彩金"</f>
        <v>王彩金</v>
      </c>
      <c r="E1204" s="2" t="str">
        <f>"女"</f>
        <v>女</v>
      </c>
    </row>
    <row r="1205" spans="1:5" ht="14.4" x14ac:dyDescent="0.25">
      <c r="A1205" s="4">
        <v>1203</v>
      </c>
      <c r="B1205" s="2" t="str">
        <f>"32512021081610033512126"</f>
        <v>32512021081610033512126</v>
      </c>
      <c r="C1205" s="2" t="s">
        <v>12</v>
      </c>
      <c r="D1205" s="2" t="str">
        <f>"张碧珊"</f>
        <v>张碧珊</v>
      </c>
      <c r="E1205" s="2" t="str">
        <f>"女"</f>
        <v>女</v>
      </c>
    </row>
    <row r="1206" spans="1:5" ht="14.4" x14ac:dyDescent="0.25">
      <c r="A1206" s="4">
        <v>1204</v>
      </c>
      <c r="B1206" s="2" t="str">
        <f>"32512021081610201412223"</f>
        <v>32512021081610201412223</v>
      </c>
      <c r="C1206" s="2" t="s">
        <v>12</v>
      </c>
      <c r="D1206" s="2" t="str">
        <f>"赵宗权"</f>
        <v>赵宗权</v>
      </c>
      <c r="E1206" s="2" t="str">
        <f>"男"</f>
        <v>男</v>
      </c>
    </row>
    <row r="1207" spans="1:5" ht="14.4" x14ac:dyDescent="0.25">
      <c r="A1207" s="4">
        <v>1205</v>
      </c>
      <c r="B1207" s="2" t="str">
        <f>"32512021081610361112305"</f>
        <v>32512021081610361112305</v>
      </c>
      <c r="C1207" s="2" t="s">
        <v>12</v>
      </c>
      <c r="D1207" s="2" t="str">
        <f>"林马珍"</f>
        <v>林马珍</v>
      </c>
      <c r="E1207" s="2" t="str">
        <f>"女"</f>
        <v>女</v>
      </c>
    </row>
    <row r="1208" spans="1:5" ht="14.4" x14ac:dyDescent="0.25">
      <c r="A1208" s="4">
        <v>1206</v>
      </c>
      <c r="B1208" s="2" t="str">
        <f>"32512021081610375212316"</f>
        <v>32512021081610375212316</v>
      </c>
      <c r="C1208" s="2" t="s">
        <v>12</v>
      </c>
      <c r="D1208" s="2" t="str">
        <f>"王小慧"</f>
        <v>王小慧</v>
      </c>
      <c r="E1208" s="2" t="str">
        <f>"女"</f>
        <v>女</v>
      </c>
    </row>
    <row r="1209" spans="1:5" ht="14.4" x14ac:dyDescent="0.25">
      <c r="A1209" s="4">
        <v>1207</v>
      </c>
      <c r="B1209" s="2" t="str">
        <f>"32512021081610551412387"</f>
        <v>32512021081610551412387</v>
      </c>
      <c r="C1209" s="2" t="s">
        <v>12</v>
      </c>
      <c r="D1209" s="2" t="str">
        <f>"王种养"</f>
        <v>王种养</v>
      </c>
      <c r="E1209" s="2" t="str">
        <f>"男"</f>
        <v>男</v>
      </c>
    </row>
    <row r="1210" spans="1:5" ht="14.4" x14ac:dyDescent="0.25">
      <c r="A1210" s="4">
        <v>1208</v>
      </c>
      <c r="B1210" s="2" t="str">
        <f>"32512021081610580012395"</f>
        <v>32512021081610580012395</v>
      </c>
      <c r="C1210" s="2" t="s">
        <v>12</v>
      </c>
      <c r="D1210" s="2" t="str">
        <f>"苏江云"</f>
        <v>苏江云</v>
      </c>
      <c r="E1210" s="2" t="str">
        <f>"男"</f>
        <v>男</v>
      </c>
    </row>
    <row r="1211" spans="1:5" ht="14.4" x14ac:dyDescent="0.25">
      <c r="A1211" s="4">
        <v>1209</v>
      </c>
      <c r="B1211" s="2" t="str">
        <f>"32512021081611115512460"</f>
        <v>32512021081611115512460</v>
      </c>
      <c r="C1211" s="2" t="s">
        <v>12</v>
      </c>
      <c r="D1211" s="2" t="str">
        <f>"张小红"</f>
        <v>张小红</v>
      </c>
      <c r="E1211" s="2" t="str">
        <f>"女"</f>
        <v>女</v>
      </c>
    </row>
    <row r="1212" spans="1:5" ht="14.4" x14ac:dyDescent="0.25">
      <c r="A1212" s="4">
        <v>1210</v>
      </c>
      <c r="B1212" s="2" t="str">
        <f>"32512021081611193912498"</f>
        <v>32512021081611193912498</v>
      </c>
      <c r="C1212" s="2" t="s">
        <v>12</v>
      </c>
      <c r="D1212" s="2" t="str">
        <f>"王小玉"</f>
        <v>王小玉</v>
      </c>
      <c r="E1212" s="2" t="str">
        <f>"女"</f>
        <v>女</v>
      </c>
    </row>
    <row r="1213" spans="1:5" ht="14.4" x14ac:dyDescent="0.25">
      <c r="A1213" s="4">
        <v>1211</v>
      </c>
      <c r="B1213" s="2" t="str">
        <f>"32512021081611510612611"</f>
        <v>32512021081611510612611</v>
      </c>
      <c r="C1213" s="2" t="s">
        <v>12</v>
      </c>
      <c r="D1213" s="2" t="str">
        <f>"符广胜"</f>
        <v>符广胜</v>
      </c>
      <c r="E1213" s="2" t="str">
        <f>"男"</f>
        <v>男</v>
      </c>
    </row>
    <row r="1214" spans="1:5" ht="14.4" x14ac:dyDescent="0.25">
      <c r="A1214" s="4">
        <v>1212</v>
      </c>
      <c r="B1214" s="2" t="str">
        <f>"32512021081612411312736"</f>
        <v>32512021081612411312736</v>
      </c>
      <c r="C1214" s="2" t="s">
        <v>12</v>
      </c>
      <c r="D1214" s="2" t="str">
        <f>"符绍祥"</f>
        <v>符绍祥</v>
      </c>
      <c r="E1214" s="2" t="str">
        <f>"男"</f>
        <v>男</v>
      </c>
    </row>
    <row r="1215" spans="1:5" ht="14.4" x14ac:dyDescent="0.25">
      <c r="A1215" s="4">
        <v>1213</v>
      </c>
      <c r="B1215" s="2" t="str">
        <f>"32512021081615343413096"</f>
        <v>32512021081615343413096</v>
      </c>
      <c r="C1215" s="2" t="s">
        <v>12</v>
      </c>
      <c r="D1215" s="2" t="str">
        <f>"庄礼深"</f>
        <v>庄礼深</v>
      </c>
      <c r="E1215" s="2" t="str">
        <f>"男"</f>
        <v>男</v>
      </c>
    </row>
    <row r="1216" spans="1:5" ht="14.4" x14ac:dyDescent="0.25">
      <c r="A1216" s="4">
        <v>1214</v>
      </c>
      <c r="B1216" s="2" t="str">
        <f>"32512021081616084213183"</f>
        <v>32512021081616084213183</v>
      </c>
      <c r="C1216" s="2" t="s">
        <v>12</v>
      </c>
      <c r="D1216" s="2" t="str">
        <f>"陈宏杰"</f>
        <v>陈宏杰</v>
      </c>
      <c r="E1216" s="2" t="str">
        <f>"男"</f>
        <v>男</v>
      </c>
    </row>
    <row r="1217" spans="1:5" ht="14.4" x14ac:dyDescent="0.25">
      <c r="A1217" s="4">
        <v>1215</v>
      </c>
      <c r="B1217" s="2" t="str">
        <f>"3251202108100905593796"</f>
        <v>3251202108100905593796</v>
      </c>
      <c r="C1217" s="2" t="s">
        <v>13</v>
      </c>
      <c r="D1217" s="2" t="str">
        <f>"符玫"</f>
        <v>符玫</v>
      </c>
      <c r="E1217" s="2" t="str">
        <f>"女"</f>
        <v>女</v>
      </c>
    </row>
    <row r="1218" spans="1:5" ht="14.4" x14ac:dyDescent="0.25">
      <c r="A1218" s="4">
        <v>1216</v>
      </c>
      <c r="B1218" s="2" t="str">
        <f>"3251202108100914593899"</f>
        <v>3251202108100914593899</v>
      </c>
      <c r="C1218" s="2" t="s">
        <v>13</v>
      </c>
      <c r="D1218" s="2" t="str">
        <f>"苻亚胜"</f>
        <v>苻亚胜</v>
      </c>
      <c r="E1218" s="2" t="str">
        <f>"女"</f>
        <v>女</v>
      </c>
    </row>
    <row r="1219" spans="1:5" ht="14.4" x14ac:dyDescent="0.25">
      <c r="A1219" s="4">
        <v>1217</v>
      </c>
      <c r="B1219" s="2" t="str">
        <f>"3251202108100918583929"</f>
        <v>3251202108100918583929</v>
      </c>
      <c r="C1219" s="2" t="s">
        <v>13</v>
      </c>
      <c r="D1219" s="2" t="str">
        <f>"王怡"</f>
        <v>王怡</v>
      </c>
      <c r="E1219" s="2" t="str">
        <f>"女"</f>
        <v>女</v>
      </c>
    </row>
    <row r="1220" spans="1:5" ht="14.4" x14ac:dyDescent="0.25">
      <c r="A1220" s="4">
        <v>1218</v>
      </c>
      <c r="B1220" s="2" t="str">
        <f>"3251202108100919383933"</f>
        <v>3251202108100919383933</v>
      </c>
      <c r="C1220" s="2" t="s">
        <v>13</v>
      </c>
      <c r="D1220" s="2" t="str">
        <f>"盘玥"</f>
        <v>盘玥</v>
      </c>
      <c r="E1220" s="2" t="str">
        <f>"女"</f>
        <v>女</v>
      </c>
    </row>
    <row r="1221" spans="1:5" ht="14.4" x14ac:dyDescent="0.25">
      <c r="A1221" s="4">
        <v>1219</v>
      </c>
      <c r="B1221" s="2" t="str">
        <f>"3251202108100921253952"</f>
        <v>3251202108100921253952</v>
      </c>
      <c r="C1221" s="2" t="s">
        <v>13</v>
      </c>
      <c r="D1221" s="2" t="str">
        <f>"陈国力"</f>
        <v>陈国力</v>
      </c>
      <c r="E1221" s="2" t="str">
        <f>"男"</f>
        <v>男</v>
      </c>
    </row>
    <row r="1222" spans="1:5" ht="14.4" x14ac:dyDescent="0.25">
      <c r="A1222" s="4">
        <v>1220</v>
      </c>
      <c r="B1222" s="2" t="str">
        <f>"3251202108100923443970"</f>
        <v>3251202108100923443970</v>
      </c>
      <c r="C1222" s="2" t="s">
        <v>13</v>
      </c>
      <c r="D1222" s="2" t="str">
        <f>"张燕慧"</f>
        <v>张燕慧</v>
      </c>
      <c r="E1222" s="2" t="str">
        <f>"女"</f>
        <v>女</v>
      </c>
    </row>
    <row r="1223" spans="1:5" ht="14.4" x14ac:dyDescent="0.25">
      <c r="A1223" s="4">
        <v>1221</v>
      </c>
      <c r="B1223" s="2" t="str">
        <f>"3251202108100932174038"</f>
        <v>3251202108100932174038</v>
      </c>
      <c r="C1223" s="2" t="s">
        <v>13</v>
      </c>
      <c r="D1223" s="2" t="str">
        <f>"王丽娟"</f>
        <v>王丽娟</v>
      </c>
      <c r="E1223" s="2" t="str">
        <f>"女"</f>
        <v>女</v>
      </c>
    </row>
    <row r="1224" spans="1:5" ht="14.4" x14ac:dyDescent="0.25">
      <c r="A1224" s="4">
        <v>1222</v>
      </c>
      <c r="B1224" s="2" t="str">
        <f>"3251202108100941214092"</f>
        <v>3251202108100941214092</v>
      </c>
      <c r="C1224" s="2" t="s">
        <v>13</v>
      </c>
      <c r="D1224" s="2" t="str">
        <f>"杨武"</f>
        <v>杨武</v>
      </c>
      <c r="E1224" s="2" t="str">
        <f>"男"</f>
        <v>男</v>
      </c>
    </row>
    <row r="1225" spans="1:5" ht="14.4" x14ac:dyDescent="0.25">
      <c r="A1225" s="4">
        <v>1223</v>
      </c>
      <c r="B1225" s="2" t="str">
        <f>"3251202108100941294095"</f>
        <v>3251202108100941294095</v>
      </c>
      <c r="C1225" s="2" t="s">
        <v>13</v>
      </c>
      <c r="D1225" s="2" t="str">
        <f>"王忠翠"</f>
        <v>王忠翠</v>
      </c>
      <c r="E1225" s="2" t="str">
        <f t="shared" ref="E1225:E1231" si="31">"女"</f>
        <v>女</v>
      </c>
    </row>
    <row r="1226" spans="1:5" ht="14.4" x14ac:dyDescent="0.25">
      <c r="A1226" s="4">
        <v>1224</v>
      </c>
      <c r="B1226" s="2" t="str">
        <f>"3251202108100942574106"</f>
        <v>3251202108100942574106</v>
      </c>
      <c r="C1226" s="2" t="s">
        <v>13</v>
      </c>
      <c r="D1226" s="2" t="str">
        <f>"刘乐曦"</f>
        <v>刘乐曦</v>
      </c>
      <c r="E1226" s="2" t="str">
        <f t="shared" si="31"/>
        <v>女</v>
      </c>
    </row>
    <row r="1227" spans="1:5" ht="14.4" x14ac:dyDescent="0.25">
      <c r="A1227" s="4">
        <v>1225</v>
      </c>
      <c r="B1227" s="2" t="str">
        <f>"3251202108100954254185"</f>
        <v>3251202108100954254185</v>
      </c>
      <c r="C1227" s="2" t="s">
        <v>13</v>
      </c>
      <c r="D1227" s="2" t="str">
        <f>"张钟凌"</f>
        <v>张钟凌</v>
      </c>
      <c r="E1227" s="2" t="str">
        <f t="shared" si="31"/>
        <v>女</v>
      </c>
    </row>
    <row r="1228" spans="1:5" ht="14.4" x14ac:dyDescent="0.25">
      <c r="A1228" s="4">
        <v>1226</v>
      </c>
      <c r="B1228" s="2" t="str">
        <f>"3251202108100954574192"</f>
        <v>3251202108100954574192</v>
      </c>
      <c r="C1228" s="2" t="s">
        <v>13</v>
      </c>
      <c r="D1228" s="2" t="str">
        <f>"罗丽丽"</f>
        <v>罗丽丽</v>
      </c>
      <c r="E1228" s="2" t="str">
        <f t="shared" si="31"/>
        <v>女</v>
      </c>
    </row>
    <row r="1229" spans="1:5" ht="14.4" x14ac:dyDescent="0.25">
      <c r="A1229" s="4">
        <v>1227</v>
      </c>
      <c r="B1229" s="2" t="str">
        <f>"3251202108100956214205"</f>
        <v>3251202108100956214205</v>
      </c>
      <c r="C1229" s="2" t="s">
        <v>13</v>
      </c>
      <c r="D1229" s="2" t="str">
        <f>"蓝畅"</f>
        <v>蓝畅</v>
      </c>
      <c r="E1229" s="2" t="str">
        <f t="shared" si="31"/>
        <v>女</v>
      </c>
    </row>
    <row r="1230" spans="1:5" ht="14.4" x14ac:dyDescent="0.25">
      <c r="A1230" s="4">
        <v>1228</v>
      </c>
      <c r="B1230" s="2" t="str">
        <f>"3251202108101019554338"</f>
        <v>3251202108101019554338</v>
      </c>
      <c r="C1230" s="2" t="s">
        <v>13</v>
      </c>
      <c r="D1230" s="2" t="str">
        <f>"符虹"</f>
        <v>符虹</v>
      </c>
      <c r="E1230" s="2" t="str">
        <f t="shared" si="31"/>
        <v>女</v>
      </c>
    </row>
    <row r="1231" spans="1:5" ht="14.4" x14ac:dyDescent="0.25">
      <c r="A1231" s="4">
        <v>1229</v>
      </c>
      <c r="B1231" s="2" t="str">
        <f>"3251202108101027374381"</f>
        <v>3251202108101027374381</v>
      </c>
      <c r="C1231" s="2" t="s">
        <v>13</v>
      </c>
      <c r="D1231" s="2" t="str">
        <f>"杨葵"</f>
        <v>杨葵</v>
      </c>
      <c r="E1231" s="2" t="str">
        <f t="shared" si="31"/>
        <v>女</v>
      </c>
    </row>
    <row r="1232" spans="1:5" ht="14.4" x14ac:dyDescent="0.25">
      <c r="A1232" s="4">
        <v>1230</v>
      </c>
      <c r="B1232" s="2" t="str">
        <f>"3251202108101101064543"</f>
        <v>3251202108101101064543</v>
      </c>
      <c r="C1232" s="2" t="s">
        <v>13</v>
      </c>
      <c r="D1232" s="2" t="str">
        <f>"文跃"</f>
        <v>文跃</v>
      </c>
      <c r="E1232" s="2" t="str">
        <f>"男"</f>
        <v>男</v>
      </c>
    </row>
    <row r="1233" spans="1:5" ht="14.4" x14ac:dyDescent="0.25">
      <c r="A1233" s="4">
        <v>1231</v>
      </c>
      <c r="B1233" s="2" t="str">
        <f>"3251202108101110314597"</f>
        <v>3251202108101110314597</v>
      </c>
      <c r="C1233" s="2" t="s">
        <v>13</v>
      </c>
      <c r="D1233" s="2" t="str">
        <f>"黄世豪"</f>
        <v>黄世豪</v>
      </c>
      <c r="E1233" s="2" t="str">
        <f>"男"</f>
        <v>男</v>
      </c>
    </row>
    <row r="1234" spans="1:5" ht="14.4" x14ac:dyDescent="0.25">
      <c r="A1234" s="4">
        <v>1232</v>
      </c>
      <c r="B1234" s="2" t="str">
        <f>"3251202108101131174697"</f>
        <v>3251202108101131174697</v>
      </c>
      <c r="C1234" s="2" t="s">
        <v>13</v>
      </c>
      <c r="D1234" s="2" t="str">
        <f>"陈雯"</f>
        <v>陈雯</v>
      </c>
      <c r="E1234" s="2" t="str">
        <f>"女"</f>
        <v>女</v>
      </c>
    </row>
    <row r="1235" spans="1:5" ht="14.4" x14ac:dyDescent="0.25">
      <c r="A1235" s="4">
        <v>1233</v>
      </c>
      <c r="B1235" s="2" t="str">
        <f>"3251202108101233434918"</f>
        <v>3251202108101233434918</v>
      </c>
      <c r="C1235" s="2" t="s">
        <v>13</v>
      </c>
      <c r="D1235" s="2" t="str">
        <f>"卢桐"</f>
        <v>卢桐</v>
      </c>
      <c r="E1235" s="2" t="str">
        <f>"女"</f>
        <v>女</v>
      </c>
    </row>
    <row r="1236" spans="1:5" ht="14.4" x14ac:dyDescent="0.25">
      <c r="A1236" s="4">
        <v>1234</v>
      </c>
      <c r="B1236" s="2" t="str">
        <f>"3251202108101336105061"</f>
        <v>3251202108101336105061</v>
      </c>
      <c r="C1236" s="2" t="s">
        <v>13</v>
      </c>
      <c r="D1236" s="2" t="str">
        <f>"邓献梓"</f>
        <v>邓献梓</v>
      </c>
      <c r="E1236" s="2" t="str">
        <f>"男"</f>
        <v>男</v>
      </c>
    </row>
    <row r="1237" spans="1:5" ht="14.4" x14ac:dyDescent="0.25">
      <c r="A1237" s="4">
        <v>1235</v>
      </c>
      <c r="B1237" s="2" t="str">
        <f>"3251202108101356105096"</f>
        <v>3251202108101356105096</v>
      </c>
      <c r="C1237" s="2" t="s">
        <v>13</v>
      </c>
      <c r="D1237" s="2" t="str">
        <f>"罗希特"</f>
        <v>罗希特</v>
      </c>
      <c r="E1237" s="2" t="str">
        <f>"女"</f>
        <v>女</v>
      </c>
    </row>
    <row r="1238" spans="1:5" ht="14.4" x14ac:dyDescent="0.25">
      <c r="A1238" s="4">
        <v>1236</v>
      </c>
      <c r="B1238" s="2" t="str">
        <f>"3251202108101424515169"</f>
        <v>3251202108101424515169</v>
      </c>
      <c r="C1238" s="2" t="s">
        <v>13</v>
      </c>
      <c r="D1238" s="2" t="str">
        <f>"王恋"</f>
        <v>王恋</v>
      </c>
      <c r="E1238" s="2" t="str">
        <f>"女"</f>
        <v>女</v>
      </c>
    </row>
    <row r="1239" spans="1:5" ht="14.4" x14ac:dyDescent="0.25">
      <c r="A1239" s="4">
        <v>1237</v>
      </c>
      <c r="B1239" s="2" t="str">
        <f>"3251202108101508405329"</f>
        <v>3251202108101508405329</v>
      </c>
      <c r="C1239" s="2" t="s">
        <v>13</v>
      </c>
      <c r="D1239" s="2" t="str">
        <f>"钟水仙"</f>
        <v>钟水仙</v>
      </c>
      <c r="E1239" s="2" t="str">
        <f>"女"</f>
        <v>女</v>
      </c>
    </row>
    <row r="1240" spans="1:5" ht="14.4" x14ac:dyDescent="0.25">
      <c r="A1240" s="4">
        <v>1238</v>
      </c>
      <c r="B1240" s="2" t="str">
        <f>"3251202108101545265447"</f>
        <v>3251202108101545265447</v>
      </c>
      <c r="C1240" s="2" t="s">
        <v>13</v>
      </c>
      <c r="D1240" s="2" t="str">
        <f>"陈霜霜"</f>
        <v>陈霜霜</v>
      </c>
      <c r="E1240" s="2" t="str">
        <f>"女"</f>
        <v>女</v>
      </c>
    </row>
    <row r="1241" spans="1:5" ht="14.4" x14ac:dyDescent="0.25">
      <c r="A1241" s="4">
        <v>1239</v>
      </c>
      <c r="B1241" s="2" t="str">
        <f>"3251202108101555505478"</f>
        <v>3251202108101555505478</v>
      </c>
      <c r="C1241" s="2" t="s">
        <v>13</v>
      </c>
      <c r="D1241" s="2" t="str">
        <f>"陈盛区"</f>
        <v>陈盛区</v>
      </c>
      <c r="E1241" s="2" t="str">
        <f>"男"</f>
        <v>男</v>
      </c>
    </row>
    <row r="1242" spans="1:5" ht="14.4" x14ac:dyDescent="0.25">
      <c r="A1242" s="4">
        <v>1240</v>
      </c>
      <c r="B1242" s="2" t="str">
        <f>"3251202108101610145540"</f>
        <v>3251202108101610145540</v>
      </c>
      <c r="C1242" s="2" t="s">
        <v>13</v>
      </c>
      <c r="D1242" s="2" t="str">
        <f>"闵绮霜"</f>
        <v>闵绮霜</v>
      </c>
      <c r="E1242" s="2" t="str">
        <f>"女"</f>
        <v>女</v>
      </c>
    </row>
    <row r="1243" spans="1:5" ht="14.4" x14ac:dyDescent="0.25">
      <c r="A1243" s="4">
        <v>1241</v>
      </c>
      <c r="B1243" s="2" t="str">
        <f>"3251202108101612395554"</f>
        <v>3251202108101612395554</v>
      </c>
      <c r="C1243" s="2" t="s">
        <v>13</v>
      </c>
      <c r="D1243" s="2" t="str">
        <f>"黄雅雯"</f>
        <v>黄雅雯</v>
      </c>
      <c r="E1243" s="2" t="str">
        <f>"女"</f>
        <v>女</v>
      </c>
    </row>
    <row r="1244" spans="1:5" ht="14.4" x14ac:dyDescent="0.25">
      <c r="A1244" s="4">
        <v>1242</v>
      </c>
      <c r="B1244" s="2" t="str">
        <f>"3251202108101726055828"</f>
        <v>3251202108101726055828</v>
      </c>
      <c r="C1244" s="2" t="s">
        <v>13</v>
      </c>
      <c r="D1244" s="2" t="str">
        <f>"黄康雨"</f>
        <v>黄康雨</v>
      </c>
      <c r="E1244" s="2" t="str">
        <f>"女"</f>
        <v>女</v>
      </c>
    </row>
    <row r="1245" spans="1:5" ht="14.4" x14ac:dyDescent="0.25">
      <c r="A1245" s="4">
        <v>1243</v>
      </c>
      <c r="B1245" s="2" t="str">
        <f>"3251202108101849426014"</f>
        <v>3251202108101849426014</v>
      </c>
      <c r="C1245" s="2" t="s">
        <v>13</v>
      </c>
      <c r="D1245" s="2" t="str">
        <f>"罗如娇"</f>
        <v>罗如娇</v>
      </c>
      <c r="E1245" s="2" t="str">
        <f>"女"</f>
        <v>女</v>
      </c>
    </row>
    <row r="1246" spans="1:5" ht="14.4" x14ac:dyDescent="0.25">
      <c r="A1246" s="4">
        <v>1244</v>
      </c>
      <c r="B1246" s="2" t="str">
        <f>"3251202108102211456398"</f>
        <v>3251202108102211456398</v>
      </c>
      <c r="C1246" s="2" t="s">
        <v>13</v>
      </c>
      <c r="D1246" s="2" t="str">
        <f>"蔡云飞"</f>
        <v>蔡云飞</v>
      </c>
      <c r="E1246" s="2" t="str">
        <f>"男"</f>
        <v>男</v>
      </c>
    </row>
    <row r="1247" spans="1:5" ht="14.4" x14ac:dyDescent="0.25">
      <c r="A1247" s="4">
        <v>1245</v>
      </c>
      <c r="B1247" s="2" t="str">
        <f>"3251202108110819146587"</f>
        <v>3251202108110819146587</v>
      </c>
      <c r="C1247" s="2" t="s">
        <v>13</v>
      </c>
      <c r="D1247" s="2" t="str">
        <f>"王宝莲"</f>
        <v>王宝莲</v>
      </c>
      <c r="E1247" s="2" t="str">
        <f>"女"</f>
        <v>女</v>
      </c>
    </row>
    <row r="1248" spans="1:5" ht="14.4" x14ac:dyDescent="0.25">
      <c r="A1248" s="4">
        <v>1246</v>
      </c>
      <c r="B1248" s="2" t="str">
        <f>"3251202108110951586817"</f>
        <v>3251202108110951586817</v>
      </c>
      <c r="C1248" s="2" t="s">
        <v>13</v>
      </c>
      <c r="D1248" s="2" t="str">
        <f>"符红丽"</f>
        <v>符红丽</v>
      </c>
      <c r="E1248" s="2" t="str">
        <f>"女"</f>
        <v>女</v>
      </c>
    </row>
    <row r="1249" spans="1:5" ht="14.4" x14ac:dyDescent="0.25">
      <c r="A1249" s="4">
        <v>1247</v>
      </c>
      <c r="B1249" s="2" t="str">
        <f>"3251202108110952336822"</f>
        <v>3251202108110952336822</v>
      </c>
      <c r="C1249" s="2" t="s">
        <v>13</v>
      </c>
      <c r="D1249" s="2" t="str">
        <f>"符振川"</f>
        <v>符振川</v>
      </c>
      <c r="E1249" s="2" t="str">
        <f>"男"</f>
        <v>男</v>
      </c>
    </row>
    <row r="1250" spans="1:5" ht="14.4" x14ac:dyDescent="0.25">
      <c r="A1250" s="4">
        <v>1248</v>
      </c>
      <c r="B1250" s="2" t="str">
        <f>"3251202108111047206965"</f>
        <v>3251202108111047206965</v>
      </c>
      <c r="C1250" s="2" t="s">
        <v>13</v>
      </c>
      <c r="D1250" s="2" t="str">
        <f>"唐小怡"</f>
        <v>唐小怡</v>
      </c>
      <c r="E1250" s="2" t="str">
        <f t="shared" ref="E1250:E1256" si="32">"女"</f>
        <v>女</v>
      </c>
    </row>
    <row r="1251" spans="1:5" ht="14.4" x14ac:dyDescent="0.25">
      <c r="A1251" s="4">
        <v>1249</v>
      </c>
      <c r="B1251" s="2" t="str">
        <f>"3251202108111128477076"</f>
        <v>3251202108111128477076</v>
      </c>
      <c r="C1251" s="2" t="s">
        <v>13</v>
      </c>
      <c r="D1251" s="2" t="str">
        <f>"黄羽珊"</f>
        <v>黄羽珊</v>
      </c>
      <c r="E1251" s="2" t="str">
        <f t="shared" si="32"/>
        <v>女</v>
      </c>
    </row>
    <row r="1252" spans="1:5" ht="14.4" x14ac:dyDescent="0.25">
      <c r="A1252" s="4">
        <v>1250</v>
      </c>
      <c r="B1252" s="2" t="str">
        <f>"3251202108111147417112"</f>
        <v>3251202108111147417112</v>
      </c>
      <c r="C1252" s="2" t="s">
        <v>13</v>
      </c>
      <c r="D1252" s="2" t="str">
        <f>"陈水"</f>
        <v>陈水</v>
      </c>
      <c r="E1252" s="2" t="str">
        <f t="shared" si="32"/>
        <v>女</v>
      </c>
    </row>
    <row r="1253" spans="1:5" ht="14.4" x14ac:dyDescent="0.25">
      <c r="A1253" s="4">
        <v>1251</v>
      </c>
      <c r="B1253" s="2" t="str">
        <f>"3251202108111255497210"</f>
        <v>3251202108111255497210</v>
      </c>
      <c r="C1253" s="2" t="s">
        <v>13</v>
      </c>
      <c r="D1253" s="2" t="str">
        <f>"王夏颖"</f>
        <v>王夏颖</v>
      </c>
      <c r="E1253" s="2" t="str">
        <f t="shared" si="32"/>
        <v>女</v>
      </c>
    </row>
    <row r="1254" spans="1:5" ht="14.4" x14ac:dyDescent="0.25">
      <c r="A1254" s="4">
        <v>1252</v>
      </c>
      <c r="B1254" s="2" t="str">
        <f>"3251202108111734277642"</f>
        <v>3251202108111734277642</v>
      </c>
      <c r="C1254" s="2" t="s">
        <v>13</v>
      </c>
      <c r="D1254" s="2" t="str">
        <f>"余伟娴"</f>
        <v>余伟娴</v>
      </c>
      <c r="E1254" s="2" t="str">
        <f t="shared" si="32"/>
        <v>女</v>
      </c>
    </row>
    <row r="1255" spans="1:5" ht="14.4" x14ac:dyDescent="0.25">
      <c r="A1255" s="4">
        <v>1253</v>
      </c>
      <c r="B1255" s="2" t="str">
        <f>"3251202108111742127652"</f>
        <v>3251202108111742127652</v>
      </c>
      <c r="C1255" s="2" t="s">
        <v>13</v>
      </c>
      <c r="D1255" s="2" t="str">
        <f>"吴涓"</f>
        <v>吴涓</v>
      </c>
      <c r="E1255" s="2" t="str">
        <f t="shared" si="32"/>
        <v>女</v>
      </c>
    </row>
    <row r="1256" spans="1:5" ht="14.4" x14ac:dyDescent="0.25">
      <c r="A1256" s="4">
        <v>1254</v>
      </c>
      <c r="B1256" s="2" t="str">
        <f>"3251202108111909167777"</f>
        <v>3251202108111909167777</v>
      </c>
      <c r="C1256" s="2" t="s">
        <v>13</v>
      </c>
      <c r="D1256" s="2" t="str">
        <f>"邢琳琳"</f>
        <v>邢琳琳</v>
      </c>
      <c r="E1256" s="2" t="str">
        <f t="shared" si="32"/>
        <v>女</v>
      </c>
    </row>
    <row r="1257" spans="1:5" ht="14.4" x14ac:dyDescent="0.25">
      <c r="A1257" s="4">
        <v>1255</v>
      </c>
      <c r="B1257" s="2" t="str">
        <f>"3251202108112047507908"</f>
        <v>3251202108112047507908</v>
      </c>
      <c r="C1257" s="2" t="s">
        <v>13</v>
      </c>
      <c r="D1257" s="2" t="str">
        <f>"王升杰"</f>
        <v>王升杰</v>
      </c>
      <c r="E1257" s="2" t="str">
        <f>"男"</f>
        <v>男</v>
      </c>
    </row>
    <row r="1258" spans="1:5" ht="14.4" x14ac:dyDescent="0.25">
      <c r="A1258" s="4">
        <v>1256</v>
      </c>
      <c r="B1258" s="2" t="str">
        <f>"3251202108112125307976"</f>
        <v>3251202108112125307976</v>
      </c>
      <c r="C1258" s="2" t="s">
        <v>13</v>
      </c>
      <c r="D1258" s="2" t="str">
        <f>"林珍珍"</f>
        <v>林珍珍</v>
      </c>
      <c r="E1258" s="2" t="str">
        <f>"女"</f>
        <v>女</v>
      </c>
    </row>
    <row r="1259" spans="1:5" ht="14.4" x14ac:dyDescent="0.25">
      <c r="A1259" s="4">
        <v>1257</v>
      </c>
      <c r="B1259" s="2" t="str">
        <f>"3251202108112211278036"</f>
        <v>3251202108112211278036</v>
      </c>
      <c r="C1259" s="2" t="s">
        <v>13</v>
      </c>
      <c r="D1259" s="2" t="str">
        <f>"王晓燕"</f>
        <v>王晓燕</v>
      </c>
      <c r="E1259" s="2" t="str">
        <f>"女"</f>
        <v>女</v>
      </c>
    </row>
    <row r="1260" spans="1:5" ht="14.4" x14ac:dyDescent="0.25">
      <c r="A1260" s="4">
        <v>1258</v>
      </c>
      <c r="B1260" s="2" t="str">
        <f>"3251202108112222148055"</f>
        <v>3251202108112222148055</v>
      </c>
      <c r="C1260" s="2" t="s">
        <v>13</v>
      </c>
      <c r="D1260" s="2" t="str">
        <f>"符语洪"</f>
        <v>符语洪</v>
      </c>
      <c r="E1260" s="2" t="str">
        <f>"女"</f>
        <v>女</v>
      </c>
    </row>
    <row r="1261" spans="1:5" ht="14.4" x14ac:dyDescent="0.25">
      <c r="A1261" s="4">
        <v>1259</v>
      </c>
      <c r="B1261" s="2" t="str">
        <f>"3251202108120028248154"</f>
        <v>3251202108120028248154</v>
      </c>
      <c r="C1261" s="2" t="s">
        <v>13</v>
      </c>
      <c r="D1261" s="2" t="str">
        <f>"林莉莉"</f>
        <v>林莉莉</v>
      </c>
      <c r="E1261" s="2" t="str">
        <f>"女"</f>
        <v>女</v>
      </c>
    </row>
    <row r="1262" spans="1:5" ht="14.4" x14ac:dyDescent="0.25">
      <c r="A1262" s="4">
        <v>1260</v>
      </c>
      <c r="B1262" s="2" t="str">
        <f>"3251202108120839308208"</f>
        <v>3251202108120839308208</v>
      </c>
      <c r="C1262" s="2" t="s">
        <v>13</v>
      </c>
      <c r="D1262" s="2" t="str">
        <f>"陈宇恒"</f>
        <v>陈宇恒</v>
      </c>
      <c r="E1262" s="2" t="str">
        <f>"男"</f>
        <v>男</v>
      </c>
    </row>
    <row r="1263" spans="1:5" ht="14.4" x14ac:dyDescent="0.25">
      <c r="A1263" s="4">
        <v>1261</v>
      </c>
      <c r="B1263" s="2" t="str">
        <f>"3251202108120910198277"</f>
        <v>3251202108120910198277</v>
      </c>
      <c r="C1263" s="2" t="s">
        <v>13</v>
      </c>
      <c r="D1263" s="2" t="str">
        <f>"唐鸿南"</f>
        <v>唐鸿南</v>
      </c>
      <c r="E1263" s="2" t="str">
        <f>"男"</f>
        <v>男</v>
      </c>
    </row>
    <row r="1264" spans="1:5" ht="14.4" x14ac:dyDescent="0.25">
      <c r="A1264" s="4">
        <v>1262</v>
      </c>
      <c r="B1264" s="2" t="str">
        <f>"3251202108121105088538"</f>
        <v>3251202108121105088538</v>
      </c>
      <c r="C1264" s="2" t="s">
        <v>13</v>
      </c>
      <c r="D1264" s="2" t="str">
        <f>"阮荣斌"</f>
        <v>阮荣斌</v>
      </c>
      <c r="E1264" s="2" t="str">
        <f>"男"</f>
        <v>男</v>
      </c>
    </row>
    <row r="1265" spans="1:5" ht="14.4" x14ac:dyDescent="0.25">
      <c r="A1265" s="4">
        <v>1263</v>
      </c>
      <c r="B1265" s="2" t="str">
        <f>"3251202108121150558624"</f>
        <v>3251202108121150558624</v>
      </c>
      <c r="C1265" s="2" t="s">
        <v>13</v>
      </c>
      <c r="D1265" s="2" t="str">
        <f>"王梦雨"</f>
        <v>王梦雨</v>
      </c>
      <c r="E1265" s="2" t="str">
        <f>"女"</f>
        <v>女</v>
      </c>
    </row>
    <row r="1266" spans="1:5" ht="14.4" x14ac:dyDescent="0.25">
      <c r="A1266" s="4">
        <v>1264</v>
      </c>
      <c r="B1266" s="2" t="str">
        <f>"3251202108121239428674"</f>
        <v>3251202108121239428674</v>
      </c>
      <c r="C1266" s="2" t="s">
        <v>13</v>
      </c>
      <c r="D1266" s="2" t="str">
        <f>"王小珍"</f>
        <v>王小珍</v>
      </c>
      <c r="E1266" s="2" t="str">
        <f>"女"</f>
        <v>女</v>
      </c>
    </row>
    <row r="1267" spans="1:5" ht="14.4" x14ac:dyDescent="0.25">
      <c r="A1267" s="4">
        <v>1265</v>
      </c>
      <c r="B1267" s="2" t="str">
        <f>"3251202108121319178720"</f>
        <v>3251202108121319178720</v>
      </c>
      <c r="C1267" s="2" t="s">
        <v>13</v>
      </c>
      <c r="D1267" s="2" t="str">
        <f>"曾婷娜"</f>
        <v>曾婷娜</v>
      </c>
      <c r="E1267" s="2" t="str">
        <f>"女"</f>
        <v>女</v>
      </c>
    </row>
    <row r="1268" spans="1:5" ht="14.4" x14ac:dyDescent="0.25">
      <c r="A1268" s="4">
        <v>1266</v>
      </c>
      <c r="B1268" s="2" t="str">
        <f>"3251202108121432368796"</f>
        <v>3251202108121432368796</v>
      </c>
      <c r="C1268" s="2" t="s">
        <v>13</v>
      </c>
      <c r="D1268" s="2" t="str">
        <f>"张丹凤"</f>
        <v>张丹凤</v>
      </c>
      <c r="E1268" s="2" t="str">
        <f>"女"</f>
        <v>女</v>
      </c>
    </row>
    <row r="1269" spans="1:5" ht="14.4" x14ac:dyDescent="0.25">
      <c r="A1269" s="4">
        <v>1267</v>
      </c>
      <c r="B1269" s="2" t="str">
        <f>"3251202108121530508913"</f>
        <v>3251202108121530508913</v>
      </c>
      <c r="C1269" s="2" t="s">
        <v>13</v>
      </c>
      <c r="D1269" s="2" t="str">
        <f>"林芊"</f>
        <v>林芊</v>
      </c>
      <c r="E1269" s="2" t="str">
        <f>"女"</f>
        <v>女</v>
      </c>
    </row>
    <row r="1270" spans="1:5" ht="14.4" x14ac:dyDescent="0.25">
      <c r="A1270" s="4">
        <v>1268</v>
      </c>
      <c r="B1270" s="2" t="str">
        <f>"3251202108122216149388"</f>
        <v>3251202108122216149388</v>
      </c>
      <c r="C1270" s="2" t="s">
        <v>13</v>
      </c>
      <c r="D1270" s="2" t="str">
        <f>"李祝贤"</f>
        <v>李祝贤</v>
      </c>
      <c r="E1270" s="2" t="str">
        <f>"男"</f>
        <v>男</v>
      </c>
    </row>
    <row r="1271" spans="1:5" ht="14.4" x14ac:dyDescent="0.25">
      <c r="A1271" s="4">
        <v>1269</v>
      </c>
      <c r="B1271" s="2" t="str">
        <f>"3251202108122252079420"</f>
        <v>3251202108122252079420</v>
      </c>
      <c r="C1271" s="2" t="s">
        <v>13</v>
      </c>
      <c r="D1271" s="2" t="str">
        <f>"王锐"</f>
        <v>王锐</v>
      </c>
      <c r="E1271" s="2" t="str">
        <f>"男"</f>
        <v>男</v>
      </c>
    </row>
    <row r="1272" spans="1:5" ht="14.4" x14ac:dyDescent="0.25">
      <c r="A1272" s="4">
        <v>1270</v>
      </c>
      <c r="B1272" s="2" t="str">
        <f>"3251202108131124249739"</f>
        <v>3251202108131124249739</v>
      </c>
      <c r="C1272" s="2" t="s">
        <v>13</v>
      </c>
      <c r="D1272" s="2" t="str">
        <f>"邢璐璐"</f>
        <v>邢璐璐</v>
      </c>
      <c r="E1272" s="2" t="str">
        <f>"女"</f>
        <v>女</v>
      </c>
    </row>
    <row r="1273" spans="1:5" ht="14.4" x14ac:dyDescent="0.25">
      <c r="A1273" s="4">
        <v>1271</v>
      </c>
      <c r="B1273" s="2" t="str">
        <f>"3251202108131255579821"</f>
        <v>3251202108131255579821</v>
      </c>
      <c r="C1273" s="2" t="s">
        <v>13</v>
      </c>
      <c r="D1273" s="2" t="str">
        <f>"张文慧"</f>
        <v>张文慧</v>
      </c>
      <c r="E1273" s="2" t="str">
        <f>"女"</f>
        <v>女</v>
      </c>
    </row>
    <row r="1274" spans="1:5" ht="14.4" x14ac:dyDescent="0.25">
      <c r="A1274" s="4">
        <v>1272</v>
      </c>
      <c r="B1274" s="2" t="str">
        <f>"3251202108131441379890"</f>
        <v>3251202108131441379890</v>
      </c>
      <c r="C1274" s="2" t="s">
        <v>13</v>
      </c>
      <c r="D1274" s="2" t="str">
        <f>"刘关昌"</f>
        <v>刘关昌</v>
      </c>
      <c r="E1274" s="2" t="str">
        <f>"男"</f>
        <v>男</v>
      </c>
    </row>
    <row r="1275" spans="1:5" ht="14.4" x14ac:dyDescent="0.25">
      <c r="A1275" s="4">
        <v>1273</v>
      </c>
      <c r="B1275" s="2" t="str">
        <f>"32512021081321325610269"</f>
        <v>32512021081321325610269</v>
      </c>
      <c r="C1275" s="2" t="s">
        <v>13</v>
      </c>
      <c r="D1275" s="2" t="str">
        <f>"吉晶莹"</f>
        <v>吉晶莹</v>
      </c>
      <c r="E1275" s="2" t="str">
        <f>"女"</f>
        <v>女</v>
      </c>
    </row>
    <row r="1276" spans="1:5" ht="14.4" x14ac:dyDescent="0.25">
      <c r="A1276" s="4">
        <v>1274</v>
      </c>
      <c r="B1276" s="2" t="str">
        <f>"32512021081322501010315"</f>
        <v>32512021081322501010315</v>
      </c>
      <c r="C1276" s="2" t="s">
        <v>13</v>
      </c>
      <c r="D1276" s="2" t="str">
        <f>"卓冬萍"</f>
        <v>卓冬萍</v>
      </c>
      <c r="E1276" s="2" t="str">
        <f>"女"</f>
        <v>女</v>
      </c>
    </row>
    <row r="1277" spans="1:5" ht="14.4" x14ac:dyDescent="0.25">
      <c r="A1277" s="4">
        <v>1275</v>
      </c>
      <c r="B1277" s="2" t="str">
        <f>"32512021081323275610332"</f>
        <v>32512021081323275610332</v>
      </c>
      <c r="C1277" s="2" t="s">
        <v>13</v>
      </c>
      <c r="D1277" s="2" t="str">
        <f>"陈丽慧"</f>
        <v>陈丽慧</v>
      </c>
      <c r="E1277" s="2" t="str">
        <f>"女"</f>
        <v>女</v>
      </c>
    </row>
    <row r="1278" spans="1:5" ht="14.4" x14ac:dyDescent="0.25">
      <c r="A1278" s="4">
        <v>1276</v>
      </c>
      <c r="B1278" s="2" t="str">
        <f>"32512021081323542410340"</f>
        <v>32512021081323542410340</v>
      </c>
      <c r="C1278" s="2" t="s">
        <v>13</v>
      </c>
      <c r="D1278" s="2" t="str">
        <f>"王丹"</f>
        <v>王丹</v>
      </c>
      <c r="E1278" s="2" t="str">
        <f>"女"</f>
        <v>女</v>
      </c>
    </row>
    <row r="1279" spans="1:5" ht="14.4" x14ac:dyDescent="0.25">
      <c r="A1279" s="4">
        <v>1277</v>
      </c>
      <c r="B1279" s="2" t="str">
        <f>"32512021081400054210343"</f>
        <v>32512021081400054210343</v>
      </c>
      <c r="C1279" s="2" t="s">
        <v>13</v>
      </c>
      <c r="D1279" s="2" t="str">
        <f>"林静"</f>
        <v>林静</v>
      </c>
      <c r="E1279" s="2" t="str">
        <f>"女"</f>
        <v>女</v>
      </c>
    </row>
    <row r="1280" spans="1:5" ht="14.4" x14ac:dyDescent="0.25">
      <c r="A1280" s="4">
        <v>1278</v>
      </c>
      <c r="B1280" s="2" t="str">
        <f>"32512021081420105710811"</f>
        <v>32512021081420105710811</v>
      </c>
      <c r="C1280" s="2" t="s">
        <v>13</v>
      </c>
      <c r="D1280" s="2" t="str">
        <f>"符万森"</f>
        <v>符万森</v>
      </c>
      <c r="E1280" s="2" t="str">
        <f>"男"</f>
        <v>男</v>
      </c>
    </row>
    <row r="1281" spans="1:5" ht="14.4" x14ac:dyDescent="0.25">
      <c r="A1281" s="4">
        <v>1279</v>
      </c>
      <c r="B1281" s="2" t="str">
        <f>"32512021081508212210938"</f>
        <v>32512021081508212210938</v>
      </c>
      <c r="C1281" s="2" t="s">
        <v>13</v>
      </c>
      <c r="D1281" s="2" t="str">
        <f>"周奇"</f>
        <v>周奇</v>
      </c>
      <c r="E1281" s="2" t="str">
        <f>"男"</f>
        <v>男</v>
      </c>
    </row>
    <row r="1282" spans="1:5" ht="14.4" x14ac:dyDescent="0.25">
      <c r="A1282" s="4">
        <v>1280</v>
      </c>
      <c r="B1282" s="2" t="str">
        <f>"32512021081513543211131"</f>
        <v>32512021081513543211131</v>
      </c>
      <c r="C1282" s="2" t="s">
        <v>13</v>
      </c>
      <c r="D1282" s="2" t="str">
        <f>"林晓云"</f>
        <v>林晓云</v>
      </c>
      <c r="E1282" s="2" t="str">
        <f>"女"</f>
        <v>女</v>
      </c>
    </row>
    <row r="1283" spans="1:5" ht="14.4" x14ac:dyDescent="0.25">
      <c r="A1283" s="4">
        <v>1281</v>
      </c>
      <c r="B1283" s="2" t="str">
        <f>"32512021081518584711368"</f>
        <v>32512021081518584711368</v>
      </c>
      <c r="C1283" s="2" t="s">
        <v>13</v>
      </c>
      <c r="D1283" s="2" t="str">
        <f>"吉红仙"</f>
        <v>吉红仙</v>
      </c>
      <c r="E1283" s="2" t="str">
        <f>"女"</f>
        <v>女</v>
      </c>
    </row>
    <row r="1284" spans="1:5" ht="14.4" x14ac:dyDescent="0.25">
      <c r="A1284" s="4">
        <v>1282</v>
      </c>
      <c r="B1284" s="2" t="str">
        <f>"32512021081519184011383"</f>
        <v>32512021081519184011383</v>
      </c>
      <c r="C1284" s="2" t="s">
        <v>13</v>
      </c>
      <c r="D1284" s="2" t="str">
        <f>"黄扬恋"</f>
        <v>黄扬恋</v>
      </c>
      <c r="E1284" s="2" t="str">
        <f>"女"</f>
        <v>女</v>
      </c>
    </row>
    <row r="1285" spans="1:5" ht="14.4" x14ac:dyDescent="0.25">
      <c r="A1285" s="4">
        <v>1283</v>
      </c>
      <c r="B1285" s="2" t="str">
        <f>"32512021081519361511396"</f>
        <v>32512021081519361511396</v>
      </c>
      <c r="C1285" s="2" t="s">
        <v>13</v>
      </c>
      <c r="D1285" s="2" t="str">
        <f>"黄家俊"</f>
        <v>黄家俊</v>
      </c>
      <c r="E1285" s="2" t="str">
        <f>"男"</f>
        <v>男</v>
      </c>
    </row>
    <row r="1286" spans="1:5" ht="14.4" x14ac:dyDescent="0.25">
      <c r="A1286" s="4">
        <v>1284</v>
      </c>
      <c r="B1286" s="2" t="str">
        <f>"32512021081520345311452"</f>
        <v>32512021081520345311452</v>
      </c>
      <c r="C1286" s="2" t="s">
        <v>13</v>
      </c>
      <c r="D1286" s="2" t="str">
        <f>"符许妍"</f>
        <v>符许妍</v>
      </c>
      <c r="E1286" s="2" t="str">
        <f t="shared" ref="E1286:E1294" si="33">"女"</f>
        <v>女</v>
      </c>
    </row>
    <row r="1287" spans="1:5" ht="14.4" x14ac:dyDescent="0.25">
      <c r="A1287" s="4">
        <v>1285</v>
      </c>
      <c r="B1287" s="2" t="str">
        <f>"32512021081521001711479"</f>
        <v>32512021081521001711479</v>
      </c>
      <c r="C1287" s="2" t="s">
        <v>13</v>
      </c>
      <c r="D1287" s="2" t="str">
        <f>"麦兆月"</f>
        <v>麦兆月</v>
      </c>
      <c r="E1287" s="2" t="str">
        <f t="shared" si="33"/>
        <v>女</v>
      </c>
    </row>
    <row r="1288" spans="1:5" ht="14.4" x14ac:dyDescent="0.25">
      <c r="A1288" s="4">
        <v>1286</v>
      </c>
      <c r="B1288" s="2" t="str">
        <f>"32512021081522243211563"</f>
        <v>32512021081522243211563</v>
      </c>
      <c r="C1288" s="2" t="s">
        <v>13</v>
      </c>
      <c r="D1288" s="2" t="str">
        <f>"郭芳菊"</f>
        <v>郭芳菊</v>
      </c>
      <c r="E1288" s="2" t="str">
        <f t="shared" si="33"/>
        <v>女</v>
      </c>
    </row>
    <row r="1289" spans="1:5" ht="14.4" x14ac:dyDescent="0.25">
      <c r="A1289" s="4">
        <v>1287</v>
      </c>
      <c r="B1289" s="2" t="str">
        <f>"32512021081523230011620"</f>
        <v>32512021081523230011620</v>
      </c>
      <c r="C1289" s="2" t="s">
        <v>13</v>
      </c>
      <c r="D1289" s="2" t="str">
        <f>"孙莉"</f>
        <v>孙莉</v>
      </c>
      <c r="E1289" s="2" t="str">
        <f t="shared" si="33"/>
        <v>女</v>
      </c>
    </row>
    <row r="1290" spans="1:5" ht="14.4" x14ac:dyDescent="0.25">
      <c r="A1290" s="4">
        <v>1288</v>
      </c>
      <c r="B1290" s="2" t="str">
        <f>"32512021081604260211685"</f>
        <v>32512021081604260211685</v>
      </c>
      <c r="C1290" s="2" t="s">
        <v>13</v>
      </c>
      <c r="D1290" s="2" t="str">
        <f>"郭冰霞"</f>
        <v>郭冰霞</v>
      </c>
      <c r="E1290" s="2" t="str">
        <f t="shared" si="33"/>
        <v>女</v>
      </c>
    </row>
    <row r="1291" spans="1:5" ht="14.4" x14ac:dyDescent="0.25">
      <c r="A1291" s="4">
        <v>1289</v>
      </c>
      <c r="B1291" s="2" t="str">
        <f>"32512021081612363912727"</f>
        <v>32512021081612363912727</v>
      </c>
      <c r="C1291" s="2" t="s">
        <v>13</v>
      </c>
      <c r="D1291" s="2" t="str">
        <f>"黄琳琳"</f>
        <v>黄琳琳</v>
      </c>
      <c r="E1291" s="2" t="str">
        <f t="shared" si="33"/>
        <v>女</v>
      </c>
    </row>
    <row r="1292" spans="1:5" ht="14.4" x14ac:dyDescent="0.25">
      <c r="A1292" s="4">
        <v>1290</v>
      </c>
      <c r="B1292" s="2" t="str">
        <f>"32512021081615303213088"</f>
        <v>32512021081615303213088</v>
      </c>
      <c r="C1292" s="2" t="s">
        <v>13</v>
      </c>
      <c r="D1292" s="2" t="str">
        <f>"李文洁"</f>
        <v>李文洁</v>
      </c>
      <c r="E1292" s="2" t="str">
        <f t="shared" si="33"/>
        <v>女</v>
      </c>
    </row>
    <row r="1293" spans="1:5" ht="14.4" x14ac:dyDescent="0.25">
      <c r="A1293" s="4">
        <v>1291</v>
      </c>
      <c r="B1293" s="2" t="str">
        <f>"3251202108100913383882"</f>
        <v>3251202108100913383882</v>
      </c>
      <c r="C1293" s="2" t="s">
        <v>14</v>
      </c>
      <c r="D1293" s="2" t="str">
        <f>"黄子芳"</f>
        <v>黄子芳</v>
      </c>
      <c r="E1293" s="2" t="str">
        <f t="shared" si="33"/>
        <v>女</v>
      </c>
    </row>
    <row r="1294" spans="1:5" ht="14.4" x14ac:dyDescent="0.25">
      <c r="A1294" s="4">
        <v>1292</v>
      </c>
      <c r="B1294" s="2" t="str">
        <f>"3251202108100935544062"</f>
        <v>3251202108100935544062</v>
      </c>
      <c r="C1294" s="2" t="s">
        <v>14</v>
      </c>
      <c r="D1294" s="2" t="str">
        <f>"罗娟"</f>
        <v>罗娟</v>
      </c>
      <c r="E1294" s="2" t="str">
        <f t="shared" si="33"/>
        <v>女</v>
      </c>
    </row>
    <row r="1295" spans="1:5" ht="14.4" x14ac:dyDescent="0.25">
      <c r="A1295" s="4">
        <v>1293</v>
      </c>
      <c r="B1295" s="2" t="str">
        <f>"3251202108100941014089"</f>
        <v>3251202108100941014089</v>
      </c>
      <c r="C1295" s="2" t="s">
        <v>14</v>
      </c>
      <c r="D1295" s="2" t="str">
        <f>"莫岳东"</f>
        <v>莫岳东</v>
      </c>
      <c r="E1295" s="2" t="str">
        <f>"男"</f>
        <v>男</v>
      </c>
    </row>
    <row r="1296" spans="1:5" ht="14.4" x14ac:dyDescent="0.25">
      <c r="A1296" s="4">
        <v>1294</v>
      </c>
      <c r="B1296" s="2" t="str">
        <f>"3251202108100949104152"</f>
        <v>3251202108100949104152</v>
      </c>
      <c r="C1296" s="2" t="s">
        <v>14</v>
      </c>
      <c r="D1296" s="2" t="str">
        <f>"周丹丹"</f>
        <v>周丹丹</v>
      </c>
      <c r="E1296" s="2" t="str">
        <f>"女"</f>
        <v>女</v>
      </c>
    </row>
    <row r="1297" spans="1:5" ht="14.4" x14ac:dyDescent="0.25">
      <c r="A1297" s="4">
        <v>1295</v>
      </c>
      <c r="B1297" s="2" t="str">
        <f>"3251202108100953384183"</f>
        <v>3251202108100953384183</v>
      </c>
      <c r="C1297" s="2" t="s">
        <v>14</v>
      </c>
      <c r="D1297" s="2" t="str">
        <f>"梁莉彩"</f>
        <v>梁莉彩</v>
      </c>
      <c r="E1297" s="2" t="str">
        <f>"女"</f>
        <v>女</v>
      </c>
    </row>
    <row r="1298" spans="1:5" ht="14.4" x14ac:dyDescent="0.25">
      <c r="A1298" s="4">
        <v>1296</v>
      </c>
      <c r="B1298" s="2" t="str">
        <f>"3251202108100955514200"</f>
        <v>3251202108100955514200</v>
      </c>
      <c r="C1298" s="2" t="s">
        <v>14</v>
      </c>
      <c r="D1298" s="2" t="str">
        <f>"罗玉"</f>
        <v>罗玉</v>
      </c>
      <c r="E1298" s="2" t="str">
        <f>"女"</f>
        <v>女</v>
      </c>
    </row>
    <row r="1299" spans="1:5" ht="14.4" x14ac:dyDescent="0.25">
      <c r="A1299" s="4">
        <v>1297</v>
      </c>
      <c r="B1299" s="2" t="str">
        <f>"3251202108101004374252"</f>
        <v>3251202108101004374252</v>
      </c>
      <c r="C1299" s="2" t="s">
        <v>14</v>
      </c>
      <c r="D1299" s="2" t="str">
        <f>"符惠萍"</f>
        <v>符惠萍</v>
      </c>
      <c r="E1299" s="2" t="str">
        <f>"女"</f>
        <v>女</v>
      </c>
    </row>
    <row r="1300" spans="1:5" ht="14.4" x14ac:dyDescent="0.25">
      <c r="A1300" s="4">
        <v>1298</v>
      </c>
      <c r="B1300" s="2" t="str">
        <f>"3251202108101021144345"</f>
        <v>3251202108101021144345</v>
      </c>
      <c r="C1300" s="2" t="s">
        <v>14</v>
      </c>
      <c r="D1300" s="2" t="str">
        <f>"张汉丰"</f>
        <v>张汉丰</v>
      </c>
      <c r="E1300" s="2" t="str">
        <f>"男"</f>
        <v>男</v>
      </c>
    </row>
    <row r="1301" spans="1:5" ht="14.4" x14ac:dyDescent="0.25">
      <c r="A1301" s="4">
        <v>1299</v>
      </c>
      <c r="B1301" s="2" t="str">
        <f>"3251202108101224124881"</f>
        <v>3251202108101224124881</v>
      </c>
      <c r="C1301" s="2" t="s">
        <v>14</v>
      </c>
      <c r="D1301" s="2" t="str">
        <f>"符曹婷"</f>
        <v>符曹婷</v>
      </c>
      <c r="E1301" s="2" t="str">
        <f>"女"</f>
        <v>女</v>
      </c>
    </row>
    <row r="1302" spans="1:5" ht="14.4" x14ac:dyDescent="0.25">
      <c r="A1302" s="4">
        <v>1300</v>
      </c>
      <c r="B1302" s="2" t="str">
        <f>"3251202108101229184901"</f>
        <v>3251202108101229184901</v>
      </c>
      <c r="C1302" s="2" t="s">
        <v>14</v>
      </c>
      <c r="D1302" s="2" t="str">
        <f>"符淑娜"</f>
        <v>符淑娜</v>
      </c>
      <c r="E1302" s="2" t="str">
        <f>"女"</f>
        <v>女</v>
      </c>
    </row>
    <row r="1303" spans="1:5" ht="14.4" x14ac:dyDescent="0.25">
      <c r="A1303" s="4">
        <v>1301</v>
      </c>
      <c r="B1303" s="2" t="str">
        <f>"3251202108101533375416"</f>
        <v>3251202108101533375416</v>
      </c>
      <c r="C1303" s="2" t="s">
        <v>14</v>
      </c>
      <c r="D1303" s="2" t="str">
        <f>"何艺丹"</f>
        <v>何艺丹</v>
      </c>
      <c r="E1303" s="2" t="str">
        <f>"女"</f>
        <v>女</v>
      </c>
    </row>
    <row r="1304" spans="1:5" ht="14.4" x14ac:dyDescent="0.25">
      <c r="A1304" s="4">
        <v>1302</v>
      </c>
      <c r="B1304" s="2" t="str">
        <f>"3251202108101600205501"</f>
        <v>3251202108101600205501</v>
      </c>
      <c r="C1304" s="2" t="s">
        <v>14</v>
      </c>
      <c r="D1304" s="2" t="str">
        <f>"李倩"</f>
        <v>李倩</v>
      </c>
      <c r="E1304" s="2" t="str">
        <f>"女"</f>
        <v>女</v>
      </c>
    </row>
    <row r="1305" spans="1:5" ht="14.4" x14ac:dyDescent="0.25">
      <c r="A1305" s="4">
        <v>1303</v>
      </c>
      <c r="B1305" s="2" t="str">
        <f>"3251202108101709425772"</f>
        <v>3251202108101709425772</v>
      </c>
      <c r="C1305" s="2" t="s">
        <v>14</v>
      </c>
      <c r="D1305" s="2" t="str">
        <f>"林青山"</f>
        <v>林青山</v>
      </c>
      <c r="E1305" s="2" t="str">
        <f>"男"</f>
        <v>男</v>
      </c>
    </row>
    <row r="1306" spans="1:5" ht="14.4" x14ac:dyDescent="0.25">
      <c r="A1306" s="4">
        <v>1304</v>
      </c>
      <c r="B1306" s="2" t="str">
        <f>"3251202108101804325914"</f>
        <v>3251202108101804325914</v>
      </c>
      <c r="C1306" s="2" t="s">
        <v>14</v>
      </c>
      <c r="D1306" s="2" t="str">
        <f>"叶莹莹"</f>
        <v>叶莹莹</v>
      </c>
      <c r="E1306" s="2" t="str">
        <f>"女"</f>
        <v>女</v>
      </c>
    </row>
    <row r="1307" spans="1:5" ht="14.4" x14ac:dyDescent="0.25">
      <c r="A1307" s="4">
        <v>1305</v>
      </c>
      <c r="B1307" s="2" t="str">
        <f>"3251202108101835375976"</f>
        <v>3251202108101835375976</v>
      </c>
      <c r="C1307" s="2" t="s">
        <v>14</v>
      </c>
      <c r="D1307" s="2" t="str">
        <f>"张勇"</f>
        <v>张勇</v>
      </c>
      <c r="E1307" s="2" t="str">
        <f>"男"</f>
        <v>男</v>
      </c>
    </row>
    <row r="1308" spans="1:5" ht="14.4" x14ac:dyDescent="0.25">
      <c r="A1308" s="4">
        <v>1306</v>
      </c>
      <c r="B1308" s="2" t="str">
        <f>"3251202108110949216807"</f>
        <v>3251202108110949216807</v>
      </c>
      <c r="C1308" s="2" t="s">
        <v>14</v>
      </c>
      <c r="D1308" s="2" t="str">
        <f>"张运平"</f>
        <v>张运平</v>
      </c>
      <c r="E1308" s="2" t="str">
        <f>"男"</f>
        <v>男</v>
      </c>
    </row>
    <row r="1309" spans="1:5" ht="14.4" x14ac:dyDescent="0.25">
      <c r="A1309" s="4">
        <v>1307</v>
      </c>
      <c r="B1309" s="2" t="str">
        <f>"3251202108111243087192"</f>
        <v>3251202108111243087192</v>
      </c>
      <c r="C1309" s="2" t="s">
        <v>14</v>
      </c>
      <c r="D1309" s="2" t="str">
        <f>"李佳慧"</f>
        <v>李佳慧</v>
      </c>
      <c r="E1309" s="2" t="str">
        <f>"女"</f>
        <v>女</v>
      </c>
    </row>
    <row r="1310" spans="1:5" ht="14.4" x14ac:dyDescent="0.25">
      <c r="A1310" s="4">
        <v>1308</v>
      </c>
      <c r="B1310" s="2" t="str">
        <f>"3251202108111817107709"</f>
        <v>3251202108111817107709</v>
      </c>
      <c r="C1310" s="2" t="s">
        <v>14</v>
      </c>
      <c r="D1310" s="2" t="str">
        <f>"符莹莹"</f>
        <v>符莹莹</v>
      </c>
      <c r="E1310" s="2" t="str">
        <f>"女"</f>
        <v>女</v>
      </c>
    </row>
    <row r="1311" spans="1:5" ht="14.4" x14ac:dyDescent="0.25">
      <c r="A1311" s="4">
        <v>1309</v>
      </c>
      <c r="B1311" s="2" t="str">
        <f>"3251202108111820117716"</f>
        <v>3251202108111820117716</v>
      </c>
      <c r="C1311" s="2" t="s">
        <v>14</v>
      </c>
      <c r="D1311" s="2" t="str">
        <f>"何铭洪"</f>
        <v>何铭洪</v>
      </c>
      <c r="E1311" s="2" t="str">
        <f>"男"</f>
        <v>男</v>
      </c>
    </row>
    <row r="1312" spans="1:5" ht="14.4" x14ac:dyDescent="0.25">
      <c r="A1312" s="4">
        <v>1310</v>
      </c>
      <c r="B1312" s="2" t="str">
        <f>"3251202108112142198004"</f>
        <v>3251202108112142198004</v>
      </c>
      <c r="C1312" s="2" t="s">
        <v>14</v>
      </c>
      <c r="D1312" s="2" t="str">
        <f>"甘彩玉"</f>
        <v>甘彩玉</v>
      </c>
      <c r="E1312" s="2" t="str">
        <f>"女"</f>
        <v>女</v>
      </c>
    </row>
    <row r="1313" spans="1:5" ht="14.4" x14ac:dyDescent="0.25">
      <c r="A1313" s="4">
        <v>1311</v>
      </c>
      <c r="B1313" s="2" t="str">
        <f>"3251202108112306118116"</f>
        <v>3251202108112306118116</v>
      </c>
      <c r="C1313" s="2" t="s">
        <v>14</v>
      </c>
      <c r="D1313" s="2" t="str">
        <f>"王森珏"</f>
        <v>王森珏</v>
      </c>
      <c r="E1313" s="2" t="str">
        <f>"女"</f>
        <v>女</v>
      </c>
    </row>
    <row r="1314" spans="1:5" ht="14.4" x14ac:dyDescent="0.25">
      <c r="A1314" s="4">
        <v>1312</v>
      </c>
      <c r="B1314" s="2" t="str">
        <f>"3251202108121303288701"</f>
        <v>3251202108121303288701</v>
      </c>
      <c r="C1314" s="2" t="s">
        <v>14</v>
      </c>
      <c r="D1314" s="2" t="str">
        <f>"杨涵"</f>
        <v>杨涵</v>
      </c>
      <c r="E1314" s="2" t="str">
        <f>"女"</f>
        <v>女</v>
      </c>
    </row>
    <row r="1315" spans="1:5" ht="14.4" x14ac:dyDescent="0.25">
      <c r="A1315" s="4">
        <v>1313</v>
      </c>
      <c r="B1315" s="2" t="str">
        <f>"3251202108121812399152"</f>
        <v>3251202108121812399152</v>
      </c>
      <c r="C1315" s="2" t="s">
        <v>14</v>
      </c>
      <c r="D1315" s="2" t="str">
        <f>"林振"</f>
        <v>林振</v>
      </c>
      <c r="E1315" s="2" t="str">
        <f>"男"</f>
        <v>男</v>
      </c>
    </row>
    <row r="1316" spans="1:5" ht="14.4" x14ac:dyDescent="0.25">
      <c r="A1316" s="4">
        <v>1314</v>
      </c>
      <c r="B1316" s="2" t="str">
        <f>"3251202108131023089644"</f>
        <v>3251202108131023089644</v>
      </c>
      <c r="C1316" s="2" t="s">
        <v>14</v>
      </c>
      <c r="D1316" s="2" t="str">
        <f>"王珠"</f>
        <v>王珠</v>
      </c>
      <c r="E1316" s="2" t="str">
        <f>"女"</f>
        <v>女</v>
      </c>
    </row>
    <row r="1317" spans="1:5" ht="14.4" x14ac:dyDescent="0.25">
      <c r="A1317" s="4">
        <v>1315</v>
      </c>
      <c r="B1317" s="2" t="str">
        <f>"32512021081316151610018"</f>
        <v>32512021081316151610018</v>
      </c>
      <c r="C1317" s="2" t="s">
        <v>14</v>
      </c>
      <c r="D1317" s="2" t="str">
        <f>"李思美"</f>
        <v>李思美</v>
      </c>
      <c r="E1317" s="2" t="str">
        <f>"女"</f>
        <v>女</v>
      </c>
    </row>
    <row r="1318" spans="1:5" ht="14.4" x14ac:dyDescent="0.25">
      <c r="A1318" s="4">
        <v>1316</v>
      </c>
      <c r="B1318" s="2" t="str">
        <f>"32512021081416584610708"</f>
        <v>32512021081416584610708</v>
      </c>
      <c r="C1318" s="2" t="s">
        <v>14</v>
      </c>
      <c r="D1318" s="2" t="str">
        <f>"赖佳禾"</f>
        <v>赖佳禾</v>
      </c>
      <c r="E1318" s="2" t="str">
        <f>"女"</f>
        <v>女</v>
      </c>
    </row>
    <row r="1319" spans="1:5" ht="14.4" x14ac:dyDescent="0.25">
      <c r="A1319" s="4">
        <v>1317</v>
      </c>
      <c r="B1319" s="2" t="str">
        <f>"32512021081422075710866"</f>
        <v>32512021081422075710866</v>
      </c>
      <c r="C1319" s="2" t="s">
        <v>14</v>
      </c>
      <c r="D1319" s="2" t="str">
        <f>"赖林欣"</f>
        <v>赖林欣</v>
      </c>
      <c r="E1319" s="2" t="str">
        <f>"女"</f>
        <v>女</v>
      </c>
    </row>
    <row r="1320" spans="1:5" ht="14.4" x14ac:dyDescent="0.25">
      <c r="A1320" s="4">
        <v>1318</v>
      </c>
      <c r="B1320" s="2" t="str">
        <f>"32512021081422523310884"</f>
        <v>32512021081422523310884</v>
      </c>
      <c r="C1320" s="2" t="s">
        <v>14</v>
      </c>
      <c r="D1320" s="2" t="str">
        <f>"刘佩怡"</f>
        <v>刘佩怡</v>
      </c>
      <c r="E1320" s="2" t="str">
        <f>"女"</f>
        <v>女</v>
      </c>
    </row>
    <row r="1321" spans="1:5" ht="14.4" x14ac:dyDescent="0.25">
      <c r="A1321" s="4">
        <v>1319</v>
      </c>
      <c r="B1321" s="2" t="str">
        <f>"32512021081519011611370"</f>
        <v>32512021081519011611370</v>
      </c>
      <c r="C1321" s="2" t="s">
        <v>14</v>
      </c>
      <c r="D1321" s="2" t="str">
        <f>"王佳星"</f>
        <v>王佳星</v>
      </c>
      <c r="E1321" s="2" t="str">
        <f>"男"</f>
        <v>男</v>
      </c>
    </row>
    <row r="1322" spans="1:5" ht="14.4" x14ac:dyDescent="0.25">
      <c r="A1322" s="4">
        <v>1320</v>
      </c>
      <c r="B1322" s="2" t="str">
        <f>"32512021081614173212913"</f>
        <v>32512021081614173212913</v>
      </c>
      <c r="C1322" s="2" t="s">
        <v>14</v>
      </c>
      <c r="D1322" s="2" t="str">
        <f>"符慧瑾"</f>
        <v>符慧瑾</v>
      </c>
      <c r="E1322" s="2" t="str">
        <f t="shared" ref="E1322:E1327" si="34">"女"</f>
        <v>女</v>
      </c>
    </row>
    <row r="1323" spans="1:5" ht="14.4" x14ac:dyDescent="0.25">
      <c r="A1323" s="4">
        <v>1321</v>
      </c>
      <c r="B1323" s="2" t="str">
        <f>"3251202108100904523784"</f>
        <v>3251202108100904523784</v>
      </c>
      <c r="C1323" s="2" t="s">
        <v>15</v>
      </c>
      <c r="D1323" s="2" t="str">
        <f>"黄贞"</f>
        <v>黄贞</v>
      </c>
      <c r="E1323" s="2" t="str">
        <f t="shared" si="34"/>
        <v>女</v>
      </c>
    </row>
    <row r="1324" spans="1:5" ht="14.4" x14ac:dyDescent="0.25">
      <c r="A1324" s="4">
        <v>1322</v>
      </c>
      <c r="B1324" s="2" t="str">
        <f>"3251202108100955324197"</f>
        <v>3251202108100955324197</v>
      </c>
      <c r="C1324" s="2" t="s">
        <v>15</v>
      </c>
      <c r="D1324" s="2" t="str">
        <f>"何鸾美"</f>
        <v>何鸾美</v>
      </c>
      <c r="E1324" s="2" t="str">
        <f t="shared" si="34"/>
        <v>女</v>
      </c>
    </row>
    <row r="1325" spans="1:5" ht="14.4" x14ac:dyDescent="0.25">
      <c r="A1325" s="4">
        <v>1323</v>
      </c>
      <c r="B1325" s="2" t="str">
        <f>"3251202108101112034609"</f>
        <v>3251202108101112034609</v>
      </c>
      <c r="C1325" s="2" t="s">
        <v>15</v>
      </c>
      <c r="D1325" s="2" t="str">
        <f>"陈婷"</f>
        <v>陈婷</v>
      </c>
      <c r="E1325" s="2" t="str">
        <f t="shared" si="34"/>
        <v>女</v>
      </c>
    </row>
    <row r="1326" spans="1:5" ht="14.4" x14ac:dyDescent="0.25">
      <c r="A1326" s="4">
        <v>1324</v>
      </c>
      <c r="B1326" s="2" t="str">
        <f>"3251202108121521498892"</f>
        <v>3251202108121521498892</v>
      </c>
      <c r="C1326" s="2" t="s">
        <v>15</v>
      </c>
      <c r="D1326" s="2" t="str">
        <f>"吴惠妃"</f>
        <v>吴惠妃</v>
      </c>
      <c r="E1326" s="2" t="str">
        <f t="shared" si="34"/>
        <v>女</v>
      </c>
    </row>
    <row r="1327" spans="1:5" ht="14.4" x14ac:dyDescent="0.25">
      <c r="A1327" s="4">
        <v>1325</v>
      </c>
      <c r="B1327" s="2" t="str">
        <f>"3251202108122230519403"</f>
        <v>3251202108122230519403</v>
      </c>
      <c r="C1327" s="2" t="s">
        <v>15</v>
      </c>
      <c r="D1327" s="2" t="str">
        <f>"符月梅"</f>
        <v>符月梅</v>
      </c>
      <c r="E1327" s="2" t="str">
        <f t="shared" si="34"/>
        <v>女</v>
      </c>
    </row>
    <row r="1328" spans="1:5" ht="14.4" x14ac:dyDescent="0.25">
      <c r="A1328" s="4">
        <v>1326</v>
      </c>
      <c r="B1328" s="2" t="str">
        <f>"3251202108131406159867"</f>
        <v>3251202108131406159867</v>
      </c>
      <c r="C1328" s="2" t="s">
        <v>15</v>
      </c>
      <c r="D1328" s="2" t="str">
        <f>"黄河润"</f>
        <v>黄河润</v>
      </c>
      <c r="E1328" s="2" t="str">
        <f>"男"</f>
        <v>男</v>
      </c>
    </row>
    <row r="1329" spans="1:5" ht="14.4" x14ac:dyDescent="0.25">
      <c r="A1329" s="4">
        <v>1327</v>
      </c>
      <c r="B1329" s="2" t="str">
        <f>"3251202108100903103767"</f>
        <v>3251202108100903103767</v>
      </c>
      <c r="C1329" s="2" t="s">
        <v>16</v>
      </c>
      <c r="D1329" s="2" t="str">
        <f>"陈梦梦"</f>
        <v>陈梦梦</v>
      </c>
      <c r="E1329" s="2" t="str">
        <f>"女"</f>
        <v>女</v>
      </c>
    </row>
    <row r="1330" spans="1:5" ht="14.4" x14ac:dyDescent="0.25">
      <c r="A1330" s="4">
        <v>1328</v>
      </c>
      <c r="B1330" s="2" t="str">
        <f>"3251202108100906003798"</f>
        <v>3251202108100906003798</v>
      </c>
      <c r="C1330" s="2" t="s">
        <v>16</v>
      </c>
      <c r="D1330" s="2" t="str">
        <f>"王婧莹"</f>
        <v>王婧莹</v>
      </c>
      <c r="E1330" s="2" t="str">
        <f>"女"</f>
        <v>女</v>
      </c>
    </row>
    <row r="1331" spans="1:5" ht="14.4" x14ac:dyDescent="0.25">
      <c r="A1331" s="4">
        <v>1329</v>
      </c>
      <c r="B1331" s="2" t="str">
        <f>"3251202108100907493817"</f>
        <v>3251202108100907493817</v>
      </c>
      <c r="C1331" s="2" t="s">
        <v>16</v>
      </c>
      <c r="D1331" s="2" t="str">
        <f>"符丽珠"</f>
        <v>符丽珠</v>
      </c>
      <c r="E1331" s="2" t="str">
        <f>"女"</f>
        <v>女</v>
      </c>
    </row>
    <row r="1332" spans="1:5" ht="14.4" x14ac:dyDescent="0.25">
      <c r="A1332" s="4">
        <v>1330</v>
      </c>
      <c r="B1332" s="2" t="str">
        <f>"3251202108100917163914"</f>
        <v>3251202108100917163914</v>
      </c>
      <c r="C1332" s="2" t="s">
        <v>16</v>
      </c>
      <c r="D1332" s="2" t="str">
        <f>"羊子辉"</f>
        <v>羊子辉</v>
      </c>
      <c r="E1332" s="2" t="str">
        <f>"男"</f>
        <v>男</v>
      </c>
    </row>
    <row r="1333" spans="1:5" ht="14.4" x14ac:dyDescent="0.25">
      <c r="A1333" s="4">
        <v>1331</v>
      </c>
      <c r="B1333" s="2" t="str">
        <f>"3251202108100917503920"</f>
        <v>3251202108100917503920</v>
      </c>
      <c r="C1333" s="2" t="s">
        <v>16</v>
      </c>
      <c r="D1333" s="2" t="str">
        <f>"符丽华"</f>
        <v>符丽华</v>
      </c>
      <c r="E1333" s="2" t="str">
        <f>"女"</f>
        <v>女</v>
      </c>
    </row>
    <row r="1334" spans="1:5" ht="14.4" x14ac:dyDescent="0.25">
      <c r="A1334" s="4">
        <v>1332</v>
      </c>
      <c r="B1334" s="2" t="str">
        <f>"3251202108100923093966"</f>
        <v>3251202108100923093966</v>
      </c>
      <c r="C1334" s="2" t="s">
        <v>16</v>
      </c>
      <c r="D1334" s="2" t="str">
        <f>"陈虹利"</f>
        <v>陈虹利</v>
      </c>
      <c r="E1334" s="2" t="str">
        <f>"女"</f>
        <v>女</v>
      </c>
    </row>
    <row r="1335" spans="1:5" ht="14.4" x14ac:dyDescent="0.25">
      <c r="A1335" s="4">
        <v>1333</v>
      </c>
      <c r="B1335" s="2" t="str">
        <f>"3251202108100951474169"</f>
        <v>3251202108100951474169</v>
      </c>
      <c r="C1335" s="2" t="s">
        <v>16</v>
      </c>
      <c r="D1335" s="2" t="str">
        <f>"符海妹"</f>
        <v>符海妹</v>
      </c>
      <c r="E1335" s="2" t="str">
        <f>"女"</f>
        <v>女</v>
      </c>
    </row>
    <row r="1336" spans="1:5" ht="14.4" x14ac:dyDescent="0.25">
      <c r="A1336" s="4">
        <v>1334</v>
      </c>
      <c r="B1336" s="2" t="str">
        <f>"3251202108101010264286"</f>
        <v>3251202108101010264286</v>
      </c>
      <c r="C1336" s="2" t="s">
        <v>16</v>
      </c>
      <c r="D1336" s="2" t="str">
        <f>"曾岳昆"</f>
        <v>曾岳昆</v>
      </c>
      <c r="E1336" s="2" t="str">
        <f>"男"</f>
        <v>男</v>
      </c>
    </row>
    <row r="1337" spans="1:5" ht="14.4" x14ac:dyDescent="0.25">
      <c r="A1337" s="4">
        <v>1335</v>
      </c>
      <c r="B1337" s="2" t="str">
        <f>"3251202108101011504296"</f>
        <v>3251202108101011504296</v>
      </c>
      <c r="C1337" s="2" t="s">
        <v>16</v>
      </c>
      <c r="D1337" s="2" t="str">
        <f>"羊彩思"</f>
        <v>羊彩思</v>
      </c>
      <c r="E1337" s="2" t="str">
        <f t="shared" ref="E1337:E1347" si="35">"女"</f>
        <v>女</v>
      </c>
    </row>
    <row r="1338" spans="1:5" ht="14.4" x14ac:dyDescent="0.25">
      <c r="A1338" s="4">
        <v>1336</v>
      </c>
      <c r="B1338" s="2" t="str">
        <f>"3251202108101051484498"</f>
        <v>3251202108101051484498</v>
      </c>
      <c r="C1338" s="2" t="s">
        <v>16</v>
      </c>
      <c r="D1338" s="2" t="str">
        <f>"曾岳莲"</f>
        <v>曾岳莲</v>
      </c>
      <c r="E1338" s="2" t="str">
        <f t="shared" si="35"/>
        <v>女</v>
      </c>
    </row>
    <row r="1339" spans="1:5" ht="14.4" x14ac:dyDescent="0.25">
      <c r="A1339" s="4">
        <v>1337</v>
      </c>
      <c r="B1339" s="2" t="str">
        <f>"3251202108101052444506"</f>
        <v>3251202108101052444506</v>
      </c>
      <c r="C1339" s="2" t="s">
        <v>16</v>
      </c>
      <c r="D1339" s="2" t="str">
        <f>"王丽"</f>
        <v>王丽</v>
      </c>
      <c r="E1339" s="2" t="str">
        <f t="shared" si="35"/>
        <v>女</v>
      </c>
    </row>
    <row r="1340" spans="1:5" ht="14.4" x14ac:dyDescent="0.25">
      <c r="A1340" s="4">
        <v>1338</v>
      </c>
      <c r="B1340" s="2" t="str">
        <f>"3251202108101103204558"</f>
        <v>3251202108101103204558</v>
      </c>
      <c r="C1340" s="2" t="s">
        <v>16</v>
      </c>
      <c r="D1340" s="2" t="str">
        <f>"胡嘉"</f>
        <v>胡嘉</v>
      </c>
      <c r="E1340" s="2" t="str">
        <f t="shared" si="35"/>
        <v>女</v>
      </c>
    </row>
    <row r="1341" spans="1:5" ht="14.4" x14ac:dyDescent="0.25">
      <c r="A1341" s="4">
        <v>1339</v>
      </c>
      <c r="B1341" s="2" t="str">
        <f>"3251202108101140154744"</f>
        <v>3251202108101140154744</v>
      </c>
      <c r="C1341" s="2" t="s">
        <v>16</v>
      </c>
      <c r="D1341" s="2" t="str">
        <f>"王芳琪"</f>
        <v>王芳琪</v>
      </c>
      <c r="E1341" s="2" t="str">
        <f t="shared" si="35"/>
        <v>女</v>
      </c>
    </row>
    <row r="1342" spans="1:5" ht="14.4" x14ac:dyDescent="0.25">
      <c r="A1342" s="4">
        <v>1340</v>
      </c>
      <c r="B1342" s="2" t="str">
        <f>"3251202108101159354806"</f>
        <v>3251202108101159354806</v>
      </c>
      <c r="C1342" s="2" t="s">
        <v>16</v>
      </c>
      <c r="D1342" s="2" t="str">
        <f>"万玉笋"</f>
        <v>万玉笋</v>
      </c>
      <c r="E1342" s="2" t="str">
        <f t="shared" si="35"/>
        <v>女</v>
      </c>
    </row>
    <row r="1343" spans="1:5" ht="14.4" x14ac:dyDescent="0.25">
      <c r="A1343" s="4">
        <v>1341</v>
      </c>
      <c r="B1343" s="2" t="str">
        <f>"3251202108101201414811"</f>
        <v>3251202108101201414811</v>
      </c>
      <c r="C1343" s="2" t="s">
        <v>16</v>
      </c>
      <c r="D1343" s="2" t="str">
        <f>"陈培桦"</f>
        <v>陈培桦</v>
      </c>
      <c r="E1343" s="2" t="str">
        <f t="shared" si="35"/>
        <v>女</v>
      </c>
    </row>
    <row r="1344" spans="1:5" ht="14.4" x14ac:dyDescent="0.25">
      <c r="A1344" s="4">
        <v>1342</v>
      </c>
      <c r="B1344" s="2" t="str">
        <f>"3251202108101420335155"</f>
        <v>3251202108101420335155</v>
      </c>
      <c r="C1344" s="2" t="s">
        <v>16</v>
      </c>
      <c r="D1344" s="2" t="str">
        <f>"曾莹莹"</f>
        <v>曾莹莹</v>
      </c>
      <c r="E1344" s="2" t="str">
        <f t="shared" si="35"/>
        <v>女</v>
      </c>
    </row>
    <row r="1345" spans="1:5" ht="14.4" x14ac:dyDescent="0.25">
      <c r="A1345" s="4">
        <v>1343</v>
      </c>
      <c r="B1345" s="2" t="str">
        <f>"3251202108101448145249"</f>
        <v>3251202108101448145249</v>
      </c>
      <c r="C1345" s="2" t="s">
        <v>16</v>
      </c>
      <c r="D1345" s="2" t="str">
        <f>"符才优"</f>
        <v>符才优</v>
      </c>
      <c r="E1345" s="2" t="str">
        <f t="shared" si="35"/>
        <v>女</v>
      </c>
    </row>
    <row r="1346" spans="1:5" ht="14.4" x14ac:dyDescent="0.25">
      <c r="A1346" s="4">
        <v>1344</v>
      </c>
      <c r="B1346" s="2" t="str">
        <f>"3251202108101451215262"</f>
        <v>3251202108101451215262</v>
      </c>
      <c r="C1346" s="2" t="s">
        <v>16</v>
      </c>
      <c r="D1346" s="2" t="str">
        <f>"符娇凤"</f>
        <v>符娇凤</v>
      </c>
      <c r="E1346" s="2" t="str">
        <f t="shared" si="35"/>
        <v>女</v>
      </c>
    </row>
    <row r="1347" spans="1:5" ht="14.4" x14ac:dyDescent="0.25">
      <c r="A1347" s="4">
        <v>1345</v>
      </c>
      <c r="B1347" s="2" t="str">
        <f>"3251202108101503515309"</f>
        <v>3251202108101503515309</v>
      </c>
      <c r="C1347" s="2" t="s">
        <v>16</v>
      </c>
      <c r="D1347" s="2" t="str">
        <f>"符韩佳"</f>
        <v>符韩佳</v>
      </c>
      <c r="E1347" s="2" t="str">
        <f t="shared" si="35"/>
        <v>女</v>
      </c>
    </row>
    <row r="1348" spans="1:5" ht="14.4" x14ac:dyDescent="0.25">
      <c r="A1348" s="4">
        <v>1346</v>
      </c>
      <c r="B1348" s="2" t="str">
        <f>"3251202108101515525356"</f>
        <v>3251202108101515525356</v>
      </c>
      <c r="C1348" s="2" t="s">
        <v>16</v>
      </c>
      <c r="D1348" s="2" t="str">
        <f>"符国浦"</f>
        <v>符国浦</v>
      </c>
      <c r="E1348" s="2" t="str">
        <f>"男"</f>
        <v>男</v>
      </c>
    </row>
    <row r="1349" spans="1:5" ht="14.4" x14ac:dyDescent="0.25">
      <c r="A1349" s="4">
        <v>1347</v>
      </c>
      <c r="B1349" s="2" t="str">
        <f>"3251202108101552385462"</f>
        <v>3251202108101552385462</v>
      </c>
      <c r="C1349" s="2" t="s">
        <v>16</v>
      </c>
      <c r="D1349" s="2" t="str">
        <f>"周安炀"</f>
        <v>周安炀</v>
      </c>
      <c r="E1349" s="2" t="str">
        <f>"男"</f>
        <v>男</v>
      </c>
    </row>
    <row r="1350" spans="1:5" ht="14.4" x14ac:dyDescent="0.25">
      <c r="A1350" s="4">
        <v>1348</v>
      </c>
      <c r="B1350" s="2" t="str">
        <f>"3251202108101634275645"</f>
        <v>3251202108101634275645</v>
      </c>
      <c r="C1350" s="2" t="s">
        <v>16</v>
      </c>
      <c r="D1350" s="2" t="str">
        <f>"王辰"</f>
        <v>王辰</v>
      </c>
      <c r="E1350" s="2" t="str">
        <f>"男"</f>
        <v>男</v>
      </c>
    </row>
    <row r="1351" spans="1:5" ht="14.4" x14ac:dyDescent="0.25">
      <c r="A1351" s="4">
        <v>1349</v>
      </c>
      <c r="B1351" s="2" t="str">
        <f>"3251202108101638205651"</f>
        <v>3251202108101638205651</v>
      </c>
      <c r="C1351" s="2" t="s">
        <v>16</v>
      </c>
      <c r="D1351" s="2" t="str">
        <f>"黄淑娟"</f>
        <v>黄淑娟</v>
      </c>
      <c r="E1351" s="2" t="str">
        <f>"女"</f>
        <v>女</v>
      </c>
    </row>
    <row r="1352" spans="1:5" ht="14.4" x14ac:dyDescent="0.25">
      <c r="A1352" s="4">
        <v>1350</v>
      </c>
      <c r="B1352" s="2" t="str">
        <f>"3251202108101744105876"</f>
        <v>3251202108101744105876</v>
      </c>
      <c r="C1352" s="2" t="s">
        <v>16</v>
      </c>
      <c r="D1352" s="2" t="str">
        <f>"温晓佳"</f>
        <v>温晓佳</v>
      </c>
      <c r="E1352" s="2" t="str">
        <f>"男"</f>
        <v>男</v>
      </c>
    </row>
    <row r="1353" spans="1:5" ht="14.4" x14ac:dyDescent="0.25">
      <c r="A1353" s="4">
        <v>1351</v>
      </c>
      <c r="B1353" s="2" t="str">
        <f>"3251202108101854546026"</f>
        <v>3251202108101854546026</v>
      </c>
      <c r="C1353" s="2" t="s">
        <v>16</v>
      </c>
      <c r="D1353" s="2" t="str">
        <f>"符少琴"</f>
        <v>符少琴</v>
      </c>
      <c r="E1353" s="2" t="str">
        <f>"女"</f>
        <v>女</v>
      </c>
    </row>
    <row r="1354" spans="1:5" ht="14.4" x14ac:dyDescent="0.25">
      <c r="A1354" s="4">
        <v>1352</v>
      </c>
      <c r="B1354" s="2" t="str">
        <f>"3251202108102046156252"</f>
        <v>3251202108102046156252</v>
      </c>
      <c r="C1354" s="2" t="s">
        <v>16</v>
      </c>
      <c r="D1354" s="2" t="str">
        <f>"王斌"</f>
        <v>王斌</v>
      </c>
      <c r="E1354" s="2" t="str">
        <f>"男"</f>
        <v>男</v>
      </c>
    </row>
    <row r="1355" spans="1:5" ht="14.4" x14ac:dyDescent="0.25">
      <c r="A1355" s="4">
        <v>1353</v>
      </c>
      <c r="B1355" s="2" t="str">
        <f>"3251202108102051526264"</f>
        <v>3251202108102051526264</v>
      </c>
      <c r="C1355" s="2" t="s">
        <v>16</v>
      </c>
      <c r="D1355" s="2" t="str">
        <f>"陆建华"</f>
        <v>陆建华</v>
      </c>
      <c r="E1355" s="2" t="str">
        <f>"男"</f>
        <v>男</v>
      </c>
    </row>
    <row r="1356" spans="1:5" ht="14.4" x14ac:dyDescent="0.25">
      <c r="A1356" s="4">
        <v>1354</v>
      </c>
      <c r="B1356" s="2" t="str">
        <f>"3251202108102200376377"</f>
        <v>3251202108102200376377</v>
      </c>
      <c r="C1356" s="2" t="s">
        <v>16</v>
      </c>
      <c r="D1356" s="2" t="str">
        <f>"王德志"</f>
        <v>王德志</v>
      </c>
      <c r="E1356" s="2" t="str">
        <f>"男"</f>
        <v>男</v>
      </c>
    </row>
    <row r="1357" spans="1:5" ht="14.4" x14ac:dyDescent="0.25">
      <c r="A1357" s="4">
        <v>1355</v>
      </c>
      <c r="B1357" s="2" t="str">
        <f>"3251202108102203086383"</f>
        <v>3251202108102203086383</v>
      </c>
      <c r="C1357" s="2" t="s">
        <v>16</v>
      </c>
      <c r="D1357" s="2" t="str">
        <f>"符家祥"</f>
        <v>符家祥</v>
      </c>
      <c r="E1357" s="2" t="str">
        <f>"男"</f>
        <v>男</v>
      </c>
    </row>
    <row r="1358" spans="1:5" ht="14.4" x14ac:dyDescent="0.25">
      <c r="A1358" s="4">
        <v>1356</v>
      </c>
      <c r="B1358" s="2" t="str">
        <f>"3251202108102206416390"</f>
        <v>3251202108102206416390</v>
      </c>
      <c r="C1358" s="2" t="s">
        <v>16</v>
      </c>
      <c r="D1358" s="2" t="str">
        <f>"何子南"</f>
        <v>何子南</v>
      </c>
      <c r="E1358" s="2" t="str">
        <f>"女"</f>
        <v>女</v>
      </c>
    </row>
    <row r="1359" spans="1:5" ht="14.4" x14ac:dyDescent="0.25">
      <c r="A1359" s="4">
        <v>1357</v>
      </c>
      <c r="B1359" s="2" t="str">
        <f>"3251202108110858536665"</f>
        <v>3251202108110858536665</v>
      </c>
      <c r="C1359" s="2" t="s">
        <v>16</v>
      </c>
      <c r="D1359" s="2" t="str">
        <f>"王华健"</f>
        <v>王华健</v>
      </c>
      <c r="E1359" s="2" t="str">
        <f>"男"</f>
        <v>男</v>
      </c>
    </row>
    <row r="1360" spans="1:5" ht="14.4" x14ac:dyDescent="0.25">
      <c r="A1360" s="4">
        <v>1358</v>
      </c>
      <c r="B1360" s="2" t="str">
        <f>"3251202108110901316669"</f>
        <v>3251202108110901316669</v>
      </c>
      <c r="C1360" s="2" t="s">
        <v>16</v>
      </c>
      <c r="D1360" s="2" t="str">
        <f>"陈信裕"</f>
        <v>陈信裕</v>
      </c>
      <c r="E1360" s="2" t="str">
        <f>"男"</f>
        <v>男</v>
      </c>
    </row>
    <row r="1361" spans="1:5" ht="14.4" x14ac:dyDescent="0.25">
      <c r="A1361" s="4">
        <v>1359</v>
      </c>
      <c r="B1361" s="2" t="str">
        <f>"3251202108110909116696"</f>
        <v>3251202108110909116696</v>
      </c>
      <c r="C1361" s="2" t="s">
        <v>16</v>
      </c>
      <c r="D1361" s="2" t="str">
        <f>"符长盛"</f>
        <v>符长盛</v>
      </c>
      <c r="E1361" s="2" t="str">
        <f>"男"</f>
        <v>男</v>
      </c>
    </row>
    <row r="1362" spans="1:5" ht="14.4" x14ac:dyDescent="0.25">
      <c r="A1362" s="4">
        <v>1360</v>
      </c>
      <c r="B1362" s="2" t="str">
        <f>"3251202108110933136763"</f>
        <v>3251202108110933136763</v>
      </c>
      <c r="C1362" s="2" t="s">
        <v>16</v>
      </c>
      <c r="D1362" s="2" t="str">
        <f>"羊孔伋"</f>
        <v>羊孔伋</v>
      </c>
      <c r="E1362" s="2" t="str">
        <f>"男"</f>
        <v>男</v>
      </c>
    </row>
    <row r="1363" spans="1:5" ht="14.4" x14ac:dyDescent="0.25">
      <c r="A1363" s="4">
        <v>1361</v>
      </c>
      <c r="B1363" s="2" t="str">
        <f>"3251202108110936316774"</f>
        <v>3251202108110936316774</v>
      </c>
      <c r="C1363" s="2" t="s">
        <v>16</v>
      </c>
      <c r="D1363" s="2" t="str">
        <f>"王晓霞"</f>
        <v>王晓霞</v>
      </c>
      <c r="E1363" s="2" t="str">
        <f>"女"</f>
        <v>女</v>
      </c>
    </row>
    <row r="1364" spans="1:5" ht="14.4" x14ac:dyDescent="0.25">
      <c r="A1364" s="4">
        <v>1362</v>
      </c>
      <c r="B1364" s="2" t="str">
        <f>"3251202108110959236840"</f>
        <v>3251202108110959236840</v>
      </c>
      <c r="C1364" s="2" t="s">
        <v>16</v>
      </c>
      <c r="D1364" s="2" t="str">
        <f>"韦茵茵"</f>
        <v>韦茵茵</v>
      </c>
      <c r="E1364" s="2" t="str">
        <f>"女"</f>
        <v>女</v>
      </c>
    </row>
    <row r="1365" spans="1:5" ht="14.4" x14ac:dyDescent="0.25">
      <c r="A1365" s="4">
        <v>1363</v>
      </c>
      <c r="B1365" s="2" t="str">
        <f>"3251202108111010026872"</f>
        <v>3251202108111010026872</v>
      </c>
      <c r="C1365" s="2" t="s">
        <v>16</v>
      </c>
      <c r="D1365" s="2" t="str">
        <f>"张杰"</f>
        <v>张杰</v>
      </c>
      <c r="E1365" s="2" t="str">
        <f>"男"</f>
        <v>男</v>
      </c>
    </row>
    <row r="1366" spans="1:5" ht="14.4" x14ac:dyDescent="0.25">
      <c r="A1366" s="4">
        <v>1364</v>
      </c>
      <c r="B1366" s="2" t="str">
        <f>"3251202108111304017218"</f>
        <v>3251202108111304017218</v>
      </c>
      <c r="C1366" s="2" t="s">
        <v>16</v>
      </c>
      <c r="D1366" s="2" t="str">
        <f>"曾玉鸿"</f>
        <v>曾玉鸿</v>
      </c>
      <c r="E1366" s="2" t="str">
        <f>"男"</f>
        <v>男</v>
      </c>
    </row>
    <row r="1367" spans="1:5" ht="14.4" x14ac:dyDescent="0.25">
      <c r="A1367" s="4">
        <v>1365</v>
      </c>
      <c r="B1367" s="2" t="str">
        <f>"3251202108111538417448"</f>
        <v>3251202108111538417448</v>
      </c>
      <c r="C1367" s="2" t="s">
        <v>16</v>
      </c>
      <c r="D1367" s="2" t="str">
        <f>"林呈"</f>
        <v>林呈</v>
      </c>
      <c r="E1367" s="2" t="str">
        <f>"男"</f>
        <v>男</v>
      </c>
    </row>
    <row r="1368" spans="1:5" ht="14.4" x14ac:dyDescent="0.25">
      <c r="A1368" s="4">
        <v>1366</v>
      </c>
      <c r="B1368" s="2" t="str">
        <f>"3251202108111620517525"</f>
        <v>3251202108111620517525</v>
      </c>
      <c r="C1368" s="2" t="s">
        <v>16</v>
      </c>
      <c r="D1368" s="2" t="str">
        <f>"刘佳爱"</f>
        <v>刘佳爱</v>
      </c>
      <c r="E1368" s="2" t="str">
        <f>"女"</f>
        <v>女</v>
      </c>
    </row>
    <row r="1369" spans="1:5" ht="14.4" x14ac:dyDescent="0.25">
      <c r="A1369" s="4">
        <v>1367</v>
      </c>
      <c r="B1369" s="2" t="str">
        <f>"3251202108111742347656"</f>
        <v>3251202108111742347656</v>
      </c>
      <c r="C1369" s="2" t="s">
        <v>16</v>
      </c>
      <c r="D1369" s="2" t="str">
        <f>"符进伟"</f>
        <v>符进伟</v>
      </c>
      <c r="E1369" s="2" t="str">
        <f>"男"</f>
        <v>男</v>
      </c>
    </row>
    <row r="1370" spans="1:5" ht="14.4" x14ac:dyDescent="0.25">
      <c r="A1370" s="4">
        <v>1368</v>
      </c>
      <c r="B1370" s="2" t="str">
        <f>"3251202108111855277767"</f>
        <v>3251202108111855277767</v>
      </c>
      <c r="C1370" s="2" t="s">
        <v>16</v>
      </c>
      <c r="D1370" s="2" t="str">
        <f>"孙开雪"</f>
        <v>孙开雪</v>
      </c>
      <c r="E1370" s="2" t="str">
        <f>"女"</f>
        <v>女</v>
      </c>
    </row>
    <row r="1371" spans="1:5" ht="14.4" x14ac:dyDescent="0.25">
      <c r="A1371" s="4">
        <v>1369</v>
      </c>
      <c r="B1371" s="2" t="str">
        <f>"3251202108112040557892"</f>
        <v>3251202108112040557892</v>
      </c>
      <c r="C1371" s="2" t="s">
        <v>16</v>
      </c>
      <c r="D1371" s="2" t="str">
        <f>"李明政"</f>
        <v>李明政</v>
      </c>
      <c r="E1371" s="2" t="str">
        <f>"男"</f>
        <v>男</v>
      </c>
    </row>
    <row r="1372" spans="1:5" ht="14.4" x14ac:dyDescent="0.25">
      <c r="A1372" s="4">
        <v>1370</v>
      </c>
      <c r="B1372" s="2" t="str">
        <f>"3251202108112052077919"</f>
        <v>3251202108112052077919</v>
      </c>
      <c r="C1372" s="2" t="s">
        <v>16</v>
      </c>
      <c r="D1372" s="2" t="str">
        <f>"李文惠"</f>
        <v>李文惠</v>
      </c>
      <c r="E1372" s="2" t="str">
        <f>"女"</f>
        <v>女</v>
      </c>
    </row>
    <row r="1373" spans="1:5" ht="14.4" x14ac:dyDescent="0.25">
      <c r="A1373" s="4">
        <v>1371</v>
      </c>
      <c r="B1373" s="2" t="str">
        <f>"3251202108112115237955"</f>
        <v>3251202108112115237955</v>
      </c>
      <c r="C1373" s="2" t="s">
        <v>16</v>
      </c>
      <c r="D1373" s="2" t="str">
        <f>"李晓花"</f>
        <v>李晓花</v>
      </c>
      <c r="E1373" s="2" t="str">
        <f>"女"</f>
        <v>女</v>
      </c>
    </row>
    <row r="1374" spans="1:5" ht="14.4" x14ac:dyDescent="0.25">
      <c r="A1374" s="4">
        <v>1372</v>
      </c>
      <c r="B1374" s="2" t="str">
        <f>"3251202108112241238088"</f>
        <v>3251202108112241238088</v>
      </c>
      <c r="C1374" s="2" t="s">
        <v>16</v>
      </c>
      <c r="D1374" s="2" t="str">
        <f>"李雪皓"</f>
        <v>李雪皓</v>
      </c>
      <c r="E1374" s="2" t="str">
        <f>"女"</f>
        <v>女</v>
      </c>
    </row>
    <row r="1375" spans="1:5" ht="14.4" x14ac:dyDescent="0.25">
      <c r="A1375" s="4">
        <v>1373</v>
      </c>
      <c r="B1375" s="2" t="str">
        <f>"3251202108120847518222"</f>
        <v>3251202108120847518222</v>
      </c>
      <c r="C1375" s="2" t="s">
        <v>16</v>
      </c>
      <c r="D1375" s="2" t="str">
        <f>"符世平"</f>
        <v>符世平</v>
      </c>
      <c r="E1375" s="2" t="str">
        <f>"男"</f>
        <v>男</v>
      </c>
    </row>
    <row r="1376" spans="1:5" ht="14.4" x14ac:dyDescent="0.25">
      <c r="A1376" s="4">
        <v>1374</v>
      </c>
      <c r="B1376" s="2" t="str">
        <f>"3251202108120942198368"</f>
        <v>3251202108120942198368</v>
      </c>
      <c r="C1376" s="2" t="s">
        <v>16</v>
      </c>
      <c r="D1376" s="2" t="str">
        <f>"符海月"</f>
        <v>符海月</v>
      </c>
      <c r="E1376" s="2" t="str">
        <f>"女"</f>
        <v>女</v>
      </c>
    </row>
    <row r="1377" spans="1:5" ht="14.4" x14ac:dyDescent="0.25">
      <c r="A1377" s="4">
        <v>1375</v>
      </c>
      <c r="B1377" s="2" t="str">
        <f>"3251202108121002488413"</f>
        <v>3251202108121002488413</v>
      </c>
      <c r="C1377" s="2" t="s">
        <v>16</v>
      </c>
      <c r="D1377" s="2" t="str">
        <f>"张琳琳"</f>
        <v>张琳琳</v>
      </c>
      <c r="E1377" s="2" t="str">
        <f>"女"</f>
        <v>女</v>
      </c>
    </row>
    <row r="1378" spans="1:5" ht="14.4" x14ac:dyDescent="0.25">
      <c r="A1378" s="4">
        <v>1376</v>
      </c>
      <c r="B1378" s="2" t="str">
        <f>"3251202108121332168735"</f>
        <v>3251202108121332168735</v>
      </c>
      <c r="C1378" s="2" t="s">
        <v>16</v>
      </c>
      <c r="D1378" s="2" t="str">
        <f>"王贵威"</f>
        <v>王贵威</v>
      </c>
      <c r="E1378" s="2" t="str">
        <f>"男"</f>
        <v>男</v>
      </c>
    </row>
    <row r="1379" spans="1:5" ht="14.4" x14ac:dyDescent="0.25">
      <c r="A1379" s="4">
        <v>1377</v>
      </c>
      <c r="B1379" s="2" t="str">
        <f>"3251202108121613008995"</f>
        <v>3251202108121613008995</v>
      </c>
      <c r="C1379" s="2" t="s">
        <v>16</v>
      </c>
      <c r="D1379" s="2" t="str">
        <f>"王文治"</f>
        <v>王文治</v>
      </c>
      <c r="E1379" s="2" t="str">
        <f>"男"</f>
        <v>男</v>
      </c>
    </row>
    <row r="1380" spans="1:5" ht="14.4" x14ac:dyDescent="0.25">
      <c r="A1380" s="4">
        <v>1378</v>
      </c>
      <c r="B1380" s="2" t="str">
        <f>"3251202108122121139331"</f>
        <v>3251202108122121139331</v>
      </c>
      <c r="C1380" s="2" t="s">
        <v>16</v>
      </c>
      <c r="D1380" s="2" t="str">
        <f>"李星美"</f>
        <v>李星美</v>
      </c>
      <c r="E1380" s="2" t="str">
        <f>"女"</f>
        <v>女</v>
      </c>
    </row>
    <row r="1381" spans="1:5" ht="14.4" x14ac:dyDescent="0.25">
      <c r="A1381" s="4">
        <v>1379</v>
      </c>
      <c r="B1381" s="2" t="str">
        <f>"3251202108122125019340"</f>
        <v>3251202108122125019340</v>
      </c>
      <c r="C1381" s="2" t="s">
        <v>16</v>
      </c>
      <c r="D1381" s="2" t="str">
        <f>"云钧"</f>
        <v>云钧</v>
      </c>
      <c r="E1381" s="2" t="str">
        <f>"女"</f>
        <v>女</v>
      </c>
    </row>
    <row r="1382" spans="1:5" ht="14.4" x14ac:dyDescent="0.25">
      <c r="A1382" s="4">
        <v>1380</v>
      </c>
      <c r="B1382" s="2" t="str">
        <f>"3251202108122343059456"</f>
        <v>3251202108122343059456</v>
      </c>
      <c r="C1382" s="2" t="s">
        <v>16</v>
      </c>
      <c r="D1382" s="2" t="str">
        <f>"王梦妍"</f>
        <v>王梦妍</v>
      </c>
      <c r="E1382" s="2" t="str">
        <f>"女"</f>
        <v>女</v>
      </c>
    </row>
    <row r="1383" spans="1:5" ht="14.4" x14ac:dyDescent="0.25">
      <c r="A1383" s="4">
        <v>1381</v>
      </c>
      <c r="B1383" s="2" t="str">
        <f>"3251202108130023399472"</f>
        <v>3251202108130023399472</v>
      </c>
      <c r="C1383" s="2" t="s">
        <v>16</v>
      </c>
      <c r="D1383" s="2" t="str">
        <f>"包兵兵"</f>
        <v>包兵兵</v>
      </c>
      <c r="E1383" s="2" t="str">
        <f>"男"</f>
        <v>男</v>
      </c>
    </row>
    <row r="1384" spans="1:5" ht="14.4" x14ac:dyDescent="0.25">
      <c r="A1384" s="4">
        <v>1382</v>
      </c>
      <c r="B1384" s="2" t="str">
        <f>"3251202108130835589519"</f>
        <v>3251202108130835589519</v>
      </c>
      <c r="C1384" s="2" t="s">
        <v>16</v>
      </c>
      <c r="D1384" s="2" t="str">
        <f>"麦玉秋"</f>
        <v>麦玉秋</v>
      </c>
      <c r="E1384" s="2" t="str">
        <f>"女"</f>
        <v>女</v>
      </c>
    </row>
    <row r="1385" spans="1:5" ht="14.4" x14ac:dyDescent="0.25">
      <c r="A1385" s="4">
        <v>1383</v>
      </c>
      <c r="B1385" s="2" t="str">
        <f>"3251202108130906089547"</f>
        <v>3251202108130906089547</v>
      </c>
      <c r="C1385" s="2" t="s">
        <v>16</v>
      </c>
      <c r="D1385" s="2" t="str">
        <f>"王丽茜"</f>
        <v>王丽茜</v>
      </c>
      <c r="E1385" s="2" t="str">
        <f>"女"</f>
        <v>女</v>
      </c>
    </row>
    <row r="1386" spans="1:5" ht="14.4" x14ac:dyDescent="0.25">
      <c r="A1386" s="4">
        <v>1384</v>
      </c>
      <c r="B1386" s="2" t="str">
        <f>"3251202108130933459589"</f>
        <v>3251202108130933459589</v>
      </c>
      <c r="C1386" s="2" t="s">
        <v>16</v>
      </c>
      <c r="D1386" s="2" t="str">
        <f>"符美琼"</f>
        <v>符美琼</v>
      </c>
      <c r="E1386" s="2" t="str">
        <f>"女"</f>
        <v>女</v>
      </c>
    </row>
    <row r="1387" spans="1:5" ht="14.4" x14ac:dyDescent="0.25">
      <c r="A1387" s="4">
        <v>1385</v>
      </c>
      <c r="B1387" s="2" t="str">
        <f>"3251202108131030139662"</f>
        <v>3251202108131030139662</v>
      </c>
      <c r="C1387" s="2" t="s">
        <v>16</v>
      </c>
      <c r="D1387" s="2" t="str">
        <f>"符兰欣"</f>
        <v>符兰欣</v>
      </c>
      <c r="E1387" s="2" t="str">
        <f>"女"</f>
        <v>女</v>
      </c>
    </row>
    <row r="1388" spans="1:5" ht="14.4" x14ac:dyDescent="0.25">
      <c r="A1388" s="4">
        <v>1386</v>
      </c>
      <c r="B1388" s="2" t="str">
        <f>"3251202108131453579907"</f>
        <v>3251202108131453579907</v>
      </c>
      <c r="C1388" s="2" t="s">
        <v>16</v>
      </c>
      <c r="D1388" s="2" t="str">
        <f>"符港"</f>
        <v>符港</v>
      </c>
      <c r="E1388" s="2" t="str">
        <f>"男"</f>
        <v>男</v>
      </c>
    </row>
    <row r="1389" spans="1:5" ht="14.4" x14ac:dyDescent="0.25">
      <c r="A1389" s="4">
        <v>1387</v>
      </c>
      <c r="B1389" s="2" t="str">
        <f>"3251202108131537439966"</f>
        <v>3251202108131537439966</v>
      </c>
      <c r="C1389" s="2" t="s">
        <v>16</v>
      </c>
      <c r="D1389" s="2" t="str">
        <f>"王斯雅"</f>
        <v>王斯雅</v>
      </c>
      <c r="E1389" s="2" t="str">
        <f>"女"</f>
        <v>女</v>
      </c>
    </row>
    <row r="1390" spans="1:5" ht="14.4" x14ac:dyDescent="0.25">
      <c r="A1390" s="4">
        <v>1388</v>
      </c>
      <c r="B1390" s="2" t="str">
        <f>"32512021081316422910050"</f>
        <v>32512021081316422910050</v>
      </c>
      <c r="C1390" s="2" t="s">
        <v>16</v>
      </c>
      <c r="D1390" s="2" t="str">
        <f>"符曹艳"</f>
        <v>符曹艳</v>
      </c>
      <c r="E1390" s="2" t="str">
        <f>"女"</f>
        <v>女</v>
      </c>
    </row>
    <row r="1391" spans="1:5" ht="14.4" x14ac:dyDescent="0.25">
      <c r="A1391" s="4">
        <v>1389</v>
      </c>
      <c r="B1391" s="2" t="str">
        <f>"32512021081319334610204"</f>
        <v>32512021081319334610204</v>
      </c>
      <c r="C1391" s="2" t="s">
        <v>16</v>
      </c>
      <c r="D1391" s="2" t="str">
        <f>"符德柱"</f>
        <v>符德柱</v>
      </c>
      <c r="E1391" s="2" t="str">
        <f>"男"</f>
        <v>男</v>
      </c>
    </row>
    <row r="1392" spans="1:5" ht="14.4" x14ac:dyDescent="0.25">
      <c r="A1392" s="4">
        <v>1390</v>
      </c>
      <c r="B1392" s="2" t="str">
        <f>"32512021081323463110338"</f>
        <v>32512021081323463110338</v>
      </c>
      <c r="C1392" s="2" t="s">
        <v>16</v>
      </c>
      <c r="D1392" s="2" t="str">
        <f>"王静"</f>
        <v>王静</v>
      </c>
      <c r="E1392" s="2" t="str">
        <f>"女"</f>
        <v>女</v>
      </c>
    </row>
    <row r="1393" spans="1:5" ht="14.4" x14ac:dyDescent="0.25">
      <c r="A1393" s="4">
        <v>1391</v>
      </c>
      <c r="B1393" s="2" t="str">
        <f>"32512021081408263310380"</f>
        <v>32512021081408263310380</v>
      </c>
      <c r="C1393" s="2" t="s">
        <v>16</v>
      </c>
      <c r="D1393" s="2" t="str">
        <f>"符海"</f>
        <v>符海</v>
      </c>
      <c r="E1393" s="2" t="str">
        <f>"男"</f>
        <v>男</v>
      </c>
    </row>
    <row r="1394" spans="1:5" ht="14.4" x14ac:dyDescent="0.25">
      <c r="A1394" s="4">
        <v>1392</v>
      </c>
      <c r="B1394" s="2" t="str">
        <f>"32512021081415340110645"</f>
        <v>32512021081415340110645</v>
      </c>
      <c r="C1394" s="2" t="s">
        <v>16</v>
      </c>
      <c r="D1394" s="2" t="str">
        <f>"符哲熠"</f>
        <v>符哲熠</v>
      </c>
      <c r="E1394" s="2" t="str">
        <f>"男"</f>
        <v>男</v>
      </c>
    </row>
    <row r="1395" spans="1:5" ht="14.4" x14ac:dyDescent="0.25">
      <c r="A1395" s="4">
        <v>1393</v>
      </c>
      <c r="B1395" s="2" t="str">
        <f>"32512021081421071810837"</f>
        <v>32512021081421071810837</v>
      </c>
      <c r="C1395" s="2" t="s">
        <v>16</v>
      </c>
      <c r="D1395" s="2" t="str">
        <f>"刘亚妹"</f>
        <v>刘亚妹</v>
      </c>
      <c r="E1395" s="2" t="str">
        <f>"女"</f>
        <v>女</v>
      </c>
    </row>
    <row r="1396" spans="1:5" ht="14.4" x14ac:dyDescent="0.25">
      <c r="A1396" s="4">
        <v>1394</v>
      </c>
      <c r="B1396" s="2" t="str">
        <f>"32512021081422074210865"</f>
        <v>32512021081422074210865</v>
      </c>
      <c r="C1396" s="2" t="s">
        <v>16</v>
      </c>
      <c r="D1396" s="2" t="str">
        <f>"何倩敏"</f>
        <v>何倩敏</v>
      </c>
      <c r="E1396" s="2" t="str">
        <f>"女"</f>
        <v>女</v>
      </c>
    </row>
    <row r="1397" spans="1:5" ht="14.4" x14ac:dyDescent="0.25">
      <c r="A1397" s="4">
        <v>1395</v>
      </c>
      <c r="B1397" s="2" t="str">
        <f>"32512021081510235210992"</f>
        <v>32512021081510235210992</v>
      </c>
      <c r="C1397" s="2" t="s">
        <v>16</v>
      </c>
      <c r="D1397" s="2" t="str">
        <f>"符启蔚"</f>
        <v>符启蔚</v>
      </c>
      <c r="E1397" s="2" t="str">
        <f>"男"</f>
        <v>男</v>
      </c>
    </row>
    <row r="1398" spans="1:5" ht="14.4" x14ac:dyDescent="0.25">
      <c r="A1398" s="4">
        <v>1396</v>
      </c>
      <c r="B1398" s="2" t="str">
        <f>"32512021081511113211031"</f>
        <v>32512021081511113211031</v>
      </c>
      <c r="C1398" s="2" t="s">
        <v>16</v>
      </c>
      <c r="D1398" s="2" t="str">
        <f>"符雅"</f>
        <v>符雅</v>
      </c>
      <c r="E1398" s="2" t="str">
        <f>"女"</f>
        <v>女</v>
      </c>
    </row>
    <row r="1399" spans="1:5" ht="14.4" x14ac:dyDescent="0.25">
      <c r="A1399" s="4">
        <v>1397</v>
      </c>
      <c r="B1399" s="2" t="str">
        <f>"32512021081512304211077"</f>
        <v>32512021081512304211077</v>
      </c>
      <c r="C1399" s="2" t="s">
        <v>16</v>
      </c>
      <c r="D1399" s="2" t="str">
        <f>"符康夫"</f>
        <v>符康夫</v>
      </c>
      <c r="E1399" s="2" t="str">
        <f>"男"</f>
        <v>男</v>
      </c>
    </row>
    <row r="1400" spans="1:5" ht="14.4" x14ac:dyDescent="0.25">
      <c r="A1400" s="4">
        <v>1398</v>
      </c>
      <c r="B1400" s="2" t="str">
        <f>"32512021081513230511110"</f>
        <v>32512021081513230511110</v>
      </c>
      <c r="C1400" s="2" t="s">
        <v>16</v>
      </c>
      <c r="D1400" s="2" t="str">
        <f>"雷王薇"</f>
        <v>雷王薇</v>
      </c>
      <c r="E1400" s="2" t="str">
        <f>"女"</f>
        <v>女</v>
      </c>
    </row>
    <row r="1401" spans="1:5" ht="14.4" x14ac:dyDescent="0.25">
      <c r="A1401" s="4">
        <v>1399</v>
      </c>
      <c r="B1401" s="2" t="str">
        <f>"32512021081517380611314"</f>
        <v>32512021081517380611314</v>
      </c>
      <c r="C1401" s="2" t="s">
        <v>16</v>
      </c>
      <c r="D1401" s="2" t="str">
        <f>"马晓玉"</f>
        <v>马晓玉</v>
      </c>
      <c r="E1401" s="2" t="str">
        <f>"女"</f>
        <v>女</v>
      </c>
    </row>
    <row r="1402" spans="1:5" ht="14.4" x14ac:dyDescent="0.25">
      <c r="A1402" s="4">
        <v>1400</v>
      </c>
      <c r="B1402" s="2" t="str">
        <f>"32512021081518143911335"</f>
        <v>32512021081518143911335</v>
      </c>
      <c r="C1402" s="2" t="s">
        <v>16</v>
      </c>
      <c r="D1402" s="2" t="str">
        <f>"王集银"</f>
        <v>王集银</v>
      </c>
      <c r="E1402" s="2" t="str">
        <f>"男"</f>
        <v>男</v>
      </c>
    </row>
    <row r="1403" spans="1:5" ht="14.4" x14ac:dyDescent="0.25">
      <c r="A1403" s="4">
        <v>1401</v>
      </c>
      <c r="B1403" s="2" t="str">
        <f>"32512021081601072411661"</f>
        <v>32512021081601072411661</v>
      </c>
      <c r="C1403" s="2" t="s">
        <v>16</v>
      </c>
      <c r="D1403" s="2" t="str">
        <f>"谭俊"</f>
        <v>谭俊</v>
      </c>
      <c r="E1403" s="2" t="str">
        <f>"男"</f>
        <v>男</v>
      </c>
    </row>
    <row r="1404" spans="1:5" ht="14.4" x14ac:dyDescent="0.25">
      <c r="A1404" s="4">
        <v>1402</v>
      </c>
      <c r="B1404" s="2" t="str">
        <f>"32512021081601320311669"</f>
        <v>32512021081601320311669</v>
      </c>
      <c r="C1404" s="2" t="s">
        <v>16</v>
      </c>
      <c r="D1404" s="2" t="str">
        <f>"钟宝"</f>
        <v>钟宝</v>
      </c>
      <c r="E1404" s="2" t="str">
        <f>"男"</f>
        <v>男</v>
      </c>
    </row>
    <row r="1405" spans="1:5" ht="14.4" x14ac:dyDescent="0.25">
      <c r="A1405" s="4">
        <v>1403</v>
      </c>
      <c r="B1405" s="2" t="str">
        <f>"32512021081607543611697"</f>
        <v>32512021081607543611697</v>
      </c>
      <c r="C1405" s="2" t="s">
        <v>16</v>
      </c>
      <c r="D1405" s="2" t="str">
        <f>"吴文霞"</f>
        <v>吴文霞</v>
      </c>
      <c r="E1405" s="2" t="str">
        <f>"女"</f>
        <v>女</v>
      </c>
    </row>
    <row r="1406" spans="1:5" ht="14.4" x14ac:dyDescent="0.25">
      <c r="A1406" s="4">
        <v>1404</v>
      </c>
      <c r="B1406" s="2" t="str">
        <f>"32512021081608593211805"</f>
        <v>32512021081608593211805</v>
      </c>
      <c r="C1406" s="2" t="s">
        <v>16</v>
      </c>
      <c r="D1406" s="2" t="str">
        <f>"符世瑜"</f>
        <v>符世瑜</v>
      </c>
      <c r="E1406" s="2" t="str">
        <f>"男"</f>
        <v>男</v>
      </c>
    </row>
    <row r="1407" spans="1:5" ht="14.4" x14ac:dyDescent="0.25">
      <c r="A1407" s="4">
        <v>1405</v>
      </c>
      <c r="B1407" s="2" t="str">
        <f>"32512021081610263712255"</f>
        <v>32512021081610263712255</v>
      </c>
      <c r="C1407" s="2" t="s">
        <v>16</v>
      </c>
      <c r="D1407" s="2" t="str">
        <f>"曾春冰"</f>
        <v>曾春冰</v>
      </c>
      <c r="E1407" s="2" t="str">
        <f>"女"</f>
        <v>女</v>
      </c>
    </row>
    <row r="1408" spans="1:5" ht="14.4" x14ac:dyDescent="0.25">
      <c r="A1408" s="4">
        <v>1406</v>
      </c>
      <c r="B1408" s="2" t="str">
        <f>"32512021081610340812295"</f>
        <v>32512021081610340812295</v>
      </c>
      <c r="C1408" s="2" t="s">
        <v>16</v>
      </c>
      <c r="D1408" s="2" t="str">
        <f>"叶薇"</f>
        <v>叶薇</v>
      </c>
      <c r="E1408" s="2" t="str">
        <f>"女"</f>
        <v>女</v>
      </c>
    </row>
    <row r="1409" spans="1:5" ht="14.4" x14ac:dyDescent="0.25">
      <c r="A1409" s="4">
        <v>1407</v>
      </c>
      <c r="B1409" s="2" t="str">
        <f>"32512021081610584812397"</f>
        <v>32512021081610584812397</v>
      </c>
      <c r="C1409" s="2" t="s">
        <v>16</v>
      </c>
      <c r="D1409" s="2" t="str">
        <f>"符靖勋"</f>
        <v>符靖勋</v>
      </c>
      <c r="E1409" s="2" t="str">
        <f>"男"</f>
        <v>男</v>
      </c>
    </row>
    <row r="1410" spans="1:5" ht="14.4" x14ac:dyDescent="0.25">
      <c r="A1410" s="4">
        <v>1408</v>
      </c>
      <c r="B1410" s="2" t="str">
        <f>"32512021081611414912580"</f>
        <v>32512021081611414912580</v>
      </c>
      <c r="C1410" s="2" t="s">
        <v>16</v>
      </c>
      <c r="D1410" s="2" t="str">
        <f>"钟彩娜"</f>
        <v>钟彩娜</v>
      </c>
      <c r="E1410" s="2" t="str">
        <f>"女"</f>
        <v>女</v>
      </c>
    </row>
    <row r="1411" spans="1:5" ht="14.4" x14ac:dyDescent="0.25">
      <c r="A1411" s="4">
        <v>1409</v>
      </c>
      <c r="B1411" s="2" t="str">
        <f>"3251202108100902023753"</f>
        <v>3251202108100902023753</v>
      </c>
      <c r="C1411" s="2" t="s">
        <v>17</v>
      </c>
      <c r="D1411" s="2" t="str">
        <f>"熊文豪"</f>
        <v>熊文豪</v>
      </c>
      <c r="E1411" s="2" t="str">
        <f>"男"</f>
        <v>男</v>
      </c>
    </row>
    <row r="1412" spans="1:5" ht="14.4" x14ac:dyDescent="0.25">
      <c r="A1412" s="4">
        <v>1410</v>
      </c>
      <c r="B1412" s="2" t="str">
        <f>"3251202108100906233804"</f>
        <v>3251202108100906233804</v>
      </c>
      <c r="C1412" s="2" t="s">
        <v>17</v>
      </c>
      <c r="D1412" s="2" t="str">
        <f>"苏莹"</f>
        <v>苏莹</v>
      </c>
      <c r="E1412" s="2" t="str">
        <f>"女"</f>
        <v>女</v>
      </c>
    </row>
    <row r="1413" spans="1:5" ht="14.4" x14ac:dyDescent="0.25">
      <c r="A1413" s="4">
        <v>1411</v>
      </c>
      <c r="B1413" s="2" t="str">
        <f>"3251202108100917483919"</f>
        <v>3251202108100917483919</v>
      </c>
      <c r="C1413" s="2" t="s">
        <v>17</v>
      </c>
      <c r="D1413" s="2" t="str">
        <f>"陈倩"</f>
        <v>陈倩</v>
      </c>
      <c r="E1413" s="2" t="str">
        <f>"女"</f>
        <v>女</v>
      </c>
    </row>
    <row r="1414" spans="1:5" ht="14.4" x14ac:dyDescent="0.25">
      <c r="A1414" s="4">
        <v>1412</v>
      </c>
      <c r="B1414" s="2" t="str">
        <f>"3251202108100918403928"</f>
        <v>3251202108100918403928</v>
      </c>
      <c r="C1414" s="2" t="s">
        <v>17</v>
      </c>
      <c r="D1414" s="2" t="str">
        <f>"周垣杏"</f>
        <v>周垣杏</v>
      </c>
      <c r="E1414" s="2" t="str">
        <f>"女"</f>
        <v>女</v>
      </c>
    </row>
    <row r="1415" spans="1:5" ht="14.4" x14ac:dyDescent="0.25">
      <c r="A1415" s="4">
        <v>1413</v>
      </c>
      <c r="B1415" s="2" t="str">
        <f>"3251202108100920523946"</f>
        <v>3251202108100920523946</v>
      </c>
      <c r="C1415" s="2" t="s">
        <v>17</v>
      </c>
      <c r="D1415" s="2" t="str">
        <f>"林城"</f>
        <v>林城</v>
      </c>
      <c r="E1415" s="2" t="str">
        <f>"女"</f>
        <v>女</v>
      </c>
    </row>
    <row r="1416" spans="1:5" ht="14.4" x14ac:dyDescent="0.25">
      <c r="A1416" s="4">
        <v>1414</v>
      </c>
      <c r="B1416" s="2" t="str">
        <f>"3251202108100927234000"</f>
        <v>3251202108100927234000</v>
      </c>
      <c r="C1416" s="2" t="s">
        <v>17</v>
      </c>
      <c r="D1416" s="2" t="str">
        <f>"包丽琴"</f>
        <v>包丽琴</v>
      </c>
      <c r="E1416" s="2" t="str">
        <f>"女"</f>
        <v>女</v>
      </c>
    </row>
    <row r="1417" spans="1:5" ht="14.4" x14ac:dyDescent="0.25">
      <c r="A1417" s="4">
        <v>1415</v>
      </c>
      <c r="B1417" s="2" t="str">
        <f>"3251202108100932224040"</f>
        <v>3251202108100932224040</v>
      </c>
      <c r="C1417" s="2" t="s">
        <v>17</v>
      </c>
      <c r="D1417" s="2" t="str">
        <f>"梁正"</f>
        <v>梁正</v>
      </c>
      <c r="E1417" s="2" t="str">
        <f>"男"</f>
        <v>男</v>
      </c>
    </row>
    <row r="1418" spans="1:5" ht="14.4" x14ac:dyDescent="0.25">
      <c r="A1418" s="4">
        <v>1416</v>
      </c>
      <c r="B1418" s="2" t="str">
        <f>"3251202108100946304126"</f>
        <v>3251202108100946304126</v>
      </c>
      <c r="C1418" s="2" t="s">
        <v>17</v>
      </c>
      <c r="D1418" s="2" t="str">
        <f>"成钰"</f>
        <v>成钰</v>
      </c>
      <c r="E1418" s="2" t="str">
        <f>"男"</f>
        <v>男</v>
      </c>
    </row>
    <row r="1419" spans="1:5" ht="14.4" x14ac:dyDescent="0.25">
      <c r="A1419" s="4">
        <v>1417</v>
      </c>
      <c r="B1419" s="2" t="str">
        <f>"3251202108100947274136"</f>
        <v>3251202108100947274136</v>
      </c>
      <c r="C1419" s="2" t="s">
        <v>17</v>
      </c>
      <c r="D1419" s="2" t="str">
        <f>"梁梦娜"</f>
        <v>梁梦娜</v>
      </c>
      <c r="E1419" s="2" t="str">
        <f>"女"</f>
        <v>女</v>
      </c>
    </row>
    <row r="1420" spans="1:5" ht="14.4" x14ac:dyDescent="0.25">
      <c r="A1420" s="4">
        <v>1418</v>
      </c>
      <c r="B1420" s="2" t="str">
        <f>"3251202108100948364143"</f>
        <v>3251202108100948364143</v>
      </c>
      <c r="C1420" s="2" t="s">
        <v>17</v>
      </c>
      <c r="D1420" s="2" t="str">
        <f>"陈海霞"</f>
        <v>陈海霞</v>
      </c>
      <c r="E1420" s="2" t="str">
        <f>"女"</f>
        <v>女</v>
      </c>
    </row>
    <row r="1421" spans="1:5" ht="14.4" x14ac:dyDescent="0.25">
      <c r="A1421" s="4">
        <v>1419</v>
      </c>
      <c r="B1421" s="2" t="str">
        <f>"3251202108100951124165"</f>
        <v>3251202108100951124165</v>
      </c>
      <c r="C1421" s="2" t="s">
        <v>17</v>
      </c>
      <c r="D1421" s="2" t="str">
        <f>"洪光曦"</f>
        <v>洪光曦</v>
      </c>
      <c r="E1421" s="2" t="str">
        <f>"男"</f>
        <v>男</v>
      </c>
    </row>
    <row r="1422" spans="1:5" ht="14.4" x14ac:dyDescent="0.25">
      <c r="A1422" s="4">
        <v>1420</v>
      </c>
      <c r="B1422" s="2" t="str">
        <f>"3251202108100951594171"</f>
        <v>3251202108100951594171</v>
      </c>
      <c r="C1422" s="2" t="s">
        <v>17</v>
      </c>
      <c r="D1422" s="2" t="str">
        <f>"杨燕"</f>
        <v>杨燕</v>
      </c>
      <c r="E1422" s="2" t="str">
        <f>"女"</f>
        <v>女</v>
      </c>
    </row>
    <row r="1423" spans="1:5" ht="14.4" x14ac:dyDescent="0.25">
      <c r="A1423" s="4">
        <v>1421</v>
      </c>
      <c r="B1423" s="2" t="str">
        <f>"3251202108100959434221"</f>
        <v>3251202108100959434221</v>
      </c>
      <c r="C1423" s="2" t="s">
        <v>17</v>
      </c>
      <c r="D1423" s="2" t="str">
        <f>"杨成威"</f>
        <v>杨成威</v>
      </c>
      <c r="E1423" s="2" t="str">
        <f>"男"</f>
        <v>男</v>
      </c>
    </row>
    <row r="1424" spans="1:5" ht="14.4" x14ac:dyDescent="0.25">
      <c r="A1424" s="4">
        <v>1422</v>
      </c>
      <c r="B1424" s="2" t="str">
        <f>"3251202108101024424363"</f>
        <v>3251202108101024424363</v>
      </c>
      <c r="C1424" s="2" t="s">
        <v>17</v>
      </c>
      <c r="D1424" s="2" t="str">
        <f>"黄承宝"</f>
        <v>黄承宝</v>
      </c>
      <c r="E1424" s="2" t="str">
        <f>"男"</f>
        <v>男</v>
      </c>
    </row>
    <row r="1425" spans="1:5" ht="14.4" x14ac:dyDescent="0.25">
      <c r="A1425" s="4">
        <v>1423</v>
      </c>
      <c r="B1425" s="2" t="str">
        <f>"3251202108101042484456"</f>
        <v>3251202108101042484456</v>
      </c>
      <c r="C1425" s="2" t="s">
        <v>17</v>
      </c>
      <c r="D1425" s="2" t="str">
        <f>"成娇"</f>
        <v>成娇</v>
      </c>
      <c r="E1425" s="2" t="str">
        <f>"女"</f>
        <v>女</v>
      </c>
    </row>
    <row r="1426" spans="1:5" ht="14.4" x14ac:dyDescent="0.25">
      <c r="A1426" s="4">
        <v>1424</v>
      </c>
      <c r="B1426" s="2" t="str">
        <f>"3251202108101043044460"</f>
        <v>3251202108101043044460</v>
      </c>
      <c r="C1426" s="2" t="s">
        <v>17</v>
      </c>
      <c r="D1426" s="2" t="str">
        <f>"龙尚武"</f>
        <v>龙尚武</v>
      </c>
      <c r="E1426" s="2" t="str">
        <f>"男"</f>
        <v>男</v>
      </c>
    </row>
    <row r="1427" spans="1:5" ht="14.4" x14ac:dyDescent="0.25">
      <c r="A1427" s="4">
        <v>1425</v>
      </c>
      <c r="B1427" s="2" t="str">
        <f>"3251202108101104364566"</f>
        <v>3251202108101104364566</v>
      </c>
      <c r="C1427" s="2" t="s">
        <v>17</v>
      </c>
      <c r="D1427" s="2" t="str">
        <f>"梁龙宇"</f>
        <v>梁龙宇</v>
      </c>
      <c r="E1427" s="2" t="str">
        <f>"男"</f>
        <v>男</v>
      </c>
    </row>
    <row r="1428" spans="1:5" ht="14.4" x14ac:dyDescent="0.25">
      <c r="A1428" s="4">
        <v>1426</v>
      </c>
      <c r="B1428" s="2" t="str">
        <f>"3251202108101108184584"</f>
        <v>3251202108101108184584</v>
      </c>
      <c r="C1428" s="2" t="s">
        <v>17</v>
      </c>
      <c r="D1428" s="2" t="str">
        <f>"许静静"</f>
        <v>许静静</v>
      </c>
      <c r="E1428" s="2" t="str">
        <f>"女"</f>
        <v>女</v>
      </c>
    </row>
    <row r="1429" spans="1:5" ht="14.4" x14ac:dyDescent="0.25">
      <c r="A1429" s="4">
        <v>1427</v>
      </c>
      <c r="B1429" s="2" t="str">
        <f>"3251202108101111074601"</f>
        <v>3251202108101111074601</v>
      </c>
      <c r="C1429" s="2" t="s">
        <v>17</v>
      </c>
      <c r="D1429" s="2" t="str">
        <f>"包文超"</f>
        <v>包文超</v>
      </c>
      <c r="E1429" s="2" t="str">
        <f>"男"</f>
        <v>男</v>
      </c>
    </row>
    <row r="1430" spans="1:5" ht="14.4" x14ac:dyDescent="0.25">
      <c r="A1430" s="4">
        <v>1428</v>
      </c>
      <c r="B1430" s="2" t="str">
        <f>"3251202108101112484612"</f>
        <v>3251202108101112484612</v>
      </c>
      <c r="C1430" s="2" t="s">
        <v>17</v>
      </c>
      <c r="D1430" s="2" t="str">
        <f>"林忠福"</f>
        <v>林忠福</v>
      </c>
      <c r="E1430" s="2" t="str">
        <f>"男"</f>
        <v>男</v>
      </c>
    </row>
    <row r="1431" spans="1:5" ht="14.4" x14ac:dyDescent="0.25">
      <c r="A1431" s="4">
        <v>1429</v>
      </c>
      <c r="B1431" s="2" t="str">
        <f>"3251202108101129554689"</f>
        <v>3251202108101129554689</v>
      </c>
      <c r="C1431" s="2" t="s">
        <v>17</v>
      </c>
      <c r="D1431" s="2" t="str">
        <f>"谭玉雨"</f>
        <v>谭玉雨</v>
      </c>
      <c r="E1431" s="2" t="str">
        <f>"女"</f>
        <v>女</v>
      </c>
    </row>
    <row r="1432" spans="1:5" ht="14.4" x14ac:dyDescent="0.25">
      <c r="A1432" s="4">
        <v>1430</v>
      </c>
      <c r="B1432" s="2" t="str">
        <f>"3251202108101155104785"</f>
        <v>3251202108101155104785</v>
      </c>
      <c r="C1432" s="2" t="s">
        <v>17</v>
      </c>
      <c r="D1432" s="2" t="str">
        <f>"周玲"</f>
        <v>周玲</v>
      </c>
      <c r="E1432" s="2" t="str">
        <f>"女"</f>
        <v>女</v>
      </c>
    </row>
    <row r="1433" spans="1:5" ht="14.4" x14ac:dyDescent="0.25">
      <c r="A1433" s="4">
        <v>1431</v>
      </c>
      <c r="B1433" s="2" t="str">
        <f>"3251202108101219194864"</f>
        <v>3251202108101219194864</v>
      </c>
      <c r="C1433" s="2" t="s">
        <v>17</v>
      </c>
      <c r="D1433" s="2" t="str">
        <f>"黄宗慧"</f>
        <v>黄宗慧</v>
      </c>
      <c r="E1433" s="2" t="str">
        <f>"女"</f>
        <v>女</v>
      </c>
    </row>
    <row r="1434" spans="1:5" ht="14.4" x14ac:dyDescent="0.25">
      <c r="A1434" s="4">
        <v>1432</v>
      </c>
      <c r="B1434" s="2" t="str">
        <f>"3251202108101222494876"</f>
        <v>3251202108101222494876</v>
      </c>
      <c r="C1434" s="2" t="s">
        <v>17</v>
      </c>
      <c r="D1434" s="2" t="str">
        <f>"李琳玮"</f>
        <v>李琳玮</v>
      </c>
      <c r="E1434" s="2" t="str">
        <f>"男"</f>
        <v>男</v>
      </c>
    </row>
    <row r="1435" spans="1:5" ht="14.4" x14ac:dyDescent="0.25">
      <c r="A1435" s="4">
        <v>1433</v>
      </c>
      <c r="B1435" s="2" t="str">
        <f>"3251202108101225314888"</f>
        <v>3251202108101225314888</v>
      </c>
      <c r="C1435" s="2" t="s">
        <v>17</v>
      </c>
      <c r="D1435" s="2" t="str">
        <f>"文静馨"</f>
        <v>文静馨</v>
      </c>
      <c r="E1435" s="2" t="str">
        <f t="shared" ref="E1435:E1446" si="36">"女"</f>
        <v>女</v>
      </c>
    </row>
    <row r="1436" spans="1:5" ht="14.4" x14ac:dyDescent="0.25">
      <c r="A1436" s="4">
        <v>1434</v>
      </c>
      <c r="B1436" s="2" t="str">
        <f>"3251202108101324155041"</f>
        <v>3251202108101324155041</v>
      </c>
      <c r="C1436" s="2" t="s">
        <v>17</v>
      </c>
      <c r="D1436" s="2" t="str">
        <f>"罗雅怡"</f>
        <v>罗雅怡</v>
      </c>
      <c r="E1436" s="2" t="str">
        <f t="shared" si="36"/>
        <v>女</v>
      </c>
    </row>
    <row r="1437" spans="1:5" ht="14.4" x14ac:dyDescent="0.25">
      <c r="A1437" s="4">
        <v>1435</v>
      </c>
      <c r="B1437" s="2" t="str">
        <f>"3251202108101405105117"</f>
        <v>3251202108101405105117</v>
      </c>
      <c r="C1437" s="2" t="s">
        <v>17</v>
      </c>
      <c r="D1437" s="2" t="str">
        <f>"彭秋凤"</f>
        <v>彭秋凤</v>
      </c>
      <c r="E1437" s="2" t="str">
        <f t="shared" si="36"/>
        <v>女</v>
      </c>
    </row>
    <row r="1438" spans="1:5" ht="14.4" x14ac:dyDescent="0.25">
      <c r="A1438" s="4">
        <v>1436</v>
      </c>
      <c r="B1438" s="2" t="str">
        <f>"3251202108101414575140"</f>
        <v>3251202108101414575140</v>
      </c>
      <c r="C1438" s="2" t="s">
        <v>17</v>
      </c>
      <c r="D1438" s="2" t="str">
        <f>"林艳"</f>
        <v>林艳</v>
      </c>
      <c r="E1438" s="2" t="str">
        <f t="shared" si="36"/>
        <v>女</v>
      </c>
    </row>
    <row r="1439" spans="1:5" ht="14.4" x14ac:dyDescent="0.25">
      <c r="A1439" s="4">
        <v>1437</v>
      </c>
      <c r="B1439" s="2" t="str">
        <f>"3251202108101431555190"</f>
        <v>3251202108101431555190</v>
      </c>
      <c r="C1439" s="2" t="s">
        <v>17</v>
      </c>
      <c r="D1439" s="2" t="str">
        <f>"李文平"</f>
        <v>李文平</v>
      </c>
      <c r="E1439" s="2" t="str">
        <f t="shared" si="36"/>
        <v>女</v>
      </c>
    </row>
    <row r="1440" spans="1:5" ht="14.4" x14ac:dyDescent="0.25">
      <c r="A1440" s="4">
        <v>1438</v>
      </c>
      <c r="B1440" s="2" t="str">
        <f>"3251202108101437185208"</f>
        <v>3251202108101437185208</v>
      </c>
      <c r="C1440" s="2" t="s">
        <v>17</v>
      </c>
      <c r="D1440" s="2" t="str">
        <f>"韩白翠"</f>
        <v>韩白翠</v>
      </c>
      <c r="E1440" s="2" t="str">
        <f t="shared" si="36"/>
        <v>女</v>
      </c>
    </row>
    <row r="1441" spans="1:5" ht="14.4" x14ac:dyDescent="0.25">
      <c r="A1441" s="4">
        <v>1439</v>
      </c>
      <c r="B1441" s="2" t="str">
        <f>"3251202108101510175339"</f>
        <v>3251202108101510175339</v>
      </c>
      <c r="C1441" s="2" t="s">
        <v>17</v>
      </c>
      <c r="D1441" s="2" t="str">
        <f>"何佳丽"</f>
        <v>何佳丽</v>
      </c>
      <c r="E1441" s="2" t="str">
        <f t="shared" si="36"/>
        <v>女</v>
      </c>
    </row>
    <row r="1442" spans="1:5" ht="14.4" x14ac:dyDescent="0.25">
      <c r="A1442" s="4">
        <v>1440</v>
      </c>
      <c r="B1442" s="2" t="str">
        <f>"3251202108101530525407"</f>
        <v>3251202108101530525407</v>
      </c>
      <c r="C1442" s="2" t="s">
        <v>17</v>
      </c>
      <c r="D1442" s="2" t="str">
        <f>"赵娜"</f>
        <v>赵娜</v>
      </c>
      <c r="E1442" s="2" t="str">
        <f t="shared" si="36"/>
        <v>女</v>
      </c>
    </row>
    <row r="1443" spans="1:5" ht="14.4" x14ac:dyDescent="0.25">
      <c r="A1443" s="4">
        <v>1441</v>
      </c>
      <c r="B1443" s="2" t="str">
        <f>"3251202108101533245414"</f>
        <v>3251202108101533245414</v>
      </c>
      <c r="C1443" s="2" t="s">
        <v>17</v>
      </c>
      <c r="D1443" s="2" t="str">
        <f>"刘婷"</f>
        <v>刘婷</v>
      </c>
      <c r="E1443" s="2" t="str">
        <f t="shared" si="36"/>
        <v>女</v>
      </c>
    </row>
    <row r="1444" spans="1:5" ht="14.4" x14ac:dyDescent="0.25">
      <c r="A1444" s="4">
        <v>1442</v>
      </c>
      <c r="B1444" s="2" t="str">
        <f>"3251202108101537085426"</f>
        <v>3251202108101537085426</v>
      </c>
      <c r="C1444" s="2" t="s">
        <v>17</v>
      </c>
      <c r="D1444" s="2" t="str">
        <f>"俞侹侹"</f>
        <v>俞侹侹</v>
      </c>
      <c r="E1444" s="2" t="str">
        <f t="shared" si="36"/>
        <v>女</v>
      </c>
    </row>
    <row r="1445" spans="1:5" ht="14.4" x14ac:dyDescent="0.25">
      <c r="A1445" s="4">
        <v>1443</v>
      </c>
      <c r="B1445" s="2" t="str">
        <f>"3251202108101614175560"</f>
        <v>3251202108101614175560</v>
      </c>
      <c r="C1445" s="2" t="s">
        <v>17</v>
      </c>
      <c r="D1445" s="2" t="str">
        <f>"彭苇"</f>
        <v>彭苇</v>
      </c>
      <c r="E1445" s="2" t="str">
        <f t="shared" si="36"/>
        <v>女</v>
      </c>
    </row>
    <row r="1446" spans="1:5" ht="14.4" x14ac:dyDescent="0.25">
      <c r="A1446" s="4">
        <v>1444</v>
      </c>
      <c r="B1446" s="2" t="str">
        <f>"3251202108101718555807"</f>
        <v>3251202108101718555807</v>
      </c>
      <c r="C1446" s="2" t="s">
        <v>17</v>
      </c>
      <c r="D1446" s="2" t="str">
        <f>"谢达敏"</f>
        <v>谢达敏</v>
      </c>
      <c r="E1446" s="2" t="str">
        <f t="shared" si="36"/>
        <v>女</v>
      </c>
    </row>
    <row r="1447" spans="1:5" ht="14.4" x14ac:dyDescent="0.25">
      <c r="A1447" s="4">
        <v>1445</v>
      </c>
      <c r="B1447" s="2" t="str">
        <f>"3251202108101722395817"</f>
        <v>3251202108101722395817</v>
      </c>
      <c r="C1447" s="2" t="s">
        <v>17</v>
      </c>
      <c r="D1447" s="2" t="str">
        <f>"邓佳"</f>
        <v>邓佳</v>
      </c>
      <c r="E1447" s="2" t="str">
        <f>"男"</f>
        <v>男</v>
      </c>
    </row>
    <row r="1448" spans="1:5" ht="14.4" x14ac:dyDescent="0.25">
      <c r="A1448" s="4">
        <v>1446</v>
      </c>
      <c r="B1448" s="2" t="str">
        <f>"3251202108101740485867"</f>
        <v>3251202108101740485867</v>
      </c>
      <c r="C1448" s="2" t="s">
        <v>17</v>
      </c>
      <c r="D1448" s="2" t="str">
        <f>"卢敏超"</f>
        <v>卢敏超</v>
      </c>
      <c r="E1448" s="2" t="str">
        <f>"女"</f>
        <v>女</v>
      </c>
    </row>
    <row r="1449" spans="1:5" ht="14.4" x14ac:dyDescent="0.25">
      <c r="A1449" s="4">
        <v>1447</v>
      </c>
      <c r="B1449" s="2" t="str">
        <f>"3251202108101805455916"</f>
        <v>3251202108101805455916</v>
      </c>
      <c r="C1449" s="2" t="s">
        <v>17</v>
      </c>
      <c r="D1449" s="2" t="str">
        <f>"李丽莹"</f>
        <v>李丽莹</v>
      </c>
      <c r="E1449" s="2" t="str">
        <f>"女"</f>
        <v>女</v>
      </c>
    </row>
    <row r="1450" spans="1:5" ht="14.4" x14ac:dyDescent="0.25">
      <c r="A1450" s="4">
        <v>1448</v>
      </c>
      <c r="B1450" s="2" t="str">
        <f>"3251202108101820585949"</f>
        <v>3251202108101820585949</v>
      </c>
      <c r="C1450" s="2" t="s">
        <v>17</v>
      </c>
      <c r="D1450" s="2" t="str">
        <f>"陈学嘉"</f>
        <v>陈学嘉</v>
      </c>
      <c r="E1450" s="2" t="str">
        <f>"女"</f>
        <v>女</v>
      </c>
    </row>
    <row r="1451" spans="1:5" ht="14.4" x14ac:dyDescent="0.25">
      <c r="A1451" s="4">
        <v>1449</v>
      </c>
      <c r="B1451" s="2" t="str">
        <f>"3251202108101822035951"</f>
        <v>3251202108101822035951</v>
      </c>
      <c r="C1451" s="2" t="s">
        <v>17</v>
      </c>
      <c r="D1451" s="2" t="str">
        <f>"符欢"</f>
        <v>符欢</v>
      </c>
      <c r="E1451" s="2" t="str">
        <f>"男"</f>
        <v>男</v>
      </c>
    </row>
    <row r="1452" spans="1:5" ht="14.4" x14ac:dyDescent="0.25">
      <c r="A1452" s="4">
        <v>1450</v>
      </c>
      <c r="B1452" s="2" t="str">
        <f>"3251202108101839455985"</f>
        <v>3251202108101839455985</v>
      </c>
      <c r="C1452" s="2" t="s">
        <v>17</v>
      </c>
      <c r="D1452" s="2" t="str">
        <f>"黄建翔"</f>
        <v>黄建翔</v>
      </c>
      <c r="E1452" s="2" t="str">
        <f>"男"</f>
        <v>男</v>
      </c>
    </row>
    <row r="1453" spans="1:5" ht="14.4" x14ac:dyDescent="0.25">
      <c r="A1453" s="4">
        <v>1451</v>
      </c>
      <c r="B1453" s="2" t="str">
        <f>"3251202108101855106028"</f>
        <v>3251202108101855106028</v>
      </c>
      <c r="C1453" s="2" t="s">
        <v>17</v>
      </c>
      <c r="D1453" s="2" t="str">
        <f>"凌慧"</f>
        <v>凌慧</v>
      </c>
      <c r="E1453" s="2" t="str">
        <f>"女"</f>
        <v>女</v>
      </c>
    </row>
    <row r="1454" spans="1:5" ht="14.4" x14ac:dyDescent="0.25">
      <c r="A1454" s="4">
        <v>1452</v>
      </c>
      <c r="B1454" s="2" t="str">
        <f>"3251202108101857356037"</f>
        <v>3251202108101857356037</v>
      </c>
      <c r="C1454" s="2" t="s">
        <v>17</v>
      </c>
      <c r="D1454" s="2" t="str">
        <f>"何瑞按"</f>
        <v>何瑞按</v>
      </c>
      <c r="E1454" s="2" t="str">
        <f>"男"</f>
        <v>男</v>
      </c>
    </row>
    <row r="1455" spans="1:5" ht="14.4" x14ac:dyDescent="0.25">
      <c r="A1455" s="4">
        <v>1453</v>
      </c>
      <c r="B1455" s="2" t="str">
        <f>"3251202108101924076085"</f>
        <v>3251202108101924076085</v>
      </c>
      <c r="C1455" s="2" t="s">
        <v>17</v>
      </c>
      <c r="D1455" s="2" t="str">
        <f>"陈基伟"</f>
        <v>陈基伟</v>
      </c>
      <c r="E1455" s="2" t="str">
        <f>"男"</f>
        <v>男</v>
      </c>
    </row>
    <row r="1456" spans="1:5" ht="14.4" x14ac:dyDescent="0.25">
      <c r="A1456" s="4">
        <v>1454</v>
      </c>
      <c r="B1456" s="2" t="str">
        <f>"3251202108101926236090"</f>
        <v>3251202108101926236090</v>
      </c>
      <c r="C1456" s="2" t="s">
        <v>17</v>
      </c>
      <c r="D1456" s="2" t="str">
        <f>"潘在英"</f>
        <v>潘在英</v>
      </c>
      <c r="E1456" s="2" t="str">
        <f>"女"</f>
        <v>女</v>
      </c>
    </row>
    <row r="1457" spans="1:5" ht="14.4" x14ac:dyDescent="0.25">
      <c r="A1457" s="4">
        <v>1455</v>
      </c>
      <c r="B1457" s="2" t="str">
        <f>"3251202108101940336121"</f>
        <v>3251202108101940336121</v>
      </c>
      <c r="C1457" s="2" t="s">
        <v>17</v>
      </c>
      <c r="D1457" s="2" t="str">
        <f>"马咪咪"</f>
        <v>马咪咪</v>
      </c>
      <c r="E1457" s="2" t="str">
        <f>"女"</f>
        <v>女</v>
      </c>
    </row>
    <row r="1458" spans="1:5" ht="14.4" x14ac:dyDescent="0.25">
      <c r="A1458" s="4">
        <v>1456</v>
      </c>
      <c r="B1458" s="2" t="str">
        <f>"3251202108101942236123"</f>
        <v>3251202108101942236123</v>
      </c>
      <c r="C1458" s="2" t="s">
        <v>17</v>
      </c>
      <c r="D1458" s="2" t="str">
        <f>"曾平安"</f>
        <v>曾平安</v>
      </c>
      <c r="E1458" s="2" t="str">
        <f>"男"</f>
        <v>男</v>
      </c>
    </row>
    <row r="1459" spans="1:5" ht="14.4" x14ac:dyDescent="0.25">
      <c r="A1459" s="4">
        <v>1457</v>
      </c>
      <c r="B1459" s="2" t="str">
        <f>"3251202108101959166160"</f>
        <v>3251202108101959166160</v>
      </c>
      <c r="C1459" s="2" t="s">
        <v>17</v>
      </c>
      <c r="D1459" s="2" t="str">
        <f>"何苗苗"</f>
        <v>何苗苗</v>
      </c>
      <c r="E1459" s="2" t="str">
        <f>"女"</f>
        <v>女</v>
      </c>
    </row>
    <row r="1460" spans="1:5" ht="14.4" x14ac:dyDescent="0.25">
      <c r="A1460" s="4">
        <v>1458</v>
      </c>
      <c r="B1460" s="2" t="str">
        <f>"3251202108102008486179"</f>
        <v>3251202108102008486179</v>
      </c>
      <c r="C1460" s="2" t="s">
        <v>17</v>
      </c>
      <c r="D1460" s="2" t="str">
        <f>"毛琬璆"</f>
        <v>毛琬璆</v>
      </c>
      <c r="E1460" s="2" t="str">
        <f>"女"</f>
        <v>女</v>
      </c>
    </row>
    <row r="1461" spans="1:5" ht="14.4" x14ac:dyDescent="0.25">
      <c r="A1461" s="4">
        <v>1459</v>
      </c>
      <c r="B1461" s="2" t="str">
        <f>"3251202108102009216180"</f>
        <v>3251202108102009216180</v>
      </c>
      <c r="C1461" s="2" t="s">
        <v>17</v>
      </c>
      <c r="D1461" s="2" t="str">
        <f>"彭心园"</f>
        <v>彭心园</v>
      </c>
      <c r="E1461" s="2" t="str">
        <f>"女"</f>
        <v>女</v>
      </c>
    </row>
    <row r="1462" spans="1:5" ht="14.4" x14ac:dyDescent="0.25">
      <c r="A1462" s="4">
        <v>1460</v>
      </c>
      <c r="B1462" s="2" t="str">
        <f>"3251202108102010406184"</f>
        <v>3251202108102010406184</v>
      </c>
      <c r="C1462" s="2" t="s">
        <v>17</v>
      </c>
      <c r="D1462" s="2" t="str">
        <f>"曾敏"</f>
        <v>曾敏</v>
      </c>
      <c r="E1462" s="2" t="str">
        <f>"男"</f>
        <v>男</v>
      </c>
    </row>
    <row r="1463" spans="1:5" ht="14.4" x14ac:dyDescent="0.25">
      <c r="A1463" s="4">
        <v>1461</v>
      </c>
      <c r="B1463" s="2" t="str">
        <f>"3251202108102258486477"</f>
        <v>3251202108102258486477</v>
      </c>
      <c r="C1463" s="2" t="s">
        <v>17</v>
      </c>
      <c r="D1463" s="2" t="str">
        <f>"邱慧茹"</f>
        <v>邱慧茹</v>
      </c>
      <c r="E1463" s="2" t="str">
        <f>"女"</f>
        <v>女</v>
      </c>
    </row>
    <row r="1464" spans="1:5" ht="14.4" x14ac:dyDescent="0.25">
      <c r="A1464" s="4">
        <v>1462</v>
      </c>
      <c r="B1464" s="2" t="str">
        <f>"3251202108102301326479"</f>
        <v>3251202108102301326479</v>
      </c>
      <c r="C1464" s="2" t="s">
        <v>17</v>
      </c>
      <c r="D1464" s="2" t="str">
        <f>"彭富明"</f>
        <v>彭富明</v>
      </c>
      <c r="E1464" s="2" t="str">
        <f>"男"</f>
        <v>男</v>
      </c>
    </row>
    <row r="1465" spans="1:5" ht="14.4" x14ac:dyDescent="0.25">
      <c r="A1465" s="4">
        <v>1463</v>
      </c>
      <c r="B1465" s="2" t="str">
        <f>"3251202108102307006485"</f>
        <v>3251202108102307006485</v>
      </c>
      <c r="C1465" s="2" t="s">
        <v>17</v>
      </c>
      <c r="D1465" s="2" t="str">
        <f>"吴月琴"</f>
        <v>吴月琴</v>
      </c>
      <c r="E1465" s="2" t="str">
        <f t="shared" ref="E1465:E1474" si="37">"女"</f>
        <v>女</v>
      </c>
    </row>
    <row r="1466" spans="1:5" ht="14.4" x14ac:dyDescent="0.25">
      <c r="A1466" s="4">
        <v>1464</v>
      </c>
      <c r="B1466" s="2" t="str">
        <f>"3251202108102349316524"</f>
        <v>3251202108102349316524</v>
      </c>
      <c r="C1466" s="2" t="s">
        <v>17</v>
      </c>
      <c r="D1466" s="2" t="str">
        <f>"黄妙"</f>
        <v>黄妙</v>
      </c>
      <c r="E1466" s="2" t="str">
        <f t="shared" si="37"/>
        <v>女</v>
      </c>
    </row>
    <row r="1467" spans="1:5" ht="14.4" x14ac:dyDescent="0.25">
      <c r="A1467" s="4">
        <v>1465</v>
      </c>
      <c r="B1467" s="2" t="str">
        <f>"3251202108110836176618"</f>
        <v>3251202108110836176618</v>
      </c>
      <c r="C1467" s="2" t="s">
        <v>17</v>
      </c>
      <c r="D1467" s="2" t="str">
        <f>"杨婕"</f>
        <v>杨婕</v>
      </c>
      <c r="E1467" s="2" t="str">
        <f t="shared" si="37"/>
        <v>女</v>
      </c>
    </row>
    <row r="1468" spans="1:5" ht="14.4" x14ac:dyDescent="0.25">
      <c r="A1468" s="4">
        <v>1466</v>
      </c>
      <c r="B1468" s="2" t="str">
        <f>"3251202108110838076622"</f>
        <v>3251202108110838076622</v>
      </c>
      <c r="C1468" s="2" t="s">
        <v>17</v>
      </c>
      <c r="D1468" s="2" t="str">
        <f>"黄欢圆"</f>
        <v>黄欢圆</v>
      </c>
      <c r="E1468" s="2" t="str">
        <f t="shared" si="37"/>
        <v>女</v>
      </c>
    </row>
    <row r="1469" spans="1:5" ht="14.4" x14ac:dyDescent="0.25">
      <c r="A1469" s="4">
        <v>1467</v>
      </c>
      <c r="B1469" s="2" t="str">
        <f>"3251202108110839446626"</f>
        <v>3251202108110839446626</v>
      </c>
      <c r="C1469" s="2" t="s">
        <v>17</v>
      </c>
      <c r="D1469" s="2" t="str">
        <f>"王珊"</f>
        <v>王珊</v>
      </c>
      <c r="E1469" s="2" t="str">
        <f t="shared" si="37"/>
        <v>女</v>
      </c>
    </row>
    <row r="1470" spans="1:5" ht="14.4" x14ac:dyDescent="0.25">
      <c r="A1470" s="4">
        <v>1468</v>
      </c>
      <c r="B1470" s="2" t="str">
        <f>"3251202108110850106651"</f>
        <v>3251202108110850106651</v>
      </c>
      <c r="C1470" s="2" t="s">
        <v>17</v>
      </c>
      <c r="D1470" s="2" t="str">
        <f>"郑淑珍"</f>
        <v>郑淑珍</v>
      </c>
      <c r="E1470" s="2" t="str">
        <f t="shared" si="37"/>
        <v>女</v>
      </c>
    </row>
    <row r="1471" spans="1:5" ht="14.4" x14ac:dyDescent="0.25">
      <c r="A1471" s="4">
        <v>1469</v>
      </c>
      <c r="B1471" s="2" t="str">
        <f>"3251202108110857326663"</f>
        <v>3251202108110857326663</v>
      </c>
      <c r="C1471" s="2" t="s">
        <v>17</v>
      </c>
      <c r="D1471" s="2" t="str">
        <f>"苏张帆"</f>
        <v>苏张帆</v>
      </c>
      <c r="E1471" s="2" t="str">
        <f t="shared" si="37"/>
        <v>女</v>
      </c>
    </row>
    <row r="1472" spans="1:5" ht="14.4" x14ac:dyDescent="0.25">
      <c r="A1472" s="4">
        <v>1470</v>
      </c>
      <c r="B1472" s="2" t="str">
        <f>"3251202108110904426678"</f>
        <v>3251202108110904426678</v>
      </c>
      <c r="C1472" s="2" t="s">
        <v>17</v>
      </c>
      <c r="D1472" s="2" t="str">
        <f>"吴秀庄"</f>
        <v>吴秀庄</v>
      </c>
      <c r="E1472" s="2" t="str">
        <f t="shared" si="37"/>
        <v>女</v>
      </c>
    </row>
    <row r="1473" spans="1:5" ht="14.4" x14ac:dyDescent="0.25">
      <c r="A1473" s="4">
        <v>1471</v>
      </c>
      <c r="B1473" s="2" t="str">
        <f>"3251202108110946136799"</f>
        <v>3251202108110946136799</v>
      </c>
      <c r="C1473" s="2" t="s">
        <v>17</v>
      </c>
      <c r="D1473" s="2" t="str">
        <f>"潘郑"</f>
        <v>潘郑</v>
      </c>
      <c r="E1473" s="2" t="str">
        <f t="shared" si="37"/>
        <v>女</v>
      </c>
    </row>
    <row r="1474" spans="1:5" ht="14.4" x14ac:dyDescent="0.25">
      <c r="A1474" s="4">
        <v>1472</v>
      </c>
      <c r="B1474" s="2" t="str">
        <f>"3251202108111001016845"</f>
        <v>3251202108111001016845</v>
      </c>
      <c r="C1474" s="2" t="s">
        <v>17</v>
      </c>
      <c r="D1474" s="2" t="str">
        <f>"廖婉妮"</f>
        <v>廖婉妮</v>
      </c>
      <c r="E1474" s="2" t="str">
        <f t="shared" si="37"/>
        <v>女</v>
      </c>
    </row>
    <row r="1475" spans="1:5" ht="14.4" x14ac:dyDescent="0.25">
      <c r="A1475" s="4">
        <v>1473</v>
      </c>
      <c r="B1475" s="2" t="str">
        <f>"3251202108111013006877"</f>
        <v>3251202108111013006877</v>
      </c>
      <c r="C1475" s="2" t="s">
        <v>17</v>
      </c>
      <c r="D1475" s="2" t="str">
        <f>"李观南"</f>
        <v>李观南</v>
      </c>
      <c r="E1475" s="2" t="str">
        <f>"男"</f>
        <v>男</v>
      </c>
    </row>
    <row r="1476" spans="1:5" ht="14.4" x14ac:dyDescent="0.25">
      <c r="A1476" s="4">
        <v>1474</v>
      </c>
      <c r="B1476" s="2" t="str">
        <f>"3251202108111114507031"</f>
        <v>3251202108111114507031</v>
      </c>
      <c r="C1476" s="2" t="s">
        <v>17</v>
      </c>
      <c r="D1476" s="2" t="str">
        <f>"洪杰"</f>
        <v>洪杰</v>
      </c>
      <c r="E1476" s="2" t="str">
        <f>"男"</f>
        <v>男</v>
      </c>
    </row>
    <row r="1477" spans="1:5" ht="14.4" x14ac:dyDescent="0.25">
      <c r="A1477" s="4">
        <v>1475</v>
      </c>
      <c r="B1477" s="2" t="str">
        <f>"3251202108111156067126"</f>
        <v>3251202108111156067126</v>
      </c>
      <c r="C1477" s="2" t="s">
        <v>17</v>
      </c>
      <c r="D1477" s="2" t="str">
        <f>"韦锦连"</f>
        <v>韦锦连</v>
      </c>
      <c r="E1477" s="2" t="str">
        <f>"女"</f>
        <v>女</v>
      </c>
    </row>
    <row r="1478" spans="1:5" ht="14.4" x14ac:dyDescent="0.25">
      <c r="A1478" s="4">
        <v>1476</v>
      </c>
      <c r="B1478" s="2" t="str">
        <f>"3251202108111215167154"</f>
        <v>3251202108111215167154</v>
      </c>
      <c r="C1478" s="2" t="s">
        <v>17</v>
      </c>
      <c r="D1478" s="2" t="str">
        <f>"徐耿彬"</f>
        <v>徐耿彬</v>
      </c>
      <c r="E1478" s="2" t="str">
        <f>"男"</f>
        <v>男</v>
      </c>
    </row>
    <row r="1479" spans="1:5" ht="14.4" x14ac:dyDescent="0.25">
      <c r="A1479" s="4">
        <v>1477</v>
      </c>
      <c r="B1479" s="2" t="str">
        <f>"3251202108111242467191"</f>
        <v>3251202108111242467191</v>
      </c>
      <c r="C1479" s="2" t="s">
        <v>17</v>
      </c>
      <c r="D1479" s="2" t="str">
        <f>"官海艺"</f>
        <v>官海艺</v>
      </c>
      <c r="E1479" s="2" t="str">
        <f>"男"</f>
        <v>男</v>
      </c>
    </row>
    <row r="1480" spans="1:5" ht="14.4" x14ac:dyDescent="0.25">
      <c r="A1480" s="4">
        <v>1478</v>
      </c>
      <c r="B1480" s="2" t="str">
        <f>"3251202108111343167247"</f>
        <v>3251202108111343167247</v>
      </c>
      <c r="C1480" s="2" t="s">
        <v>17</v>
      </c>
      <c r="D1480" s="2" t="str">
        <f>"许淋聪"</f>
        <v>许淋聪</v>
      </c>
      <c r="E1480" s="2" t="str">
        <f>"男"</f>
        <v>男</v>
      </c>
    </row>
    <row r="1481" spans="1:5" ht="14.4" x14ac:dyDescent="0.25">
      <c r="A1481" s="4">
        <v>1479</v>
      </c>
      <c r="B1481" s="2" t="str">
        <f>"3251202108111423377289"</f>
        <v>3251202108111423377289</v>
      </c>
      <c r="C1481" s="2" t="s">
        <v>17</v>
      </c>
      <c r="D1481" s="2" t="str">
        <f>"林先越"</f>
        <v>林先越</v>
      </c>
      <c r="E1481" s="2" t="str">
        <f>"男"</f>
        <v>男</v>
      </c>
    </row>
    <row r="1482" spans="1:5" ht="14.4" x14ac:dyDescent="0.25">
      <c r="A1482" s="4">
        <v>1480</v>
      </c>
      <c r="B1482" s="2" t="str">
        <f>"3251202108111431507298"</f>
        <v>3251202108111431507298</v>
      </c>
      <c r="C1482" s="2" t="s">
        <v>17</v>
      </c>
      <c r="D1482" s="2" t="str">
        <f>"粟航"</f>
        <v>粟航</v>
      </c>
      <c r="E1482" s="2" t="str">
        <f>"男"</f>
        <v>男</v>
      </c>
    </row>
    <row r="1483" spans="1:5" ht="14.4" x14ac:dyDescent="0.25">
      <c r="A1483" s="4">
        <v>1481</v>
      </c>
      <c r="B1483" s="2" t="str">
        <f>"3251202108111451367333"</f>
        <v>3251202108111451367333</v>
      </c>
      <c r="C1483" s="2" t="s">
        <v>17</v>
      </c>
      <c r="D1483" s="2" t="str">
        <f>"王佳佳"</f>
        <v>王佳佳</v>
      </c>
      <c r="E1483" s="2" t="str">
        <f>"女"</f>
        <v>女</v>
      </c>
    </row>
    <row r="1484" spans="1:5" ht="14.4" x14ac:dyDescent="0.25">
      <c r="A1484" s="4">
        <v>1482</v>
      </c>
      <c r="B1484" s="2" t="str">
        <f>"3251202108111500117358"</f>
        <v>3251202108111500117358</v>
      </c>
      <c r="C1484" s="2" t="s">
        <v>17</v>
      </c>
      <c r="D1484" s="2" t="str">
        <f>"袁美靖"</f>
        <v>袁美靖</v>
      </c>
      <c r="E1484" s="2" t="str">
        <f>"女"</f>
        <v>女</v>
      </c>
    </row>
    <row r="1485" spans="1:5" ht="14.4" x14ac:dyDescent="0.25">
      <c r="A1485" s="4">
        <v>1483</v>
      </c>
      <c r="B1485" s="2" t="str">
        <f>"3251202108111532177431"</f>
        <v>3251202108111532177431</v>
      </c>
      <c r="C1485" s="2" t="s">
        <v>17</v>
      </c>
      <c r="D1485" s="2" t="str">
        <f>"韦观秀"</f>
        <v>韦观秀</v>
      </c>
      <c r="E1485" s="2" t="str">
        <f>"女"</f>
        <v>女</v>
      </c>
    </row>
    <row r="1486" spans="1:5" ht="14.4" x14ac:dyDescent="0.25">
      <c r="A1486" s="4">
        <v>1484</v>
      </c>
      <c r="B1486" s="2" t="str">
        <f>"3251202108111532197432"</f>
        <v>3251202108111532197432</v>
      </c>
      <c r="C1486" s="2" t="s">
        <v>17</v>
      </c>
      <c r="D1486" s="2" t="str">
        <f>"邓春兰"</f>
        <v>邓春兰</v>
      </c>
      <c r="E1486" s="2" t="str">
        <f>"女"</f>
        <v>女</v>
      </c>
    </row>
    <row r="1487" spans="1:5" ht="14.4" x14ac:dyDescent="0.25">
      <c r="A1487" s="4">
        <v>1485</v>
      </c>
      <c r="B1487" s="2" t="str">
        <f>"3251202108111535087443"</f>
        <v>3251202108111535087443</v>
      </c>
      <c r="C1487" s="2" t="s">
        <v>17</v>
      </c>
      <c r="D1487" s="2" t="str">
        <f>"王育"</f>
        <v>王育</v>
      </c>
      <c r="E1487" s="2" t="str">
        <f>"女"</f>
        <v>女</v>
      </c>
    </row>
    <row r="1488" spans="1:5" ht="14.4" x14ac:dyDescent="0.25">
      <c r="A1488" s="4">
        <v>1486</v>
      </c>
      <c r="B1488" s="2" t="str">
        <f>"3251202108111612157510"</f>
        <v>3251202108111612157510</v>
      </c>
      <c r="C1488" s="2" t="s">
        <v>17</v>
      </c>
      <c r="D1488" s="2" t="str">
        <f>"杜成林"</f>
        <v>杜成林</v>
      </c>
      <c r="E1488" s="2" t="str">
        <f>"男"</f>
        <v>男</v>
      </c>
    </row>
    <row r="1489" spans="1:5" ht="14.4" x14ac:dyDescent="0.25">
      <c r="A1489" s="4">
        <v>1487</v>
      </c>
      <c r="B1489" s="2" t="str">
        <f>"3251202108111620307522"</f>
        <v>3251202108111620307522</v>
      </c>
      <c r="C1489" s="2" t="s">
        <v>17</v>
      </c>
      <c r="D1489" s="2" t="str">
        <f>"林琳"</f>
        <v>林琳</v>
      </c>
      <c r="E1489" s="2" t="str">
        <f>"女"</f>
        <v>女</v>
      </c>
    </row>
    <row r="1490" spans="1:5" ht="14.4" x14ac:dyDescent="0.25">
      <c r="A1490" s="4">
        <v>1488</v>
      </c>
      <c r="B1490" s="2" t="str">
        <f>"3251202108111738117647"</f>
        <v>3251202108111738117647</v>
      </c>
      <c r="C1490" s="2" t="s">
        <v>17</v>
      </c>
      <c r="D1490" s="2" t="str">
        <f>"陈美林"</f>
        <v>陈美林</v>
      </c>
      <c r="E1490" s="2" t="str">
        <f>"女"</f>
        <v>女</v>
      </c>
    </row>
    <row r="1491" spans="1:5" ht="14.4" x14ac:dyDescent="0.25">
      <c r="A1491" s="4">
        <v>1489</v>
      </c>
      <c r="B1491" s="2" t="str">
        <f>"3251202108111758127684"</f>
        <v>3251202108111758127684</v>
      </c>
      <c r="C1491" s="2" t="s">
        <v>17</v>
      </c>
      <c r="D1491" s="2" t="str">
        <f>"廖芸菲"</f>
        <v>廖芸菲</v>
      </c>
      <c r="E1491" s="2" t="str">
        <f>"女"</f>
        <v>女</v>
      </c>
    </row>
    <row r="1492" spans="1:5" ht="14.4" x14ac:dyDescent="0.25">
      <c r="A1492" s="4">
        <v>1490</v>
      </c>
      <c r="B1492" s="2" t="str">
        <f>"3251202108111855027765"</f>
        <v>3251202108111855027765</v>
      </c>
      <c r="C1492" s="2" t="s">
        <v>17</v>
      </c>
      <c r="D1492" s="2" t="str">
        <f>"巫亮亮"</f>
        <v>巫亮亮</v>
      </c>
      <c r="E1492" s="2" t="str">
        <f>"男"</f>
        <v>男</v>
      </c>
    </row>
    <row r="1493" spans="1:5" ht="14.4" x14ac:dyDescent="0.25">
      <c r="A1493" s="4">
        <v>1491</v>
      </c>
      <c r="B1493" s="2" t="str">
        <f>"3251202108111950257828"</f>
        <v>3251202108111950257828</v>
      </c>
      <c r="C1493" s="2" t="s">
        <v>17</v>
      </c>
      <c r="D1493" s="2" t="str">
        <f>"符亚劲"</f>
        <v>符亚劲</v>
      </c>
      <c r="E1493" s="2" t="str">
        <f>"男"</f>
        <v>男</v>
      </c>
    </row>
    <row r="1494" spans="1:5" ht="14.4" x14ac:dyDescent="0.25">
      <c r="A1494" s="4">
        <v>1492</v>
      </c>
      <c r="B1494" s="2" t="str">
        <f>"3251202108112038387886"</f>
        <v>3251202108112038387886</v>
      </c>
      <c r="C1494" s="2" t="s">
        <v>17</v>
      </c>
      <c r="D1494" s="2" t="str">
        <f>"何昕"</f>
        <v>何昕</v>
      </c>
      <c r="E1494" s="2" t="str">
        <f>"女"</f>
        <v>女</v>
      </c>
    </row>
    <row r="1495" spans="1:5" ht="14.4" x14ac:dyDescent="0.25">
      <c r="A1495" s="4">
        <v>1493</v>
      </c>
      <c r="B1495" s="2" t="str">
        <f>"3251202108112041377896"</f>
        <v>3251202108112041377896</v>
      </c>
      <c r="C1495" s="2" t="s">
        <v>17</v>
      </c>
      <c r="D1495" s="2" t="str">
        <f>"谢环"</f>
        <v>谢环</v>
      </c>
      <c r="E1495" s="2" t="str">
        <f>"女"</f>
        <v>女</v>
      </c>
    </row>
    <row r="1496" spans="1:5" ht="14.4" x14ac:dyDescent="0.25">
      <c r="A1496" s="4">
        <v>1494</v>
      </c>
      <c r="B1496" s="2" t="str">
        <f>"3251202108112128367983"</f>
        <v>3251202108112128367983</v>
      </c>
      <c r="C1496" s="2" t="s">
        <v>17</v>
      </c>
      <c r="D1496" s="2" t="str">
        <f>"李道宽"</f>
        <v>李道宽</v>
      </c>
      <c r="E1496" s="2" t="str">
        <f>"男"</f>
        <v>男</v>
      </c>
    </row>
    <row r="1497" spans="1:5" ht="14.4" x14ac:dyDescent="0.25">
      <c r="A1497" s="4">
        <v>1495</v>
      </c>
      <c r="B1497" s="2" t="str">
        <f>"3251202108112137237993"</f>
        <v>3251202108112137237993</v>
      </c>
      <c r="C1497" s="2" t="s">
        <v>17</v>
      </c>
      <c r="D1497" s="2" t="str">
        <f>"凌光珍"</f>
        <v>凌光珍</v>
      </c>
      <c r="E1497" s="2" t="str">
        <f>"女"</f>
        <v>女</v>
      </c>
    </row>
    <row r="1498" spans="1:5" ht="14.4" x14ac:dyDescent="0.25">
      <c r="A1498" s="4">
        <v>1496</v>
      </c>
      <c r="B1498" s="2" t="str">
        <f>"3251202108112152408016"</f>
        <v>3251202108112152408016</v>
      </c>
      <c r="C1498" s="2" t="s">
        <v>17</v>
      </c>
      <c r="D1498" s="2" t="str">
        <f>"黎婕"</f>
        <v>黎婕</v>
      </c>
      <c r="E1498" s="2" t="str">
        <f>"女"</f>
        <v>女</v>
      </c>
    </row>
    <row r="1499" spans="1:5" ht="14.4" x14ac:dyDescent="0.25">
      <c r="A1499" s="4">
        <v>1497</v>
      </c>
      <c r="B1499" s="2" t="str">
        <f>"3251202108112153278017"</f>
        <v>3251202108112153278017</v>
      </c>
      <c r="C1499" s="2" t="s">
        <v>17</v>
      </c>
      <c r="D1499" s="2" t="str">
        <f>"温菲菲"</f>
        <v>温菲菲</v>
      </c>
      <c r="E1499" s="2" t="str">
        <f>"女"</f>
        <v>女</v>
      </c>
    </row>
    <row r="1500" spans="1:5" ht="14.4" x14ac:dyDescent="0.25">
      <c r="A1500" s="4">
        <v>1498</v>
      </c>
      <c r="B1500" s="2" t="str">
        <f>"3251202108112242368089"</f>
        <v>3251202108112242368089</v>
      </c>
      <c r="C1500" s="2" t="s">
        <v>17</v>
      </c>
      <c r="D1500" s="2" t="str">
        <f>"王麒"</f>
        <v>王麒</v>
      </c>
      <c r="E1500" s="2" t="str">
        <f>"男"</f>
        <v>男</v>
      </c>
    </row>
    <row r="1501" spans="1:5" ht="14.4" x14ac:dyDescent="0.25">
      <c r="A1501" s="4">
        <v>1499</v>
      </c>
      <c r="B1501" s="2" t="str">
        <f>"3251202108112309428118"</f>
        <v>3251202108112309428118</v>
      </c>
      <c r="C1501" s="2" t="s">
        <v>17</v>
      </c>
      <c r="D1501" s="2" t="str">
        <f>"温荣"</f>
        <v>温荣</v>
      </c>
      <c r="E1501" s="2" t="str">
        <f>"男"</f>
        <v>男</v>
      </c>
    </row>
    <row r="1502" spans="1:5" ht="14.4" x14ac:dyDescent="0.25">
      <c r="A1502" s="4">
        <v>1500</v>
      </c>
      <c r="B1502" s="2" t="str">
        <f>"3251202108112324348132"</f>
        <v>3251202108112324348132</v>
      </c>
      <c r="C1502" s="2" t="s">
        <v>17</v>
      </c>
      <c r="D1502" s="2" t="str">
        <f>"李建均"</f>
        <v>李建均</v>
      </c>
      <c r="E1502" s="2" t="str">
        <f>"男"</f>
        <v>男</v>
      </c>
    </row>
    <row r="1503" spans="1:5" ht="14.4" x14ac:dyDescent="0.25">
      <c r="A1503" s="4">
        <v>1501</v>
      </c>
      <c r="B1503" s="2" t="str">
        <f>"3251202108120846448219"</f>
        <v>3251202108120846448219</v>
      </c>
      <c r="C1503" s="2" t="s">
        <v>17</v>
      </c>
      <c r="D1503" s="2" t="str">
        <f>"兰涖滢"</f>
        <v>兰涖滢</v>
      </c>
      <c r="E1503" s="2" t="str">
        <f>"女"</f>
        <v>女</v>
      </c>
    </row>
    <row r="1504" spans="1:5" ht="14.4" x14ac:dyDescent="0.25">
      <c r="A1504" s="4">
        <v>1502</v>
      </c>
      <c r="B1504" s="2" t="str">
        <f>"3251202108120934508348"</f>
        <v>3251202108120934508348</v>
      </c>
      <c r="C1504" s="2" t="s">
        <v>17</v>
      </c>
      <c r="D1504" s="2" t="str">
        <f>"全智艳"</f>
        <v>全智艳</v>
      </c>
      <c r="E1504" s="2" t="str">
        <f>"女"</f>
        <v>女</v>
      </c>
    </row>
    <row r="1505" spans="1:5" ht="14.4" x14ac:dyDescent="0.25">
      <c r="A1505" s="4">
        <v>1503</v>
      </c>
      <c r="B1505" s="2" t="str">
        <f>"3251202108120938428362"</f>
        <v>3251202108120938428362</v>
      </c>
      <c r="C1505" s="2" t="s">
        <v>17</v>
      </c>
      <c r="D1505" s="2" t="str">
        <f>"张祯虹"</f>
        <v>张祯虹</v>
      </c>
      <c r="E1505" s="2" t="str">
        <f>"女"</f>
        <v>女</v>
      </c>
    </row>
    <row r="1506" spans="1:5" ht="14.4" x14ac:dyDescent="0.25">
      <c r="A1506" s="4">
        <v>1504</v>
      </c>
      <c r="B1506" s="2" t="str">
        <f>"3251202108120945308381"</f>
        <v>3251202108120945308381</v>
      </c>
      <c r="C1506" s="2" t="s">
        <v>17</v>
      </c>
      <c r="D1506" s="2" t="str">
        <f>"黄浩"</f>
        <v>黄浩</v>
      </c>
      <c r="E1506" s="2" t="str">
        <f>"男"</f>
        <v>男</v>
      </c>
    </row>
    <row r="1507" spans="1:5" ht="14.4" x14ac:dyDescent="0.25">
      <c r="A1507" s="4">
        <v>1505</v>
      </c>
      <c r="B1507" s="2" t="str">
        <f>"3251202108120946398385"</f>
        <v>3251202108120946398385</v>
      </c>
      <c r="C1507" s="2" t="s">
        <v>17</v>
      </c>
      <c r="D1507" s="2" t="str">
        <f>"陆飞英"</f>
        <v>陆飞英</v>
      </c>
      <c r="E1507" s="2" t="str">
        <f>"女"</f>
        <v>女</v>
      </c>
    </row>
    <row r="1508" spans="1:5" ht="14.4" x14ac:dyDescent="0.25">
      <c r="A1508" s="4">
        <v>1506</v>
      </c>
      <c r="B1508" s="2" t="str">
        <f>"3251202108120949528394"</f>
        <v>3251202108120949528394</v>
      </c>
      <c r="C1508" s="2" t="s">
        <v>17</v>
      </c>
      <c r="D1508" s="2" t="str">
        <f>"陈莉"</f>
        <v>陈莉</v>
      </c>
      <c r="E1508" s="2" t="str">
        <f>"女"</f>
        <v>女</v>
      </c>
    </row>
    <row r="1509" spans="1:5" ht="14.4" x14ac:dyDescent="0.25">
      <c r="A1509" s="4">
        <v>1507</v>
      </c>
      <c r="B1509" s="2" t="str">
        <f>"3251202108121028428462"</f>
        <v>3251202108121028428462</v>
      </c>
      <c r="C1509" s="2" t="s">
        <v>17</v>
      </c>
      <c r="D1509" s="2" t="str">
        <f>"李成龙"</f>
        <v>李成龙</v>
      </c>
      <c r="E1509" s="2" t="str">
        <f>"男"</f>
        <v>男</v>
      </c>
    </row>
    <row r="1510" spans="1:5" ht="14.4" x14ac:dyDescent="0.25">
      <c r="A1510" s="4">
        <v>1508</v>
      </c>
      <c r="B1510" s="2" t="str">
        <f>"3251202108121033548476"</f>
        <v>3251202108121033548476</v>
      </c>
      <c r="C1510" s="2" t="s">
        <v>17</v>
      </c>
      <c r="D1510" s="2" t="str">
        <f>"庄香梅"</f>
        <v>庄香梅</v>
      </c>
      <c r="E1510" s="2" t="str">
        <f>"女"</f>
        <v>女</v>
      </c>
    </row>
    <row r="1511" spans="1:5" ht="14.4" x14ac:dyDescent="0.25">
      <c r="A1511" s="4">
        <v>1509</v>
      </c>
      <c r="B1511" s="2" t="str">
        <f>"3251202108121114088558"</f>
        <v>3251202108121114088558</v>
      </c>
      <c r="C1511" s="2" t="s">
        <v>17</v>
      </c>
      <c r="D1511" s="2" t="str">
        <f>"符方媛"</f>
        <v>符方媛</v>
      </c>
      <c r="E1511" s="2" t="str">
        <f>"女"</f>
        <v>女</v>
      </c>
    </row>
    <row r="1512" spans="1:5" ht="14.4" x14ac:dyDescent="0.25">
      <c r="A1512" s="4">
        <v>1510</v>
      </c>
      <c r="B1512" s="2" t="str">
        <f>"3251202108121200458636"</f>
        <v>3251202108121200458636</v>
      </c>
      <c r="C1512" s="2" t="s">
        <v>17</v>
      </c>
      <c r="D1512" s="2" t="str">
        <f>"张勇"</f>
        <v>张勇</v>
      </c>
      <c r="E1512" s="2" t="str">
        <f>"男"</f>
        <v>男</v>
      </c>
    </row>
    <row r="1513" spans="1:5" ht="14.4" x14ac:dyDescent="0.25">
      <c r="A1513" s="4">
        <v>1511</v>
      </c>
      <c r="B1513" s="2" t="str">
        <f>"3251202108121327268730"</f>
        <v>3251202108121327268730</v>
      </c>
      <c r="C1513" s="2" t="s">
        <v>17</v>
      </c>
      <c r="D1513" s="2" t="str">
        <f>"钟海梅"</f>
        <v>钟海梅</v>
      </c>
      <c r="E1513" s="2" t="str">
        <f>"女"</f>
        <v>女</v>
      </c>
    </row>
    <row r="1514" spans="1:5" ht="14.4" x14ac:dyDescent="0.25">
      <c r="A1514" s="4">
        <v>1512</v>
      </c>
      <c r="B1514" s="2" t="str">
        <f>"3251202108121513548873"</f>
        <v>3251202108121513548873</v>
      </c>
      <c r="C1514" s="2" t="s">
        <v>17</v>
      </c>
      <c r="D1514" s="2" t="str">
        <f>"黄宏智"</f>
        <v>黄宏智</v>
      </c>
      <c r="E1514" s="2" t="str">
        <f>"男"</f>
        <v>男</v>
      </c>
    </row>
    <row r="1515" spans="1:5" ht="14.4" x14ac:dyDescent="0.25">
      <c r="A1515" s="4">
        <v>1513</v>
      </c>
      <c r="B1515" s="2" t="str">
        <f>"3251202108121609468989"</f>
        <v>3251202108121609468989</v>
      </c>
      <c r="C1515" s="2" t="s">
        <v>17</v>
      </c>
      <c r="D1515" s="2" t="str">
        <f>"吴喜槟"</f>
        <v>吴喜槟</v>
      </c>
      <c r="E1515" s="2" t="str">
        <f>"女"</f>
        <v>女</v>
      </c>
    </row>
    <row r="1516" spans="1:5" ht="14.4" x14ac:dyDescent="0.25">
      <c r="A1516" s="4">
        <v>1514</v>
      </c>
      <c r="B1516" s="2" t="str">
        <f>"3251202108121623039010"</f>
        <v>3251202108121623039010</v>
      </c>
      <c r="C1516" s="2" t="s">
        <v>17</v>
      </c>
      <c r="D1516" s="2" t="str">
        <f>"黄景锋"</f>
        <v>黄景锋</v>
      </c>
      <c r="E1516" s="2" t="str">
        <f>"男"</f>
        <v>男</v>
      </c>
    </row>
    <row r="1517" spans="1:5" ht="14.4" x14ac:dyDescent="0.25">
      <c r="A1517" s="4">
        <v>1515</v>
      </c>
      <c r="B1517" s="2" t="str">
        <f>"3251202108121630539024"</f>
        <v>3251202108121630539024</v>
      </c>
      <c r="C1517" s="2" t="s">
        <v>17</v>
      </c>
      <c r="D1517" s="2" t="str">
        <f>"黎学贤"</f>
        <v>黎学贤</v>
      </c>
      <c r="E1517" s="2" t="str">
        <f>"女"</f>
        <v>女</v>
      </c>
    </row>
    <row r="1518" spans="1:5" ht="14.4" x14ac:dyDescent="0.25">
      <c r="A1518" s="4">
        <v>1516</v>
      </c>
      <c r="B1518" s="2" t="str">
        <f>"3251202108121714119088"</f>
        <v>3251202108121714119088</v>
      </c>
      <c r="C1518" s="2" t="s">
        <v>17</v>
      </c>
      <c r="D1518" s="2" t="str">
        <f>"郭融"</f>
        <v>郭融</v>
      </c>
      <c r="E1518" s="2" t="str">
        <f>"男"</f>
        <v>男</v>
      </c>
    </row>
    <row r="1519" spans="1:5" ht="14.4" x14ac:dyDescent="0.25">
      <c r="A1519" s="4">
        <v>1517</v>
      </c>
      <c r="B1519" s="2" t="str">
        <f>"3251202108121721489100"</f>
        <v>3251202108121721489100</v>
      </c>
      <c r="C1519" s="2" t="s">
        <v>17</v>
      </c>
      <c r="D1519" s="2" t="str">
        <f>"王琦"</f>
        <v>王琦</v>
      </c>
      <c r="E1519" s="2" t="str">
        <f>"女"</f>
        <v>女</v>
      </c>
    </row>
    <row r="1520" spans="1:5" ht="14.4" x14ac:dyDescent="0.25">
      <c r="A1520" s="4">
        <v>1518</v>
      </c>
      <c r="B1520" s="2" t="str">
        <f>"3251202108121730259113"</f>
        <v>3251202108121730259113</v>
      </c>
      <c r="C1520" s="2" t="s">
        <v>17</v>
      </c>
      <c r="D1520" s="2" t="str">
        <f>"冯周宇"</f>
        <v>冯周宇</v>
      </c>
      <c r="E1520" s="2" t="str">
        <f>"男"</f>
        <v>男</v>
      </c>
    </row>
    <row r="1521" spans="1:5" ht="14.4" x14ac:dyDescent="0.25">
      <c r="A1521" s="4">
        <v>1519</v>
      </c>
      <c r="B1521" s="2" t="str">
        <f>"3251202108121843529187"</f>
        <v>3251202108121843529187</v>
      </c>
      <c r="C1521" s="2" t="s">
        <v>17</v>
      </c>
      <c r="D1521" s="2" t="str">
        <f>"陈秋如"</f>
        <v>陈秋如</v>
      </c>
      <c r="E1521" s="2" t="str">
        <f>"女"</f>
        <v>女</v>
      </c>
    </row>
    <row r="1522" spans="1:5" ht="14.4" x14ac:dyDescent="0.25">
      <c r="A1522" s="4">
        <v>1520</v>
      </c>
      <c r="B1522" s="2" t="str">
        <f>"3251202108121846579190"</f>
        <v>3251202108121846579190</v>
      </c>
      <c r="C1522" s="2" t="s">
        <v>17</v>
      </c>
      <c r="D1522" s="2" t="str">
        <f>"龚飞龙"</f>
        <v>龚飞龙</v>
      </c>
      <c r="E1522" s="2" t="str">
        <f>"男"</f>
        <v>男</v>
      </c>
    </row>
    <row r="1523" spans="1:5" ht="14.4" x14ac:dyDescent="0.25">
      <c r="A1523" s="4">
        <v>1521</v>
      </c>
      <c r="B1523" s="2" t="str">
        <f>"3251202108121925559221"</f>
        <v>3251202108121925559221</v>
      </c>
      <c r="C1523" s="2" t="s">
        <v>17</v>
      </c>
      <c r="D1523" s="2" t="str">
        <f>"冯志鹏"</f>
        <v>冯志鹏</v>
      </c>
      <c r="E1523" s="2" t="str">
        <f>"男"</f>
        <v>男</v>
      </c>
    </row>
    <row r="1524" spans="1:5" ht="14.4" x14ac:dyDescent="0.25">
      <c r="A1524" s="4">
        <v>1522</v>
      </c>
      <c r="B1524" s="2" t="str">
        <f>"3251202108122120169329"</f>
        <v>3251202108122120169329</v>
      </c>
      <c r="C1524" s="2" t="s">
        <v>17</v>
      </c>
      <c r="D1524" s="2" t="str">
        <f>"梁金凤"</f>
        <v>梁金凤</v>
      </c>
      <c r="E1524" s="2" t="str">
        <f t="shared" ref="E1524:E1530" si="38">"女"</f>
        <v>女</v>
      </c>
    </row>
    <row r="1525" spans="1:5" ht="14.4" x14ac:dyDescent="0.25">
      <c r="A1525" s="4">
        <v>1523</v>
      </c>
      <c r="B1525" s="2" t="str">
        <f>"3251202108122245219412"</f>
        <v>3251202108122245219412</v>
      </c>
      <c r="C1525" s="2" t="s">
        <v>17</v>
      </c>
      <c r="D1525" s="2" t="str">
        <f>"卢雯"</f>
        <v>卢雯</v>
      </c>
      <c r="E1525" s="2" t="str">
        <f t="shared" si="38"/>
        <v>女</v>
      </c>
    </row>
    <row r="1526" spans="1:5" ht="14.4" x14ac:dyDescent="0.25">
      <c r="A1526" s="4">
        <v>1524</v>
      </c>
      <c r="B1526" s="2" t="str">
        <f>"3251202108130833459516"</f>
        <v>3251202108130833459516</v>
      </c>
      <c r="C1526" s="2" t="s">
        <v>17</v>
      </c>
      <c r="D1526" s="2" t="str">
        <f>"龙秋婷"</f>
        <v>龙秋婷</v>
      </c>
      <c r="E1526" s="2" t="str">
        <f t="shared" si="38"/>
        <v>女</v>
      </c>
    </row>
    <row r="1527" spans="1:5" ht="14.4" x14ac:dyDescent="0.25">
      <c r="A1527" s="4">
        <v>1525</v>
      </c>
      <c r="B1527" s="2" t="str">
        <f>"3251202108130837319521"</f>
        <v>3251202108130837319521</v>
      </c>
      <c r="C1527" s="2" t="s">
        <v>17</v>
      </c>
      <c r="D1527" s="2" t="str">
        <f>"周信利"</f>
        <v>周信利</v>
      </c>
      <c r="E1527" s="2" t="str">
        <f t="shared" si="38"/>
        <v>女</v>
      </c>
    </row>
    <row r="1528" spans="1:5" ht="14.4" x14ac:dyDescent="0.25">
      <c r="A1528" s="4">
        <v>1526</v>
      </c>
      <c r="B1528" s="2" t="str">
        <f>"3251202108130913439560"</f>
        <v>3251202108130913439560</v>
      </c>
      <c r="C1528" s="2" t="s">
        <v>17</v>
      </c>
      <c r="D1528" s="2" t="str">
        <f>"黄春莹"</f>
        <v>黄春莹</v>
      </c>
      <c r="E1528" s="2" t="str">
        <f t="shared" si="38"/>
        <v>女</v>
      </c>
    </row>
    <row r="1529" spans="1:5" ht="14.4" x14ac:dyDescent="0.25">
      <c r="A1529" s="4">
        <v>1527</v>
      </c>
      <c r="B1529" s="2" t="str">
        <f>"3251202108130926419578"</f>
        <v>3251202108130926419578</v>
      </c>
      <c r="C1529" s="2" t="s">
        <v>17</v>
      </c>
      <c r="D1529" s="2" t="str">
        <f>"蒋玲"</f>
        <v>蒋玲</v>
      </c>
      <c r="E1529" s="2" t="str">
        <f t="shared" si="38"/>
        <v>女</v>
      </c>
    </row>
    <row r="1530" spans="1:5" ht="14.4" x14ac:dyDescent="0.25">
      <c r="A1530" s="4">
        <v>1528</v>
      </c>
      <c r="B1530" s="2" t="str">
        <f>"3251202108130927329581"</f>
        <v>3251202108130927329581</v>
      </c>
      <c r="C1530" s="2" t="s">
        <v>17</v>
      </c>
      <c r="D1530" s="2" t="str">
        <f>"王静怡"</f>
        <v>王静怡</v>
      </c>
      <c r="E1530" s="2" t="str">
        <f t="shared" si="38"/>
        <v>女</v>
      </c>
    </row>
    <row r="1531" spans="1:5" ht="14.4" x14ac:dyDescent="0.25">
      <c r="A1531" s="4">
        <v>1529</v>
      </c>
      <c r="B1531" s="2" t="str">
        <f>"3251202108130949109607"</f>
        <v>3251202108130949109607</v>
      </c>
      <c r="C1531" s="2" t="s">
        <v>17</v>
      </c>
      <c r="D1531" s="2" t="str">
        <f>"黄云琦"</f>
        <v>黄云琦</v>
      </c>
      <c r="E1531" s="2" t="str">
        <f>"男"</f>
        <v>男</v>
      </c>
    </row>
    <row r="1532" spans="1:5" ht="14.4" x14ac:dyDescent="0.25">
      <c r="A1532" s="4">
        <v>1530</v>
      </c>
      <c r="B1532" s="2" t="str">
        <f>"3251202108131029069655"</f>
        <v>3251202108131029069655</v>
      </c>
      <c r="C1532" s="2" t="s">
        <v>17</v>
      </c>
      <c r="D1532" s="2" t="str">
        <f>"李焕楠"</f>
        <v>李焕楠</v>
      </c>
      <c r="E1532" s="2" t="str">
        <f>"男"</f>
        <v>男</v>
      </c>
    </row>
    <row r="1533" spans="1:5" ht="14.4" x14ac:dyDescent="0.25">
      <c r="A1533" s="4">
        <v>1531</v>
      </c>
      <c r="B1533" s="2" t="str">
        <f>"3251202108131114299729"</f>
        <v>3251202108131114299729</v>
      </c>
      <c r="C1533" s="2" t="s">
        <v>17</v>
      </c>
      <c r="D1533" s="2" t="str">
        <f>"刘丽"</f>
        <v>刘丽</v>
      </c>
      <c r="E1533" s="2" t="str">
        <f>"女"</f>
        <v>女</v>
      </c>
    </row>
    <row r="1534" spans="1:5" ht="14.4" x14ac:dyDescent="0.25">
      <c r="A1534" s="4">
        <v>1532</v>
      </c>
      <c r="B1534" s="2" t="str">
        <f>"3251202108131147109766"</f>
        <v>3251202108131147109766</v>
      </c>
      <c r="C1534" s="2" t="s">
        <v>17</v>
      </c>
      <c r="D1534" s="2" t="str">
        <f>"蔡尚均"</f>
        <v>蔡尚均</v>
      </c>
      <c r="E1534" s="2" t="str">
        <f>"男"</f>
        <v>男</v>
      </c>
    </row>
    <row r="1535" spans="1:5" ht="14.4" x14ac:dyDescent="0.25">
      <c r="A1535" s="4">
        <v>1533</v>
      </c>
      <c r="B1535" s="2" t="str">
        <f>"3251202108131211399794"</f>
        <v>3251202108131211399794</v>
      </c>
      <c r="C1535" s="2" t="s">
        <v>17</v>
      </c>
      <c r="D1535" s="2" t="str">
        <f>"梁乐杰"</f>
        <v>梁乐杰</v>
      </c>
      <c r="E1535" s="2" t="str">
        <f>"男"</f>
        <v>男</v>
      </c>
    </row>
    <row r="1536" spans="1:5" ht="14.4" x14ac:dyDescent="0.25">
      <c r="A1536" s="4">
        <v>1534</v>
      </c>
      <c r="B1536" s="2" t="str">
        <f>"3251202108131546169978"</f>
        <v>3251202108131546169978</v>
      </c>
      <c r="C1536" s="2" t="s">
        <v>17</v>
      </c>
      <c r="D1536" s="2" t="str">
        <f>"谭瑶瑶"</f>
        <v>谭瑶瑶</v>
      </c>
      <c r="E1536" s="2" t="str">
        <f t="shared" ref="E1536:E1547" si="39">"女"</f>
        <v>女</v>
      </c>
    </row>
    <row r="1537" spans="1:5" ht="14.4" x14ac:dyDescent="0.25">
      <c r="A1537" s="4">
        <v>1535</v>
      </c>
      <c r="B1537" s="2" t="str">
        <f>"32512021081316504610064"</f>
        <v>32512021081316504610064</v>
      </c>
      <c r="C1537" s="2" t="s">
        <v>17</v>
      </c>
      <c r="D1537" s="2" t="str">
        <f>"农佳丽"</f>
        <v>农佳丽</v>
      </c>
      <c r="E1537" s="2" t="str">
        <f t="shared" si="39"/>
        <v>女</v>
      </c>
    </row>
    <row r="1538" spans="1:5" ht="14.4" x14ac:dyDescent="0.25">
      <c r="A1538" s="4">
        <v>1536</v>
      </c>
      <c r="B1538" s="2" t="str">
        <f>"32512021081320222310226"</f>
        <v>32512021081320222310226</v>
      </c>
      <c r="C1538" s="2" t="s">
        <v>17</v>
      </c>
      <c r="D1538" s="2" t="str">
        <f>"黎文娟"</f>
        <v>黎文娟</v>
      </c>
      <c r="E1538" s="2" t="str">
        <f t="shared" si="39"/>
        <v>女</v>
      </c>
    </row>
    <row r="1539" spans="1:5" ht="14.4" x14ac:dyDescent="0.25">
      <c r="A1539" s="4">
        <v>1537</v>
      </c>
      <c r="B1539" s="2" t="str">
        <f>"32512021081320564410249"</f>
        <v>32512021081320564410249</v>
      </c>
      <c r="C1539" s="2" t="s">
        <v>17</v>
      </c>
      <c r="D1539" s="2" t="str">
        <f>"余小虹"</f>
        <v>余小虹</v>
      </c>
      <c r="E1539" s="2" t="str">
        <f t="shared" si="39"/>
        <v>女</v>
      </c>
    </row>
    <row r="1540" spans="1:5" ht="14.4" x14ac:dyDescent="0.25">
      <c r="A1540" s="4">
        <v>1538</v>
      </c>
      <c r="B1540" s="2" t="str">
        <f>"32512021081410491810473"</f>
        <v>32512021081410491810473</v>
      </c>
      <c r="C1540" s="2" t="s">
        <v>17</v>
      </c>
      <c r="D1540" s="2" t="str">
        <f>"黄诗虹"</f>
        <v>黄诗虹</v>
      </c>
      <c r="E1540" s="2" t="str">
        <f t="shared" si="39"/>
        <v>女</v>
      </c>
    </row>
    <row r="1541" spans="1:5" ht="14.4" x14ac:dyDescent="0.25">
      <c r="A1541" s="4">
        <v>1539</v>
      </c>
      <c r="B1541" s="2" t="str">
        <f>"32512021081411303710509"</f>
        <v>32512021081411303710509</v>
      </c>
      <c r="C1541" s="2" t="s">
        <v>17</v>
      </c>
      <c r="D1541" s="2" t="str">
        <f>"张军"</f>
        <v>张军</v>
      </c>
      <c r="E1541" s="2" t="str">
        <f t="shared" si="39"/>
        <v>女</v>
      </c>
    </row>
    <row r="1542" spans="1:5" ht="14.4" x14ac:dyDescent="0.25">
      <c r="A1542" s="4">
        <v>1540</v>
      </c>
      <c r="B1542" s="2" t="str">
        <f>"32512021081411333010513"</f>
        <v>32512021081411333010513</v>
      </c>
      <c r="C1542" s="2" t="s">
        <v>17</v>
      </c>
      <c r="D1542" s="2" t="str">
        <f>"蓝日梅"</f>
        <v>蓝日梅</v>
      </c>
      <c r="E1542" s="2" t="str">
        <f t="shared" si="39"/>
        <v>女</v>
      </c>
    </row>
    <row r="1543" spans="1:5" ht="14.4" x14ac:dyDescent="0.25">
      <c r="A1543" s="4">
        <v>1541</v>
      </c>
      <c r="B1543" s="2" t="str">
        <f>"32512021081413254110567"</f>
        <v>32512021081413254110567</v>
      </c>
      <c r="C1543" s="2" t="s">
        <v>17</v>
      </c>
      <c r="D1543" s="2" t="str">
        <f>"陈春梅"</f>
        <v>陈春梅</v>
      </c>
      <c r="E1543" s="2" t="str">
        <f t="shared" si="39"/>
        <v>女</v>
      </c>
    </row>
    <row r="1544" spans="1:5" ht="14.4" x14ac:dyDescent="0.25">
      <c r="A1544" s="4">
        <v>1542</v>
      </c>
      <c r="B1544" s="2" t="str">
        <f>"32512021081423545010903"</f>
        <v>32512021081423545010903</v>
      </c>
      <c r="C1544" s="2" t="s">
        <v>17</v>
      </c>
      <c r="D1544" s="2" t="str">
        <f>"邢晖"</f>
        <v>邢晖</v>
      </c>
      <c r="E1544" s="2" t="str">
        <f t="shared" si="39"/>
        <v>女</v>
      </c>
    </row>
    <row r="1545" spans="1:5" ht="14.4" x14ac:dyDescent="0.25">
      <c r="A1545" s="4">
        <v>1543</v>
      </c>
      <c r="B1545" s="2" t="str">
        <f>"32512021081508413010944"</f>
        <v>32512021081508413010944</v>
      </c>
      <c r="C1545" s="2" t="s">
        <v>17</v>
      </c>
      <c r="D1545" s="2" t="str">
        <f>"朱珊"</f>
        <v>朱珊</v>
      </c>
      <c r="E1545" s="2" t="str">
        <f t="shared" si="39"/>
        <v>女</v>
      </c>
    </row>
    <row r="1546" spans="1:5" ht="14.4" x14ac:dyDescent="0.25">
      <c r="A1546" s="4">
        <v>1544</v>
      </c>
      <c r="B1546" s="2" t="str">
        <f>"32512021081510191410988"</f>
        <v>32512021081510191410988</v>
      </c>
      <c r="C1546" s="2" t="s">
        <v>17</v>
      </c>
      <c r="D1546" s="2" t="str">
        <f>"周婧"</f>
        <v>周婧</v>
      </c>
      <c r="E1546" s="2" t="str">
        <f t="shared" si="39"/>
        <v>女</v>
      </c>
    </row>
    <row r="1547" spans="1:5" ht="14.4" x14ac:dyDescent="0.25">
      <c r="A1547" s="4">
        <v>1545</v>
      </c>
      <c r="B1547" s="2" t="str">
        <f>"32512021081510402011007"</f>
        <v>32512021081510402011007</v>
      </c>
      <c r="C1547" s="2" t="s">
        <v>17</v>
      </c>
      <c r="D1547" s="2" t="str">
        <f>"林晏伊"</f>
        <v>林晏伊</v>
      </c>
      <c r="E1547" s="2" t="str">
        <f t="shared" si="39"/>
        <v>女</v>
      </c>
    </row>
    <row r="1548" spans="1:5" ht="14.4" x14ac:dyDescent="0.25">
      <c r="A1548" s="4">
        <v>1546</v>
      </c>
      <c r="B1548" s="2" t="str">
        <f>"32512021081511495311056"</f>
        <v>32512021081511495311056</v>
      </c>
      <c r="C1548" s="2" t="s">
        <v>17</v>
      </c>
      <c r="D1548" s="2" t="str">
        <f>"冼善汇"</f>
        <v>冼善汇</v>
      </c>
      <c r="E1548" s="2" t="str">
        <f>"男"</f>
        <v>男</v>
      </c>
    </row>
    <row r="1549" spans="1:5" ht="14.4" x14ac:dyDescent="0.25">
      <c r="A1549" s="4">
        <v>1547</v>
      </c>
      <c r="B1549" s="2" t="str">
        <f>"32512021081512373611082"</f>
        <v>32512021081512373611082</v>
      </c>
      <c r="C1549" s="2" t="s">
        <v>17</v>
      </c>
      <c r="D1549" s="2" t="str">
        <f>"何岳龙"</f>
        <v>何岳龙</v>
      </c>
      <c r="E1549" s="2" t="str">
        <f>"男"</f>
        <v>男</v>
      </c>
    </row>
    <row r="1550" spans="1:5" ht="14.4" x14ac:dyDescent="0.25">
      <c r="A1550" s="4">
        <v>1548</v>
      </c>
      <c r="B1550" s="2" t="str">
        <f>"32512021081515042411189"</f>
        <v>32512021081515042411189</v>
      </c>
      <c r="C1550" s="2" t="s">
        <v>17</v>
      </c>
      <c r="D1550" s="2" t="str">
        <f>"冯茹婷"</f>
        <v>冯茹婷</v>
      </c>
      <c r="E1550" s="2" t="str">
        <f>"女"</f>
        <v>女</v>
      </c>
    </row>
    <row r="1551" spans="1:5" ht="14.4" x14ac:dyDescent="0.25">
      <c r="A1551" s="4">
        <v>1549</v>
      </c>
      <c r="B1551" s="2" t="str">
        <f>"32512021081516025411223"</f>
        <v>32512021081516025411223</v>
      </c>
      <c r="C1551" s="2" t="s">
        <v>17</v>
      </c>
      <c r="D1551" s="2" t="str">
        <f>"黎恩泉"</f>
        <v>黎恩泉</v>
      </c>
      <c r="E1551" s="2" t="str">
        <f>"男"</f>
        <v>男</v>
      </c>
    </row>
    <row r="1552" spans="1:5" ht="14.4" x14ac:dyDescent="0.25">
      <c r="A1552" s="4">
        <v>1550</v>
      </c>
      <c r="B1552" s="2" t="str">
        <f>"32512021081516180311237"</f>
        <v>32512021081516180311237</v>
      </c>
      <c r="C1552" s="2" t="s">
        <v>17</v>
      </c>
      <c r="D1552" s="2" t="str">
        <f>"彭燕梅"</f>
        <v>彭燕梅</v>
      </c>
      <c r="E1552" s="2" t="str">
        <f>"女"</f>
        <v>女</v>
      </c>
    </row>
    <row r="1553" spans="1:5" ht="14.4" x14ac:dyDescent="0.25">
      <c r="A1553" s="4">
        <v>1551</v>
      </c>
      <c r="B1553" s="2" t="str">
        <f>"32512021081517301711305"</f>
        <v>32512021081517301711305</v>
      </c>
      <c r="C1553" s="2" t="s">
        <v>17</v>
      </c>
      <c r="D1553" s="2" t="str">
        <f>"张金燕"</f>
        <v>张金燕</v>
      </c>
      <c r="E1553" s="2" t="str">
        <f>"女"</f>
        <v>女</v>
      </c>
    </row>
    <row r="1554" spans="1:5" ht="14.4" x14ac:dyDescent="0.25">
      <c r="A1554" s="4">
        <v>1552</v>
      </c>
      <c r="B1554" s="2" t="str">
        <f>"32512021081518013211325"</f>
        <v>32512021081518013211325</v>
      </c>
      <c r="C1554" s="2" t="s">
        <v>17</v>
      </c>
      <c r="D1554" s="2" t="str">
        <f>"陈雄伟"</f>
        <v>陈雄伟</v>
      </c>
      <c r="E1554" s="2" t="str">
        <f>"男"</f>
        <v>男</v>
      </c>
    </row>
    <row r="1555" spans="1:5" ht="14.4" x14ac:dyDescent="0.25">
      <c r="A1555" s="4">
        <v>1553</v>
      </c>
      <c r="B1555" s="2" t="str">
        <f>"32512021081519140211378"</f>
        <v>32512021081519140211378</v>
      </c>
      <c r="C1555" s="2" t="s">
        <v>17</v>
      </c>
      <c r="D1555" s="2" t="str">
        <f>"张艳华"</f>
        <v>张艳华</v>
      </c>
      <c r="E1555" s="2" t="str">
        <f>"女"</f>
        <v>女</v>
      </c>
    </row>
    <row r="1556" spans="1:5" ht="14.4" x14ac:dyDescent="0.25">
      <c r="A1556" s="4">
        <v>1554</v>
      </c>
      <c r="B1556" s="2" t="str">
        <f>"32512021081520230311438"</f>
        <v>32512021081520230311438</v>
      </c>
      <c r="C1556" s="2" t="s">
        <v>17</v>
      </c>
      <c r="D1556" s="2" t="str">
        <f>"林正才"</f>
        <v>林正才</v>
      </c>
      <c r="E1556" s="2" t="str">
        <f>"男"</f>
        <v>男</v>
      </c>
    </row>
    <row r="1557" spans="1:5" ht="14.4" x14ac:dyDescent="0.25">
      <c r="A1557" s="4">
        <v>1555</v>
      </c>
      <c r="B1557" s="2" t="str">
        <f>"32512021081521374811514"</f>
        <v>32512021081521374811514</v>
      </c>
      <c r="C1557" s="2" t="s">
        <v>17</v>
      </c>
      <c r="D1557" s="2" t="str">
        <f>"倪静"</f>
        <v>倪静</v>
      </c>
      <c r="E1557" s="2" t="str">
        <f>"女"</f>
        <v>女</v>
      </c>
    </row>
    <row r="1558" spans="1:5" ht="14.4" x14ac:dyDescent="0.25">
      <c r="A1558" s="4">
        <v>1556</v>
      </c>
      <c r="B1558" s="2" t="str">
        <f>"32512021081522303211571"</f>
        <v>32512021081522303211571</v>
      </c>
      <c r="C1558" s="2" t="s">
        <v>17</v>
      </c>
      <c r="D1558" s="2" t="str">
        <f>"黄颖强"</f>
        <v>黄颖强</v>
      </c>
      <c r="E1558" s="2" t="str">
        <f>"男"</f>
        <v>男</v>
      </c>
    </row>
    <row r="1559" spans="1:5" ht="14.4" x14ac:dyDescent="0.25">
      <c r="A1559" s="4">
        <v>1557</v>
      </c>
      <c r="B1559" s="2" t="str">
        <f>"32512021081610112612171"</f>
        <v>32512021081610112612171</v>
      </c>
      <c r="C1559" s="2" t="s">
        <v>17</v>
      </c>
      <c r="D1559" s="2" t="str">
        <f>"吴林颖"</f>
        <v>吴林颖</v>
      </c>
      <c r="E1559" s="2" t="str">
        <f>"女"</f>
        <v>女</v>
      </c>
    </row>
    <row r="1560" spans="1:5" ht="14.4" x14ac:dyDescent="0.25">
      <c r="A1560" s="4">
        <v>1558</v>
      </c>
      <c r="B1560" s="2" t="str">
        <f>"32512021081610272912260"</f>
        <v>32512021081610272912260</v>
      </c>
      <c r="C1560" s="2" t="s">
        <v>17</v>
      </c>
      <c r="D1560" s="2" t="str">
        <f>"骆菁菁"</f>
        <v>骆菁菁</v>
      </c>
      <c r="E1560" s="2" t="str">
        <f>"女"</f>
        <v>女</v>
      </c>
    </row>
    <row r="1561" spans="1:5" ht="14.4" x14ac:dyDescent="0.25">
      <c r="A1561" s="4">
        <v>1559</v>
      </c>
      <c r="B1561" s="2" t="str">
        <f>"32512021081611500812608"</f>
        <v>32512021081611500812608</v>
      </c>
      <c r="C1561" s="2" t="s">
        <v>17</v>
      </c>
      <c r="D1561" s="2" t="str">
        <f>"李可文"</f>
        <v>李可文</v>
      </c>
      <c r="E1561" s="2" t="str">
        <f>"男"</f>
        <v>男</v>
      </c>
    </row>
    <row r="1562" spans="1:5" ht="14.4" x14ac:dyDescent="0.25">
      <c r="A1562" s="4">
        <v>1560</v>
      </c>
      <c r="B1562" s="2" t="str">
        <f>"32512021081611522812615"</f>
        <v>32512021081611522812615</v>
      </c>
      <c r="C1562" s="2" t="s">
        <v>17</v>
      </c>
      <c r="D1562" s="2" t="str">
        <f>"林鸣"</f>
        <v>林鸣</v>
      </c>
      <c r="E1562" s="2" t="str">
        <f>"男"</f>
        <v>男</v>
      </c>
    </row>
    <row r="1563" spans="1:5" ht="14.4" x14ac:dyDescent="0.25">
      <c r="A1563" s="4">
        <v>1561</v>
      </c>
      <c r="B1563" s="2" t="str">
        <f>"32512021081613280112833"</f>
        <v>32512021081613280112833</v>
      </c>
      <c r="C1563" s="2" t="s">
        <v>17</v>
      </c>
      <c r="D1563" s="2" t="str">
        <f>"周圣霞"</f>
        <v>周圣霞</v>
      </c>
      <c r="E1563" s="2" t="str">
        <f>"女"</f>
        <v>女</v>
      </c>
    </row>
    <row r="1564" spans="1:5" ht="14.4" x14ac:dyDescent="0.25">
      <c r="A1564" s="4">
        <v>1562</v>
      </c>
      <c r="B1564" s="2" t="str">
        <f>"3251202108100954264186"</f>
        <v>3251202108100954264186</v>
      </c>
      <c r="C1564" s="2" t="s">
        <v>18</v>
      </c>
      <c r="D1564" s="2" t="str">
        <f>"符子殷"</f>
        <v>符子殷</v>
      </c>
      <c r="E1564" s="2" t="str">
        <f>"女"</f>
        <v>女</v>
      </c>
    </row>
    <row r="1565" spans="1:5" ht="14.4" x14ac:dyDescent="0.25">
      <c r="A1565" s="4">
        <v>1563</v>
      </c>
      <c r="B1565" s="2" t="str">
        <f>"3251202108100958224213"</f>
        <v>3251202108100958224213</v>
      </c>
      <c r="C1565" s="2" t="s">
        <v>18</v>
      </c>
      <c r="D1565" s="2" t="str">
        <f>"羊小微"</f>
        <v>羊小微</v>
      </c>
      <c r="E1565" s="2" t="str">
        <f>"女"</f>
        <v>女</v>
      </c>
    </row>
    <row r="1566" spans="1:5" ht="14.4" x14ac:dyDescent="0.25">
      <c r="A1566" s="4">
        <v>1564</v>
      </c>
      <c r="B1566" s="2" t="str">
        <f>"3251202108101609115538"</f>
        <v>3251202108101609115538</v>
      </c>
      <c r="C1566" s="2" t="s">
        <v>18</v>
      </c>
      <c r="D1566" s="2" t="str">
        <f>"叶凌源"</f>
        <v>叶凌源</v>
      </c>
      <c r="E1566" s="2" t="str">
        <f>"男"</f>
        <v>男</v>
      </c>
    </row>
    <row r="1567" spans="1:5" ht="14.4" x14ac:dyDescent="0.25">
      <c r="A1567" s="4">
        <v>1565</v>
      </c>
      <c r="B1567" s="2" t="str">
        <f>"3251202108101653495704"</f>
        <v>3251202108101653495704</v>
      </c>
      <c r="C1567" s="2" t="s">
        <v>18</v>
      </c>
      <c r="D1567" s="2" t="str">
        <f>"符晓静"</f>
        <v>符晓静</v>
      </c>
      <c r="E1567" s="2" t="str">
        <f>"女"</f>
        <v>女</v>
      </c>
    </row>
    <row r="1568" spans="1:5" ht="14.4" x14ac:dyDescent="0.25">
      <c r="A1568" s="4">
        <v>1566</v>
      </c>
      <c r="B1568" s="2" t="str">
        <f>"3251202108110800366575"</f>
        <v>3251202108110800366575</v>
      </c>
      <c r="C1568" s="2" t="s">
        <v>18</v>
      </c>
      <c r="D1568" s="2" t="str">
        <f>"符海涛"</f>
        <v>符海涛</v>
      </c>
      <c r="E1568" s="2" t="str">
        <f>"男"</f>
        <v>男</v>
      </c>
    </row>
    <row r="1569" spans="1:5" ht="14.4" x14ac:dyDescent="0.25">
      <c r="A1569" s="4">
        <v>1567</v>
      </c>
      <c r="B1569" s="2" t="str">
        <f>"3251202108111444447321"</f>
        <v>3251202108111444447321</v>
      </c>
      <c r="C1569" s="2" t="s">
        <v>18</v>
      </c>
      <c r="D1569" s="2" t="str">
        <f>"王海霞"</f>
        <v>王海霞</v>
      </c>
      <c r="E1569" s="2" t="str">
        <f t="shared" ref="E1569:E1577" si="40">"女"</f>
        <v>女</v>
      </c>
    </row>
    <row r="1570" spans="1:5" ht="14.4" x14ac:dyDescent="0.25">
      <c r="A1570" s="4">
        <v>1568</v>
      </c>
      <c r="B1570" s="2" t="str">
        <f>"3251202108111755507679"</f>
        <v>3251202108111755507679</v>
      </c>
      <c r="C1570" s="2" t="s">
        <v>18</v>
      </c>
      <c r="D1570" s="2" t="str">
        <f>"何影"</f>
        <v>何影</v>
      </c>
      <c r="E1570" s="2" t="str">
        <f t="shared" si="40"/>
        <v>女</v>
      </c>
    </row>
    <row r="1571" spans="1:5" ht="14.4" x14ac:dyDescent="0.25">
      <c r="A1571" s="4">
        <v>1569</v>
      </c>
      <c r="B1571" s="2" t="str">
        <f>"3251202108112052527923"</f>
        <v>3251202108112052527923</v>
      </c>
      <c r="C1571" s="2" t="s">
        <v>18</v>
      </c>
      <c r="D1571" s="2" t="str">
        <f>"符春郢"</f>
        <v>符春郢</v>
      </c>
      <c r="E1571" s="2" t="str">
        <f t="shared" si="40"/>
        <v>女</v>
      </c>
    </row>
    <row r="1572" spans="1:5" ht="14.4" x14ac:dyDescent="0.25">
      <c r="A1572" s="4">
        <v>1570</v>
      </c>
      <c r="B1572" s="2" t="str">
        <f>"3251202108121144398618"</f>
        <v>3251202108121144398618</v>
      </c>
      <c r="C1572" s="2" t="s">
        <v>18</v>
      </c>
      <c r="D1572" s="2" t="str">
        <f>"张丽思"</f>
        <v>张丽思</v>
      </c>
      <c r="E1572" s="2" t="str">
        <f t="shared" si="40"/>
        <v>女</v>
      </c>
    </row>
    <row r="1573" spans="1:5" ht="14.4" x14ac:dyDescent="0.25">
      <c r="A1573" s="4">
        <v>1571</v>
      </c>
      <c r="B1573" s="2" t="str">
        <f>"3251202108121623469014"</f>
        <v>3251202108121623469014</v>
      </c>
      <c r="C1573" s="2" t="s">
        <v>18</v>
      </c>
      <c r="D1573" s="2" t="str">
        <f>"韦玉温"</f>
        <v>韦玉温</v>
      </c>
      <c r="E1573" s="2" t="str">
        <f t="shared" si="40"/>
        <v>女</v>
      </c>
    </row>
    <row r="1574" spans="1:5" ht="14.4" x14ac:dyDescent="0.25">
      <c r="A1574" s="4">
        <v>1572</v>
      </c>
      <c r="B1574" s="2" t="str">
        <f>"3251202108122324099451"</f>
        <v>3251202108122324099451</v>
      </c>
      <c r="C1574" s="2" t="s">
        <v>18</v>
      </c>
      <c r="D1574" s="2" t="str">
        <f>"林思茜"</f>
        <v>林思茜</v>
      </c>
      <c r="E1574" s="2" t="str">
        <f t="shared" si="40"/>
        <v>女</v>
      </c>
    </row>
    <row r="1575" spans="1:5" ht="14.4" x14ac:dyDescent="0.25">
      <c r="A1575" s="4">
        <v>1573</v>
      </c>
      <c r="B1575" s="2" t="str">
        <f>"3251202108130238269480"</f>
        <v>3251202108130238269480</v>
      </c>
      <c r="C1575" s="2" t="s">
        <v>18</v>
      </c>
      <c r="D1575" s="2" t="str">
        <f>"黄淑婵"</f>
        <v>黄淑婵</v>
      </c>
      <c r="E1575" s="2" t="str">
        <f t="shared" si="40"/>
        <v>女</v>
      </c>
    </row>
    <row r="1576" spans="1:5" ht="14.4" x14ac:dyDescent="0.25">
      <c r="A1576" s="4">
        <v>1574</v>
      </c>
      <c r="B1576" s="2" t="str">
        <f>"32512021081412301410538"</f>
        <v>32512021081412301410538</v>
      </c>
      <c r="C1576" s="2" t="s">
        <v>18</v>
      </c>
      <c r="D1576" s="2" t="str">
        <f>"符小姗"</f>
        <v>符小姗</v>
      </c>
      <c r="E1576" s="2" t="str">
        <f t="shared" si="40"/>
        <v>女</v>
      </c>
    </row>
    <row r="1577" spans="1:5" ht="14.4" x14ac:dyDescent="0.25">
      <c r="A1577" s="4">
        <v>1575</v>
      </c>
      <c r="B1577" s="2" t="str">
        <f>"32512021081413385410573"</f>
        <v>32512021081413385410573</v>
      </c>
      <c r="C1577" s="2" t="s">
        <v>18</v>
      </c>
      <c r="D1577" s="2" t="str">
        <f>"刘雯馨"</f>
        <v>刘雯馨</v>
      </c>
      <c r="E1577" s="2" t="str">
        <f t="shared" si="40"/>
        <v>女</v>
      </c>
    </row>
    <row r="1578" spans="1:5" ht="14.4" x14ac:dyDescent="0.25">
      <c r="A1578" s="4">
        <v>1576</v>
      </c>
      <c r="B1578" s="2" t="str">
        <f>"32512021081613385812855"</f>
        <v>32512021081613385812855</v>
      </c>
      <c r="C1578" s="2" t="s">
        <v>18</v>
      </c>
      <c r="D1578" s="2" t="str">
        <f>"王思龙"</f>
        <v>王思龙</v>
      </c>
      <c r="E1578" s="2" t="str">
        <f>"男"</f>
        <v>男</v>
      </c>
    </row>
    <row r="1579" spans="1:5" ht="14.4" x14ac:dyDescent="0.25">
      <c r="A1579" s="4">
        <v>1577</v>
      </c>
      <c r="B1579" s="2" t="str">
        <f>"3251202108100902593764"</f>
        <v>3251202108100902593764</v>
      </c>
      <c r="C1579" s="2" t="s">
        <v>19</v>
      </c>
      <c r="D1579" s="2" t="str">
        <f>"黄慕中"</f>
        <v>黄慕中</v>
      </c>
      <c r="E1579" s="2" t="str">
        <f>"男"</f>
        <v>男</v>
      </c>
    </row>
    <row r="1580" spans="1:5" ht="14.4" x14ac:dyDescent="0.25">
      <c r="A1580" s="4">
        <v>1578</v>
      </c>
      <c r="B1580" s="2" t="str">
        <f>"3251202108100930024018"</f>
        <v>3251202108100930024018</v>
      </c>
      <c r="C1580" s="2" t="s">
        <v>19</v>
      </c>
      <c r="D1580" s="2" t="str">
        <f>"罗毓"</f>
        <v>罗毓</v>
      </c>
      <c r="E1580" s="2" t="str">
        <f>"男"</f>
        <v>男</v>
      </c>
    </row>
    <row r="1581" spans="1:5" ht="14.4" x14ac:dyDescent="0.25">
      <c r="A1581" s="4">
        <v>1579</v>
      </c>
      <c r="B1581" s="2" t="str">
        <f>"3251202108101644515680"</f>
        <v>3251202108101644515680</v>
      </c>
      <c r="C1581" s="2" t="s">
        <v>19</v>
      </c>
      <c r="D1581" s="2" t="str">
        <f>"符海舰"</f>
        <v>符海舰</v>
      </c>
      <c r="E1581" s="2" t="str">
        <f>"男"</f>
        <v>男</v>
      </c>
    </row>
    <row r="1582" spans="1:5" ht="14.4" x14ac:dyDescent="0.25">
      <c r="A1582" s="4">
        <v>1580</v>
      </c>
      <c r="B1582" s="2" t="str">
        <f>"3251202108101834165970"</f>
        <v>3251202108101834165970</v>
      </c>
      <c r="C1582" s="2" t="s">
        <v>19</v>
      </c>
      <c r="D1582" s="2" t="str">
        <f>"覃秋琳"</f>
        <v>覃秋琳</v>
      </c>
      <c r="E1582" s="2" t="str">
        <f>"女"</f>
        <v>女</v>
      </c>
    </row>
    <row r="1583" spans="1:5" ht="14.4" x14ac:dyDescent="0.25">
      <c r="A1583" s="4">
        <v>1581</v>
      </c>
      <c r="B1583" s="2" t="str">
        <f>"3251202108131011599632"</f>
        <v>3251202108131011599632</v>
      </c>
      <c r="C1583" s="2" t="s">
        <v>19</v>
      </c>
      <c r="D1583" s="2" t="str">
        <f>"何声良"</f>
        <v>何声良</v>
      </c>
      <c r="E1583" s="2" t="str">
        <f>"男"</f>
        <v>男</v>
      </c>
    </row>
    <row r="1584" spans="1:5" ht="14.4" x14ac:dyDescent="0.25">
      <c r="A1584" s="4">
        <v>1582</v>
      </c>
      <c r="B1584" s="2" t="str">
        <f>"3251202108131554399988"</f>
        <v>3251202108131554399988</v>
      </c>
      <c r="C1584" s="2" t="s">
        <v>19</v>
      </c>
      <c r="D1584" s="2" t="str">
        <f>"韦志鹤"</f>
        <v>韦志鹤</v>
      </c>
      <c r="E1584" s="2" t="str">
        <f>"男"</f>
        <v>男</v>
      </c>
    </row>
    <row r="1585" spans="1:5" ht="14.4" x14ac:dyDescent="0.25">
      <c r="A1585" s="4">
        <v>1583</v>
      </c>
      <c r="B1585" s="2" t="str">
        <f>"3251202108101038494435"</f>
        <v>3251202108101038494435</v>
      </c>
      <c r="C1585" s="2" t="s">
        <v>20</v>
      </c>
      <c r="D1585" s="2" t="str">
        <f>"尹萍"</f>
        <v>尹萍</v>
      </c>
      <c r="E1585" s="2" t="str">
        <f>"女"</f>
        <v>女</v>
      </c>
    </row>
    <row r="1586" spans="1:5" ht="14.4" x14ac:dyDescent="0.25">
      <c r="A1586" s="4">
        <v>1584</v>
      </c>
      <c r="B1586" s="2" t="str">
        <f>"3251202108101620475584"</f>
        <v>3251202108101620475584</v>
      </c>
      <c r="C1586" s="2" t="s">
        <v>20</v>
      </c>
      <c r="D1586" s="2" t="str">
        <f>"蒙贤"</f>
        <v>蒙贤</v>
      </c>
      <c r="E1586" s="2" t="str">
        <f>"女"</f>
        <v>女</v>
      </c>
    </row>
    <row r="1587" spans="1:5" ht="14.4" x14ac:dyDescent="0.25">
      <c r="A1587" s="4">
        <v>1585</v>
      </c>
      <c r="B1587" s="2" t="str">
        <f>"3251202108101744205878"</f>
        <v>3251202108101744205878</v>
      </c>
      <c r="C1587" s="2" t="s">
        <v>20</v>
      </c>
      <c r="D1587" s="2" t="str">
        <f>"周巧"</f>
        <v>周巧</v>
      </c>
      <c r="E1587" s="2" t="str">
        <f>"女"</f>
        <v>女</v>
      </c>
    </row>
    <row r="1588" spans="1:5" ht="14.4" x14ac:dyDescent="0.25">
      <c r="A1588" s="4">
        <v>1586</v>
      </c>
      <c r="B1588" s="2" t="str">
        <f>"3251202108101852506019"</f>
        <v>3251202108101852506019</v>
      </c>
      <c r="C1588" s="2" t="s">
        <v>20</v>
      </c>
      <c r="D1588" s="2" t="str">
        <f>"符雅丽"</f>
        <v>符雅丽</v>
      </c>
      <c r="E1588" s="2" t="str">
        <f>"女"</f>
        <v>女</v>
      </c>
    </row>
    <row r="1589" spans="1:5" ht="14.4" x14ac:dyDescent="0.25">
      <c r="A1589" s="4">
        <v>1587</v>
      </c>
      <c r="B1589" s="2" t="str">
        <f>"3251202108111121597053"</f>
        <v>3251202108111121597053</v>
      </c>
      <c r="C1589" s="2" t="s">
        <v>20</v>
      </c>
      <c r="D1589" s="2" t="str">
        <f>"包锋青"</f>
        <v>包锋青</v>
      </c>
      <c r="E1589" s="2" t="str">
        <f>"男"</f>
        <v>男</v>
      </c>
    </row>
    <row r="1590" spans="1:5" ht="14.4" x14ac:dyDescent="0.25">
      <c r="A1590" s="4">
        <v>1588</v>
      </c>
      <c r="B1590" s="2" t="str">
        <f>"3251202108112026537876"</f>
        <v>3251202108112026537876</v>
      </c>
      <c r="C1590" s="2" t="s">
        <v>20</v>
      </c>
      <c r="D1590" s="2" t="str">
        <f>"王媛媛"</f>
        <v>王媛媛</v>
      </c>
      <c r="E1590" s="2" t="str">
        <f t="shared" ref="E1590:E1595" si="41">"女"</f>
        <v>女</v>
      </c>
    </row>
    <row r="1591" spans="1:5" ht="14.4" x14ac:dyDescent="0.25">
      <c r="A1591" s="4">
        <v>1589</v>
      </c>
      <c r="B1591" s="2" t="str">
        <f>"3251202108121018188443"</f>
        <v>3251202108121018188443</v>
      </c>
      <c r="C1591" s="2" t="s">
        <v>20</v>
      </c>
      <c r="D1591" s="2" t="str">
        <f>"吴丽格"</f>
        <v>吴丽格</v>
      </c>
      <c r="E1591" s="2" t="str">
        <f t="shared" si="41"/>
        <v>女</v>
      </c>
    </row>
    <row r="1592" spans="1:5" ht="14.4" x14ac:dyDescent="0.25">
      <c r="A1592" s="4">
        <v>1590</v>
      </c>
      <c r="B1592" s="2" t="str">
        <f>"3251202108121103218534"</f>
        <v>3251202108121103218534</v>
      </c>
      <c r="C1592" s="2" t="s">
        <v>20</v>
      </c>
      <c r="D1592" s="2" t="str">
        <f>"王慧莹"</f>
        <v>王慧莹</v>
      </c>
      <c r="E1592" s="2" t="str">
        <f t="shared" si="41"/>
        <v>女</v>
      </c>
    </row>
    <row r="1593" spans="1:5" ht="14.4" x14ac:dyDescent="0.25">
      <c r="A1593" s="4">
        <v>1591</v>
      </c>
      <c r="B1593" s="2" t="str">
        <f>"3251202108122036569279"</f>
        <v>3251202108122036569279</v>
      </c>
      <c r="C1593" s="2" t="s">
        <v>20</v>
      </c>
      <c r="D1593" s="2" t="str">
        <f>"王冰冰"</f>
        <v>王冰冰</v>
      </c>
      <c r="E1593" s="2" t="str">
        <f t="shared" si="41"/>
        <v>女</v>
      </c>
    </row>
    <row r="1594" spans="1:5" ht="14.4" x14ac:dyDescent="0.25">
      <c r="A1594" s="4">
        <v>1592</v>
      </c>
      <c r="B1594" s="2" t="str">
        <f>"3251202108122057269306"</f>
        <v>3251202108122057269306</v>
      </c>
      <c r="C1594" s="2" t="s">
        <v>20</v>
      </c>
      <c r="D1594" s="2" t="str">
        <f>"韩婧"</f>
        <v>韩婧</v>
      </c>
      <c r="E1594" s="2" t="str">
        <f t="shared" si="41"/>
        <v>女</v>
      </c>
    </row>
    <row r="1595" spans="1:5" ht="14.4" x14ac:dyDescent="0.25">
      <c r="A1595" s="4">
        <v>1593</v>
      </c>
      <c r="B1595" s="2" t="str">
        <f>"32512021081410143010443"</f>
        <v>32512021081410143010443</v>
      </c>
      <c r="C1595" s="2" t="s">
        <v>20</v>
      </c>
      <c r="D1595" s="2" t="str">
        <f>"符淑莹"</f>
        <v>符淑莹</v>
      </c>
      <c r="E1595" s="2" t="str">
        <f t="shared" si="41"/>
        <v>女</v>
      </c>
    </row>
    <row r="1596" spans="1:5" ht="14.4" x14ac:dyDescent="0.25">
      <c r="A1596" s="4">
        <v>1594</v>
      </c>
      <c r="B1596" s="2" t="str">
        <f>"3251202108100907273812"</f>
        <v>3251202108100907273812</v>
      </c>
      <c r="C1596" s="2" t="s">
        <v>21</v>
      </c>
      <c r="D1596" s="2" t="str">
        <f>"符文康"</f>
        <v>符文康</v>
      </c>
      <c r="E1596" s="2" t="str">
        <f>"男"</f>
        <v>男</v>
      </c>
    </row>
    <row r="1597" spans="1:5" ht="14.4" x14ac:dyDescent="0.25">
      <c r="A1597" s="4">
        <v>1595</v>
      </c>
      <c r="B1597" s="2" t="str">
        <f>"3251202108101022294350"</f>
        <v>3251202108101022294350</v>
      </c>
      <c r="C1597" s="2" t="s">
        <v>21</v>
      </c>
      <c r="D1597" s="2" t="str">
        <f>"羊品雯"</f>
        <v>羊品雯</v>
      </c>
      <c r="E1597" s="2" t="str">
        <f>"女"</f>
        <v>女</v>
      </c>
    </row>
    <row r="1598" spans="1:5" ht="14.4" x14ac:dyDescent="0.25">
      <c r="A1598" s="4">
        <v>1596</v>
      </c>
      <c r="B1598" s="2" t="str">
        <f>"3251202108101052384505"</f>
        <v>3251202108101052384505</v>
      </c>
      <c r="C1598" s="2" t="s">
        <v>21</v>
      </c>
      <c r="D1598" s="2" t="str">
        <f>"符佳董"</f>
        <v>符佳董</v>
      </c>
      <c r="E1598" s="2" t="str">
        <f>"男"</f>
        <v>男</v>
      </c>
    </row>
    <row r="1599" spans="1:5" ht="14.4" x14ac:dyDescent="0.25">
      <c r="A1599" s="4">
        <v>1597</v>
      </c>
      <c r="B1599" s="2" t="str">
        <f>"3251202108101224044880"</f>
        <v>3251202108101224044880</v>
      </c>
      <c r="C1599" s="2" t="s">
        <v>21</v>
      </c>
      <c r="D1599" s="2" t="str">
        <f>"符金敏"</f>
        <v>符金敏</v>
      </c>
      <c r="E1599" s="2" t="str">
        <f>"女"</f>
        <v>女</v>
      </c>
    </row>
    <row r="1600" spans="1:5" ht="14.4" x14ac:dyDescent="0.25">
      <c r="A1600" s="4">
        <v>1598</v>
      </c>
      <c r="B1600" s="2" t="str">
        <f>"3251202108101532305410"</f>
        <v>3251202108101532305410</v>
      </c>
      <c r="C1600" s="2" t="s">
        <v>21</v>
      </c>
      <c r="D1600" s="2" t="str">
        <f>"吴元涛"</f>
        <v>吴元涛</v>
      </c>
      <c r="E1600" s="2" t="str">
        <f>"男"</f>
        <v>男</v>
      </c>
    </row>
    <row r="1601" spans="1:5" ht="14.4" x14ac:dyDescent="0.25">
      <c r="A1601" s="4">
        <v>1599</v>
      </c>
      <c r="B1601" s="2" t="str">
        <f>"3251202108110828026602"</f>
        <v>3251202108110828026602</v>
      </c>
      <c r="C1601" s="2" t="s">
        <v>21</v>
      </c>
      <c r="D1601" s="2" t="str">
        <f>"符幸云"</f>
        <v>符幸云</v>
      </c>
      <c r="E1601" s="2" t="str">
        <f>"女"</f>
        <v>女</v>
      </c>
    </row>
    <row r="1602" spans="1:5" ht="14.4" x14ac:dyDescent="0.25">
      <c r="A1602" s="4">
        <v>1600</v>
      </c>
      <c r="B1602" s="2" t="str">
        <f>"3251202108110957306835"</f>
        <v>3251202108110957306835</v>
      </c>
      <c r="C1602" s="2" t="s">
        <v>21</v>
      </c>
      <c r="D1602" s="2" t="str">
        <f>"符秋虹"</f>
        <v>符秋虹</v>
      </c>
      <c r="E1602" s="2" t="str">
        <f>"女"</f>
        <v>女</v>
      </c>
    </row>
    <row r="1603" spans="1:5" ht="14.4" x14ac:dyDescent="0.25">
      <c r="A1603" s="4">
        <v>1601</v>
      </c>
      <c r="B1603" s="2" t="str">
        <f>"3251202108111025456910"</f>
        <v>3251202108111025456910</v>
      </c>
      <c r="C1603" s="2" t="s">
        <v>21</v>
      </c>
      <c r="D1603" s="2" t="str">
        <f>"吴小于"</f>
        <v>吴小于</v>
      </c>
      <c r="E1603" s="2" t="str">
        <f>"女"</f>
        <v>女</v>
      </c>
    </row>
    <row r="1604" spans="1:5" ht="14.4" x14ac:dyDescent="0.25">
      <c r="A1604" s="4">
        <v>1602</v>
      </c>
      <c r="B1604" s="2" t="str">
        <f>"3251202108111041036950"</f>
        <v>3251202108111041036950</v>
      </c>
      <c r="C1604" s="2" t="s">
        <v>21</v>
      </c>
      <c r="D1604" s="2" t="str">
        <f>"赵彪"</f>
        <v>赵彪</v>
      </c>
      <c r="E1604" s="2" t="str">
        <f>"男"</f>
        <v>男</v>
      </c>
    </row>
    <row r="1605" spans="1:5" ht="14.4" x14ac:dyDescent="0.25">
      <c r="A1605" s="4">
        <v>1603</v>
      </c>
      <c r="B1605" s="2" t="str">
        <f>"3251202108111623277531"</f>
        <v>3251202108111623277531</v>
      </c>
      <c r="C1605" s="2" t="s">
        <v>21</v>
      </c>
      <c r="D1605" s="2" t="str">
        <f>"王远志"</f>
        <v>王远志</v>
      </c>
      <c r="E1605" s="2" t="str">
        <f>"男"</f>
        <v>男</v>
      </c>
    </row>
    <row r="1606" spans="1:5" ht="14.4" x14ac:dyDescent="0.25">
      <c r="A1606" s="4">
        <v>1604</v>
      </c>
      <c r="B1606" s="2" t="str">
        <f>"3251202108112021147865"</f>
        <v>3251202108112021147865</v>
      </c>
      <c r="C1606" s="2" t="s">
        <v>21</v>
      </c>
      <c r="D1606" s="2" t="str">
        <f>"羊冠文"</f>
        <v>羊冠文</v>
      </c>
      <c r="E1606" s="2" t="str">
        <f>"男"</f>
        <v>男</v>
      </c>
    </row>
    <row r="1607" spans="1:5" ht="14.4" x14ac:dyDescent="0.25">
      <c r="A1607" s="4">
        <v>1605</v>
      </c>
      <c r="B1607" s="2" t="str">
        <f>"3251202108120753498175"</f>
        <v>3251202108120753498175</v>
      </c>
      <c r="C1607" s="2" t="s">
        <v>21</v>
      </c>
      <c r="D1607" s="2" t="str">
        <f>"符欣怡"</f>
        <v>符欣怡</v>
      </c>
      <c r="E1607" s="2" t="str">
        <f>"女"</f>
        <v>女</v>
      </c>
    </row>
    <row r="1608" spans="1:5" ht="14.4" x14ac:dyDescent="0.25">
      <c r="A1608" s="4">
        <v>1606</v>
      </c>
      <c r="B1608" s="2" t="str">
        <f>"3251202108120858068238"</f>
        <v>3251202108120858068238</v>
      </c>
      <c r="C1608" s="2" t="s">
        <v>21</v>
      </c>
      <c r="D1608" s="2" t="str">
        <f>"陈应美"</f>
        <v>陈应美</v>
      </c>
      <c r="E1608" s="2" t="str">
        <f>"女"</f>
        <v>女</v>
      </c>
    </row>
    <row r="1609" spans="1:5" ht="14.4" x14ac:dyDescent="0.25">
      <c r="A1609" s="4">
        <v>1607</v>
      </c>
      <c r="B1609" s="2" t="str">
        <f>"3251202108121559108970"</f>
        <v>3251202108121559108970</v>
      </c>
      <c r="C1609" s="2" t="s">
        <v>21</v>
      </c>
      <c r="D1609" s="2" t="str">
        <f>"王章钧"</f>
        <v>王章钧</v>
      </c>
      <c r="E1609" s="2" t="str">
        <f>"男"</f>
        <v>男</v>
      </c>
    </row>
    <row r="1610" spans="1:5" ht="14.4" x14ac:dyDescent="0.25">
      <c r="A1610" s="4">
        <v>1608</v>
      </c>
      <c r="B1610" s="2" t="str">
        <f>"3251202108121612598994"</f>
        <v>3251202108121612598994</v>
      </c>
      <c r="C1610" s="2" t="s">
        <v>21</v>
      </c>
      <c r="D1610" s="2" t="str">
        <f>"符震"</f>
        <v>符震</v>
      </c>
      <c r="E1610" s="2" t="str">
        <f>"男"</f>
        <v>男</v>
      </c>
    </row>
    <row r="1611" spans="1:5" ht="14.4" x14ac:dyDescent="0.25">
      <c r="A1611" s="4">
        <v>1609</v>
      </c>
      <c r="B1611" s="2" t="str">
        <f>"3251202108122045449295"</f>
        <v>3251202108122045449295</v>
      </c>
      <c r="C1611" s="2" t="s">
        <v>21</v>
      </c>
      <c r="D1611" s="2" t="str">
        <f>"符继波"</f>
        <v>符继波</v>
      </c>
      <c r="E1611" s="2" t="str">
        <f>"男"</f>
        <v>男</v>
      </c>
    </row>
    <row r="1612" spans="1:5" ht="14.4" x14ac:dyDescent="0.25">
      <c r="A1612" s="4">
        <v>1610</v>
      </c>
      <c r="B1612" s="2" t="str">
        <f>"3251202108122101489314"</f>
        <v>3251202108122101489314</v>
      </c>
      <c r="C1612" s="2" t="s">
        <v>21</v>
      </c>
      <c r="D1612" s="2" t="str">
        <f>"符小茜"</f>
        <v>符小茜</v>
      </c>
      <c r="E1612" s="2" t="str">
        <f>"女"</f>
        <v>女</v>
      </c>
    </row>
    <row r="1613" spans="1:5" ht="14.4" x14ac:dyDescent="0.25">
      <c r="A1613" s="4">
        <v>1611</v>
      </c>
      <c r="B1613" s="2" t="str">
        <f>"32512021081320254110227"</f>
        <v>32512021081320254110227</v>
      </c>
      <c r="C1613" s="2" t="s">
        <v>21</v>
      </c>
      <c r="D1613" s="2" t="str">
        <f>"梁文"</f>
        <v>梁文</v>
      </c>
      <c r="E1613" s="2" t="str">
        <f t="shared" ref="E1613:E1622" si="42">"男"</f>
        <v>男</v>
      </c>
    </row>
    <row r="1614" spans="1:5" ht="14.4" x14ac:dyDescent="0.25">
      <c r="A1614" s="4">
        <v>1612</v>
      </c>
      <c r="B1614" s="2" t="str">
        <f>"32512021081516414611256"</f>
        <v>32512021081516414611256</v>
      </c>
      <c r="C1614" s="2" t="s">
        <v>21</v>
      </c>
      <c r="D1614" s="2" t="str">
        <f>"符重阳"</f>
        <v>符重阳</v>
      </c>
      <c r="E1614" s="2" t="str">
        <f t="shared" si="42"/>
        <v>男</v>
      </c>
    </row>
    <row r="1615" spans="1:5" ht="14.4" x14ac:dyDescent="0.25">
      <c r="A1615" s="4">
        <v>1613</v>
      </c>
      <c r="B1615" s="2" t="str">
        <f>"32512021081608154911720"</f>
        <v>32512021081608154911720</v>
      </c>
      <c r="C1615" s="2" t="s">
        <v>21</v>
      </c>
      <c r="D1615" s="2" t="str">
        <f>"符良君"</f>
        <v>符良君</v>
      </c>
      <c r="E1615" s="2" t="str">
        <f t="shared" si="42"/>
        <v>男</v>
      </c>
    </row>
    <row r="1616" spans="1:5" ht="14.4" x14ac:dyDescent="0.25">
      <c r="A1616" s="4">
        <v>1614</v>
      </c>
      <c r="B1616" s="2" t="str">
        <f>"32512021081615135913052"</f>
        <v>32512021081615135913052</v>
      </c>
      <c r="C1616" s="2" t="s">
        <v>21</v>
      </c>
      <c r="D1616" s="2" t="str">
        <f>"符谢安"</f>
        <v>符谢安</v>
      </c>
      <c r="E1616" s="2" t="str">
        <f t="shared" si="42"/>
        <v>男</v>
      </c>
    </row>
    <row r="1617" spans="1:5" ht="14.4" x14ac:dyDescent="0.25">
      <c r="A1617" s="4">
        <v>1615</v>
      </c>
      <c r="B1617" s="2" t="str">
        <f>"3251202108100901063740"</f>
        <v>3251202108100901063740</v>
      </c>
      <c r="C1617" s="2" t="s">
        <v>22</v>
      </c>
      <c r="D1617" s="2" t="str">
        <f>"吴壮"</f>
        <v>吴壮</v>
      </c>
      <c r="E1617" s="2" t="str">
        <f t="shared" si="42"/>
        <v>男</v>
      </c>
    </row>
    <row r="1618" spans="1:5" ht="14.4" x14ac:dyDescent="0.25">
      <c r="A1618" s="4">
        <v>1616</v>
      </c>
      <c r="B1618" s="2" t="str">
        <f>"3251202108100901193742"</f>
        <v>3251202108100901193742</v>
      </c>
      <c r="C1618" s="2" t="s">
        <v>22</v>
      </c>
      <c r="D1618" s="2" t="str">
        <f>"陈浩"</f>
        <v>陈浩</v>
      </c>
      <c r="E1618" s="2" t="str">
        <f t="shared" si="42"/>
        <v>男</v>
      </c>
    </row>
    <row r="1619" spans="1:5" ht="14.4" x14ac:dyDescent="0.25">
      <c r="A1619" s="4">
        <v>1617</v>
      </c>
      <c r="B1619" s="2" t="str">
        <f>"3251202108100903393776"</f>
        <v>3251202108100903393776</v>
      </c>
      <c r="C1619" s="2" t="s">
        <v>22</v>
      </c>
      <c r="D1619" s="2" t="str">
        <f>"邢增煜"</f>
        <v>邢增煜</v>
      </c>
      <c r="E1619" s="2" t="str">
        <f t="shared" si="42"/>
        <v>男</v>
      </c>
    </row>
    <row r="1620" spans="1:5" ht="14.4" x14ac:dyDescent="0.25">
      <c r="A1620" s="4">
        <v>1618</v>
      </c>
      <c r="B1620" s="2" t="str">
        <f>"3251202108100906313805"</f>
        <v>3251202108100906313805</v>
      </c>
      <c r="C1620" s="2" t="s">
        <v>22</v>
      </c>
      <c r="D1620" s="2" t="str">
        <f>"黎品良"</f>
        <v>黎品良</v>
      </c>
      <c r="E1620" s="2" t="str">
        <f t="shared" si="42"/>
        <v>男</v>
      </c>
    </row>
    <row r="1621" spans="1:5" ht="14.4" x14ac:dyDescent="0.25">
      <c r="A1621" s="4">
        <v>1619</v>
      </c>
      <c r="B1621" s="2" t="str">
        <f>"3251202108100908013820"</f>
        <v>3251202108100908013820</v>
      </c>
      <c r="C1621" s="2" t="s">
        <v>22</v>
      </c>
      <c r="D1621" s="2" t="str">
        <f>"陈冠岳"</f>
        <v>陈冠岳</v>
      </c>
      <c r="E1621" s="2" t="str">
        <f t="shared" si="42"/>
        <v>男</v>
      </c>
    </row>
    <row r="1622" spans="1:5" ht="14.4" x14ac:dyDescent="0.25">
      <c r="A1622" s="4">
        <v>1620</v>
      </c>
      <c r="B1622" s="2" t="str">
        <f>"3251202108100910093848"</f>
        <v>3251202108100910093848</v>
      </c>
      <c r="C1622" s="2" t="s">
        <v>22</v>
      </c>
      <c r="D1622" s="2" t="str">
        <f>"陈之岳"</f>
        <v>陈之岳</v>
      </c>
      <c r="E1622" s="2" t="str">
        <f t="shared" si="42"/>
        <v>男</v>
      </c>
    </row>
    <row r="1623" spans="1:5" ht="14.4" x14ac:dyDescent="0.25">
      <c r="A1623" s="4">
        <v>1621</v>
      </c>
      <c r="B1623" s="2" t="str">
        <f>"3251202108100911163861"</f>
        <v>3251202108100911163861</v>
      </c>
      <c r="C1623" s="2" t="s">
        <v>22</v>
      </c>
      <c r="D1623" s="2" t="str">
        <f>"吴春燕"</f>
        <v>吴春燕</v>
      </c>
      <c r="E1623" s="2" t="str">
        <f>"女"</f>
        <v>女</v>
      </c>
    </row>
    <row r="1624" spans="1:5" ht="14.4" x14ac:dyDescent="0.25">
      <c r="A1624" s="4">
        <v>1622</v>
      </c>
      <c r="B1624" s="2" t="str">
        <f>"3251202108100912343874"</f>
        <v>3251202108100912343874</v>
      </c>
      <c r="C1624" s="2" t="s">
        <v>22</v>
      </c>
      <c r="D1624" s="2" t="str">
        <f>"吴钟明"</f>
        <v>吴钟明</v>
      </c>
      <c r="E1624" s="2" t="str">
        <f t="shared" ref="E1624:E1630" si="43">"男"</f>
        <v>男</v>
      </c>
    </row>
    <row r="1625" spans="1:5" ht="14.4" x14ac:dyDescent="0.25">
      <c r="A1625" s="4">
        <v>1623</v>
      </c>
      <c r="B1625" s="2" t="str">
        <f>"3251202108100914173888"</f>
        <v>3251202108100914173888</v>
      </c>
      <c r="C1625" s="2" t="s">
        <v>22</v>
      </c>
      <c r="D1625" s="2" t="str">
        <f>"王昭璋"</f>
        <v>王昭璋</v>
      </c>
      <c r="E1625" s="2" t="str">
        <f t="shared" si="43"/>
        <v>男</v>
      </c>
    </row>
    <row r="1626" spans="1:5" ht="14.4" x14ac:dyDescent="0.25">
      <c r="A1626" s="4">
        <v>1624</v>
      </c>
      <c r="B1626" s="2" t="str">
        <f>"3251202108100914273893"</f>
        <v>3251202108100914273893</v>
      </c>
      <c r="C1626" s="2" t="s">
        <v>22</v>
      </c>
      <c r="D1626" s="2" t="str">
        <f>"陈开成"</f>
        <v>陈开成</v>
      </c>
      <c r="E1626" s="2" t="str">
        <f t="shared" si="43"/>
        <v>男</v>
      </c>
    </row>
    <row r="1627" spans="1:5" ht="14.4" x14ac:dyDescent="0.25">
      <c r="A1627" s="4">
        <v>1625</v>
      </c>
      <c r="B1627" s="2" t="str">
        <f>"3251202108100920153941"</f>
        <v>3251202108100920153941</v>
      </c>
      <c r="C1627" s="2" t="s">
        <v>22</v>
      </c>
      <c r="D1627" s="2" t="str">
        <f>"邢圣业"</f>
        <v>邢圣业</v>
      </c>
      <c r="E1627" s="2" t="str">
        <f t="shared" si="43"/>
        <v>男</v>
      </c>
    </row>
    <row r="1628" spans="1:5" ht="14.4" x14ac:dyDescent="0.25">
      <c r="A1628" s="4">
        <v>1626</v>
      </c>
      <c r="B1628" s="2" t="str">
        <f>"3251202108100920493945"</f>
        <v>3251202108100920493945</v>
      </c>
      <c r="C1628" s="2" t="s">
        <v>22</v>
      </c>
      <c r="D1628" s="2" t="str">
        <f>"陈文位"</f>
        <v>陈文位</v>
      </c>
      <c r="E1628" s="2" t="str">
        <f t="shared" si="43"/>
        <v>男</v>
      </c>
    </row>
    <row r="1629" spans="1:5" ht="14.4" x14ac:dyDescent="0.25">
      <c r="A1629" s="4">
        <v>1627</v>
      </c>
      <c r="B1629" s="2" t="str">
        <f>"3251202108100922203958"</f>
        <v>3251202108100922203958</v>
      </c>
      <c r="C1629" s="2" t="s">
        <v>22</v>
      </c>
      <c r="D1629" s="2" t="str">
        <f>"黄宗仙"</f>
        <v>黄宗仙</v>
      </c>
      <c r="E1629" s="2" t="str">
        <f t="shared" si="43"/>
        <v>男</v>
      </c>
    </row>
    <row r="1630" spans="1:5" ht="14.4" x14ac:dyDescent="0.25">
      <c r="A1630" s="4">
        <v>1628</v>
      </c>
      <c r="B1630" s="2" t="str">
        <f>"3251202108100924383980"</f>
        <v>3251202108100924383980</v>
      </c>
      <c r="C1630" s="2" t="s">
        <v>22</v>
      </c>
      <c r="D1630" s="2" t="str">
        <f>"金峰"</f>
        <v>金峰</v>
      </c>
      <c r="E1630" s="2" t="str">
        <f t="shared" si="43"/>
        <v>男</v>
      </c>
    </row>
    <row r="1631" spans="1:5" ht="14.4" x14ac:dyDescent="0.25">
      <c r="A1631" s="4">
        <v>1629</v>
      </c>
      <c r="B1631" s="2" t="str">
        <f>"3251202108100924423981"</f>
        <v>3251202108100924423981</v>
      </c>
      <c r="C1631" s="2" t="s">
        <v>22</v>
      </c>
      <c r="D1631" s="2" t="str">
        <f>"廖苓杏"</f>
        <v>廖苓杏</v>
      </c>
      <c r="E1631" s="2" t="str">
        <f>"女"</f>
        <v>女</v>
      </c>
    </row>
    <row r="1632" spans="1:5" ht="14.4" x14ac:dyDescent="0.25">
      <c r="A1632" s="4">
        <v>1630</v>
      </c>
      <c r="B1632" s="2" t="str">
        <f>"3251202108100929414016"</f>
        <v>3251202108100929414016</v>
      </c>
      <c r="C1632" s="2" t="s">
        <v>22</v>
      </c>
      <c r="D1632" s="2" t="str">
        <f>"吴德森"</f>
        <v>吴德森</v>
      </c>
      <c r="E1632" s="2" t="str">
        <f>"男"</f>
        <v>男</v>
      </c>
    </row>
    <row r="1633" spans="1:5" ht="14.4" x14ac:dyDescent="0.25">
      <c r="A1633" s="4">
        <v>1631</v>
      </c>
      <c r="B1633" s="2" t="str">
        <f>"3251202108100935094057"</f>
        <v>3251202108100935094057</v>
      </c>
      <c r="C1633" s="2" t="s">
        <v>22</v>
      </c>
      <c r="D1633" s="2" t="str">
        <f>"肖唯鹃"</f>
        <v>肖唯鹃</v>
      </c>
      <c r="E1633" s="2" t="str">
        <f>"女"</f>
        <v>女</v>
      </c>
    </row>
    <row r="1634" spans="1:5" ht="14.4" x14ac:dyDescent="0.25">
      <c r="A1634" s="4">
        <v>1632</v>
      </c>
      <c r="B1634" s="2" t="str">
        <f>"3251202108100946074121"</f>
        <v>3251202108100946074121</v>
      </c>
      <c r="C1634" s="2" t="s">
        <v>22</v>
      </c>
      <c r="D1634" s="2" t="str">
        <f>"刘奇鑫"</f>
        <v>刘奇鑫</v>
      </c>
      <c r="E1634" s="2" t="str">
        <f t="shared" ref="E1634:E1641" si="44">"男"</f>
        <v>男</v>
      </c>
    </row>
    <row r="1635" spans="1:5" ht="14.4" x14ac:dyDescent="0.25">
      <c r="A1635" s="4">
        <v>1633</v>
      </c>
      <c r="B1635" s="2" t="str">
        <f>"3251202108100950494161"</f>
        <v>3251202108100950494161</v>
      </c>
      <c r="C1635" s="2" t="s">
        <v>22</v>
      </c>
      <c r="D1635" s="2" t="str">
        <f>"林松志"</f>
        <v>林松志</v>
      </c>
      <c r="E1635" s="2" t="str">
        <f t="shared" si="44"/>
        <v>男</v>
      </c>
    </row>
    <row r="1636" spans="1:5" ht="14.4" x14ac:dyDescent="0.25">
      <c r="A1636" s="4">
        <v>1634</v>
      </c>
      <c r="B1636" s="2" t="str">
        <f>"3251202108101000184225"</f>
        <v>3251202108101000184225</v>
      </c>
      <c r="C1636" s="2" t="s">
        <v>22</v>
      </c>
      <c r="D1636" s="2" t="str">
        <f>"张东豪"</f>
        <v>张东豪</v>
      </c>
      <c r="E1636" s="2" t="str">
        <f t="shared" si="44"/>
        <v>男</v>
      </c>
    </row>
    <row r="1637" spans="1:5" ht="14.4" x14ac:dyDescent="0.25">
      <c r="A1637" s="4">
        <v>1635</v>
      </c>
      <c r="B1637" s="2" t="str">
        <f>"3251202108101001264235"</f>
        <v>3251202108101001264235</v>
      </c>
      <c r="C1637" s="2" t="s">
        <v>22</v>
      </c>
      <c r="D1637" s="2" t="str">
        <f>"刘丕源"</f>
        <v>刘丕源</v>
      </c>
      <c r="E1637" s="2" t="str">
        <f t="shared" si="44"/>
        <v>男</v>
      </c>
    </row>
    <row r="1638" spans="1:5" ht="14.4" x14ac:dyDescent="0.25">
      <c r="A1638" s="4">
        <v>1636</v>
      </c>
      <c r="B1638" s="2" t="str">
        <f>"3251202108101003174243"</f>
        <v>3251202108101003174243</v>
      </c>
      <c r="C1638" s="2" t="s">
        <v>22</v>
      </c>
      <c r="D1638" s="2" t="str">
        <f>"李梓璇"</f>
        <v>李梓璇</v>
      </c>
      <c r="E1638" s="2" t="str">
        <f t="shared" si="44"/>
        <v>男</v>
      </c>
    </row>
    <row r="1639" spans="1:5" ht="14.4" x14ac:dyDescent="0.25">
      <c r="A1639" s="4">
        <v>1637</v>
      </c>
      <c r="B1639" s="2" t="str">
        <f>"3251202108101004194251"</f>
        <v>3251202108101004194251</v>
      </c>
      <c r="C1639" s="2" t="s">
        <v>22</v>
      </c>
      <c r="D1639" s="2" t="str">
        <f>"符天"</f>
        <v>符天</v>
      </c>
      <c r="E1639" s="2" t="str">
        <f t="shared" si="44"/>
        <v>男</v>
      </c>
    </row>
    <row r="1640" spans="1:5" ht="14.4" x14ac:dyDescent="0.25">
      <c r="A1640" s="4">
        <v>1638</v>
      </c>
      <c r="B1640" s="2" t="str">
        <f>"3251202108101012564301"</f>
        <v>3251202108101012564301</v>
      </c>
      <c r="C1640" s="2" t="s">
        <v>22</v>
      </c>
      <c r="D1640" s="2" t="str">
        <f>"杨达新"</f>
        <v>杨达新</v>
      </c>
      <c r="E1640" s="2" t="str">
        <f t="shared" si="44"/>
        <v>男</v>
      </c>
    </row>
    <row r="1641" spans="1:5" ht="14.4" x14ac:dyDescent="0.25">
      <c r="A1641" s="4">
        <v>1639</v>
      </c>
      <c r="B1641" s="2" t="str">
        <f>"3251202108101013224306"</f>
        <v>3251202108101013224306</v>
      </c>
      <c r="C1641" s="2" t="s">
        <v>22</v>
      </c>
      <c r="D1641" s="2" t="str">
        <f>"何艺东"</f>
        <v>何艺东</v>
      </c>
      <c r="E1641" s="2" t="str">
        <f t="shared" si="44"/>
        <v>男</v>
      </c>
    </row>
    <row r="1642" spans="1:5" ht="14.4" x14ac:dyDescent="0.25">
      <c r="A1642" s="4">
        <v>1640</v>
      </c>
      <c r="B1642" s="2" t="str">
        <f>"3251202108101014524314"</f>
        <v>3251202108101014524314</v>
      </c>
      <c r="C1642" s="2" t="s">
        <v>22</v>
      </c>
      <c r="D1642" s="2" t="str">
        <f>"羊德娟"</f>
        <v>羊德娟</v>
      </c>
      <c r="E1642" s="2" t="str">
        <f>"女"</f>
        <v>女</v>
      </c>
    </row>
    <row r="1643" spans="1:5" ht="14.4" x14ac:dyDescent="0.25">
      <c r="A1643" s="4">
        <v>1641</v>
      </c>
      <c r="B1643" s="2" t="str">
        <f>"3251202108101014594317"</f>
        <v>3251202108101014594317</v>
      </c>
      <c r="C1643" s="2" t="s">
        <v>22</v>
      </c>
      <c r="D1643" s="2" t="str">
        <f>"符慧接"</f>
        <v>符慧接</v>
      </c>
      <c r="E1643" s="2" t="str">
        <f>"女"</f>
        <v>女</v>
      </c>
    </row>
    <row r="1644" spans="1:5" ht="14.4" x14ac:dyDescent="0.25">
      <c r="A1644" s="4">
        <v>1642</v>
      </c>
      <c r="B1644" s="2" t="str">
        <f>"3251202108101022084349"</f>
        <v>3251202108101022084349</v>
      </c>
      <c r="C1644" s="2" t="s">
        <v>22</v>
      </c>
      <c r="D1644" s="2" t="str">
        <f>"董紫莹"</f>
        <v>董紫莹</v>
      </c>
      <c r="E1644" s="2" t="str">
        <f>"女"</f>
        <v>女</v>
      </c>
    </row>
    <row r="1645" spans="1:5" ht="14.4" x14ac:dyDescent="0.25">
      <c r="A1645" s="4">
        <v>1643</v>
      </c>
      <c r="B1645" s="2" t="str">
        <f>"3251202108101024504364"</f>
        <v>3251202108101024504364</v>
      </c>
      <c r="C1645" s="2" t="s">
        <v>22</v>
      </c>
      <c r="D1645" s="2" t="str">
        <f>"王微"</f>
        <v>王微</v>
      </c>
      <c r="E1645" s="2" t="str">
        <f>"女"</f>
        <v>女</v>
      </c>
    </row>
    <row r="1646" spans="1:5" ht="14.4" x14ac:dyDescent="0.25">
      <c r="A1646" s="4">
        <v>1644</v>
      </c>
      <c r="B1646" s="2" t="str">
        <f>"3251202108101028444386"</f>
        <v>3251202108101028444386</v>
      </c>
      <c r="C1646" s="2" t="s">
        <v>22</v>
      </c>
      <c r="D1646" s="2" t="str">
        <f>"李伟明"</f>
        <v>李伟明</v>
      </c>
      <c r="E1646" s="2" t="str">
        <f>"男"</f>
        <v>男</v>
      </c>
    </row>
    <row r="1647" spans="1:5" ht="14.4" x14ac:dyDescent="0.25">
      <c r="A1647" s="4">
        <v>1645</v>
      </c>
      <c r="B1647" s="2" t="str">
        <f>"3251202108101035544425"</f>
        <v>3251202108101035544425</v>
      </c>
      <c r="C1647" s="2" t="s">
        <v>22</v>
      </c>
      <c r="D1647" s="2" t="str">
        <f>"罗茜"</f>
        <v>罗茜</v>
      </c>
      <c r="E1647" s="2" t="str">
        <f>"女"</f>
        <v>女</v>
      </c>
    </row>
    <row r="1648" spans="1:5" ht="14.4" x14ac:dyDescent="0.25">
      <c r="A1648" s="4">
        <v>1646</v>
      </c>
      <c r="B1648" s="2" t="str">
        <f>"3251202108101038134434"</f>
        <v>3251202108101038134434</v>
      </c>
      <c r="C1648" s="2" t="s">
        <v>22</v>
      </c>
      <c r="D1648" s="2" t="str">
        <f>"梅国英"</f>
        <v>梅国英</v>
      </c>
      <c r="E1648" s="2" t="str">
        <f>"女"</f>
        <v>女</v>
      </c>
    </row>
    <row r="1649" spans="1:5" ht="14.4" x14ac:dyDescent="0.25">
      <c r="A1649" s="4">
        <v>1647</v>
      </c>
      <c r="B1649" s="2" t="str">
        <f>"3251202108101044374468"</f>
        <v>3251202108101044374468</v>
      </c>
      <c r="C1649" s="2" t="s">
        <v>22</v>
      </c>
      <c r="D1649" s="2" t="str">
        <f>"李耀勋"</f>
        <v>李耀勋</v>
      </c>
      <c r="E1649" s="2" t="str">
        <f>"男"</f>
        <v>男</v>
      </c>
    </row>
    <row r="1650" spans="1:5" ht="14.4" x14ac:dyDescent="0.25">
      <c r="A1650" s="4">
        <v>1648</v>
      </c>
      <c r="B1650" s="2" t="str">
        <f>"3251202108101052174503"</f>
        <v>3251202108101052174503</v>
      </c>
      <c r="C1650" s="2" t="s">
        <v>22</v>
      </c>
      <c r="D1650" s="2" t="str">
        <f>"孙建邦"</f>
        <v>孙建邦</v>
      </c>
      <c r="E1650" s="2" t="str">
        <f>"男"</f>
        <v>男</v>
      </c>
    </row>
    <row r="1651" spans="1:5" ht="14.4" x14ac:dyDescent="0.25">
      <c r="A1651" s="4">
        <v>1649</v>
      </c>
      <c r="B1651" s="2" t="str">
        <f>"3251202108101102544555"</f>
        <v>3251202108101102544555</v>
      </c>
      <c r="C1651" s="2" t="s">
        <v>22</v>
      </c>
      <c r="D1651" s="2" t="str">
        <f>"李尧"</f>
        <v>李尧</v>
      </c>
      <c r="E1651" s="2" t="str">
        <f>"男"</f>
        <v>男</v>
      </c>
    </row>
    <row r="1652" spans="1:5" ht="14.4" x14ac:dyDescent="0.25">
      <c r="A1652" s="4">
        <v>1650</v>
      </c>
      <c r="B1652" s="2" t="str">
        <f>"3251202108101103534563"</f>
        <v>3251202108101103534563</v>
      </c>
      <c r="C1652" s="2" t="s">
        <v>22</v>
      </c>
      <c r="D1652" s="2" t="str">
        <f>"吴坤林"</f>
        <v>吴坤林</v>
      </c>
      <c r="E1652" s="2" t="str">
        <f>"男"</f>
        <v>男</v>
      </c>
    </row>
    <row r="1653" spans="1:5" ht="14.4" x14ac:dyDescent="0.25">
      <c r="A1653" s="4">
        <v>1651</v>
      </c>
      <c r="B1653" s="2" t="str">
        <f>"3251202108101104064564"</f>
        <v>3251202108101104064564</v>
      </c>
      <c r="C1653" s="2" t="s">
        <v>22</v>
      </c>
      <c r="D1653" s="2" t="str">
        <f>"陈瑞"</f>
        <v>陈瑞</v>
      </c>
      <c r="E1653" s="2" t="str">
        <f>"男"</f>
        <v>男</v>
      </c>
    </row>
    <row r="1654" spans="1:5" ht="14.4" x14ac:dyDescent="0.25">
      <c r="A1654" s="4">
        <v>1652</v>
      </c>
      <c r="B1654" s="2" t="str">
        <f>"3251202108101107114576"</f>
        <v>3251202108101107114576</v>
      </c>
      <c r="C1654" s="2" t="s">
        <v>22</v>
      </c>
      <c r="D1654" s="2" t="str">
        <f>"黄小春"</f>
        <v>黄小春</v>
      </c>
      <c r="E1654" s="2" t="str">
        <f>"女"</f>
        <v>女</v>
      </c>
    </row>
    <row r="1655" spans="1:5" ht="14.4" x14ac:dyDescent="0.25">
      <c r="A1655" s="4">
        <v>1653</v>
      </c>
      <c r="B1655" s="2" t="str">
        <f>"3251202108101107134578"</f>
        <v>3251202108101107134578</v>
      </c>
      <c r="C1655" s="2" t="s">
        <v>22</v>
      </c>
      <c r="D1655" s="2" t="str">
        <f>"陈思思"</f>
        <v>陈思思</v>
      </c>
      <c r="E1655" s="2" t="str">
        <f>"女"</f>
        <v>女</v>
      </c>
    </row>
    <row r="1656" spans="1:5" ht="14.4" x14ac:dyDescent="0.25">
      <c r="A1656" s="4">
        <v>1654</v>
      </c>
      <c r="B1656" s="2" t="str">
        <f>"3251202108101107584583"</f>
        <v>3251202108101107584583</v>
      </c>
      <c r="C1656" s="2" t="s">
        <v>22</v>
      </c>
      <c r="D1656" s="2" t="str">
        <f>"林慧婷"</f>
        <v>林慧婷</v>
      </c>
      <c r="E1656" s="2" t="str">
        <f>"女"</f>
        <v>女</v>
      </c>
    </row>
    <row r="1657" spans="1:5" ht="14.4" x14ac:dyDescent="0.25">
      <c r="A1657" s="4">
        <v>1655</v>
      </c>
      <c r="B1657" s="2" t="str">
        <f>"3251202108101112034608"</f>
        <v>3251202108101112034608</v>
      </c>
      <c r="C1657" s="2" t="s">
        <v>22</v>
      </c>
      <c r="D1657" s="2" t="str">
        <f>"潘孝丹"</f>
        <v>潘孝丹</v>
      </c>
      <c r="E1657" s="2" t="str">
        <f>"女"</f>
        <v>女</v>
      </c>
    </row>
    <row r="1658" spans="1:5" ht="14.4" x14ac:dyDescent="0.25">
      <c r="A1658" s="4">
        <v>1656</v>
      </c>
      <c r="B1658" s="2" t="str">
        <f>"3251202108101118584638"</f>
        <v>3251202108101118584638</v>
      </c>
      <c r="C1658" s="2" t="s">
        <v>22</v>
      </c>
      <c r="D1658" s="2" t="str">
        <f>"符礼诗"</f>
        <v>符礼诗</v>
      </c>
      <c r="E1658" s="2" t="str">
        <f>"男"</f>
        <v>男</v>
      </c>
    </row>
    <row r="1659" spans="1:5" ht="14.4" x14ac:dyDescent="0.25">
      <c r="A1659" s="4">
        <v>1657</v>
      </c>
      <c r="B1659" s="2" t="str">
        <f>"3251202108101119134639"</f>
        <v>3251202108101119134639</v>
      </c>
      <c r="C1659" s="2" t="s">
        <v>22</v>
      </c>
      <c r="D1659" s="2" t="str">
        <f>"梅向南"</f>
        <v>梅向南</v>
      </c>
      <c r="E1659" s="2" t="str">
        <f>"男"</f>
        <v>男</v>
      </c>
    </row>
    <row r="1660" spans="1:5" ht="14.4" x14ac:dyDescent="0.25">
      <c r="A1660" s="4">
        <v>1658</v>
      </c>
      <c r="B1660" s="2" t="str">
        <f>"3251202108101124154667"</f>
        <v>3251202108101124154667</v>
      </c>
      <c r="C1660" s="2" t="s">
        <v>22</v>
      </c>
      <c r="D1660" s="2" t="str">
        <f>"符风春"</f>
        <v>符风春</v>
      </c>
      <c r="E1660" s="2" t="str">
        <f>"女"</f>
        <v>女</v>
      </c>
    </row>
    <row r="1661" spans="1:5" ht="14.4" x14ac:dyDescent="0.25">
      <c r="A1661" s="4">
        <v>1659</v>
      </c>
      <c r="B1661" s="2" t="str">
        <f>"3251202108101134484719"</f>
        <v>3251202108101134484719</v>
      </c>
      <c r="C1661" s="2" t="s">
        <v>22</v>
      </c>
      <c r="D1661" s="2" t="str">
        <f>"蔡钰"</f>
        <v>蔡钰</v>
      </c>
      <c r="E1661" s="2" t="str">
        <f>"女"</f>
        <v>女</v>
      </c>
    </row>
    <row r="1662" spans="1:5" ht="14.4" x14ac:dyDescent="0.25">
      <c r="A1662" s="4">
        <v>1660</v>
      </c>
      <c r="B1662" s="2" t="str">
        <f>"3251202108101134584720"</f>
        <v>3251202108101134584720</v>
      </c>
      <c r="C1662" s="2" t="s">
        <v>22</v>
      </c>
      <c r="D1662" s="2" t="str">
        <f>"陈玉丽"</f>
        <v>陈玉丽</v>
      </c>
      <c r="E1662" s="2" t="str">
        <f>"女"</f>
        <v>女</v>
      </c>
    </row>
    <row r="1663" spans="1:5" ht="14.4" x14ac:dyDescent="0.25">
      <c r="A1663" s="4">
        <v>1661</v>
      </c>
      <c r="B1663" s="2" t="str">
        <f>"3251202108101140514746"</f>
        <v>3251202108101140514746</v>
      </c>
      <c r="C1663" s="2" t="s">
        <v>22</v>
      </c>
      <c r="D1663" s="2" t="str">
        <f>"叶福彬"</f>
        <v>叶福彬</v>
      </c>
      <c r="E1663" s="2" t="str">
        <f>"男"</f>
        <v>男</v>
      </c>
    </row>
    <row r="1664" spans="1:5" ht="14.4" x14ac:dyDescent="0.25">
      <c r="A1664" s="4">
        <v>1662</v>
      </c>
      <c r="B1664" s="2" t="str">
        <f>"3251202108101142034754"</f>
        <v>3251202108101142034754</v>
      </c>
      <c r="C1664" s="2" t="s">
        <v>22</v>
      </c>
      <c r="D1664" s="2" t="str">
        <f>"岑劲杰"</f>
        <v>岑劲杰</v>
      </c>
      <c r="E1664" s="2" t="str">
        <f>"男"</f>
        <v>男</v>
      </c>
    </row>
    <row r="1665" spans="1:5" ht="14.4" x14ac:dyDescent="0.25">
      <c r="A1665" s="4">
        <v>1663</v>
      </c>
      <c r="B1665" s="2" t="str">
        <f>"3251202108101149564779"</f>
        <v>3251202108101149564779</v>
      </c>
      <c r="C1665" s="2" t="s">
        <v>22</v>
      </c>
      <c r="D1665" s="2" t="str">
        <f>"王留生"</f>
        <v>王留生</v>
      </c>
      <c r="E1665" s="2" t="str">
        <f>"男"</f>
        <v>男</v>
      </c>
    </row>
    <row r="1666" spans="1:5" ht="14.4" x14ac:dyDescent="0.25">
      <c r="A1666" s="4">
        <v>1664</v>
      </c>
      <c r="B1666" s="2" t="str">
        <f>"3251202108101156314792"</f>
        <v>3251202108101156314792</v>
      </c>
      <c r="C1666" s="2" t="s">
        <v>22</v>
      </c>
      <c r="D1666" s="2" t="str">
        <f>"符浩"</f>
        <v>符浩</v>
      </c>
      <c r="E1666" s="2" t="str">
        <f>"男"</f>
        <v>男</v>
      </c>
    </row>
    <row r="1667" spans="1:5" ht="14.4" x14ac:dyDescent="0.25">
      <c r="A1667" s="4">
        <v>1665</v>
      </c>
      <c r="B1667" s="2" t="str">
        <f>"3251202108101219424867"</f>
        <v>3251202108101219424867</v>
      </c>
      <c r="C1667" s="2" t="s">
        <v>22</v>
      </c>
      <c r="D1667" s="2" t="str">
        <f>"许信正"</f>
        <v>许信正</v>
      </c>
      <c r="E1667" s="2" t="str">
        <f>"男"</f>
        <v>男</v>
      </c>
    </row>
    <row r="1668" spans="1:5" ht="14.4" x14ac:dyDescent="0.25">
      <c r="A1668" s="4">
        <v>1666</v>
      </c>
      <c r="B1668" s="2" t="str">
        <f>"3251202108101222414875"</f>
        <v>3251202108101222414875</v>
      </c>
      <c r="C1668" s="2" t="s">
        <v>22</v>
      </c>
      <c r="D1668" s="2" t="str">
        <f>"李皎余"</f>
        <v>李皎余</v>
      </c>
      <c r="E1668" s="2" t="str">
        <f>"女"</f>
        <v>女</v>
      </c>
    </row>
    <row r="1669" spans="1:5" ht="14.4" x14ac:dyDescent="0.25">
      <c r="A1669" s="4">
        <v>1667</v>
      </c>
      <c r="B1669" s="2" t="str">
        <f>"3251202108101303364992"</f>
        <v>3251202108101303364992</v>
      </c>
      <c r="C1669" s="2" t="s">
        <v>22</v>
      </c>
      <c r="D1669" s="2" t="str">
        <f>"李世词"</f>
        <v>李世词</v>
      </c>
      <c r="E1669" s="2" t="str">
        <f>"男"</f>
        <v>男</v>
      </c>
    </row>
    <row r="1670" spans="1:5" ht="14.4" x14ac:dyDescent="0.25">
      <c r="A1670" s="4">
        <v>1668</v>
      </c>
      <c r="B1670" s="2" t="str">
        <f>"3251202108101326195045"</f>
        <v>3251202108101326195045</v>
      </c>
      <c r="C1670" s="2" t="s">
        <v>22</v>
      </c>
      <c r="D1670" s="2" t="str">
        <f>"符丽"</f>
        <v>符丽</v>
      </c>
      <c r="E1670" s="2" t="str">
        <f>"女"</f>
        <v>女</v>
      </c>
    </row>
    <row r="1671" spans="1:5" ht="14.4" x14ac:dyDescent="0.25">
      <c r="A1671" s="4">
        <v>1669</v>
      </c>
      <c r="B1671" s="2" t="str">
        <f>"3251202108101413595134"</f>
        <v>3251202108101413595134</v>
      </c>
      <c r="C1671" s="2" t="s">
        <v>22</v>
      </c>
      <c r="D1671" s="2" t="str">
        <f>"吴心心"</f>
        <v>吴心心</v>
      </c>
      <c r="E1671" s="2" t="str">
        <f>"男"</f>
        <v>男</v>
      </c>
    </row>
    <row r="1672" spans="1:5" ht="14.4" x14ac:dyDescent="0.25">
      <c r="A1672" s="4">
        <v>1670</v>
      </c>
      <c r="B1672" s="2" t="str">
        <f>"3251202108101425115170"</f>
        <v>3251202108101425115170</v>
      </c>
      <c r="C1672" s="2" t="s">
        <v>22</v>
      </c>
      <c r="D1672" s="2" t="str">
        <f>"黄丽霞"</f>
        <v>黄丽霞</v>
      </c>
      <c r="E1672" s="2" t="str">
        <f>"女"</f>
        <v>女</v>
      </c>
    </row>
    <row r="1673" spans="1:5" ht="14.4" x14ac:dyDescent="0.25">
      <c r="A1673" s="4">
        <v>1671</v>
      </c>
      <c r="B1673" s="2" t="str">
        <f>"3251202108101430415184"</f>
        <v>3251202108101430415184</v>
      </c>
      <c r="C1673" s="2" t="s">
        <v>22</v>
      </c>
      <c r="D1673" s="2" t="str">
        <f>"谢浩义"</f>
        <v>谢浩义</v>
      </c>
      <c r="E1673" s="2" t="str">
        <f>"男"</f>
        <v>男</v>
      </c>
    </row>
    <row r="1674" spans="1:5" ht="14.4" x14ac:dyDescent="0.25">
      <c r="A1674" s="4">
        <v>1672</v>
      </c>
      <c r="B1674" s="2" t="str">
        <f>"3251202108101437045205"</f>
        <v>3251202108101437045205</v>
      </c>
      <c r="C1674" s="2" t="s">
        <v>22</v>
      </c>
      <c r="D1674" s="2" t="str">
        <f>"张裕明"</f>
        <v>张裕明</v>
      </c>
      <c r="E1674" s="2" t="str">
        <f>"男"</f>
        <v>男</v>
      </c>
    </row>
    <row r="1675" spans="1:5" ht="14.4" x14ac:dyDescent="0.25">
      <c r="A1675" s="4">
        <v>1673</v>
      </c>
      <c r="B1675" s="2" t="str">
        <f>"3251202108101439055215"</f>
        <v>3251202108101439055215</v>
      </c>
      <c r="C1675" s="2" t="s">
        <v>22</v>
      </c>
      <c r="D1675" s="2" t="str">
        <f>"羊卓丞"</f>
        <v>羊卓丞</v>
      </c>
      <c r="E1675" s="2" t="str">
        <f>"男"</f>
        <v>男</v>
      </c>
    </row>
    <row r="1676" spans="1:5" ht="14.4" x14ac:dyDescent="0.25">
      <c r="A1676" s="4">
        <v>1674</v>
      </c>
      <c r="B1676" s="2" t="str">
        <f>"3251202108101446115243"</f>
        <v>3251202108101446115243</v>
      </c>
      <c r="C1676" s="2" t="s">
        <v>22</v>
      </c>
      <c r="D1676" s="2" t="str">
        <f>"李雨娴"</f>
        <v>李雨娴</v>
      </c>
      <c r="E1676" s="2" t="str">
        <f>"女"</f>
        <v>女</v>
      </c>
    </row>
    <row r="1677" spans="1:5" ht="14.4" x14ac:dyDescent="0.25">
      <c r="A1677" s="4">
        <v>1675</v>
      </c>
      <c r="B1677" s="2" t="str">
        <f>"3251202108101457445281"</f>
        <v>3251202108101457445281</v>
      </c>
      <c r="C1677" s="2" t="s">
        <v>22</v>
      </c>
      <c r="D1677" s="2" t="str">
        <f>"陈振龙"</f>
        <v>陈振龙</v>
      </c>
      <c r="E1677" s="2" t="str">
        <f t="shared" ref="E1677:E1684" si="45">"男"</f>
        <v>男</v>
      </c>
    </row>
    <row r="1678" spans="1:5" ht="14.4" x14ac:dyDescent="0.25">
      <c r="A1678" s="4">
        <v>1676</v>
      </c>
      <c r="B1678" s="2" t="str">
        <f>"3251202108101510035338"</f>
        <v>3251202108101510035338</v>
      </c>
      <c r="C1678" s="2" t="s">
        <v>22</v>
      </c>
      <c r="D1678" s="2" t="str">
        <f>"林光琤"</f>
        <v>林光琤</v>
      </c>
      <c r="E1678" s="2" t="str">
        <f t="shared" si="45"/>
        <v>男</v>
      </c>
    </row>
    <row r="1679" spans="1:5" ht="14.4" x14ac:dyDescent="0.25">
      <c r="A1679" s="4">
        <v>1677</v>
      </c>
      <c r="B1679" s="2" t="str">
        <f>"3251202108101512485348"</f>
        <v>3251202108101512485348</v>
      </c>
      <c r="C1679" s="2" t="s">
        <v>22</v>
      </c>
      <c r="D1679" s="2" t="str">
        <f>"李才峰"</f>
        <v>李才峰</v>
      </c>
      <c r="E1679" s="2" t="str">
        <f t="shared" si="45"/>
        <v>男</v>
      </c>
    </row>
    <row r="1680" spans="1:5" ht="14.4" x14ac:dyDescent="0.25">
      <c r="A1680" s="4">
        <v>1678</v>
      </c>
      <c r="B1680" s="2" t="str">
        <f>"3251202108101514545353"</f>
        <v>3251202108101514545353</v>
      </c>
      <c r="C1680" s="2" t="s">
        <v>22</v>
      </c>
      <c r="D1680" s="2" t="str">
        <f>"陈名洪"</f>
        <v>陈名洪</v>
      </c>
      <c r="E1680" s="2" t="str">
        <f t="shared" si="45"/>
        <v>男</v>
      </c>
    </row>
    <row r="1681" spans="1:5" ht="14.4" x14ac:dyDescent="0.25">
      <c r="A1681" s="4">
        <v>1679</v>
      </c>
      <c r="B1681" s="2" t="str">
        <f>"3251202108101600245502"</f>
        <v>3251202108101600245502</v>
      </c>
      <c r="C1681" s="2" t="s">
        <v>22</v>
      </c>
      <c r="D1681" s="2" t="str">
        <f>"谢隆腾"</f>
        <v>谢隆腾</v>
      </c>
      <c r="E1681" s="2" t="str">
        <f t="shared" si="45"/>
        <v>男</v>
      </c>
    </row>
    <row r="1682" spans="1:5" ht="14.4" x14ac:dyDescent="0.25">
      <c r="A1682" s="4">
        <v>1680</v>
      </c>
      <c r="B1682" s="2" t="str">
        <f>"3251202108101602025507"</f>
        <v>3251202108101602025507</v>
      </c>
      <c r="C1682" s="2" t="s">
        <v>22</v>
      </c>
      <c r="D1682" s="2" t="str">
        <f>"王源"</f>
        <v>王源</v>
      </c>
      <c r="E1682" s="2" t="str">
        <f t="shared" si="45"/>
        <v>男</v>
      </c>
    </row>
    <row r="1683" spans="1:5" ht="14.4" x14ac:dyDescent="0.25">
      <c r="A1683" s="4">
        <v>1681</v>
      </c>
      <c r="B1683" s="2" t="str">
        <f>"3251202108101603415515"</f>
        <v>3251202108101603415515</v>
      </c>
      <c r="C1683" s="2" t="s">
        <v>22</v>
      </c>
      <c r="D1683" s="2" t="str">
        <f>"梁崇善"</f>
        <v>梁崇善</v>
      </c>
      <c r="E1683" s="2" t="str">
        <f t="shared" si="45"/>
        <v>男</v>
      </c>
    </row>
    <row r="1684" spans="1:5" ht="14.4" x14ac:dyDescent="0.25">
      <c r="A1684" s="4">
        <v>1682</v>
      </c>
      <c r="B1684" s="2" t="str">
        <f>"3251202108101620375580"</f>
        <v>3251202108101620375580</v>
      </c>
      <c r="C1684" s="2" t="s">
        <v>22</v>
      </c>
      <c r="D1684" s="2" t="str">
        <f>"吴淑军"</f>
        <v>吴淑军</v>
      </c>
      <c r="E1684" s="2" t="str">
        <f t="shared" si="45"/>
        <v>男</v>
      </c>
    </row>
    <row r="1685" spans="1:5" ht="14.4" x14ac:dyDescent="0.25">
      <c r="A1685" s="4">
        <v>1683</v>
      </c>
      <c r="B1685" s="2" t="str">
        <f>"3251202108101626435611"</f>
        <v>3251202108101626435611</v>
      </c>
      <c r="C1685" s="2" t="s">
        <v>22</v>
      </c>
      <c r="D1685" s="2" t="str">
        <f>"林小妹"</f>
        <v>林小妹</v>
      </c>
      <c r="E1685" s="2" t="str">
        <f>"女"</f>
        <v>女</v>
      </c>
    </row>
    <row r="1686" spans="1:5" ht="14.4" x14ac:dyDescent="0.25">
      <c r="A1686" s="4">
        <v>1684</v>
      </c>
      <c r="B1686" s="2" t="str">
        <f>"3251202108101647045689"</f>
        <v>3251202108101647045689</v>
      </c>
      <c r="C1686" s="2" t="s">
        <v>22</v>
      </c>
      <c r="D1686" s="2" t="str">
        <f>"曾维龙"</f>
        <v>曾维龙</v>
      </c>
      <c r="E1686" s="2" t="str">
        <f>"男"</f>
        <v>男</v>
      </c>
    </row>
    <row r="1687" spans="1:5" ht="14.4" x14ac:dyDescent="0.25">
      <c r="A1687" s="4">
        <v>1685</v>
      </c>
      <c r="B1687" s="2" t="str">
        <f>"3251202108101706045753"</f>
        <v>3251202108101706045753</v>
      </c>
      <c r="C1687" s="2" t="s">
        <v>22</v>
      </c>
      <c r="D1687" s="2" t="str">
        <f>"陆玉楠"</f>
        <v>陆玉楠</v>
      </c>
      <c r="E1687" s="2" t="str">
        <f>"男"</f>
        <v>男</v>
      </c>
    </row>
    <row r="1688" spans="1:5" ht="14.4" x14ac:dyDescent="0.25">
      <c r="A1688" s="4">
        <v>1686</v>
      </c>
      <c r="B1688" s="2" t="str">
        <f>"3251202108101707215762"</f>
        <v>3251202108101707215762</v>
      </c>
      <c r="C1688" s="2" t="s">
        <v>22</v>
      </c>
      <c r="D1688" s="2" t="str">
        <f>"黄宝珠"</f>
        <v>黄宝珠</v>
      </c>
      <c r="E1688" s="2" t="str">
        <f>"女"</f>
        <v>女</v>
      </c>
    </row>
    <row r="1689" spans="1:5" ht="14.4" x14ac:dyDescent="0.25">
      <c r="A1689" s="4">
        <v>1687</v>
      </c>
      <c r="B1689" s="2" t="str">
        <f>"3251202108101731005836"</f>
        <v>3251202108101731005836</v>
      </c>
      <c r="C1689" s="2" t="s">
        <v>22</v>
      </c>
      <c r="D1689" s="2" t="str">
        <f>"李文多"</f>
        <v>李文多</v>
      </c>
      <c r="E1689" s="2" t="str">
        <f>"男"</f>
        <v>男</v>
      </c>
    </row>
    <row r="1690" spans="1:5" ht="14.4" x14ac:dyDescent="0.25">
      <c r="A1690" s="4">
        <v>1688</v>
      </c>
      <c r="B1690" s="2" t="str">
        <f>"3251202108101737325856"</f>
        <v>3251202108101737325856</v>
      </c>
      <c r="C1690" s="2" t="s">
        <v>22</v>
      </c>
      <c r="D1690" s="2" t="str">
        <f>"邓丽筠"</f>
        <v>邓丽筠</v>
      </c>
      <c r="E1690" s="2" t="str">
        <f>"女"</f>
        <v>女</v>
      </c>
    </row>
    <row r="1691" spans="1:5" ht="14.4" x14ac:dyDescent="0.25">
      <c r="A1691" s="4">
        <v>1689</v>
      </c>
      <c r="B1691" s="2" t="str">
        <f>"3251202108101746105881"</f>
        <v>3251202108101746105881</v>
      </c>
      <c r="C1691" s="2" t="s">
        <v>22</v>
      </c>
      <c r="D1691" s="2" t="str">
        <f>"蒋锦权"</f>
        <v>蒋锦权</v>
      </c>
      <c r="E1691" s="2" t="str">
        <f>"男"</f>
        <v>男</v>
      </c>
    </row>
    <row r="1692" spans="1:5" ht="14.4" x14ac:dyDescent="0.25">
      <c r="A1692" s="4">
        <v>1690</v>
      </c>
      <c r="B1692" s="2" t="str">
        <f>"3251202108101752335892"</f>
        <v>3251202108101752335892</v>
      </c>
      <c r="C1692" s="2" t="s">
        <v>22</v>
      </c>
      <c r="D1692" s="2" t="str">
        <f>"陈国强"</f>
        <v>陈国强</v>
      </c>
      <c r="E1692" s="2" t="str">
        <f>"男"</f>
        <v>男</v>
      </c>
    </row>
    <row r="1693" spans="1:5" ht="14.4" x14ac:dyDescent="0.25">
      <c r="A1693" s="4">
        <v>1691</v>
      </c>
      <c r="B1693" s="2" t="str">
        <f>"3251202108101752465893"</f>
        <v>3251202108101752465893</v>
      </c>
      <c r="C1693" s="2" t="s">
        <v>22</v>
      </c>
      <c r="D1693" s="2" t="str">
        <f>"林慧"</f>
        <v>林慧</v>
      </c>
      <c r="E1693" s="2" t="str">
        <f>"女"</f>
        <v>女</v>
      </c>
    </row>
    <row r="1694" spans="1:5" ht="14.4" x14ac:dyDescent="0.25">
      <c r="A1694" s="4">
        <v>1692</v>
      </c>
      <c r="B1694" s="2" t="str">
        <f>"3251202108101755245899"</f>
        <v>3251202108101755245899</v>
      </c>
      <c r="C1694" s="2" t="s">
        <v>22</v>
      </c>
      <c r="D1694" s="2" t="str">
        <f>"曾祥程"</f>
        <v>曾祥程</v>
      </c>
      <c r="E1694" s="2" t="str">
        <f>"男"</f>
        <v>男</v>
      </c>
    </row>
    <row r="1695" spans="1:5" ht="14.4" x14ac:dyDescent="0.25">
      <c r="A1695" s="4">
        <v>1693</v>
      </c>
      <c r="B1695" s="2" t="str">
        <f>"3251202108101812505933"</f>
        <v>3251202108101812505933</v>
      </c>
      <c r="C1695" s="2" t="s">
        <v>22</v>
      </c>
      <c r="D1695" s="2" t="str">
        <f>"林少雨"</f>
        <v>林少雨</v>
      </c>
      <c r="E1695" s="2" t="str">
        <f>"女"</f>
        <v>女</v>
      </c>
    </row>
    <row r="1696" spans="1:5" ht="14.4" x14ac:dyDescent="0.25">
      <c r="A1696" s="4">
        <v>1694</v>
      </c>
      <c r="B1696" s="2" t="str">
        <f>"3251202108101820225948"</f>
        <v>3251202108101820225948</v>
      </c>
      <c r="C1696" s="2" t="s">
        <v>22</v>
      </c>
      <c r="D1696" s="2" t="str">
        <f>"周惠雅"</f>
        <v>周惠雅</v>
      </c>
      <c r="E1696" s="2" t="str">
        <f>"女"</f>
        <v>女</v>
      </c>
    </row>
    <row r="1697" spans="1:5" ht="14.4" x14ac:dyDescent="0.25">
      <c r="A1697" s="4">
        <v>1695</v>
      </c>
      <c r="B1697" s="2" t="str">
        <f>"3251202108101827115962"</f>
        <v>3251202108101827115962</v>
      </c>
      <c r="C1697" s="2" t="s">
        <v>22</v>
      </c>
      <c r="D1697" s="2" t="str">
        <f>"林先达"</f>
        <v>林先达</v>
      </c>
      <c r="E1697" s="2" t="str">
        <f t="shared" ref="E1697:E1704" si="46">"男"</f>
        <v>男</v>
      </c>
    </row>
    <row r="1698" spans="1:5" ht="14.4" x14ac:dyDescent="0.25">
      <c r="A1698" s="4">
        <v>1696</v>
      </c>
      <c r="B1698" s="2" t="str">
        <f>"3251202108101846196004"</f>
        <v>3251202108101846196004</v>
      </c>
      <c r="C1698" s="2" t="s">
        <v>22</v>
      </c>
      <c r="D1698" s="2" t="str">
        <f>"周伟"</f>
        <v>周伟</v>
      </c>
      <c r="E1698" s="2" t="str">
        <f t="shared" si="46"/>
        <v>男</v>
      </c>
    </row>
    <row r="1699" spans="1:5" ht="14.4" x14ac:dyDescent="0.25">
      <c r="A1699" s="4">
        <v>1697</v>
      </c>
      <c r="B1699" s="2" t="str">
        <f>"3251202108101852176018"</f>
        <v>3251202108101852176018</v>
      </c>
      <c r="C1699" s="2" t="s">
        <v>22</v>
      </c>
      <c r="D1699" s="2" t="str">
        <f>"谢耀欣"</f>
        <v>谢耀欣</v>
      </c>
      <c r="E1699" s="2" t="str">
        <f t="shared" si="46"/>
        <v>男</v>
      </c>
    </row>
    <row r="1700" spans="1:5" ht="14.4" x14ac:dyDescent="0.25">
      <c r="A1700" s="4">
        <v>1698</v>
      </c>
      <c r="B1700" s="2" t="str">
        <f>"3251202108101854426023"</f>
        <v>3251202108101854426023</v>
      </c>
      <c r="C1700" s="2" t="s">
        <v>22</v>
      </c>
      <c r="D1700" s="2" t="str">
        <f>"沈善纲"</f>
        <v>沈善纲</v>
      </c>
      <c r="E1700" s="2" t="str">
        <f t="shared" si="46"/>
        <v>男</v>
      </c>
    </row>
    <row r="1701" spans="1:5" ht="14.4" x14ac:dyDescent="0.25">
      <c r="A1701" s="4">
        <v>1699</v>
      </c>
      <c r="B1701" s="2" t="str">
        <f>"3251202108101900076043"</f>
        <v>3251202108101900076043</v>
      </c>
      <c r="C1701" s="2" t="s">
        <v>22</v>
      </c>
      <c r="D1701" s="2" t="str">
        <f>"陈曦"</f>
        <v>陈曦</v>
      </c>
      <c r="E1701" s="2" t="str">
        <f t="shared" si="46"/>
        <v>男</v>
      </c>
    </row>
    <row r="1702" spans="1:5" ht="14.4" x14ac:dyDescent="0.25">
      <c r="A1702" s="4">
        <v>1700</v>
      </c>
      <c r="B1702" s="2" t="str">
        <f>"3251202108101912346061"</f>
        <v>3251202108101912346061</v>
      </c>
      <c r="C1702" s="2" t="s">
        <v>22</v>
      </c>
      <c r="D1702" s="2" t="str">
        <f>"吉昆"</f>
        <v>吉昆</v>
      </c>
      <c r="E1702" s="2" t="str">
        <f t="shared" si="46"/>
        <v>男</v>
      </c>
    </row>
    <row r="1703" spans="1:5" ht="14.4" x14ac:dyDescent="0.25">
      <c r="A1703" s="4">
        <v>1701</v>
      </c>
      <c r="B1703" s="2" t="str">
        <f>"3251202108101923206083"</f>
        <v>3251202108101923206083</v>
      </c>
      <c r="C1703" s="2" t="s">
        <v>22</v>
      </c>
      <c r="D1703" s="2" t="str">
        <f>"符雷"</f>
        <v>符雷</v>
      </c>
      <c r="E1703" s="2" t="str">
        <f t="shared" si="46"/>
        <v>男</v>
      </c>
    </row>
    <row r="1704" spans="1:5" ht="14.4" x14ac:dyDescent="0.25">
      <c r="A1704" s="4">
        <v>1702</v>
      </c>
      <c r="B1704" s="2" t="str">
        <f>"3251202108101926126089"</f>
        <v>3251202108101926126089</v>
      </c>
      <c r="C1704" s="2" t="s">
        <v>22</v>
      </c>
      <c r="D1704" s="2" t="str">
        <f>"陈国景"</f>
        <v>陈国景</v>
      </c>
      <c r="E1704" s="2" t="str">
        <f t="shared" si="46"/>
        <v>男</v>
      </c>
    </row>
    <row r="1705" spans="1:5" ht="14.4" x14ac:dyDescent="0.25">
      <c r="A1705" s="4">
        <v>1703</v>
      </c>
      <c r="B1705" s="2" t="str">
        <f>"3251202108101935536107"</f>
        <v>3251202108101935536107</v>
      </c>
      <c r="C1705" s="2" t="s">
        <v>22</v>
      </c>
      <c r="D1705" s="2" t="str">
        <f>"王小荷"</f>
        <v>王小荷</v>
      </c>
      <c r="E1705" s="2" t="str">
        <f>"女"</f>
        <v>女</v>
      </c>
    </row>
    <row r="1706" spans="1:5" ht="14.4" x14ac:dyDescent="0.25">
      <c r="A1706" s="4">
        <v>1704</v>
      </c>
      <c r="B1706" s="2" t="str">
        <f>"3251202108101950526146"</f>
        <v>3251202108101950526146</v>
      </c>
      <c r="C1706" s="2" t="s">
        <v>22</v>
      </c>
      <c r="D1706" s="2" t="str">
        <f>"卢喜壮"</f>
        <v>卢喜壮</v>
      </c>
      <c r="E1706" s="2" t="str">
        <f>"男"</f>
        <v>男</v>
      </c>
    </row>
    <row r="1707" spans="1:5" ht="14.4" x14ac:dyDescent="0.25">
      <c r="A1707" s="4">
        <v>1705</v>
      </c>
      <c r="B1707" s="2" t="str">
        <f>"3251202108101951476148"</f>
        <v>3251202108101951476148</v>
      </c>
      <c r="C1707" s="2" t="s">
        <v>22</v>
      </c>
      <c r="D1707" s="2" t="str">
        <f>"齐立艳"</f>
        <v>齐立艳</v>
      </c>
      <c r="E1707" s="2" t="str">
        <f>"女"</f>
        <v>女</v>
      </c>
    </row>
    <row r="1708" spans="1:5" ht="14.4" x14ac:dyDescent="0.25">
      <c r="A1708" s="4">
        <v>1706</v>
      </c>
      <c r="B1708" s="2" t="str">
        <f>"3251202108102004546168"</f>
        <v>3251202108102004546168</v>
      </c>
      <c r="C1708" s="2" t="s">
        <v>22</v>
      </c>
      <c r="D1708" s="2" t="str">
        <f>"黄辉"</f>
        <v>黄辉</v>
      </c>
      <c r="E1708" s="2" t="str">
        <f t="shared" ref="E1708:E1731" si="47">"男"</f>
        <v>男</v>
      </c>
    </row>
    <row r="1709" spans="1:5" ht="14.4" x14ac:dyDescent="0.25">
      <c r="A1709" s="4">
        <v>1707</v>
      </c>
      <c r="B1709" s="2" t="str">
        <f>"3251202108102005566171"</f>
        <v>3251202108102005566171</v>
      </c>
      <c r="C1709" s="2" t="s">
        <v>22</v>
      </c>
      <c r="D1709" s="2" t="str">
        <f>"王劲杨"</f>
        <v>王劲杨</v>
      </c>
      <c r="E1709" s="2" t="str">
        <f t="shared" si="47"/>
        <v>男</v>
      </c>
    </row>
    <row r="1710" spans="1:5" ht="14.4" x14ac:dyDescent="0.25">
      <c r="A1710" s="4">
        <v>1708</v>
      </c>
      <c r="B1710" s="2" t="str">
        <f>"3251202108102009236181"</f>
        <v>3251202108102009236181</v>
      </c>
      <c r="C1710" s="2" t="s">
        <v>22</v>
      </c>
      <c r="D1710" s="2" t="str">
        <f>"符国宝"</f>
        <v>符国宝</v>
      </c>
      <c r="E1710" s="2" t="str">
        <f t="shared" si="47"/>
        <v>男</v>
      </c>
    </row>
    <row r="1711" spans="1:5" ht="14.4" x14ac:dyDescent="0.25">
      <c r="A1711" s="4">
        <v>1709</v>
      </c>
      <c r="B1711" s="2" t="str">
        <f>"3251202108102027046218"</f>
        <v>3251202108102027046218</v>
      </c>
      <c r="C1711" s="2" t="s">
        <v>22</v>
      </c>
      <c r="D1711" s="2" t="str">
        <f>"王绪澄"</f>
        <v>王绪澄</v>
      </c>
      <c r="E1711" s="2" t="str">
        <f t="shared" si="47"/>
        <v>男</v>
      </c>
    </row>
    <row r="1712" spans="1:5" ht="14.4" x14ac:dyDescent="0.25">
      <c r="A1712" s="4">
        <v>1710</v>
      </c>
      <c r="B1712" s="2" t="str">
        <f>"3251202108102027206220"</f>
        <v>3251202108102027206220</v>
      </c>
      <c r="C1712" s="2" t="s">
        <v>22</v>
      </c>
      <c r="D1712" s="2" t="str">
        <f>"苏豪"</f>
        <v>苏豪</v>
      </c>
      <c r="E1712" s="2" t="str">
        <f t="shared" si="47"/>
        <v>男</v>
      </c>
    </row>
    <row r="1713" spans="1:5" ht="14.4" x14ac:dyDescent="0.25">
      <c r="A1713" s="4">
        <v>1711</v>
      </c>
      <c r="B1713" s="2" t="str">
        <f>"3251202108102034516234"</f>
        <v>3251202108102034516234</v>
      </c>
      <c r="C1713" s="2" t="s">
        <v>22</v>
      </c>
      <c r="D1713" s="2" t="str">
        <f>"黎志波"</f>
        <v>黎志波</v>
      </c>
      <c r="E1713" s="2" t="str">
        <f t="shared" si="47"/>
        <v>男</v>
      </c>
    </row>
    <row r="1714" spans="1:5" ht="14.4" x14ac:dyDescent="0.25">
      <c r="A1714" s="4">
        <v>1712</v>
      </c>
      <c r="B1714" s="2" t="str">
        <f>"3251202108102108406301"</f>
        <v>3251202108102108406301</v>
      </c>
      <c r="C1714" s="2" t="s">
        <v>22</v>
      </c>
      <c r="D1714" s="2" t="str">
        <f>"胡榆宗"</f>
        <v>胡榆宗</v>
      </c>
      <c r="E1714" s="2" t="str">
        <f t="shared" si="47"/>
        <v>男</v>
      </c>
    </row>
    <row r="1715" spans="1:5" ht="14.4" x14ac:dyDescent="0.25">
      <c r="A1715" s="4">
        <v>1713</v>
      </c>
      <c r="B1715" s="2" t="str">
        <f>"3251202108102126566334"</f>
        <v>3251202108102126566334</v>
      </c>
      <c r="C1715" s="2" t="s">
        <v>22</v>
      </c>
      <c r="D1715" s="2" t="str">
        <f>"姚国铭"</f>
        <v>姚国铭</v>
      </c>
      <c r="E1715" s="2" t="str">
        <f t="shared" si="47"/>
        <v>男</v>
      </c>
    </row>
    <row r="1716" spans="1:5" ht="14.4" x14ac:dyDescent="0.25">
      <c r="A1716" s="4">
        <v>1714</v>
      </c>
      <c r="B1716" s="2" t="str">
        <f>"3251202108102153596372"</f>
        <v>3251202108102153596372</v>
      </c>
      <c r="C1716" s="2" t="s">
        <v>22</v>
      </c>
      <c r="D1716" s="2" t="str">
        <f>"梁郁琪"</f>
        <v>梁郁琪</v>
      </c>
      <c r="E1716" s="2" t="str">
        <f t="shared" si="47"/>
        <v>男</v>
      </c>
    </row>
    <row r="1717" spans="1:5" ht="14.4" x14ac:dyDescent="0.25">
      <c r="A1717" s="4">
        <v>1715</v>
      </c>
      <c r="B1717" s="2" t="str">
        <f>"3251202108102215046407"</f>
        <v>3251202108102215046407</v>
      </c>
      <c r="C1717" s="2" t="s">
        <v>22</v>
      </c>
      <c r="D1717" s="2" t="str">
        <f>"羊兴国"</f>
        <v>羊兴国</v>
      </c>
      <c r="E1717" s="2" t="str">
        <f t="shared" si="47"/>
        <v>男</v>
      </c>
    </row>
    <row r="1718" spans="1:5" ht="14.4" x14ac:dyDescent="0.25">
      <c r="A1718" s="4">
        <v>1716</v>
      </c>
      <c r="B1718" s="2" t="str">
        <f>"3251202108102224176423"</f>
        <v>3251202108102224176423</v>
      </c>
      <c r="C1718" s="2" t="s">
        <v>22</v>
      </c>
      <c r="D1718" s="2" t="str">
        <f>"郑东俊"</f>
        <v>郑东俊</v>
      </c>
      <c r="E1718" s="2" t="str">
        <f t="shared" si="47"/>
        <v>男</v>
      </c>
    </row>
    <row r="1719" spans="1:5" ht="14.4" x14ac:dyDescent="0.25">
      <c r="A1719" s="4">
        <v>1717</v>
      </c>
      <c r="B1719" s="2" t="str">
        <f>"3251202108102234036441"</f>
        <v>3251202108102234036441</v>
      </c>
      <c r="C1719" s="2" t="s">
        <v>22</v>
      </c>
      <c r="D1719" s="2" t="str">
        <f>"郑声豪"</f>
        <v>郑声豪</v>
      </c>
      <c r="E1719" s="2" t="str">
        <f t="shared" si="47"/>
        <v>男</v>
      </c>
    </row>
    <row r="1720" spans="1:5" ht="14.4" x14ac:dyDescent="0.25">
      <c r="A1720" s="4">
        <v>1718</v>
      </c>
      <c r="B1720" s="2" t="str">
        <f>"3251202108102237466447"</f>
        <v>3251202108102237466447</v>
      </c>
      <c r="C1720" s="2" t="s">
        <v>22</v>
      </c>
      <c r="D1720" s="2" t="str">
        <f>"黄前奔"</f>
        <v>黄前奔</v>
      </c>
      <c r="E1720" s="2" t="str">
        <f t="shared" si="47"/>
        <v>男</v>
      </c>
    </row>
    <row r="1721" spans="1:5" ht="14.4" x14ac:dyDescent="0.25">
      <c r="A1721" s="4">
        <v>1719</v>
      </c>
      <c r="B1721" s="2" t="str">
        <f>"3251202108102247086461"</f>
        <v>3251202108102247086461</v>
      </c>
      <c r="C1721" s="2" t="s">
        <v>22</v>
      </c>
      <c r="D1721" s="2" t="str">
        <f>"蔡于学"</f>
        <v>蔡于学</v>
      </c>
      <c r="E1721" s="2" t="str">
        <f t="shared" si="47"/>
        <v>男</v>
      </c>
    </row>
    <row r="1722" spans="1:5" ht="14.4" x14ac:dyDescent="0.25">
      <c r="A1722" s="4">
        <v>1720</v>
      </c>
      <c r="B1722" s="2" t="str">
        <f>"3251202108102251156472"</f>
        <v>3251202108102251156472</v>
      </c>
      <c r="C1722" s="2" t="s">
        <v>22</v>
      </c>
      <c r="D1722" s="2" t="str">
        <f>"杨来浩"</f>
        <v>杨来浩</v>
      </c>
      <c r="E1722" s="2" t="str">
        <f t="shared" si="47"/>
        <v>男</v>
      </c>
    </row>
    <row r="1723" spans="1:5" ht="14.4" x14ac:dyDescent="0.25">
      <c r="A1723" s="4">
        <v>1721</v>
      </c>
      <c r="B1723" s="2" t="str">
        <f>"3251202108102313206492"</f>
        <v>3251202108102313206492</v>
      </c>
      <c r="C1723" s="2" t="s">
        <v>22</v>
      </c>
      <c r="D1723" s="2" t="str">
        <f>"林小冈"</f>
        <v>林小冈</v>
      </c>
      <c r="E1723" s="2" t="str">
        <f t="shared" si="47"/>
        <v>男</v>
      </c>
    </row>
    <row r="1724" spans="1:5" ht="14.4" x14ac:dyDescent="0.25">
      <c r="A1724" s="4">
        <v>1722</v>
      </c>
      <c r="B1724" s="2" t="str">
        <f>"3251202108102313526495"</f>
        <v>3251202108102313526495</v>
      </c>
      <c r="C1724" s="2" t="s">
        <v>22</v>
      </c>
      <c r="D1724" s="2" t="str">
        <f>"吴小振"</f>
        <v>吴小振</v>
      </c>
      <c r="E1724" s="2" t="str">
        <f t="shared" si="47"/>
        <v>男</v>
      </c>
    </row>
    <row r="1725" spans="1:5" ht="14.4" x14ac:dyDescent="0.25">
      <c r="A1725" s="4">
        <v>1723</v>
      </c>
      <c r="B1725" s="2" t="str">
        <f>"3251202108102327346508"</f>
        <v>3251202108102327346508</v>
      </c>
      <c r="C1725" s="2" t="s">
        <v>22</v>
      </c>
      <c r="D1725" s="2" t="str">
        <f>"张懿"</f>
        <v>张懿</v>
      </c>
      <c r="E1725" s="2" t="str">
        <f t="shared" si="47"/>
        <v>男</v>
      </c>
    </row>
    <row r="1726" spans="1:5" ht="14.4" x14ac:dyDescent="0.25">
      <c r="A1726" s="4">
        <v>1724</v>
      </c>
      <c r="B1726" s="2" t="str">
        <f>"3251202108102348176522"</f>
        <v>3251202108102348176522</v>
      </c>
      <c r="C1726" s="2" t="s">
        <v>22</v>
      </c>
      <c r="D1726" s="2" t="str">
        <f>"何潭"</f>
        <v>何潭</v>
      </c>
      <c r="E1726" s="2" t="str">
        <f t="shared" si="47"/>
        <v>男</v>
      </c>
    </row>
    <row r="1727" spans="1:5" ht="14.4" x14ac:dyDescent="0.25">
      <c r="A1727" s="4">
        <v>1725</v>
      </c>
      <c r="B1727" s="2" t="str">
        <f>"3251202108110042346545"</f>
        <v>3251202108110042346545</v>
      </c>
      <c r="C1727" s="2" t="s">
        <v>22</v>
      </c>
      <c r="D1727" s="2" t="str">
        <f>"严东"</f>
        <v>严东</v>
      </c>
      <c r="E1727" s="2" t="str">
        <f t="shared" si="47"/>
        <v>男</v>
      </c>
    </row>
    <row r="1728" spans="1:5" ht="14.4" x14ac:dyDescent="0.25">
      <c r="A1728" s="4">
        <v>1726</v>
      </c>
      <c r="B1728" s="2" t="str">
        <f>"3251202108110107196552"</f>
        <v>3251202108110107196552</v>
      </c>
      <c r="C1728" s="2" t="s">
        <v>22</v>
      </c>
      <c r="D1728" s="2" t="str">
        <f>"司家深"</f>
        <v>司家深</v>
      </c>
      <c r="E1728" s="2" t="str">
        <f t="shared" si="47"/>
        <v>男</v>
      </c>
    </row>
    <row r="1729" spans="1:5" ht="14.4" x14ac:dyDescent="0.25">
      <c r="A1729" s="4">
        <v>1727</v>
      </c>
      <c r="B1729" s="2" t="str">
        <f>"3251202108110759556574"</f>
        <v>3251202108110759556574</v>
      </c>
      <c r="C1729" s="2" t="s">
        <v>22</v>
      </c>
      <c r="D1729" s="2" t="str">
        <f>"刘其展"</f>
        <v>刘其展</v>
      </c>
      <c r="E1729" s="2" t="str">
        <f t="shared" si="47"/>
        <v>男</v>
      </c>
    </row>
    <row r="1730" spans="1:5" ht="14.4" x14ac:dyDescent="0.25">
      <c r="A1730" s="4">
        <v>1728</v>
      </c>
      <c r="B1730" s="2" t="str">
        <f>"3251202108110844526637"</f>
        <v>3251202108110844526637</v>
      </c>
      <c r="C1730" s="2" t="s">
        <v>22</v>
      </c>
      <c r="D1730" s="2" t="str">
        <f>"符必龙"</f>
        <v>符必龙</v>
      </c>
      <c r="E1730" s="2" t="str">
        <f t="shared" si="47"/>
        <v>男</v>
      </c>
    </row>
    <row r="1731" spans="1:5" ht="14.4" x14ac:dyDescent="0.25">
      <c r="A1731" s="4">
        <v>1729</v>
      </c>
      <c r="B1731" s="2" t="str">
        <f>"3251202108110848496646"</f>
        <v>3251202108110848496646</v>
      </c>
      <c r="C1731" s="2" t="s">
        <v>22</v>
      </c>
      <c r="D1731" s="2" t="str">
        <f>"洪海"</f>
        <v>洪海</v>
      </c>
      <c r="E1731" s="2" t="str">
        <f t="shared" si="47"/>
        <v>男</v>
      </c>
    </row>
    <row r="1732" spans="1:5" ht="14.4" x14ac:dyDescent="0.25">
      <c r="A1732" s="4">
        <v>1730</v>
      </c>
      <c r="B1732" s="2" t="str">
        <f>"3251202108110858536666"</f>
        <v>3251202108110858536666</v>
      </c>
      <c r="C1732" s="2" t="s">
        <v>22</v>
      </c>
      <c r="D1732" s="2" t="str">
        <f>"李美婷"</f>
        <v>李美婷</v>
      </c>
      <c r="E1732" s="2" t="str">
        <f>"女"</f>
        <v>女</v>
      </c>
    </row>
    <row r="1733" spans="1:5" ht="14.4" x14ac:dyDescent="0.25">
      <c r="A1733" s="4">
        <v>1731</v>
      </c>
      <c r="B1733" s="2" t="str">
        <f>"3251202108110914556710"</f>
        <v>3251202108110914556710</v>
      </c>
      <c r="C1733" s="2" t="s">
        <v>22</v>
      </c>
      <c r="D1733" s="2" t="str">
        <f>"赵春雨"</f>
        <v>赵春雨</v>
      </c>
      <c r="E1733" s="2" t="str">
        <f>"女"</f>
        <v>女</v>
      </c>
    </row>
    <row r="1734" spans="1:5" ht="14.4" x14ac:dyDescent="0.25">
      <c r="A1734" s="4">
        <v>1732</v>
      </c>
      <c r="B1734" s="2" t="str">
        <f>"3251202108110915006711"</f>
        <v>3251202108110915006711</v>
      </c>
      <c r="C1734" s="2" t="s">
        <v>22</v>
      </c>
      <c r="D1734" s="2" t="str">
        <f>"李谭"</f>
        <v>李谭</v>
      </c>
      <c r="E1734" s="2" t="str">
        <f t="shared" ref="E1734:E1746" si="48">"男"</f>
        <v>男</v>
      </c>
    </row>
    <row r="1735" spans="1:5" ht="14.4" x14ac:dyDescent="0.25">
      <c r="A1735" s="4">
        <v>1733</v>
      </c>
      <c r="B1735" s="2" t="str">
        <f>"3251202108110916286712"</f>
        <v>3251202108110916286712</v>
      </c>
      <c r="C1735" s="2" t="s">
        <v>22</v>
      </c>
      <c r="D1735" s="2" t="str">
        <f>"符国庆"</f>
        <v>符国庆</v>
      </c>
      <c r="E1735" s="2" t="str">
        <f t="shared" si="48"/>
        <v>男</v>
      </c>
    </row>
    <row r="1736" spans="1:5" ht="14.4" x14ac:dyDescent="0.25">
      <c r="A1736" s="4">
        <v>1734</v>
      </c>
      <c r="B1736" s="2" t="str">
        <f>"3251202108110940046779"</f>
        <v>3251202108110940046779</v>
      </c>
      <c r="C1736" s="2" t="s">
        <v>22</v>
      </c>
      <c r="D1736" s="2" t="str">
        <f>"杨俊腾"</f>
        <v>杨俊腾</v>
      </c>
      <c r="E1736" s="2" t="str">
        <f t="shared" si="48"/>
        <v>男</v>
      </c>
    </row>
    <row r="1737" spans="1:5" ht="14.4" x14ac:dyDescent="0.25">
      <c r="A1737" s="4">
        <v>1735</v>
      </c>
      <c r="B1737" s="2" t="str">
        <f>"3251202108110945086796"</f>
        <v>3251202108110945086796</v>
      </c>
      <c r="C1737" s="2" t="s">
        <v>22</v>
      </c>
      <c r="D1737" s="2" t="str">
        <f>"朱绵敬"</f>
        <v>朱绵敬</v>
      </c>
      <c r="E1737" s="2" t="str">
        <f t="shared" si="48"/>
        <v>男</v>
      </c>
    </row>
    <row r="1738" spans="1:5" ht="14.4" x14ac:dyDescent="0.25">
      <c r="A1738" s="4">
        <v>1736</v>
      </c>
      <c r="B1738" s="2" t="str">
        <f>"3251202108110950006811"</f>
        <v>3251202108110950006811</v>
      </c>
      <c r="C1738" s="2" t="s">
        <v>22</v>
      </c>
      <c r="D1738" s="2" t="str">
        <f>"雷家杨"</f>
        <v>雷家杨</v>
      </c>
      <c r="E1738" s="2" t="str">
        <f t="shared" si="48"/>
        <v>男</v>
      </c>
    </row>
    <row r="1739" spans="1:5" ht="14.4" x14ac:dyDescent="0.25">
      <c r="A1739" s="4">
        <v>1737</v>
      </c>
      <c r="B1739" s="2" t="str">
        <f>"3251202108110952476825"</f>
        <v>3251202108110952476825</v>
      </c>
      <c r="C1739" s="2" t="s">
        <v>22</v>
      </c>
      <c r="D1739" s="2" t="str">
        <f>"蔡聪"</f>
        <v>蔡聪</v>
      </c>
      <c r="E1739" s="2" t="str">
        <f t="shared" si="48"/>
        <v>男</v>
      </c>
    </row>
    <row r="1740" spans="1:5" ht="14.4" x14ac:dyDescent="0.25">
      <c r="A1740" s="4">
        <v>1738</v>
      </c>
      <c r="B1740" s="2" t="str">
        <f>"3251202108111002106850"</f>
        <v>3251202108111002106850</v>
      </c>
      <c r="C1740" s="2" t="s">
        <v>22</v>
      </c>
      <c r="D1740" s="2" t="str">
        <f>"黄师伟"</f>
        <v>黄师伟</v>
      </c>
      <c r="E1740" s="2" t="str">
        <f t="shared" si="48"/>
        <v>男</v>
      </c>
    </row>
    <row r="1741" spans="1:5" ht="14.4" x14ac:dyDescent="0.25">
      <c r="A1741" s="4">
        <v>1739</v>
      </c>
      <c r="B1741" s="2" t="str">
        <f>"3251202108111003526858"</f>
        <v>3251202108111003526858</v>
      </c>
      <c r="C1741" s="2" t="s">
        <v>22</v>
      </c>
      <c r="D1741" s="2" t="str">
        <f>"黄海杰"</f>
        <v>黄海杰</v>
      </c>
      <c r="E1741" s="2" t="str">
        <f t="shared" si="48"/>
        <v>男</v>
      </c>
    </row>
    <row r="1742" spans="1:5" ht="14.4" x14ac:dyDescent="0.25">
      <c r="A1742" s="4">
        <v>1740</v>
      </c>
      <c r="B1742" s="2" t="str">
        <f>"3251202108111016396888"</f>
        <v>3251202108111016396888</v>
      </c>
      <c r="C1742" s="2" t="s">
        <v>22</v>
      </c>
      <c r="D1742" s="2" t="str">
        <f>"沈国甫"</f>
        <v>沈国甫</v>
      </c>
      <c r="E1742" s="2" t="str">
        <f t="shared" si="48"/>
        <v>男</v>
      </c>
    </row>
    <row r="1743" spans="1:5" ht="14.4" x14ac:dyDescent="0.25">
      <c r="A1743" s="4">
        <v>1741</v>
      </c>
      <c r="B1743" s="2" t="str">
        <f>"3251202108111019556897"</f>
        <v>3251202108111019556897</v>
      </c>
      <c r="C1743" s="2" t="s">
        <v>22</v>
      </c>
      <c r="D1743" s="2" t="str">
        <f>"谢君敏"</f>
        <v>谢君敏</v>
      </c>
      <c r="E1743" s="2" t="str">
        <f t="shared" si="48"/>
        <v>男</v>
      </c>
    </row>
    <row r="1744" spans="1:5" ht="14.4" x14ac:dyDescent="0.25">
      <c r="A1744" s="4">
        <v>1742</v>
      </c>
      <c r="B1744" s="2" t="str">
        <f>"3251202108111026176911"</f>
        <v>3251202108111026176911</v>
      </c>
      <c r="C1744" s="2" t="s">
        <v>22</v>
      </c>
      <c r="D1744" s="2" t="str">
        <f>"刘映辉"</f>
        <v>刘映辉</v>
      </c>
      <c r="E1744" s="2" t="str">
        <f t="shared" si="48"/>
        <v>男</v>
      </c>
    </row>
    <row r="1745" spans="1:5" ht="14.4" x14ac:dyDescent="0.25">
      <c r="A1745" s="4">
        <v>1743</v>
      </c>
      <c r="B1745" s="2" t="str">
        <f>"3251202108111027136913"</f>
        <v>3251202108111027136913</v>
      </c>
      <c r="C1745" s="2" t="s">
        <v>22</v>
      </c>
      <c r="D1745" s="2" t="str">
        <f>"梁嘉"</f>
        <v>梁嘉</v>
      </c>
      <c r="E1745" s="2" t="str">
        <f t="shared" si="48"/>
        <v>男</v>
      </c>
    </row>
    <row r="1746" spans="1:5" ht="14.4" x14ac:dyDescent="0.25">
      <c r="A1746" s="4">
        <v>1744</v>
      </c>
      <c r="B1746" s="2" t="str">
        <f>"3251202108111028036915"</f>
        <v>3251202108111028036915</v>
      </c>
      <c r="C1746" s="2" t="s">
        <v>22</v>
      </c>
      <c r="D1746" s="2" t="str">
        <f>"裴业生"</f>
        <v>裴业生</v>
      </c>
      <c r="E1746" s="2" t="str">
        <f t="shared" si="48"/>
        <v>男</v>
      </c>
    </row>
    <row r="1747" spans="1:5" ht="14.4" x14ac:dyDescent="0.25">
      <c r="A1747" s="4">
        <v>1745</v>
      </c>
      <c r="B1747" s="2" t="str">
        <f>"3251202108111034186928"</f>
        <v>3251202108111034186928</v>
      </c>
      <c r="C1747" s="2" t="s">
        <v>22</v>
      </c>
      <c r="D1747" s="2" t="str">
        <f>"文凤静"</f>
        <v>文凤静</v>
      </c>
      <c r="E1747" s="2" t="str">
        <f>"女"</f>
        <v>女</v>
      </c>
    </row>
    <row r="1748" spans="1:5" ht="14.4" x14ac:dyDescent="0.25">
      <c r="A1748" s="4">
        <v>1746</v>
      </c>
      <c r="B1748" s="2" t="str">
        <f>"3251202108111034456931"</f>
        <v>3251202108111034456931</v>
      </c>
      <c r="C1748" s="2" t="s">
        <v>22</v>
      </c>
      <c r="D1748" s="2" t="str">
        <f>"蒙美桥"</f>
        <v>蒙美桥</v>
      </c>
      <c r="E1748" s="2" t="str">
        <f>"女"</f>
        <v>女</v>
      </c>
    </row>
    <row r="1749" spans="1:5" ht="14.4" x14ac:dyDescent="0.25">
      <c r="A1749" s="4">
        <v>1747</v>
      </c>
      <c r="B1749" s="2" t="str">
        <f>"3251202108111058496985"</f>
        <v>3251202108111058496985</v>
      </c>
      <c r="C1749" s="2" t="s">
        <v>22</v>
      </c>
      <c r="D1749" s="2" t="str">
        <f>"郭仁海"</f>
        <v>郭仁海</v>
      </c>
      <c r="E1749" s="2" t="str">
        <f>"男"</f>
        <v>男</v>
      </c>
    </row>
    <row r="1750" spans="1:5" ht="14.4" x14ac:dyDescent="0.25">
      <c r="A1750" s="4">
        <v>1748</v>
      </c>
      <c r="B1750" s="2" t="str">
        <f>"3251202108111109517016"</f>
        <v>3251202108111109517016</v>
      </c>
      <c r="C1750" s="2" t="s">
        <v>22</v>
      </c>
      <c r="D1750" s="2" t="str">
        <f>"陈道新"</f>
        <v>陈道新</v>
      </c>
      <c r="E1750" s="2" t="str">
        <f>"男"</f>
        <v>男</v>
      </c>
    </row>
    <row r="1751" spans="1:5" ht="14.4" x14ac:dyDescent="0.25">
      <c r="A1751" s="4">
        <v>1749</v>
      </c>
      <c r="B1751" s="2" t="str">
        <f>"3251202108111139277098"</f>
        <v>3251202108111139277098</v>
      </c>
      <c r="C1751" s="2" t="s">
        <v>22</v>
      </c>
      <c r="D1751" s="2" t="str">
        <f>"何迅"</f>
        <v>何迅</v>
      </c>
      <c r="E1751" s="2" t="str">
        <f>"男"</f>
        <v>男</v>
      </c>
    </row>
    <row r="1752" spans="1:5" ht="14.4" x14ac:dyDescent="0.25">
      <c r="A1752" s="4">
        <v>1750</v>
      </c>
      <c r="B1752" s="2" t="str">
        <f>"3251202108111145397108"</f>
        <v>3251202108111145397108</v>
      </c>
      <c r="C1752" s="2" t="s">
        <v>22</v>
      </c>
      <c r="D1752" s="2" t="str">
        <f>"陈燕"</f>
        <v>陈燕</v>
      </c>
      <c r="E1752" s="2" t="str">
        <f>"女"</f>
        <v>女</v>
      </c>
    </row>
    <row r="1753" spans="1:5" ht="14.4" x14ac:dyDescent="0.25">
      <c r="A1753" s="4">
        <v>1751</v>
      </c>
      <c r="B1753" s="2" t="str">
        <f>"3251202108111157067129"</f>
        <v>3251202108111157067129</v>
      </c>
      <c r="C1753" s="2" t="s">
        <v>22</v>
      </c>
      <c r="D1753" s="2" t="str">
        <f>"林鸿斌"</f>
        <v>林鸿斌</v>
      </c>
      <c r="E1753" s="2" t="str">
        <f>"男"</f>
        <v>男</v>
      </c>
    </row>
    <row r="1754" spans="1:5" ht="14.4" x14ac:dyDescent="0.25">
      <c r="A1754" s="4">
        <v>1752</v>
      </c>
      <c r="B1754" s="2" t="str">
        <f>"3251202108111251167201"</f>
        <v>3251202108111251167201</v>
      </c>
      <c r="C1754" s="2" t="s">
        <v>22</v>
      </c>
      <c r="D1754" s="2" t="str">
        <f>"钟宏江"</f>
        <v>钟宏江</v>
      </c>
      <c r="E1754" s="2" t="str">
        <f>"男"</f>
        <v>男</v>
      </c>
    </row>
    <row r="1755" spans="1:5" ht="14.4" x14ac:dyDescent="0.25">
      <c r="A1755" s="4">
        <v>1753</v>
      </c>
      <c r="B1755" s="2" t="str">
        <f>"3251202108111339417242"</f>
        <v>3251202108111339417242</v>
      </c>
      <c r="C1755" s="2" t="s">
        <v>22</v>
      </c>
      <c r="D1755" s="2" t="str">
        <f>"符式学"</f>
        <v>符式学</v>
      </c>
      <c r="E1755" s="2" t="str">
        <f>"男"</f>
        <v>男</v>
      </c>
    </row>
    <row r="1756" spans="1:5" ht="14.4" x14ac:dyDescent="0.25">
      <c r="A1756" s="4">
        <v>1754</v>
      </c>
      <c r="B1756" s="2" t="str">
        <f>"3251202108111434467301"</f>
        <v>3251202108111434467301</v>
      </c>
      <c r="C1756" s="2" t="s">
        <v>22</v>
      </c>
      <c r="D1756" s="2" t="str">
        <f>"王福俊"</f>
        <v>王福俊</v>
      </c>
      <c r="E1756" s="2" t="str">
        <f>"男"</f>
        <v>男</v>
      </c>
    </row>
    <row r="1757" spans="1:5" ht="14.4" x14ac:dyDescent="0.25">
      <c r="A1757" s="4">
        <v>1755</v>
      </c>
      <c r="B1757" s="2" t="str">
        <f>"3251202108111528147419"</f>
        <v>3251202108111528147419</v>
      </c>
      <c r="C1757" s="2" t="s">
        <v>22</v>
      </c>
      <c r="D1757" s="2" t="str">
        <f>"陈妃"</f>
        <v>陈妃</v>
      </c>
      <c r="E1757" s="2" t="str">
        <f>"女"</f>
        <v>女</v>
      </c>
    </row>
    <row r="1758" spans="1:5" ht="14.4" x14ac:dyDescent="0.25">
      <c r="A1758" s="4">
        <v>1756</v>
      </c>
      <c r="B1758" s="2" t="str">
        <f>"3251202108111531047427"</f>
        <v>3251202108111531047427</v>
      </c>
      <c r="C1758" s="2" t="s">
        <v>22</v>
      </c>
      <c r="D1758" s="2" t="str">
        <f>"董薇"</f>
        <v>董薇</v>
      </c>
      <c r="E1758" s="2" t="str">
        <f>"女"</f>
        <v>女</v>
      </c>
    </row>
    <row r="1759" spans="1:5" ht="14.4" x14ac:dyDescent="0.25">
      <c r="A1759" s="4">
        <v>1757</v>
      </c>
      <c r="B1759" s="2" t="str">
        <f>"3251202108111534027437"</f>
        <v>3251202108111534027437</v>
      </c>
      <c r="C1759" s="2" t="s">
        <v>22</v>
      </c>
      <c r="D1759" s="2" t="str">
        <f>"符逢桃"</f>
        <v>符逢桃</v>
      </c>
      <c r="E1759" s="2" t="str">
        <f>"女"</f>
        <v>女</v>
      </c>
    </row>
    <row r="1760" spans="1:5" ht="14.4" x14ac:dyDescent="0.25">
      <c r="A1760" s="4">
        <v>1758</v>
      </c>
      <c r="B1760" s="2" t="str">
        <f>"3251202108111535487446"</f>
        <v>3251202108111535487446</v>
      </c>
      <c r="C1760" s="2" t="s">
        <v>22</v>
      </c>
      <c r="D1760" s="2" t="str">
        <f>"羊淑媛"</f>
        <v>羊淑媛</v>
      </c>
      <c r="E1760" s="2" t="str">
        <f>"女"</f>
        <v>女</v>
      </c>
    </row>
    <row r="1761" spans="1:5" ht="14.4" x14ac:dyDescent="0.25">
      <c r="A1761" s="4">
        <v>1759</v>
      </c>
      <c r="B1761" s="2" t="str">
        <f>"3251202108111552547473"</f>
        <v>3251202108111552547473</v>
      </c>
      <c r="C1761" s="2" t="s">
        <v>22</v>
      </c>
      <c r="D1761" s="2" t="str">
        <f>"王逸"</f>
        <v>王逸</v>
      </c>
      <c r="E1761" s="2" t="str">
        <f>"男"</f>
        <v>男</v>
      </c>
    </row>
    <row r="1762" spans="1:5" ht="14.4" x14ac:dyDescent="0.25">
      <c r="A1762" s="4">
        <v>1760</v>
      </c>
      <c r="B1762" s="2" t="str">
        <f>"3251202108111556127483"</f>
        <v>3251202108111556127483</v>
      </c>
      <c r="C1762" s="2" t="s">
        <v>22</v>
      </c>
      <c r="D1762" s="2" t="str">
        <f>"张霞"</f>
        <v>张霞</v>
      </c>
      <c r="E1762" s="2" t="str">
        <f>"女"</f>
        <v>女</v>
      </c>
    </row>
    <row r="1763" spans="1:5" ht="14.4" x14ac:dyDescent="0.25">
      <c r="A1763" s="4">
        <v>1761</v>
      </c>
      <c r="B1763" s="2" t="str">
        <f>"3251202108111559337488"</f>
        <v>3251202108111559337488</v>
      </c>
      <c r="C1763" s="2" t="s">
        <v>22</v>
      </c>
      <c r="D1763" s="2" t="str">
        <f>"胡笃刚"</f>
        <v>胡笃刚</v>
      </c>
      <c r="E1763" s="2" t="str">
        <f t="shared" ref="E1763:E1769" si="49">"男"</f>
        <v>男</v>
      </c>
    </row>
    <row r="1764" spans="1:5" ht="14.4" x14ac:dyDescent="0.25">
      <c r="A1764" s="4">
        <v>1762</v>
      </c>
      <c r="B1764" s="2" t="str">
        <f>"3251202108111637057555"</f>
        <v>3251202108111637057555</v>
      </c>
      <c r="C1764" s="2" t="s">
        <v>22</v>
      </c>
      <c r="D1764" s="2" t="str">
        <f>"陈仁锟"</f>
        <v>陈仁锟</v>
      </c>
      <c r="E1764" s="2" t="str">
        <f t="shared" si="49"/>
        <v>男</v>
      </c>
    </row>
    <row r="1765" spans="1:5" ht="14.4" x14ac:dyDescent="0.25">
      <c r="A1765" s="4">
        <v>1763</v>
      </c>
      <c r="B1765" s="2" t="str">
        <f>"3251202108111644307567"</f>
        <v>3251202108111644307567</v>
      </c>
      <c r="C1765" s="2" t="s">
        <v>22</v>
      </c>
      <c r="D1765" s="2" t="str">
        <f>"郭教尧"</f>
        <v>郭教尧</v>
      </c>
      <c r="E1765" s="2" t="str">
        <f t="shared" si="49"/>
        <v>男</v>
      </c>
    </row>
    <row r="1766" spans="1:5" ht="14.4" x14ac:dyDescent="0.25">
      <c r="A1766" s="4">
        <v>1764</v>
      </c>
      <c r="B1766" s="2" t="str">
        <f>"3251202108111648547573"</f>
        <v>3251202108111648547573</v>
      </c>
      <c r="C1766" s="2" t="s">
        <v>22</v>
      </c>
      <c r="D1766" s="2" t="str">
        <f>"周荣勋"</f>
        <v>周荣勋</v>
      </c>
      <c r="E1766" s="2" t="str">
        <f t="shared" si="49"/>
        <v>男</v>
      </c>
    </row>
    <row r="1767" spans="1:5" ht="14.4" x14ac:dyDescent="0.25">
      <c r="A1767" s="4">
        <v>1765</v>
      </c>
      <c r="B1767" s="2" t="str">
        <f>"3251202108111716307621"</f>
        <v>3251202108111716307621</v>
      </c>
      <c r="C1767" s="2" t="s">
        <v>22</v>
      </c>
      <c r="D1767" s="2" t="str">
        <f>"钱光耀"</f>
        <v>钱光耀</v>
      </c>
      <c r="E1767" s="2" t="str">
        <f t="shared" si="49"/>
        <v>男</v>
      </c>
    </row>
    <row r="1768" spans="1:5" ht="14.4" x14ac:dyDescent="0.25">
      <c r="A1768" s="4">
        <v>1766</v>
      </c>
      <c r="B1768" s="2" t="str">
        <f>"3251202108111717577625"</f>
        <v>3251202108111717577625</v>
      </c>
      <c r="C1768" s="2" t="s">
        <v>22</v>
      </c>
      <c r="D1768" s="2" t="str">
        <f>"容泉"</f>
        <v>容泉</v>
      </c>
      <c r="E1768" s="2" t="str">
        <f t="shared" si="49"/>
        <v>男</v>
      </c>
    </row>
    <row r="1769" spans="1:5" ht="14.4" x14ac:dyDescent="0.25">
      <c r="A1769" s="4">
        <v>1767</v>
      </c>
      <c r="B1769" s="2" t="str">
        <f>"3251202108111727317635"</f>
        <v>3251202108111727317635</v>
      </c>
      <c r="C1769" s="2" t="s">
        <v>22</v>
      </c>
      <c r="D1769" s="2" t="str">
        <f>"王杰"</f>
        <v>王杰</v>
      </c>
      <c r="E1769" s="2" t="str">
        <f t="shared" si="49"/>
        <v>男</v>
      </c>
    </row>
    <row r="1770" spans="1:5" ht="14.4" x14ac:dyDescent="0.25">
      <c r="A1770" s="4">
        <v>1768</v>
      </c>
      <c r="B1770" s="2" t="str">
        <f>"3251202108111808597698"</f>
        <v>3251202108111808597698</v>
      </c>
      <c r="C1770" s="2" t="s">
        <v>22</v>
      </c>
      <c r="D1770" s="2" t="str">
        <f>"蔡蕾"</f>
        <v>蔡蕾</v>
      </c>
      <c r="E1770" s="2" t="str">
        <f>"女"</f>
        <v>女</v>
      </c>
    </row>
    <row r="1771" spans="1:5" ht="14.4" x14ac:dyDescent="0.25">
      <c r="A1771" s="4">
        <v>1769</v>
      </c>
      <c r="B1771" s="2" t="str">
        <f>"3251202108111836487740"</f>
        <v>3251202108111836487740</v>
      </c>
      <c r="C1771" s="2" t="s">
        <v>22</v>
      </c>
      <c r="D1771" s="2" t="str">
        <f>"李克伟"</f>
        <v>李克伟</v>
      </c>
      <c r="E1771" s="2" t="str">
        <f>"男"</f>
        <v>男</v>
      </c>
    </row>
    <row r="1772" spans="1:5" ht="14.4" x14ac:dyDescent="0.25">
      <c r="A1772" s="4">
        <v>1770</v>
      </c>
      <c r="B1772" s="2" t="str">
        <f>"3251202108111849577763"</f>
        <v>3251202108111849577763</v>
      </c>
      <c r="C1772" s="2" t="s">
        <v>22</v>
      </c>
      <c r="D1772" s="2" t="str">
        <f>"寇玉"</f>
        <v>寇玉</v>
      </c>
      <c r="E1772" s="2" t="str">
        <f>"女"</f>
        <v>女</v>
      </c>
    </row>
    <row r="1773" spans="1:5" ht="14.4" x14ac:dyDescent="0.25">
      <c r="A1773" s="4">
        <v>1771</v>
      </c>
      <c r="B1773" s="2" t="str">
        <f>"3251202108111855267766"</f>
        <v>3251202108111855267766</v>
      </c>
      <c r="C1773" s="2" t="s">
        <v>22</v>
      </c>
      <c r="D1773" s="2" t="str">
        <f>"谢俊义"</f>
        <v>谢俊义</v>
      </c>
      <c r="E1773" s="2" t="str">
        <f>"男"</f>
        <v>男</v>
      </c>
    </row>
    <row r="1774" spans="1:5" ht="14.4" x14ac:dyDescent="0.25">
      <c r="A1774" s="4">
        <v>1772</v>
      </c>
      <c r="B1774" s="2" t="str">
        <f>"3251202108111911447779"</f>
        <v>3251202108111911447779</v>
      </c>
      <c r="C1774" s="2" t="s">
        <v>22</v>
      </c>
      <c r="D1774" s="2" t="str">
        <f>"邓义雪"</f>
        <v>邓义雪</v>
      </c>
      <c r="E1774" s="2" t="str">
        <f>"女"</f>
        <v>女</v>
      </c>
    </row>
    <row r="1775" spans="1:5" ht="14.4" x14ac:dyDescent="0.25">
      <c r="A1775" s="4">
        <v>1773</v>
      </c>
      <c r="B1775" s="2" t="str">
        <f>"3251202108111921587788"</f>
        <v>3251202108111921587788</v>
      </c>
      <c r="C1775" s="2" t="s">
        <v>22</v>
      </c>
      <c r="D1775" s="2" t="str">
        <f>"林扬超"</f>
        <v>林扬超</v>
      </c>
      <c r="E1775" s="2" t="str">
        <f>"男"</f>
        <v>男</v>
      </c>
    </row>
    <row r="1776" spans="1:5" ht="14.4" x14ac:dyDescent="0.25">
      <c r="A1776" s="4">
        <v>1774</v>
      </c>
      <c r="B1776" s="2" t="str">
        <f>"3251202108111943157815"</f>
        <v>3251202108111943157815</v>
      </c>
      <c r="C1776" s="2" t="s">
        <v>22</v>
      </c>
      <c r="D1776" s="2" t="str">
        <f>"张浩然"</f>
        <v>张浩然</v>
      </c>
      <c r="E1776" s="2" t="str">
        <f>"男"</f>
        <v>男</v>
      </c>
    </row>
    <row r="1777" spans="1:5" ht="14.4" x14ac:dyDescent="0.25">
      <c r="A1777" s="4">
        <v>1775</v>
      </c>
      <c r="B1777" s="2" t="str">
        <f>"3251202108111953067833"</f>
        <v>3251202108111953067833</v>
      </c>
      <c r="C1777" s="2" t="s">
        <v>22</v>
      </c>
      <c r="D1777" s="2" t="str">
        <f>"王振宇"</f>
        <v>王振宇</v>
      </c>
      <c r="E1777" s="2" t="str">
        <f>"男"</f>
        <v>男</v>
      </c>
    </row>
    <row r="1778" spans="1:5" ht="14.4" x14ac:dyDescent="0.25">
      <c r="A1778" s="4">
        <v>1776</v>
      </c>
      <c r="B1778" s="2" t="str">
        <f>"3251202108111956367836"</f>
        <v>3251202108111956367836</v>
      </c>
      <c r="C1778" s="2" t="s">
        <v>22</v>
      </c>
      <c r="D1778" s="2" t="str">
        <f>"林泽"</f>
        <v>林泽</v>
      </c>
      <c r="E1778" s="2" t="str">
        <f>"女"</f>
        <v>女</v>
      </c>
    </row>
    <row r="1779" spans="1:5" ht="14.4" x14ac:dyDescent="0.25">
      <c r="A1779" s="4">
        <v>1777</v>
      </c>
      <c r="B1779" s="2" t="str">
        <f>"3251202108112007097849"</f>
        <v>3251202108112007097849</v>
      </c>
      <c r="C1779" s="2" t="s">
        <v>22</v>
      </c>
      <c r="D1779" s="2" t="str">
        <f>"王祉平"</f>
        <v>王祉平</v>
      </c>
      <c r="E1779" s="2" t="str">
        <f>"男"</f>
        <v>男</v>
      </c>
    </row>
    <row r="1780" spans="1:5" ht="14.4" x14ac:dyDescent="0.25">
      <c r="A1780" s="4">
        <v>1778</v>
      </c>
      <c r="B1780" s="2" t="str">
        <f>"3251202108112045077903"</f>
        <v>3251202108112045077903</v>
      </c>
      <c r="C1780" s="2" t="s">
        <v>22</v>
      </c>
      <c r="D1780" s="2" t="str">
        <f>"郑远良"</f>
        <v>郑远良</v>
      </c>
      <c r="E1780" s="2" t="str">
        <f>"男"</f>
        <v>男</v>
      </c>
    </row>
    <row r="1781" spans="1:5" ht="14.4" x14ac:dyDescent="0.25">
      <c r="A1781" s="4">
        <v>1779</v>
      </c>
      <c r="B1781" s="2" t="str">
        <f>"3251202108112045307906"</f>
        <v>3251202108112045307906</v>
      </c>
      <c r="C1781" s="2" t="s">
        <v>22</v>
      </c>
      <c r="D1781" s="2" t="str">
        <f>"吴晓倩"</f>
        <v>吴晓倩</v>
      </c>
      <c r="E1781" s="2" t="str">
        <f>"女"</f>
        <v>女</v>
      </c>
    </row>
    <row r="1782" spans="1:5" ht="14.4" x14ac:dyDescent="0.25">
      <c r="A1782" s="4">
        <v>1780</v>
      </c>
      <c r="B1782" s="2" t="str">
        <f>"3251202108112104047941"</f>
        <v>3251202108112104047941</v>
      </c>
      <c r="C1782" s="2" t="s">
        <v>22</v>
      </c>
      <c r="D1782" s="2" t="str">
        <f>"蔡沾敏"</f>
        <v>蔡沾敏</v>
      </c>
      <c r="E1782" s="2" t="str">
        <f>"男"</f>
        <v>男</v>
      </c>
    </row>
    <row r="1783" spans="1:5" ht="14.4" x14ac:dyDescent="0.25">
      <c r="A1783" s="4">
        <v>1781</v>
      </c>
      <c r="B1783" s="2" t="str">
        <f>"3251202108112114397953"</f>
        <v>3251202108112114397953</v>
      </c>
      <c r="C1783" s="2" t="s">
        <v>22</v>
      </c>
      <c r="D1783" s="2" t="str">
        <f>"吕秀娥"</f>
        <v>吕秀娥</v>
      </c>
      <c r="E1783" s="2" t="str">
        <f>"女"</f>
        <v>女</v>
      </c>
    </row>
    <row r="1784" spans="1:5" ht="14.4" x14ac:dyDescent="0.25">
      <c r="A1784" s="4">
        <v>1782</v>
      </c>
      <c r="B1784" s="2" t="str">
        <f>"3251202108112118397959"</f>
        <v>3251202108112118397959</v>
      </c>
      <c r="C1784" s="2" t="s">
        <v>22</v>
      </c>
      <c r="D1784" s="2" t="str">
        <f>"林森"</f>
        <v>林森</v>
      </c>
      <c r="E1784" s="2" t="str">
        <f>"男"</f>
        <v>男</v>
      </c>
    </row>
    <row r="1785" spans="1:5" ht="14.4" x14ac:dyDescent="0.25">
      <c r="A1785" s="4">
        <v>1783</v>
      </c>
      <c r="B1785" s="2" t="str">
        <f>"3251202108112127147979"</f>
        <v>3251202108112127147979</v>
      </c>
      <c r="C1785" s="2" t="s">
        <v>22</v>
      </c>
      <c r="D1785" s="2" t="str">
        <f>"何惠高"</f>
        <v>何惠高</v>
      </c>
      <c r="E1785" s="2" t="str">
        <f>"男"</f>
        <v>男</v>
      </c>
    </row>
    <row r="1786" spans="1:5" ht="14.4" x14ac:dyDescent="0.25">
      <c r="A1786" s="4">
        <v>1784</v>
      </c>
      <c r="B1786" s="2" t="str">
        <f>"3251202108112142058002"</f>
        <v>3251202108112142058002</v>
      </c>
      <c r="C1786" s="2" t="s">
        <v>22</v>
      </c>
      <c r="D1786" s="2" t="str">
        <f>"许曾强"</f>
        <v>许曾强</v>
      </c>
      <c r="E1786" s="2" t="str">
        <f>"男"</f>
        <v>男</v>
      </c>
    </row>
    <row r="1787" spans="1:5" ht="14.4" x14ac:dyDescent="0.25">
      <c r="A1787" s="4">
        <v>1785</v>
      </c>
      <c r="B1787" s="2" t="str">
        <f>"3251202108112215598045"</f>
        <v>3251202108112215598045</v>
      </c>
      <c r="C1787" s="2" t="s">
        <v>22</v>
      </c>
      <c r="D1787" s="2" t="str">
        <f>"张成"</f>
        <v>张成</v>
      </c>
      <c r="E1787" s="2" t="str">
        <f>"男"</f>
        <v>男</v>
      </c>
    </row>
    <row r="1788" spans="1:5" ht="14.4" x14ac:dyDescent="0.25">
      <c r="A1788" s="4">
        <v>1786</v>
      </c>
      <c r="B1788" s="2" t="str">
        <f>"3251202108112227138061"</f>
        <v>3251202108112227138061</v>
      </c>
      <c r="C1788" s="2" t="s">
        <v>22</v>
      </c>
      <c r="D1788" s="2" t="str">
        <f>"邓永晓"</f>
        <v>邓永晓</v>
      </c>
      <c r="E1788" s="2" t="str">
        <f>"女"</f>
        <v>女</v>
      </c>
    </row>
    <row r="1789" spans="1:5" ht="14.4" x14ac:dyDescent="0.25">
      <c r="A1789" s="4">
        <v>1787</v>
      </c>
      <c r="B1789" s="2" t="str">
        <f>"3251202108112235168077"</f>
        <v>3251202108112235168077</v>
      </c>
      <c r="C1789" s="2" t="s">
        <v>22</v>
      </c>
      <c r="D1789" s="2" t="str">
        <f>"符贝贝"</f>
        <v>符贝贝</v>
      </c>
      <c r="E1789" s="2" t="str">
        <f>"女"</f>
        <v>女</v>
      </c>
    </row>
    <row r="1790" spans="1:5" ht="14.4" x14ac:dyDescent="0.25">
      <c r="A1790" s="4">
        <v>1788</v>
      </c>
      <c r="B1790" s="2" t="str">
        <f>"3251202108120031218155"</f>
        <v>3251202108120031218155</v>
      </c>
      <c r="C1790" s="2" t="s">
        <v>22</v>
      </c>
      <c r="D1790" s="2" t="str">
        <f>"曾造邦"</f>
        <v>曾造邦</v>
      </c>
      <c r="E1790" s="2" t="str">
        <f>"男"</f>
        <v>男</v>
      </c>
    </row>
    <row r="1791" spans="1:5" ht="14.4" x14ac:dyDescent="0.25">
      <c r="A1791" s="4">
        <v>1789</v>
      </c>
      <c r="B1791" s="2" t="str">
        <f>"3251202108120850258227"</f>
        <v>3251202108120850258227</v>
      </c>
      <c r="C1791" s="2" t="s">
        <v>22</v>
      </c>
      <c r="D1791" s="2" t="str">
        <f>"李遗冠"</f>
        <v>李遗冠</v>
      </c>
      <c r="E1791" s="2" t="str">
        <f>"男"</f>
        <v>男</v>
      </c>
    </row>
    <row r="1792" spans="1:5" ht="14.4" x14ac:dyDescent="0.25">
      <c r="A1792" s="4">
        <v>1790</v>
      </c>
      <c r="B1792" s="2" t="str">
        <f>"3251202108120933318340"</f>
        <v>3251202108120933318340</v>
      </c>
      <c r="C1792" s="2" t="s">
        <v>22</v>
      </c>
      <c r="D1792" s="2" t="str">
        <f>"王嘉佳"</f>
        <v>王嘉佳</v>
      </c>
      <c r="E1792" s="2" t="str">
        <f>"女"</f>
        <v>女</v>
      </c>
    </row>
    <row r="1793" spans="1:5" ht="14.4" x14ac:dyDescent="0.25">
      <c r="A1793" s="4">
        <v>1791</v>
      </c>
      <c r="B1793" s="2" t="str">
        <f>"3251202108121020378449"</f>
        <v>3251202108121020378449</v>
      </c>
      <c r="C1793" s="2" t="s">
        <v>22</v>
      </c>
      <c r="D1793" s="2" t="str">
        <f>"陈保杉"</f>
        <v>陈保杉</v>
      </c>
      <c r="E1793" s="2" t="str">
        <f>"男"</f>
        <v>男</v>
      </c>
    </row>
    <row r="1794" spans="1:5" ht="14.4" x14ac:dyDescent="0.25">
      <c r="A1794" s="4">
        <v>1792</v>
      </c>
      <c r="B1794" s="2" t="str">
        <f>"3251202108121040208488"</f>
        <v>3251202108121040208488</v>
      </c>
      <c r="C1794" s="2" t="s">
        <v>22</v>
      </c>
      <c r="D1794" s="2" t="str">
        <f>"谢佑育"</f>
        <v>谢佑育</v>
      </c>
      <c r="E1794" s="2" t="str">
        <f>"男"</f>
        <v>男</v>
      </c>
    </row>
    <row r="1795" spans="1:5" ht="14.4" x14ac:dyDescent="0.25">
      <c r="A1795" s="4">
        <v>1793</v>
      </c>
      <c r="B1795" s="2" t="str">
        <f>"3251202108121046478508"</f>
        <v>3251202108121046478508</v>
      </c>
      <c r="C1795" s="2" t="s">
        <v>22</v>
      </c>
      <c r="D1795" s="2" t="str">
        <f>"黄惠东"</f>
        <v>黄惠东</v>
      </c>
      <c r="E1795" s="2" t="str">
        <f>"男"</f>
        <v>男</v>
      </c>
    </row>
    <row r="1796" spans="1:5" ht="14.4" x14ac:dyDescent="0.25">
      <c r="A1796" s="4">
        <v>1794</v>
      </c>
      <c r="B1796" s="2" t="str">
        <f>"3251202108121155498629"</f>
        <v>3251202108121155498629</v>
      </c>
      <c r="C1796" s="2" t="s">
        <v>22</v>
      </c>
      <c r="D1796" s="2" t="str">
        <f>"何月玲"</f>
        <v>何月玲</v>
      </c>
      <c r="E1796" s="2" t="str">
        <f>"女"</f>
        <v>女</v>
      </c>
    </row>
    <row r="1797" spans="1:5" ht="14.4" x14ac:dyDescent="0.25">
      <c r="A1797" s="4">
        <v>1795</v>
      </c>
      <c r="B1797" s="2" t="str">
        <f>"3251202108121156498630"</f>
        <v>3251202108121156498630</v>
      </c>
      <c r="C1797" s="2" t="s">
        <v>22</v>
      </c>
      <c r="D1797" s="2" t="str">
        <f>"林魁鹏"</f>
        <v>林魁鹏</v>
      </c>
      <c r="E1797" s="2" t="str">
        <f>"男"</f>
        <v>男</v>
      </c>
    </row>
    <row r="1798" spans="1:5" ht="14.4" x14ac:dyDescent="0.25">
      <c r="A1798" s="4">
        <v>1796</v>
      </c>
      <c r="B1798" s="2" t="str">
        <f>"3251202108121203058637"</f>
        <v>3251202108121203058637</v>
      </c>
      <c r="C1798" s="2" t="s">
        <v>22</v>
      </c>
      <c r="D1798" s="2" t="str">
        <f>"何俊儒"</f>
        <v>何俊儒</v>
      </c>
      <c r="E1798" s="2" t="str">
        <f>"男"</f>
        <v>男</v>
      </c>
    </row>
    <row r="1799" spans="1:5" ht="14.4" x14ac:dyDescent="0.25">
      <c r="A1799" s="4">
        <v>1797</v>
      </c>
      <c r="B1799" s="2" t="str">
        <f>"3251202108121305108702"</f>
        <v>3251202108121305108702</v>
      </c>
      <c r="C1799" s="2" t="s">
        <v>22</v>
      </c>
      <c r="D1799" s="2" t="str">
        <f>"吴水明"</f>
        <v>吴水明</v>
      </c>
      <c r="E1799" s="2" t="str">
        <f>"女"</f>
        <v>女</v>
      </c>
    </row>
    <row r="1800" spans="1:5" ht="14.4" x14ac:dyDescent="0.25">
      <c r="A1800" s="4">
        <v>1798</v>
      </c>
      <c r="B1800" s="2" t="str">
        <f>"3251202108121317028717"</f>
        <v>3251202108121317028717</v>
      </c>
      <c r="C1800" s="2" t="s">
        <v>22</v>
      </c>
      <c r="D1800" s="2" t="str">
        <f>"潘家鹏"</f>
        <v>潘家鹏</v>
      </c>
      <c r="E1800" s="2" t="str">
        <f>"男"</f>
        <v>男</v>
      </c>
    </row>
    <row r="1801" spans="1:5" ht="14.4" x14ac:dyDescent="0.25">
      <c r="A1801" s="4">
        <v>1799</v>
      </c>
      <c r="B1801" s="2" t="str">
        <f>"3251202108121434078802"</f>
        <v>3251202108121434078802</v>
      </c>
      <c r="C1801" s="2" t="s">
        <v>22</v>
      </c>
      <c r="D1801" s="2" t="str">
        <f>"邓梓燊"</f>
        <v>邓梓燊</v>
      </c>
      <c r="E1801" s="2" t="str">
        <f>"男"</f>
        <v>男</v>
      </c>
    </row>
    <row r="1802" spans="1:5" ht="14.4" x14ac:dyDescent="0.25">
      <c r="A1802" s="4">
        <v>1800</v>
      </c>
      <c r="B1802" s="2" t="str">
        <f>"3251202108121507568862"</f>
        <v>3251202108121507568862</v>
      </c>
      <c r="C1802" s="2" t="s">
        <v>22</v>
      </c>
      <c r="D1802" s="2" t="str">
        <f>"谢婷婷"</f>
        <v>谢婷婷</v>
      </c>
      <c r="E1802" s="2" t="str">
        <f>"女"</f>
        <v>女</v>
      </c>
    </row>
    <row r="1803" spans="1:5" ht="14.4" x14ac:dyDescent="0.25">
      <c r="A1803" s="4">
        <v>1801</v>
      </c>
      <c r="B1803" s="2" t="str">
        <f>"3251202108121532208916"</f>
        <v>3251202108121532208916</v>
      </c>
      <c r="C1803" s="2" t="s">
        <v>22</v>
      </c>
      <c r="D1803" s="2" t="str">
        <f>"黎汉时"</f>
        <v>黎汉时</v>
      </c>
      <c r="E1803" s="2" t="str">
        <f>"男"</f>
        <v>男</v>
      </c>
    </row>
    <row r="1804" spans="1:5" ht="14.4" x14ac:dyDescent="0.25">
      <c r="A1804" s="4">
        <v>1802</v>
      </c>
      <c r="B1804" s="2" t="str">
        <f>"3251202108121556048962"</f>
        <v>3251202108121556048962</v>
      </c>
      <c r="C1804" s="2" t="s">
        <v>22</v>
      </c>
      <c r="D1804" s="2" t="str">
        <f>"童程伟"</f>
        <v>童程伟</v>
      </c>
      <c r="E1804" s="2" t="str">
        <f>"男"</f>
        <v>男</v>
      </c>
    </row>
    <row r="1805" spans="1:5" ht="14.4" x14ac:dyDescent="0.25">
      <c r="A1805" s="4">
        <v>1803</v>
      </c>
      <c r="B1805" s="2" t="str">
        <f>"3251202108121559578972"</f>
        <v>3251202108121559578972</v>
      </c>
      <c r="C1805" s="2" t="s">
        <v>22</v>
      </c>
      <c r="D1805" s="2" t="str">
        <f>"文斌"</f>
        <v>文斌</v>
      </c>
      <c r="E1805" s="2" t="str">
        <f>"男"</f>
        <v>男</v>
      </c>
    </row>
    <row r="1806" spans="1:5" ht="14.4" x14ac:dyDescent="0.25">
      <c r="A1806" s="4">
        <v>1804</v>
      </c>
      <c r="B1806" s="2" t="str">
        <f>"3251202108121608018986"</f>
        <v>3251202108121608018986</v>
      </c>
      <c r="C1806" s="2" t="s">
        <v>22</v>
      </c>
      <c r="D1806" s="2" t="str">
        <f>"吴淑敏"</f>
        <v>吴淑敏</v>
      </c>
      <c r="E1806" s="2" t="str">
        <f>"女"</f>
        <v>女</v>
      </c>
    </row>
    <row r="1807" spans="1:5" ht="14.4" x14ac:dyDescent="0.25">
      <c r="A1807" s="4">
        <v>1805</v>
      </c>
      <c r="B1807" s="2" t="str">
        <f>"3251202108121616028998"</f>
        <v>3251202108121616028998</v>
      </c>
      <c r="C1807" s="2" t="s">
        <v>22</v>
      </c>
      <c r="D1807" s="2" t="str">
        <f>"符说武"</f>
        <v>符说武</v>
      </c>
      <c r="E1807" s="2" t="str">
        <f>"男"</f>
        <v>男</v>
      </c>
    </row>
    <row r="1808" spans="1:5" ht="14.4" x14ac:dyDescent="0.25">
      <c r="A1808" s="4">
        <v>1806</v>
      </c>
      <c r="B1808" s="2" t="str">
        <f>"3251202108121626399019"</f>
        <v>3251202108121626399019</v>
      </c>
      <c r="C1808" s="2" t="s">
        <v>22</v>
      </c>
      <c r="D1808" s="2" t="str">
        <f>"谢黎明"</f>
        <v>谢黎明</v>
      </c>
      <c r="E1808" s="2" t="str">
        <f>"男"</f>
        <v>男</v>
      </c>
    </row>
    <row r="1809" spans="1:5" ht="14.4" x14ac:dyDescent="0.25">
      <c r="A1809" s="4">
        <v>1807</v>
      </c>
      <c r="B1809" s="2" t="str">
        <f>"3251202108121645589041"</f>
        <v>3251202108121645589041</v>
      </c>
      <c r="C1809" s="2" t="s">
        <v>22</v>
      </c>
      <c r="D1809" s="2" t="str">
        <f>"林尤健"</f>
        <v>林尤健</v>
      </c>
      <c r="E1809" s="2" t="str">
        <f>"男"</f>
        <v>男</v>
      </c>
    </row>
    <row r="1810" spans="1:5" ht="14.4" x14ac:dyDescent="0.25">
      <c r="A1810" s="4">
        <v>1808</v>
      </c>
      <c r="B1810" s="2" t="str">
        <f>"3251202108121705119073"</f>
        <v>3251202108121705119073</v>
      </c>
      <c r="C1810" s="2" t="s">
        <v>22</v>
      </c>
      <c r="D1810" s="2" t="str">
        <f>"陈安洋"</f>
        <v>陈安洋</v>
      </c>
      <c r="E1810" s="2" t="str">
        <f>"男"</f>
        <v>男</v>
      </c>
    </row>
    <row r="1811" spans="1:5" ht="14.4" x14ac:dyDescent="0.25">
      <c r="A1811" s="4">
        <v>1809</v>
      </c>
      <c r="B1811" s="2" t="str">
        <f>"3251202108121741469126"</f>
        <v>3251202108121741469126</v>
      </c>
      <c r="C1811" s="2" t="s">
        <v>22</v>
      </c>
      <c r="D1811" s="2" t="str">
        <f>"黄瑞明"</f>
        <v>黄瑞明</v>
      </c>
      <c r="E1811" s="2" t="str">
        <f>"男"</f>
        <v>男</v>
      </c>
    </row>
    <row r="1812" spans="1:5" ht="14.4" x14ac:dyDescent="0.25">
      <c r="A1812" s="4">
        <v>1810</v>
      </c>
      <c r="B1812" s="2" t="str">
        <f>"3251202108121832199177"</f>
        <v>3251202108121832199177</v>
      </c>
      <c r="C1812" s="2" t="s">
        <v>22</v>
      </c>
      <c r="D1812" s="2" t="str">
        <f>"符艳菲"</f>
        <v>符艳菲</v>
      </c>
      <c r="E1812" s="2" t="str">
        <f>"女"</f>
        <v>女</v>
      </c>
    </row>
    <row r="1813" spans="1:5" ht="14.4" x14ac:dyDescent="0.25">
      <c r="A1813" s="4">
        <v>1811</v>
      </c>
      <c r="B1813" s="2" t="str">
        <f>"3251202108121910029211"</f>
        <v>3251202108121910029211</v>
      </c>
      <c r="C1813" s="2" t="s">
        <v>22</v>
      </c>
      <c r="D1813" s="2" t="str">
        <f>"符定高"</f>
        <v>符定高</v>
      </c>
      <c r="E1813" s="2" t="str">
        <f t="shared" ref="E1813:E1829" si="50">"男"</f>
        <v>男</v>
      </c>
    </row>
    <row r="1814" spans="1:5" ht="14.4" x14ac:dyDescent="0.25">
      <c r="A1814" s="4">
        <v>1812</v>
      </c>
      <c r="B1814" s="2" t="str">
        <f>"3251202108122035519278"</f>
        <v>3251202108122035519278</v>
      </c>
      <c r="C1814" s="2" t="s">
        <v>22</v>
      </c>
      <c r="D1814" s="2" t="str">
        <f>"蔡世威 "</f>
        <v xml:space="preserve">蔡世威 </v>
      </c>
      <c r="E1814" s="2" t="str">
        <f t="shared" si="50"/>
        <v>男</v>
      </c>
    </row>
    <row r="1815" spans="1:5" ht="14.4" x14ac:dyDescent="0.25">
      <c r="A1815" s="4">
        <v>1813</v>
      </c>
      <c r="B1815" s="2" t="str">
        <f>"3251202108122057299307"</f>
        <v>3251202108122057299307</v>
      </c>
      <c r="C1815" s="2" t="s">
        <v>22</v>
      </c>
      <c r="D1815" s="2" t="str">
        <f>"刘广学"</f>
        <v>刘广学</v>
      </c>
      <c r="E1815" s="2" t="str">
        <f t="shared" si="50"/>
        <v>男</v>
      </c>
    </row>
    <row r="1816" spans="1:5" ht="14.4" x14ac:dyDescent="0.25">
      <c r="A1816" s="4">
        <v>1814</v>
      </c>
      <c r="B1816" s="2" t="str">
        <f>"3251202108122145329359"</f>
        <v>3251202108122145329359</v>
      </c>
      <c r="C1816" s="2" t="s">
        <v>22</v>
      </c>
      <c r="D1816" s="2" t="str">
        <f>"苏小树"</f>
        <v>苏小树</v>
      </c>
      <c r="E1816" s="2" t="str">
        <f t="shared" si="50"/>
        <v>男</v>
      </c>
    </row>
    <row r="1817" spans="1:5" ht="14.4" x14ac:dyDescent="0.25">
      <c r="A1817" s="4">
        <v>1815</v>
      </c>
      <c r="B1817" s="2" t="str">
        <f>"3251202108122232449404"</f>
        <v>3251202108122232449404</v>
      </c>
      <c r="C1817" s="2" t="s">
        <v>22</v>
      </c>
      <c r="D1817" s="2" t="str">
        <f>"邢王秀"</f>
        <v>邢王秀</v>
      </c>
      <c r="E1817" s="2" t="str">
        <f t="shared" si="50"/>
        <v>男</v>
      </c>
    </row>
    <row r="1818" spans="1:5" ht="14.4" x14ac:dyDescent="0.25">
      <c r="A1818" s="4">
        <v>1816</v>
      </c>
      <c r="B1818" s="2" t="str">
        <f>"3251202108122303209429"</f>
        <v>3251202108122303209429</v>
      </c>
      <c r="C1818" s="2" t="s">
        <v>22</v>
      </c>
      <c r="D1818" s="2" t="str">
        <f>"张世斌"</f>
        <v>张世斌</v>
      </c>
      <c r="E1818" s="2" t="str">
        <f t="shared" si="50"/>
        <v>男</v>
      </c>
    </row>
    <row r="1819" spans="1:5" ht="14.4" x14ac:dyDescent="0.25">
      <c r="A1819" s="4">
        <v>1817</v>
      </c>
      <c r="B1819" s="2" t="str">
        <f>"3251202108122307429436"</f>
        <v>3251202108122307429436</v>
      </c>
      <c r="C1819" s="2" t="s">
        <v>22</v>
      </c>
      <c r="D1819" s="2" t="str">
        <f>"罗杰"</f>
        <v>罗杰</v>
      </c>
      <c r="E1819" s="2" t="str">
        <f t="shared" si="50"/>
        <v>男</v>
      </c>
    </row>
    <row r="1820" spans="1:5" ht="14.4" x14ac:dyDescent="0.25">
      <c r="A1820" s="4">
        <v>1818</v>
      </c>
      <c r="B1820" s="2" t="str">
        <f>"3251202108130820519505"</f>
        <v>3251202108130820519505</v>
      </c>
      <c r="C1820" s="2" t="s">
        <v>22</v>
      </c>
      <c r="D1820" s="2" t="str">
        <f>"符玉琼"</f>
        <v>符玉琼</v>
      </c>
      <c r="E1820" s="2" t="str">
        <f t="shared" si="50"/>
        <v>男</v>
      </c>
    </row>
    <row r="1821" spans="1:5" ht="14.4" x14ac:dyDescent="0.25">
      <c r="A1821" s="4">
        <v>1819</v>
      </c>
      <c r="B1821" s="2" t="str">
        <f>"3251202108130826259509"</f>
        <v>3251202108130826259509</v>
      </c>
      <c r="C1821" s="2" t="s">
        <v>22</v>
      </c>
      <c r="D1821" s="2" t="str">
        <f>"符传明"</f>
        <v>符传明</v>
      </c>
      <c r="E1821" s="2" t="str">
        <f t="shared" si="50"/>
        <v>男</v>
      </c>
    </row>
    <row r="1822" spans="1:5" ht="14.4" x14ac:dyDescent="0.25">
      <c r="A1822" s="4">
        <v>1820</v>
      </c>
      <c r="B1822" s="2" t="str">
        <f>"3251202108130834499517"</f>
        <v>3251202108130834499517</v>
      </c>
      <c r="C1822" s="2" t="s">
        <v>22</v>
      </c>
      <c r="D1822" s="2" t="str">
        <f>"刘镇源"</f>
        <v>刘镇源</v>
      </c>
      <c r="E1822" s="2" t="str">
        <f t="shared" si="50"/>
        <v>男</v>
      </c>
    </row>
    <row r="1823" spans="1:5" ht="14.4" x14ac:dyDescent="0.25">
      <c r="A1823" s="4">
        <v>1821</v>
      </c>
      <c r="B1823" s="2" t="str">
        <f>"3251202108130912159557"</f>
        <v>3251202108130912159557</v>
      </c>
      <c r="C1823" s="2" t="s">
        <v>22</v>
      </c>
      <c r="D1823" s="2" t="str">
        <f>"黄昌贵"</f>
        <v>黄昌贵</v>
      </c>
      <c r="E1823" s="2" t="str">
        <f t="shared" si="50"/>
        <v>男</v>
      </c>
    </row>
    <row r="1824" spans="1:5" ht="14.4" x14ac:dyDescent="0.25">
      <c r="A1824" s="4">
        <v>1822</v>
      </c>
      <c r="B1824" s="2" t="str">
        <f>"3251202108130933279587"</f>
        <v>3251202108130933279587</v>
      </c>
      <c r="C1824" s="2" t="s">
        <v>22</v>
      </c>
      <c r="D1824" s="2" t="str">
        <f>"张苏华"</f>
        <v>张苏华</v>
      </c>
      <c r="E1824" s="2" t="str">
        <f t="shared" si="50"/>
        <v>男</v>
      </c>
    </row>
    <row r="1825" spans="1:5" ht="14.4" x14ac:dyDescent="0.25">
      <c r="A1825" s="4">
        <v>1823</v>
      </c>
      <c r="B1825" s="2" t="str">
        <f>"3251202108130953499614"</f>
        <v>3251202108130953499614</v>
      </c>
      <c r="C1825" s="2" t="s">
        <v>22</v>
      </c>
      <c r="D1825" s="2" t="str">
        <f>"符传栋"</f>
        <v>符传栋</v>
      </c>
      <c r="E1825" s="2" t="str">
        <f t="shared" si="50"/>
        <v>男</v>
      </c>
    </row>
    <row r="1826" spans="1:5" ht="14.4" x14ac:dyDescent="0.25">
      <c r="A1826" s="4">
        <v>1824</v>
      </c>
      <c r="B1826" s="2" t="str">
        <f>"3251202108131011289630"</f>
        <v>3251202108131011289630</v>
      </c>
      <c r="C1826" s="2" t="s">
        <v>22</v>
      </c>
      <c r="D1826" s="2" t="str">
        <f>"王清布"</f>
        <v>王清布</v>
      </c>
      <c r="E1826" s="2" t="str">
        <f t="shared" si="50"/>
        <v>男</v>
      </c>
    </row>
    <row r="1827" spans="1:5" ht="14.4" x14ac:dyDescent="0.25">
      <c r="A1827" s="4">
        <v>1825</v>
      </c>
      <c r="B1827" s="2" t="str">
        <f>"3251202108131157299785"</f>
        <v>3251202108131157299785</v>
      </c>
      <c r="C1827" s="2" t="s">
        <v>22</v>
      </c>
      <c r="D1827" s="2" t="str">
        <f>"黄俊铠"</f>
        <v>黄俊铠</v>
      </c>
      <c r="E1827" s="2" t="str">
        <f t="shared" si="50"/>
        <v>男</v>
      </c>
    </row>
    <row r="1828" spans="1:5" ht="14.4" x14ac:dyDescent="0.25">
      <c r="A1828" s="4">
        <v>1826</v>
      </c>
      <c r="B1828" s="2" t="str">
        <f>"3251202108131235589807"</f>
        <v>3251202108131235589807</v>
      </c>
      <c r="C1828" s="2" t="s">
        <v>22</v>
      </c>
      <c r="D1828" s="2" t="str">
        <f>"蔡崇法"</f>
        <v>蔡崇法</v>
      </c>
      <c r="E1828" s="2" t="str">
        <f t="shared" si="50"/>
        <v>男</v>
      </c>
    </row>
    <row r="1829" spans="1:5" ht="14.4" x14ac:dyDescent="0.25">
      <c r="A1829" s="4">
        <v>1827</v>
      </c>
      <c r="B1829" s="2" t="str">
        <f>"3251202108131433119883"</f>
        <v>3251202108131433119883</v>
      </c>
      <c r="C1829" s="2" t="s">
        <v>22</v>
      </c>
      <c r="D1829" s="2" t="str">
        <f>"钟鸾凤"</f>
        <v>钟鸾凤</v>
      </c>
      <c r="E1829" s="2" t="str">
        <f t="shared" si="50"/>
        <v>男</v>
      </c>
    </row>
    <row r="1830" spans="1:5" ht="14.4" x14ac:dyDescent="0.25">
      <c r="A1830" s="4">
        <v>1828</v>
      </c>
      <c r="B1830" s="2" t="str">
        <f>"32512021081316460410055"</f>
        <v>32512021081316460410055</v>
      </c>
      <c r="C1830" s="2" t="s">
        <v>22</v>
      </c>
      <c r="D1830" s="2" t="str">
        <f>"符小妹"</f>
        <v>符小妹</v>
      </c>
      <c r="E1830" s="2" t="str">
        <f>"女"</f>
        <v>女</v>
      </c>
    </row>
    <row r="1831" spans="1:5" ht="14.4" x14ac:dyDescent="0.25">
      <c r="A1831" s="4">
        <v>1829</v>
      </c>
      <c r="B1831" s="2" t="str">
        <f>"32512021081316475810061"</f>
        <v>32512021081316475810061</v>
      </c>
      <c r="C1831" s="2" t="s">
        <v>22</v>
      </c>
      <c r="D1831" s="2" t="str">
        <f>"赵廷涛"</f>
        <v>赵廷涛</v>
      </c>
      <c r="E1831" s="2" t="str">
        <f t="shared" ref="E1831:E1837" si="51">"男"</f>
        <v>男</v>
      </c>
    </row>
    <row r="1832" spans="1:5" ht="14.4" x14ac:dyDescent="0.25">
      <c r="A1832" s="4">
        <v>1830</v>
      </c>
      <c r="B1832" s="2" t="str">
        <f>"32512021081317443610127"</f>
        <v>32512021081317443610127</v>
      </c>
      <c r="C1832" s="2" t="s">
        <v>22</v>
      </c>
      <c r="D1832" s="2" t="str">
        <f>"林志能"</f>
        <v>林志能</v>
      </c>
      <c r="E1832" s="2" t="str">
        <f t="shared" si="51"/>
        <v>男</v>
      </c>
    </row>
    <row r="1833" spans="1:5" ht="14.4" x14ac:dyDescent="0.25">
      <c r="A1833" s="4">
        <v>1831</v>
      </c>
      <c r="B1833" s="2" t="str">
        <f>"32512021081318002210139"</f>
        <v>32512021081318002210139</v>
      </c>
      <c r="C1833" s="2" t="s">
        <v>22</v>
      </c>
      <c r="D1833" s="2" t="str">
        <f>"王子鑫"</f>
        <v>王子鑫</v>
      </c>
      <c r="E1833" s="2" t="str">
        <f t="shared" si="51"/>
        <v>男</v>
      </c>
    </row>
    <row r="1834" spans="1:5" ht="14.4" x14ac:dyDescent="0.25">
      <c r="A1834" s="4">
        <v>1832</v>
      </c>
      <c r="B1834" s="2" t="str">
        <f>"32512021081319243910197"</f>
        <v>32512021081319243910197</v>
      </c>
      <c r="C1834" s="2" t="s">
        <v>22</v>
      </c>
      <c r="D1834" s="2" t="str">
        <f>"高风凯"</f>
        <v>高风凯</v>
      </c>
      <c r="E1834" s="2" t="str">
        <f t="shared" si="51"/>
        <v>男</v>
      </c>
    </row>
    <row r="1835" spans="1:5" ht="14.4" x14ac:dyDescent="0.25">
      <c r="A1835" s="4">
        <v>1833</v>
      </c>
      <c r="B1835" s="2" t="str">
        <f>"32512021081319575510212"</f>
        <v>32512021081319575510212</v>
      </c>
      <c r="C1835" s="2" t="s">
        <v>22</v>
      </c>
      <c r="D1835" s="2" t="str">
        <f>"吉胜"</f>
        <v>吉胜</v>
      </c>
      <c r="E1835" s="2" t="str">
        <f t="shared" si="51"/>
        <v>男</v>
      </c>
    </row>
    <row r="1836" spans="1:5" ht="14.4" x14ac:dyDescent="0.25">
      <c r="A1836" s="4">
        <v>1834</v>
      </c>
      <c r="B1836" s="2" t="str">
        <f>"32512021081320095010219"</f>
        <v>32512021081320095010219</v>
      </c>
      <c r="C1836" s="2" t="s">
        <v>22</v>
      </c>
      <c r="D1836" s="2" t="str">
        <f>"许绩伟"</f>
        <v>许绩伟</v>
      </c>
      <c r="E1836" s="2" t="str">
        <f t="shared" si="51"/>
        <v>男</v>
      </c>
    </row>
    <row r="1837" spans="1:5" ht="14.4" x14ac:dyDescent="0.25">
      <c r="A1837" s="4">
        <v>1835</v>
      </c>
      <c r="B1837" s="2" t="str">
        <f>"32512021081322383310303"</f>
        <v>32512021081322383310303</v>
      </c>
      <c r="C1837" s="2" t="s">
        <v>22</v>
      </c>
      <c r="D1837" s="2" t="str">
        <f>"吴杰"</f>
        <v>吴杰</v>
      </c>
      <c r="E1837" s="2" t="str">
        <f t="shared" si="51"/>
        <v>男</v>
      </c>
    </row>
    <row r="1838" spans="1:5" ht="14.4" x14ac:dyDescent="0.25">
      <c r="A1838" s="4">
        <v>1836</v>
      </c>
      <c r="B1838" s="2" t="str">
        <f>"32512021081409083110395"</f>
        <v>32512021081409083110395</v>
      </c>
      <c r="C1838" s="2" t="s">
        <v>22</v>
      </c>
      <c r="D1838" s="2" t="str">
        <f>"蒲来欢"</f>
        <v>蒲来欢</v>
      </c>
      <c r="E1838" s="2" t="str">
        <f>"女"</f>
        <v>女</v>
      </c>
    </row>
    <row r="1839" spans="1:5" ht="14.4" x14ac:dyDescent="0.25">
      <c r="A1839" s="4">
        <v>1837</v>
      </c>
      <c r="B1839" s="2" t="str">
        <f>"32512021081410094810438"</f>
        <v>32512021081410094810438</v>
      </c>
      <c r="C1839" s="2" t="s">
        <v>22</v>
      </c>
      <c r="D1839" s="2" t="str">
        <f>"廖宝通"</f>
        <v>廖宝通</v>
      </c>
      <c r="E1839" s="2" t="str">
        <f>"男"</f>
        <v>男</v>
      </c>
    </row>
    <row r="1840" spans="1:5" ht="14.4" x14ac:dyDescent="0.25">
      <c r="A1840" s="4">
        <v>1838</v>
      </c>
      <c r="B1840" s="2" t="str">
        <f>"32512021081410463110471"</f>
        <v>32512021081410463110471</v>
      </c>
      <c r="C1840" s="2" t="s">
        <v>22</v>
      </c>
      <c r="D1840" s="2" t="str">
        <f>"卢振山"</f>
        <v>卢振山</v>
      </c>
      <c r="E1840" s="2" t="str">
        <f>"男"</f>
        <v>男</v>
      </c>
    </row>
    <row r="1841" spans="1:5" ht="14.4" x14ac:dyDescent="0.25">
      <c r="A1841" s="4">
        <v>1839</v>
      </c>
      <c r="B1841" s="2" t="str">
        <f>"32512021081411041110485"</f>
        <v>32512021081411041110485</v>
      </c>
      <c r="C1841" s="2" t="s">
        <v>22</v>
      </c>
      <c r="D1841" s="2" t="str">
        <f>"符田秋"</f>
        <v>符田秋</v>
      </c>
      <c r="E1841" s="2" t="str">
        <f>"女"</f>
        <v>女</v>
      </c>
    </row>
    <row r="1842" spans="1:5" ht="14.4" x14ac:dyDescent="0.25">
      <c r="A1842" s="4">
        <v>1840</v>
      </c>
      <c r="B1842" s="2" t="str">
        <f>"32512021081411412910519"</f>
        <v>32512021081411412910519</v>
      </c>
      <c r="C1842" s="2" t="s">
        <v>22</v>
      </c>
      <c r="D1842" s="2" t="str">
        <f>"林树肃"</f>
        <v>林树肃</v>
      </c>
      <c r="E1842" s="2" t="str">
        <f>"男"</f>
        <v>男</v>
      </c>
    </row>
    <row r="1843" spans="1:5" ht="14.4" x14ac:dyDescent="0.25">
      <c r="A1843" s="4">
        <v>1841</v>
      </c>
      <c r="B1843" s="2" t="str">
        <f>"32512021081412415510545"</f>
        <v>32512021081412415510545</v>
      </c>
      <c r="C1843" s="2" t="s">
        <v>22</v>
      </c>
      <c r="D1843" s="2" t="str">
        <f>"郑树桐"</f>
        <v>郑树桐</v>
      </c>
      <c r="E1843" s="2" t="str">
        <f>"男"</f>
        <v>男</v>
      </c>
    </row>
    <row r="1844" spans="1:5" ht="14.4" x14ac:dyDescent="0.25">
      <c r="A1844" s="4">
        <v>1842</v>
      </c>
      <c r="B1844" s="2" t="str">
        <f>"32512021081412524910552"</f>
        <v>32512021081412524910552</v>
      </c>
      <c r="C1844" s="2" t="s">
        <v>22</v>
      </c>
      <c r="D1844" s="2" t="str">
        <f>"黄楠棣"</f>
        <v>黄楠棣</v>
      </c>
      <c r="E1844" s="2" t="str">
        <f>"男"</f>
        <v>男</v>
      </c>
    </row>
    <row r="1845" spans="1:5" ht="14.4" x14ac:dyDescent="0.25">
      <c r="A1845" s="4">
        <v>1843</v>
      </c>
      <c r="B1845" s="2" t="str">
        <f>"32512021081414483010613"</f>
        <v>32512021081414483010613</v>
      </c>
      <c r="C1845" s="2" t="s">
        <v>22</v>
      </c>
      <c r="D1845" s="2" t="str">
        <f>"谢爵蔚"</f>
        <v>谢爵蔚</v>
      </c>
      <c r="E1845" s="2" t="str">
        <f>"男"</f>
        <v>男</v>
      </c>
    </row>
    <row r="1846" spans="1:5" ht="14.4" x14ac:dyDescent="0.25">
      <c r="A1846" s="4">
        <v>1844</v>
      </c>
      <c r="B1846" s="2" t="str">
        <f>"32512021081416441910699"</f>
        <v>32512021081416441910699</v>
      </c>
      <c r="C1846" s="2" t="s">
        <v>22</v>
      </c>
      <c r="D1846" s="2" t="str">
        <f>"符正楼"</f>
        <v>符正楼</v>
      </c>
      <c r="E1846" s="2" t="str">
        <f>"女"</f>
        <v>女</v>
      </c>
    </row>
    <row r="1847" spans="1:5" ht="14.4" x14ac:dyDescent="0.25">
      <c r="A1847" s="4">
        <v>1845</v>
      </c>
      <c r="B1847" s="2" t="str">
        <f>"32512021081417154510725"</f>
        <v>32512021081417154510725</v>
      </c>
      <c r="C1847" s="2" t="s">
        <v>22</v>
      </c>
      <c r="D1847" s="2" t="str">
        <f>"吴晓眯"</f>
        <v>吴晓眯</v>
      </c>
      <c r="E1847" s="2" t="str">
        <f>"女"</f>
        <v>女</v>
      </c>
    </row>
    <row r="1848" spans="1:5" ht="14.4" x14ac:dyDescent="0.25">
      <c r="A1848" s="4">
        <v>1846</v>
      </c>
      <c r="B1848" s="2" t="str">
        <f>"32512021081419305310794"</f>
        <v>32512021081419305310794</v>
      </c>
      <c r="C1848" s="2" t="s">
        <v>22</v>
      </c>
      <c r="D1848" s="2" t="str">
        <f>"阮业锦"</f>
        <v>阮业锦</v>
      </c>
      <c r="E1848" s="2" t="str">
        <f>"男"</f>
        <v>男</v>
      </c>
    </row>
    <row r="1849" spans="1:5" ht="14.4" x14ac:dyDescent="0.25">
      <c r="A1849" s="4">
        <v>1847</v>
      </c>
      <c r="B1849" s="2" t="str">
        <f>"32512021081421322410848"</f>
        <v>32512021081421322410848</v>
      </c>
      <c r="C1849" s="2" t="s">
        <v>22</v>
      </c>
      <c r="D1849" s="2" t="str">
        <f>"翁克玲"</f>
        <v>翁克玲</v>
      </c>
      <c r="E1849" s="2" t="str">
        <f>"女"</f>
        <v>女</v>
      </c>
    </row>
    <row r="1850" spans="1:5" ht="14.4" x14ac:dyDescent="0.25">
      <c r="A1850" s="4">
        <v>1848</v>
      </c>
      <c r="B1850" s="2" t="str">
        <f>"32512021081421500010856"</f>
        <v>32512021081421500010856</v>
      </c>
      <c r="C1850" s="2" t="s">
        <v>22</v>
      </c>
      <c r="D1850" s="2" t="str">
        <f>"麦荣强"</f>
        <v>麦荣强</v>
      </c>
      <c r="E1850" s="2" t="str">
        <f t="shared" ref="E1850:E1855" si="52">"男"</f>
        <v>男</v>
      </c>
    </row>
    <row r="1851" spans="1:5" ht="14.4" x14ac:dyDescent="0.25">
      <c r="A1851" s="4">
        <v>1849</v>
      </c>
      <c r="B1851" s="2" t="str">
        <f>"32512021081422372910878"</f>
        <v>32512021081422372910878</v>
      </c>
      <c r="C1851" s="2" t="s">
        <v>22</v>
      </c>
      <c r="D1851" s="2" t="str">
        <f>"林瑞颖"</f>
        <v>林瑞颖</v>
      </c>
      <c r="E1851" s="2" t="str">
        <f t="shared" si="52"/>
        <v>男</v>
      </c>
    </row>
    <row r="1852" spans="1:5" ht="14.4" x14ac:dyDescent="0.25">
      <c r="A1852" s="4">
        <v>1850</v>
      </c>
      <c r="B1852" s="2" t="str">
        <f>"32512021081510380911005"</f>
        <v>32512021081510380911005</v>
      </c>
      <c r="C1852" s="2" t="s">
        <v>22</v>
      </c>
      <c r="D1852" s="2" t="str">
        <f>"周谟计"</f>
        <v>周谟计</v>
      </c>
      <c r="E1852" s="2" t="str">
        <f t="shared" si="52"/>
        <v>男</v>
      </c>
    </row>
    <row r="1853" spans="1:5" ht="14.4" x14ac:dyDescent="0.25">
      <c r="A1853" s="4">
        <v>1851</v>
      </c>
      <c r="B1853" s="2" t="str">
        <f>"32512021081511105711030"</f>
        <v>32512021081511105711030</v>
      </c>
      <c r="C1853" s="2" t="s">
        <v>22</v>
      </c>
      <c r="D1853" s="2" t="str">
        <f>"符振学"</f>
        <v>符振学</v>
      </c>
      <c r="E1853" s="2" t="str">
        <f t="shared" si="52"/>
        <v>男</v>
      </c>
    </row>
    <row r="1854" spans="1:5" ht="14.4" x14ac:dyDescent="0.25">
      <c r="A1854" s="4">
        <v>1852</v>
      </c>
      <c r="B1854" s="2" t="str">
        <f>"32512021081512143211069"</f>
        <v>32512021081512143211069</v>
      </c>
      <c r="C1854" s="2" t="s">
        <v>22</v>
      </c>
      <c r="D1854" s="2" t="str">
        <f>"邱乙晋"</f>
        <v>邱乙晋</v>
      </c>
      <c r="E1854" s="2" t="str">
        <f t="shared" si="52"/>
        <v>男</v>
      </c>
    </row>
    <row r="1855" spans="1:5" ht="14.4" x14ac:dyDescent="0.25">
      <c r="A1855" s="4">
        <v>1853</v>
      </c>
      <c r="B1855" s="2" t="str">
        <f>"32512021081513533511130"</f>
        <v>32512021081513533511130</v>
      </c>
      <c r="C1855" s="2" t="s">
        <v>22</v>
      </c>
      <c r="D1855" s="2" t="str">
        <f>"陈林杰"</f>
        <v>陈林杰</v>
      </c>
      <c r="E1855" s="2" t="str">
        <f t="shared" si="52"/>
        <v>男</v>
      </c>
    </row>
    <row r="1856" spans="1:5" ht="14.4" x14ac:dyDescent="0.25">
      <c r="A1856" s="4">
        <v>1854</v>
      </c>
      <c r="B1856" s="2" t="str">
        <f>"32512021081514132011147"</f>
        <v>32512021081514132011147</v>
      </c>
      <c r="C1856" s="2" t="s">
        <v>22</v>
      </c>
      <c r="D1856" s="2" t="str">
        <f>"冯拂晓"</f>
        <v>冯拂晓</v>
      </c>
      <c r="E1856" s="2" t="str">
        <f>"女"</f>
        <v>女</v>
      </c>
    </row>
    <row r="1857" spans="1:5" ht="14.4" x14ac:dyDescent="0.25">
      <c r="A1857" s="4">
        <v>1855</v>
      </c>
      <c r="B1857" s="2" t="str">
        <f>"32512021081514540711184"</f>
        <v>32512021081514540711184</v>
      </c>
      <c r="C1857" s="2" t="s">
        <v>22</v>
      </c>
      <c r="D1857" s="2" t="str">
        <f>"陈杰敏"</f>
        <v>陈杰敏</v>
      </c>
      <c r="E1857" s="2" t="str">
        <f>"男"</f>
        <v>男</v>
      </c>
    </row>
    <row r="1858" spans="1:5" ht="14.4" x14ac:dyDescent="0.25">
      <c r="A1858" s="4">
        <v>1856</v>
      </c>
      <c r="B1858" s="2" t="str">
        <f>"32512021081514591811186"</f>
        <v>32512021081514591811186</v>
      </c>
      <c r="C1858" s="2" t="s">
        <v>22</v>
      </c>
      <c r="D1858" s="2" t="str">
        <f>"陈文霞"</f>
        <v>陈文霞</v>
      </c>
      <c r="E1858" s="2" t="str">
        <f>"女"</f>
        <v>女</v>
      </c>
    </row>
    <row r="1859" spans="1:5" ht="14.4" x14ac:dyDescent="0.25">
      <c r="A1859" s="4">
        <v>1857</v>
      </c>
      <c r="B1859" s="2" t="str">
        <f>"32512021081516093111229"</f>
        <v>32512021081516093111229</v>
      </c>
      <c r="C1859" s="2" t="s">
        <v>22</v>
      </c>
      <c r="D1859" s="2" t="str">
        <f>"洪凌美"</f>
        <v>洪凌美</v>
      </c>
      <c r="E1859" s="2" t="str">
        <f>"女"</f>
        <v>女</v>
      </c>
    </row>
    <row r="1860" spans="1:5" ht="14.4" x14ac:dyDescent="0.25">
      <c r="A1860" s="4">
        <v>1858</v>
      </c>
      <c r="B1860" s="2" t="str">
        <f>"32512021081516500611268"</f>
        <v>32512021081516500611268</v>
      </c>
      <c r="C1860" s="2" t="s">
        <v>22</v>
      </c>
      <c r="D1860" s="2" t="str">
        <f>"张华"</f>
        <v>张华</v>
      </c>
      <c r="E1860" s="2" t="str">
        <f>"男"</f>
        <v>男</v>
      </c>
    </row>
    <row r="1861" spans="1:5" ht="14.4" x14ac:dyDescent="0.25">
      <c r="A1861" s="4">
        <v>1859</v>
      </c>
      <c r="B1861" s="2" t="str">
        <f>"32512021081517255911301"</f>
        <v>32512021081517255911301</v>
      </c>
      <c r="C1861" s="2" t="s">
        <v>22</v>
      </c>
      <c r="D1861" s="2" t="str">
        <f>"王世锦"</f>
        <v>王世锦</v>
      </c>
      <c r="E1861" s="2" t="str">
        <f>"男"</f>
        <v>男</v>
      </c>
    </row>
    <row r="1862" spans="1:5" ht="14.4" x14ac:dyDescent="0.25">
      <c r="A1862" s="4">
        <v>1860</v>
      </c>
      <c r="B1862" s="2" t="str">
        <f>"32512021081518195911341"</f>
        <v>32512021081518195911341</v>
      </c>
      <c r="C1862" s="2" t="s">
        <v>22</v>
      </c>
      <c r="D1862" s="2" t="str">
        <f>"陈秀妹"</f>
        <v>陈秀妹</v>
      </c>
      <c r="E1862" s="2" t="str">
        <f>"女"</f>
        <v>女</v>
      </c>
    </row>
    <row r="1863" spans="1:5" ht="14.4" x14ac:dyDescent="0.25">
      <c r="A1863" s="4">
        <v>1861</v>
      </c>
      <c r="B1863" s="2" t="str">
        <f>"32512021081518544411366"</f>
        <v>32512021081518544411366</v>
      </c>
      <c r="C1863" s="2" t="s">
        <v>22</v>
      </c>
      <c r="D1863" s="2" t="str">
        <f>"陈开博"</f>
        <v>陈开博</v>
      </c>
      <c r="E1863" s="2" t="str">
        <f>"男"</f>
        <v>男</v>
      </c>
    </row>
    <row r="1864" spans="1:5" ht="14.4" x14ac:dyDescent="0.25">
      <c r="A1864" s="4">
        <v>1862</v>
      </c>
      <c r="B1864" s="2" t="str">
        <f>"32512021081521284511508"</f>
        <v>32512021081521284511508</v>
      </c>
      <c r="C1864" s="2" t="s">
        <v>22</v>
      </c>
      <c r="D1864" s="2" t="str">
        <f>"吴淑珊"</f>
        <v>吴淑珊</v>
      </c>
      <c r="E1864" s="2" t="str">
        <f>"女"</f>
        <v>女</v>
      </c>
    </row>
    <row r="1865" spans="1:5" ht="14.4" x14ac:dyDescent="0.25">
      <c r="A1865" s="4">
        <v>1863</v>
      </c>
      <c r="B1865" s="2" t="str">
        <f>"32512021081521474511528"</f>
        <v>32512021081521474511528</v>
      </c>
      <c r="C1865" s="2" t="s">
        <v>22</v>
      </c>
      <c r="D1865" s="2" t="str">
        <f>"黄宏晖"</f>
        <v>黄宏晖</v>
      </c>
      <c r="E1865" s="2" t="str">
        <f t="shared" ref="E1865:E1871" si="53">"男"</f>
        <v>男</v>
      </c>
    </row>
    <row r="1866" spans="1:5" ht="14.4" x14ac:dyDescent="0.25">
      <c r="A1866" s="4">
        <v>1864</v>
      </c>
      <c r="B1866" s="2" t="str">
        <f>"32512021081522083711549"</f>
        <v>32512021081522083711549</v>
      </c>
      <c r="C1866" s="2" t="s">
        <v>22</v>
      </c>
      <c r="D1866" s="2" t="str">
        <f>"钟斌"</f>
        <v>钟斌</v>
      </c>
      <c r="E1866" s="2" t="str">
        <f t="shared" si="53"/>
        <v>男</v>
      </c>
    </row>
    <row r="1867" spans="1:5" ht="14.4" x14ac:dyDescent="0.25">
      <c r="A1867" s="4">
        <v>1865</v>
      </c>
      <c r="B1867" s="2" t="str">
        <f>"32512021081522355711578"</f>
        <v>32512021081522355711578</v>
      </c>
      <c r="C1867" s="2" t="s">
        <v>22</v>
      </c>
      <c r="D1867" s="2" t="str">
        <f>"林丰"</f>
        <v>林丰</v>
      </c>
      <c r="E1867" s="2" t="str">
        <f t="shared" si="53"/>
        <v>男</v>
      </c>
    </row>
    <row r="1868" spans="1:5" ht="14.4" x14ac:dyDescent="0.25">
      <c r="A1868" s="4">
        <v>1866</v>
      </c>
      <c r="B1868" s="2" t="str">
        <f>"32512021081522382211582"</f>
        <v>32512021081522382211582</v>
      </c>
      <c r="C1868" s="2" t="s">
        <v>22</v>
      </c>
      <c r="D1868" s="2" t="str">
        <f>"方中平"</f>
        <v>方中平</v>
      </c>
      <c r="E1868" s="2" t="str">
        <f t="shared" si="53"/>
        <v>男</v>
      </c>
    </row>
    <row r="1869" spans="1:5" ht="14.4" x14ac:dyDescent="0.25">
      <c r="A1869" s="4">
        <v>1867</v>
      </c>
      <c r="B1869" s="2" t="str">
        <f>"32512021081522414711586"</f>
        <v>32512021081522414711586</v>
      </c>
      <c r="C1869" s="2" t="s">
        <v>22</v>
      </c>
      <c r="D1869" s="2" t="str">
        <f>"蒲奕达"</f>
        <v>蒲奕达</v>
      </c>
      <c r="E1869" s="2" t="str">
        <f t="shared" si="53"/>
        <v>男</v>
      </c>
    </row>
    <row r="1870" spans="1:5" ht="14.4" x14ac:dyDescent="0.25">
      <c r="A1870" s="4">
        <v>1868</v>
      </c>
      <c r="B1870" s="2" t="str">
        <f>"32512021081522480911592"</f>
        <v>32512021081522480911592</v>
      </c>
      <c r="C1870" s="2" t="s">
        <v>22</v>
      </c>
      <c r="D1870" s="2" t="str">
        <f>"李珈萌"</f>
        <v>李珈萌</v>
      </c>
      <c r="E1870" s="2" t="str">
        <f t="shared" si="53"/>
        <v>男</v>
      </c>
    </row>
    <row r="1871" spans="1:5" ht="14.4" x14ac:dyDescent="0.25">
      <c r="A1871" s="4">
        <v>1869</v>
      </c>
      <c r="B1871" s="2" t="str">
        <f>"32512021081523170211614"</f>
        <v>32512021081523170211614</v>
      </c>
      <c r="C1871" s="2" t="s">
        <v>22</v>
      </c>
      <c r="D1871" s="2" t="str">
        <f>"羊如虎"</f>
        <v>羊如虎</v>
      </c>
      <c r="E1871" s="2" t="str">
        <f t="shared" si="53"/>
        <v>男</v>
      </c>
    </row>
    <row r="1872" spans="1:5" ht="14.4" x14ac:dyDescent="0.25">
      <c r="A1872" s="4">
        <v>1870</v>
      </c>
      <c r="B1872" s="2" t="str">
        <f>"32512021081523411611629"</f>
        <v>32512021081523411611629</v>
      </c>
      <c r="C1872" s="2" t="s">
        <v>22</v>
      </c>
      <c r="D1872" s="2" t="str">
        <f>"潘孝柳"</f>
        <v>潘孝柳</v>
      </c>
      <c r="E1872" s="2" t="str">
        <f>"女"</f>
        <v>女</v>
      </c>
    </row>
    <row r="1873" spans="1:5" ht="14.4" x14ac:dyDescent="0.25">
      <c r="A1873" s="4">
        <v>1871</v>
      </c>
      <c r="B1873" s="2" t="str">
        <f>"32512021081600420111655"</f>
        <v>32512021081600420111655</v>
      </c>
      <c r="C1873" s="2" t="s">
        <v>22</v>
      </c>
      <c r="D1873" s="2" t="str">
        <f>"蒙达轩"</f>
        <v>蒙达轩</v>
      </c>
      <c r="E1873" s="2" t="str">
        <f>"男"</f>
        <v>男</v>
      </c>
    </row>
    <row r="1874" spans="1:5" ht="14.4" x14ac:dyDescent="0.25">
      <c r="A1874" s="4">
        <v>1872</v>
      </c>
      <c r="B1874" s="2" t="str">
        <f>"32512021081601093111663"</f>
        <v>32512021081601093111663</v>
      </c>
      <c r="C1874" s="2" t="s">
        <v>22</v>
      </c>
      <c r="D1874" s="2" t="str">
        <f>"邱泉文"</f>
        <v>邱泉文</v>
      </c>
      <c r="E1874" s="2" t="str">
        <f>"男"</f>
        <v>男</v>
      </c>
    </row>
    <row r="1875" spans="1:5" ht="14.4" x14ac:dyDescent="0.25">
      <c r="A1875" s="4">
        <v>1873</v>
      </c>
      <c r="B1875" s="2" t="str">
        <f>"32512021081604232611684"</f>
        <v>32512021081604232611684</v>
      </c>
      <c r="C1875" s="2" t="s">
        <v>22</v>
      </c>
      <c r="D1875" s="2" t="str">
        <f>"陈颖颖"</f>
        <v>陈颖颖</v>
      </c>
      <c r="E1875" s="2" t="str">
        <f>"女"</f>
        <v>女</v>
      </c>
    </row>
    <row r="1876" spans="1:5" ht="14.4" x14ac:dyDescent="0.25">
      <c r="A1876" s="4">
        <v>1874</v>
      </c>
      <c r="B1876" s="2" t="str">
        <f>"32512021081608085811709"</f>
        <v>32512021081608085811709</v>
      </c>
      <c r="C1876" s="2" t="s">
        <v>22</v>
      </c>
      <c r="D1876" s="2" t="str">
        <f>"王琦琦"</f>
        <v>王琦琦</v>
      </c>
      <c r="E1876" s="2" t="str">
        <f>"女"</f>
        <v>女</v>
      </c>
    </row>
    <row r="1877" spans="1:5" ht="14.4" x14ac:dyDescent="0.25">
      <c r="A1877" s="4">
        <v>1875</v>
      </c>
      <c r="B1877" s="2" t="str">
        <f>"32512021081608571511800"</f>
        <v>32512021081608571511800</v>
      </c>
      <c r="C1877" s="2" t="s">
        <v>22</v>
      </c>
      <c r="D1877" s="2" t="str">
        <f>"黄创莹"</f>
        <v>黄创莹</v>
      </c>
      <c r="E1877" s="2" t="str">
        <f>"女"</f>
        <v>女</v>
      </c>
    </row>
    <row r="1878" spans="1:5" ht="14.4" x14ac:dyDescent="0.25">
      <c r="A1878" s="4">
        <v>1876</v>
      </c>
      <c r="B1878" s="2" t="str">
        <f>"32512021081609003511807"</f>
        <v>32512021081609003511807</v>
      </c>
      <c r="C1878" s="2" t="s">
        <v>22</v>
      </c>
      <c r="D1878" s="2" t="str">
        <f>"薛奇志"</f>
        <v>薛奇志</v>
      </c>
      <c r="E1878" s="2" t="str">
        <f>"男"</f>
        <v>男</v>
      </c>
    </row>
    <row r="1879" spans="1:5" ht="14.4" x14ac:dyDescent="0.25">
      <c r="A1879" s="4">
        <v>1877</v>
      </c>
      <c r="B1879" s="2" t="str">
        <f>"32512021081609112511886"</f>
        <v>32512021081609112511886</v>
      </c>
      <c r="C1879" s="2" t="s">
        <v>22</v>
      </c>
      <c r="D1879" s="2" t="str">
        <f>"丛雪梅"</f>
        <v>丛雪梅</v>
      </c>
      <c r="E1879" s="2" t="str">
        <f>"女"</f>
        <v>女</v>
      </c>
    </row>
    <row r="1880" spans="1:5" ht="14.4" x14ac:dyDescent="0.25">
      <c r="A1880" s="4">
        <v>1878</v>
      </c>
      <c r="B1880" s="2" t="str">
        <f>"32512021081610085412151"</f>
        <v>32512021081610085412151</v>
      </c>
      <c r="C1880" s="2" t="s">
        <v>22</v>
      </c>
      <c r="D1880" s="2" t="str">
        <f>"李明俊"</f>
        <v>李明俊</v>
      </c>
      <c r="E1880" s="2" t="str">
        <f t="shared" ref="E1880:E1886" si="54">"男"</f>
        <v>男</v>
      </c>
    </row>
    <row r="1881" spans="1:5" ht="14.4" x14ac:dyDescent="0.25">
      <c r="A1881" s="4">
        <v>1879</v>
      </c>
      <c r="B1881" s="2" t="str">
        <f>"32512021081610185412215"</f>
        <v>32512021081610185412215</v>
      </c>
      <c r="C1881" s="2" t="s">
        <v>22</v>
      </c>
      <c r="D1881" s="2" t="str">
        <f>"石翠隆"</f>
        <v>石翠隆</v>
      </c>
      <c r="E1881" s="2" t="str">
        <f t="shared" si="54"/>
        <v>男</v>
      </c>
    </row>
    <row r="1882" spans="1:5" ht="14.4" x14ac:dyDescent="0.25">
      <c r="A1882" s="4">
        <v>1880</v>
      </c>
      <c r="B1882" s="2" t="str">
        <f>"32512021081610344712301"</f>
        <v>32512021081610344712301</v>
      </c>
      <c r="C1882" s="2" t="s">
        <v>22</v>
      </c>
      <c r="D1882" s="2" t="str">
        <f>"谢清江"</f>
        <v>谢清江</v>
      </c>
      <c r="E1882" s="2" t="str">
        <f t="shared" si="54"/>
        <v>男</v>
      </c>
    </row>
    <row r="1883" spans="1:5" ht="14.4" x14ac:dyDescent="0.25">
      <c r="A1883" s="4">
        <v>1881</v>
      </c>
      <c r="B1883" s="2" t="str">
        <f>"32512021081610380512317"</f>
        <v>32512021081610380512317</v>
      </c>
      <c r="C1883" s="2" t="s">
        <v>22</v>
      </c>
      <c r="D1883" s="2" t="str">
        <f>"吴英轩"</f>
        <v>吴英轩</v>
      </c>
      <c r="E1883" s="2" t="str">
        <f t="shared" si="54"/>
        <v>男</v>
      </c>
    </row>
    <row r="1884" spans="1:5" ht="14.4" x14ac:dyDescent="0.25">
      <c r="A1884" s="4">
        <v>1882</v>
      </c>
      <c r="B1884" s="2" t="str">
        <f>"32512021081611020612412"</f>
        <v>32512021081611020612412</v>
      </c>
      <c r="C1884" s="2" t="s">
        <v>22</v>
      </c>
      <c r="D1884" s="2" t="str">
        <f>"陈力平"</f>
        <v>陈力平</v>
      </c>
      <c r="E1884" s="2" t="str">
        <f t="shared" si="54"/>
        <v>男</v>
      </c>
    </row>
    <row r="1885" spans="1:5" ht="14.4" x14ac:dyDescent="0.25">
      <c r="A1885" s="4">
        <v>1883</v>
      </c>
      <c r="B1885" s="2" t="str">
        <f>"32512021081611105812454"</f>
        <v>32512021081611105812454</v>
      </c>
      <c r="C1885" s="2" t="s">
        <v>22</v>
      </c>
      <c r="D1885" s="2" t="str">
        <f>"王国才"</f>
        <v>王国才</v>
      </c>
      <c r="E1885" s="2" t="str">
        <f t="shared" si="54"/>
        <v>男</v>
      </c>
    </row>
    <row r="1886" spans="1:5" ht="14.4" x14ac:dyDescent="0.25">
      <c r="A1886" s="4">
        <v>1884</v>
      </c>
      <c r="B1886" s="2" t="str">
        <f>"32512021081611144212469"</f>
        <v>32512021081611144212469</v>
      </c>
      <c r="C1886" s="2" t="s">
        <v>22</v>
      </c>
      <c r="D1886" s="2" t="str">
        <f>"刘伟冲"</f>
        <v>刘伟冲</v>
      </c>
      <c r="E1886" s="2" t="str">
        <f t="shared" si="54"/>
        <v>男</v>
      </c>
    </row>
    <row r="1887" spans="1:5" ht="14.4" x14ac:dyDescent="0.25">
      <c r="A1887" s="4">
        <v>1885</v>
      </c>
      <c r="B1887" s="2" t="str">
        <f>"32512021081611260412524"</f>
        <v>32512021081611260412524</v>
      </c>
      <c r="C1887" s="2" t="s">
        <v>22</v>
      </c>
      <c r="D1887" s="2" t="str">
        <f>"杜小红"</f>
        <v>杜小红</v>
      </c>
      <c r="E1887" s="2" t="str">
        <f>"女"</f>
        <v>女</v>
      </c>
    </row>
    <row r="1888" spans="1:5" ht="14.4" x14ac:dyDescent="0.25">
      <c r="A1888" s="4">
        <v>1886</v>
      </c>
      <c r="B1888" s="2" t="str">
        <f>"32512021081611401212574"</f>
        <v>32512021081611401212574</v>
      </c>
      <c r="C1888" s="2" t="s">
        <v>22</v>
      </c>
      <c r="D1888" s="2" t="str">
        <f>"李正丽"</f>
        <v>李正丽</v>
      </c>
      <c r="E1888" s="2" t="str">
        <f>"女"</f>
        <v>女</v>
      </c>
    </row>
    <row r="1889" spans="1:5" ht="14.4" x14ac:dyDescent="0.25">
      <c r="A1889" s="4">
        <v>1887</v>
      </c>
      <c r="B1889" s="2" t="str">
        <f>"32512021081613243212821"</f>
        <v>32512021081613243212821</v>
      </c>
      <c r="C1889" s="2" t="s">
        <v>22</v>
      </c>
      <c r="D1889" s="2" t="str">
        <f>"张敏聪"</f>
        <v>张敏聪</v>
      </c>
      <c r="E1889" s="2" t="str">
        <f>"男"</f>
        <v>男</v>
      </c>
    </row>
    <row r="1890" spans="1:5" ht="14.4" x14ac:dyDescent="0.25">
      <c r="A1890" s="4">
        <v>1888</v>
      </c>
      <c r="B1890" s="2" t="str">
        <f>"32512021081613472912864"</f>
        <v>32512021081613472912864</v>
      </c>
      <c r="C1890" s="2" t="s">
        <v>22</v>
      </c>
      <c r="D1890" s="2" t="str">
        <f>"李仲江"</f>
        <v>李仲江</v>
      </c>
      <c r="E1890" s="2" t="str">
        <f>"男"</f>
        <v>男</v>
      </c>
    </row>
    <row r="1891" spans="1:5" ht="14.4" x14ac:dyDescent="0.25">
      <c r="A1891" s="4">
        <v>1889</v>
      </c>
      <c r="B1891" s="2" t="str">
        <f>"32512021081614300812943"</f>
        <v>32512021081614300812943</v>
      </c>
      <c r="C1891" s="2" t="s">
        <v>22</v>
      </c>
      <c r="D1891" s="2" t="str">
        <f>"符永峰"</f>
        <v>符永峰</v>
      </c>
      <c r="E1891" s="2" t="str">
        <f>"男"</f>
        <v>男</v>
      </c>
    </row>
    <row r="1892" spans="1:5" ht="14.4" x14ac:dyDescent="0.25">
      <c r="A1892" s="4">
        <v>1890</v>
      </c>
      <c r="B1892" s="2" t="str">
        <f>"32512021081615060013032"</f>
        <v>32512021081615060013032</v>
      </c>
      <c r="C1892" s="2" t="s">
        <v>22</v>
      </c>
      <c r="D1892" s="2" t="str">
        <f>"温道全"</f>
        <v>温道全</v>
      </c>
      <c r="E1892" s="2" t="str">
        <f>"男"</f>
        <v>男</v>
      </c>
    </row>
    <row r="1893" spans="1:5" ht="14.4" x14ac:dyDescent="0.25">
      <c r="A1893" s="4">
        <v>1891</v>
      </c>
      <c r="B1893" s="2" t="str">
        <f>"32512021081615190613067"</f>
        <v>32512021081615190613067</v>
      </c>
      <c r="C1893" s="2" t="s">
        <v>22</v>
      </c>
      <c r="D1893" s="2" t="str">
        <f>"王玲"</f>
        <v>王玲</v>
      </c>
      <c r="E1893" s="2" t="str">
        <f>"女"</f>
        <v>女</v>
      </c>
    </row>
    <row r="1894" spans="1:5" ht="14.4" x14ac:dyDescent="0.25">
      <c r="A1894" s="4">
        <v>1892</v>
      </c>
      <c r="B1894" s="2" t="str">
        <f>"32512021081615403613110"</f>
        <v>32512021081615403613110</v>
      </c>
      <c r="C1894" s="2" t="s">
        <v>22</v>
      </c>
      <c r="D1894" s="2" t="str">
        <f>"朱衍卿"</f>
        <v>朱衍卿</v>
      </c>
      <c r="E1894" s="2" t="str">
        <f>"男"</f>
        <v>男</v>
      </c>
    </row>
    <row r="1895" spans="1:5" ht="14.4" x14ac:dyDescent="0.25">
      <c r="A1895" s="4">
        <v>1893</v>
      </c>
      <c r="B1895" s="2" t="str">
        <f>"32512021081615475313129"</f>
        <v>32512021081615475313129</v>
      </c>
      <c r="C1895" s="2" t="s">
        <v>22</v>
      </c>
      <c r="D1895" s="2" t="str">
        <f>"王海师"</f>
        <v>王海师</v>
      </c>
      <c r="E1895" s="2" t="str">
        <f>"男"</f>
        <v>男</v>
      </c>
    </row>
    <row r="1896" spans="1:5" ht="14.4" x14ac:dyDescent="0.25">
      <c r="A1896" s="4">
        <v>1894</v>
      </c>
      <c r="B1896" s="2" t="str">
        <f>"32512021081615595813163"</f>
        <v>32512021081615595813163</v>
      </c>
      <c r="C1896" s="2" t="s">
        <v>22</v>
      </c>
      <c r="D1896" s="2" t="str">
        <f>"张汉彪"</f>
        <v>张汉彪</v>
      </c>
      <c r="E1896" s="2" t="str">
        <f>"男"</f>
        <v>男</v>
      </c>
    </row>
    <row r="1897" spans="1:5" ht="14.4" x14ac:dyDescent="0.25">
      <c r="A1897" s="4">
        <v>1895</v>
      </c>
      <c r="B1897" s="2" t="str">
        <f>"32512021081616103513190"</f>
        <v>32512021081616103513190</v>
      </c>
      <c r="C1897" s="2" t="s">
        <v>22</v>
      </c>
      <c r="D1897" s="2" t="str">
        <f>"黄昌海"</f>
        <v>黄昌海</v>
      </c>
      <c r="E1897" s="2" t="str">
        <f>"男"</f>
        <v>男</v>
      </c>
    </row>
    <row r="1898" spans="1:5" ht="14.4" x14ac:dyDescent="0.25">
      <c r="A1898" s="4">
        <v>1896</v>
      </c>
      <c r="B1898" s="2" t="str">
        <f>"32512021081616203213211"</f>
        <v>32512021081616203213211</v>
      </c>
      <c r="C1898" s="2" t="s">
        <v>22</v>
      </c>
      <c r="D1898" s="2" t="str">
        <f>"王琴"</f>
        <v>王琴</v>
      </c>
      <c r="E1898" s="2" t="str">
        <f t="shared" ref="E1898:E1905" si="55">"女"</f>
        <v>女</v>
      </c>
    </row>
    <row r="1899" spans="1:5" ht="14.4" x14ac:dyDescent="0.25">
      <c r="A1899" s="4">
        <v>1897</v>
      </c>
      <c r="B1899" s="2" t="str">
        <f>"32512021081616304613234"</f>
        <v>32512021081616304613234</v>
      </c>
      <c r="C1899" s="2" t="s">
        <v>22</v>
      </c>
      <c r="D1899" s="2" t="str">
        <f>"唐传青"</f>
        <v>唐传青</v>
      </c>
      <c r="E1899" s="2" t="str">
        <f t="shared" si="55"/>
        <v>女</v>
      </c>
    </row>
    <row r="1900" spans="1:5" ht="14.4" x14ac:dyDescent="0.25">
      <c r="A1900" s="4">
        <v>1898</v>
      </c>
      <c r="B1900" s="2" t="str">
        <f>"3251202108101643105670"</f>
        <v>3251202108101643105670</v>
      </c>
      <c r="C1900" s="2" t="s">
        <v>23</v>
      </c>
      <c r="D1900" s="2" t="str">
        <f>"王慧可"</f>
        <v>王慧可</v>
      </c>
      <c r="E1900" s="2" t="str">
        <f t="shared" si="55"/>
        <v>女</v>
      </c>
    </row>
    <row r="1901" spans="1:5" ht="14.4" x14ac:dyDescent="0.25">
      <c r="A1901" s="4">
        <v>1899</v>
      </c>
      <c r="B1901" s="2" t="str">
        <f>"3251202108130947399606"</f>
        <v>3251202108130947399606</v>
      </c>
      <c r="C1901" s="2" t="s">
        <v>23</v>
      </c>
      <c r="D1901" s="2" t="str">
        <f>"符碧珈"</f>
        <v>符碧珈</v>
      </c>
      <c r="E1901" s="2" t="str">
        <f t="shared" si="55"/>
        <v>女</v>
      </c>
    </row>
    <row r="1902" spans="1:5" ht="14.4" x14ac:dyDescent="0.25">
      <c r="A1902" s="4">
        <v>1900</v>
      </c>
      <c r="B1902" s="2" t="str">
        <f>"32512021081522163911556"</f>
        <v>32512021081522163911556</v>
      </c>
      <c r="C1902" s="2" t="s">
        <v>23</v>
      </c>
      <c r="D1902" s="2" t="str">
        <f>"符妙瑾"</f>
        <v>符妙瑾</v>
      </c>
      <c r="E1902" s="2" t="str">
        <f t="shared" si="55"/>
        <v>女</v>
      </c>
    </row>
    <row r="1903" spans="1:5" ht="14.4" x14ac:dyDescent="0.25">
      <c r="A1903" s="4">
        <v>1901</v>
      </c>
      <c r="B1903" s="2" t="str">
        <f>"3251202108100939394078"</f>
        <v>3251202108100939394078</v>
      </c>
      <c r="C1903" s="2" t="s">
        <v>24</v>
      </c>
      <c r="D1903" s="2" t="str">
        <f>"王洁琪"</f>
        <v>王洁琪</v>
      </c>
      <c r="E1903" s="2" t="str">
        <f t="shared" si="55"/>
        <v>女</v>
      </c>
    </row>
    <row r="1904" spans="1:5" ht="14.4" x14ac:dyDescent="0.25">
      <c r="A1904" s="4">
        <v>1902</v>
      </c>
      <c r="B1904" s="2" t="str">
        <f>"3251202108101026224375"</f>
        <v>3251202108101026224375</v>
      </c>
      <c r="C1904" s="2" t="s">
        <v>24</v>
      </c>
      <c r="D1904" s="2" t="str">
        <f>"刘增茹"</f>
        <v>刘增茹</v>
      </c>
      <c r="E1904" s="2" t="str">
        <f t="shared" si="55"/>
        <v>女</v>
      </c>
    </row>
    <row r="1905" spans="1:5" ht="14.4" x14ac:dyDescent="0.25">
      <c r="A1905" s="4">
        <v>1903</v>
      </c>
      <c r="B1905" s="2" t="str">
        <f>"3251202108102127086335"</f>
        <v>3251202108102127086335</v>
      </c>
      <c r="C1905" s="2" t="s">
        <v>24</v>
      </c>
      <c r="D1905" s="2" t="str">
        <f>"符朝霜"</f>
        <v>符朝霜</v>
      </c>
      <c r="E1905" s="2" t="str">
        <f t="shared" si="55"/>
        <v>女</v>
      </c>
    </row>
    <row r="1906" spans="1:5" ht="14.4" x14ac:dyDescent="0.25">
      <c r="A1906" s="4">
        <v>1904</v>
      </c>
      <c r="B1906" s="2" t="str">
        <f>"3251202108131107409716"</f>
        <v>3251202108131107409716</v>
      </c>
      <c r="C1906" s="2" t="s">
        <v>24</v>
      </c>
      <c r="D1906" s="2" t="str">
        <f>"符明熠"</f>
        <v>符明熠</v>
      </c>
      <c r="E1906" s="2" t="str">
        <f>"男"</f>
        <v>男</v>
      </c>
    </row>
    <row r="1907" spans="1:5" ht="14.4" x14ac:dyDescent="0.25">
      <c r="A1907" s="4">
        <v>1905</v>
      </c>
      <c r="B1907" s="2" t="str">
        <f>"3251202108131503189916"</f>
        <v>3251202108131503189916</v>
      </c>
      <c r="C1907" s="2" t="s">
        <v>24</v>
      </c>
      <c r="D1907" s="2" t="str">
        <f>"董金强"</f>
        <v>董金强</v>
      </c>
      <c r="E1907" s="2" t="str">
        <f>"男"</f>
        <v>男</v>
      </c>
    </row>
    <row r="1908" spans="1:5" ht="14.4" x14ac:dyDescent="0.25">
      <c r="A1908" s="4">
        <v>1906</v>
      </c>
      <c r="B1908" s="2" t="str">
        <f>"3251202108100901523750"</f>
        <v>3251202108100901523750</v>
      </c>
      <c r="C1908" s="2" t="s">
        <v>25</v>
      </c>
      <c r="D1908" s="2" t="str">
        <f>"曾梅秀"</f>
        <v>曾梅秀</v>
      </c>
      <c r="E1908" s="2" t="str">
        <f>"女"</f>
        <v>女</v>
      </c>
    </row>
    <row r="1909" spans="1:5" ht="14.4" x14ac:dyDescent="0.25">
      <c r="A1909" s="4">
        <v>1907</v>
      </c>
      <c r="B1909" s="2" t="str">
        <f>"3251202108100902423760"</f>
        <v>3251202108100902423760</v>
      </c>
      <c r="C1909" s="2" t="s">
        <v>25</v>
      </c>
      <c r="D1909" s="2" t="str">
        <f>"符鸿坤"</f>
        <v>符鸿坤</v>
      </c>
      <c r="E1909" s="2" t="str">
        <f>"男"</f>
        <v>男</v>
      </c>
    </row>
    <row r="1910" spans="1:5" ht="14.4" x14ac:dyDescent="0.25">
      <c r="A1910" s="4">
        <v>1908</v>
      </c>
      <c r="B1910" s="2" t="str">
        <f>"3251202108100920463944"</f>
        <v>3251202108100920463944</v>
      </c>
      <c r="C1910" s="2" t="s">
        <v>25</v>
      </c>
      <c r="D1910" s="2" t="str">
        <f>"王小倩"</f>
        <v>王小倩</v>
      </c>
      <c r="E1910" s="2" t="str">
        <f>"女"</f>
        <v>女</v>
      </c>
    </row>
    <row r="1911" spans="1:5" ht="14.4" x14ac:dyDescent="0.25">
      <c r="A1911" s="4">
        <v>1909</v>
      </c>
      <c r="B1911" s="2" t="str">
        <f>"3251202108101005044257"</f>
        <v>3251202108101005044257</v>
      </c>
      <c r="C1911" s="2" t="s">
        <v>25</v>
      </c>
      <c r="D1911" s="2" t="str">
        <f>"张越"</f>
        <v>张越</v>
      </c>
      <c r="E1911" s="2" t="str">
        <f>"女"</f>
        <v>女</v>
      </c>
    </row>
    <row r="1912" spans="1:5" ht="14.4" x14ac:dyDescent="0.25">
      <c r="A1912" s="4">
        <v>1910</v>
      </c>
      <c r="B1912" s="2" t="str">
        <f>"3251202108101838315983"</f>
        <v>3251202108101838315983</v>
      </c>
      <c r="C1912" s="2" t="s">
        <v>25</v>
      </c>
      <c r="D1912" s="2" t="str">
        <f>"柯松桦"</f>
        <v>柯松桦</v>
      </c>
      <c r="E1912" s="2" t="str">
        <f>"男"</f>
        <v>男</v>
      </c>
    </row>
    <row r="1913" spans="1:5" ht="14.4" x14ac:dyDescent="0.25">
      <c r="A1913" s="4">
        <v>1911</v>
      </c>
      <c r="B1913" s="2" t="str">
        <f>"3251202108101940156118"</f>
        <v>3251202108101940156118</v>
      </c>
      <c r="C1913" s="2" t="s">
        <v>25</v>
      </c>
      <c r="D1913" s="2" t="str">
        <f>"符江瑜"</f>
        <v>符江瑜</v>
      </c>
      <c r="E1913" s="2" t="str">
        <f>"女"</f>
        <v>女</v>
      </c>
    </row>
    <row r="1914" spans="1:5" ht="14.4" x14ac:dyDescent="0.25">
      <c r="A1914" s="4">
        <v>1912</v>
      </c>
      <c r="B1914" s="2" t="str">
        <f>"3251202108102010026182"</f>
        <v>3251202108102010026182</v>
      </c>
      <c r="C1914" s="2" t="s">
        <v>25</v>
      </c>
      <c r="D1914" s="2" t="str">
        <f>"吴婧雅"</f>
        <v>吴婧雅</v>
      </c>
      <c r="E1914" s="2" t="str">
        <f>"女"</f>
        <v>女</v>
      </c>
    </row>
    <row r="1915" spans="1:5" ht="14.4" x14ac:dyDescent="0.25">
      <c r="A1915" s="4">
        <v>1913</v>
      </c>
      <c r="B1915" s="2" t="str">
        <f>"3251202108102037556241"</f>
        <v>3251202108102037556241</v>
      </c>
      <c r="C1915" s="2" t="s">
        <v>25</v>
      </c>
      <c r="D1915" s="2" t="str">
        <f>"符澳明"</f>
        <v>符澳明</v>
      </c>
      <c r="E1915" s="2" t="str">
        <f>"男"</f>
        <v>男</v>
      </c>
    </row>
    <row r="1916" spans="1:5" ht="14.4" x14ac:dyDescent="0.25">
      <c r="A1916" s="4">
        <v>1914</v>
      </c>
      <c r="B1916" s="2" t="str">
        <f>"3251202108102309046488"</f>
        <v>3251202108102309046488</v>
      </c>
      <c r="C1916" s="2" t="s">
        <v>25</v>
      </c>
      <c r="D1916" s="2" t="str">
        <f>"符丽琼"</f>
        <v>符丽琼</v>
      </c>
      <c r="E1916" s="2" t="str">
        <f>"女"</f>
        <v>女</v>
      </c>
    </row>
    <row r="1917" spans="1:5" ht="14.4" x14ac:dyDescent="0.25">
      <c r="A1917" s="4">
        <v>1915</v>
      </c>
      <c r="B1917" s="2" t="str">
        <f>"3251202108111733237641"</f>
        <v>3251202108111733237641</v>
      </c>
      <c r="C1917" s="2" t="s">
        <v>25</v>
      </c>
      <c r="D1917" s="2" t="str">
        <f>"吴晓慧"</f>
        <v>吴晓慧</v>
      </c>
      <c r="E1917" s="2" t="str">
        <f>"女"</f>
        <v>女</v>
      </c>
    </row>
    <row r="1918" spans="1:5" ht="14.4" x14ac:dyDescent="0.25">
      <c r="A1918" s="4">
        <v>1916</v>
      </c>
      <c r="B1918" s="2" t="str">
        <f>"3251202108111811337700"</f>
        <v>3251202108111811337700</v>
      </c>
      <c r="C1918" s="2" t="s">
        <v>25</v>
      </c>
      <c r="D1918" s="2" t="str">
        <f>"符程腾"</f>
        <v>符程腾</v>
      </c>
      <c r="E1918" s="2" t="str">
        <f>"男"</f>
        <v>男</v>
      </c>
    </row>
    <row r="1919" spans="1:5" ht="14.4" x14ac:dyDescent="0.25">
      <c r="A1919" s="4">
        <v>1917</v>
      </c>
      <c r="B1919" s="2" t="str">
        <f>"3251202108112117047957"</f>
        <v>3251202108112117047957</v>
      </c>
      <c r="C1919" s="2" t="s">
        <v>25</v>
      </c>
      <c r="D1919" s="2" t="str">
        <f>"王君岁"</f>
        <v>王君岁</v>
      </c>
      <c r="E1919" s="2" t="str">
        <f>"男"</f>
        <v>男</v>
      </c>
    </row>
    <row r="1920" spans="1:5" ht="14.4" x14ac:dyDescent="0.25">
      <c r="A1920" s="4">
        <v>1918</v>
      </c>
      <c r="B1920" s="2" t="str">
        <f>"3251202108121014528438"</f>
        <v>3251202108121014528438</v>
      </c>
      <c r="C1920" s="2" t="s">
        <v>25</v>
      </c>
      <c r="D1920" s="2" t="str">
        <f>"王壮侯"</f>
        <v>王壮侯</v>
      </c>
      <c r="E1920" s="2" t="str">
        <f>"男"</f>
        <v>男</v>
      </c>
    </row>
    <row r="1921" spans="1:5" ht="14.4" x14ac:dyDescent="0.25">
      <c r="A1921" s="4">
        <v>1919</v>
      </c>
      <c r="B1921" s="2" t="str">
        <f>"3251202108121919239216"</f>
        <v>3251202108121919239216</v>
      </c>
      <c r="C1921" s="2" t="s">
        <v>25</v>
      </c>
      <c r="D1921" s="2" t="str">
        <f>"王婵"</f>
        <v>王婵</v>
      </c>
      <c r="E1921" s="2" t="str">
        <f>"女"</f>
        <v>女</v>
      </c>
    </row>
    <row r="1922" spans="1:5" ht="14.4" x14ac:dyDescent="0.25">
      <c r="A1922" s="4">
        <v>1920</v>
      </c>
      <c r="B1922" s="2" t="str">
        <f>"3251202108122238469409"</f>
        <v>3251202108122238469409</v>
      </c>
      <c r="C1922" s="2" t="s">
        <v>25</v>
      </c>
      <c r="D1922" s="2" t="str">
        <f>"周凯"</f>
        <v>周凯</v>
      </c>
      <c r="E1922" s="2" t="str">
        <f>"男"</f>
        <v>男</v>
      </c>
    </row>
    <row r="1923" spans="1:5" ht="14.4" x14ac:dyDescent="0.25">
      <c r="A1923" s="4">
        <v>1921</v>
      </c>
      <c r="B1923" s="2" t="str">
        <f>"3251202108131519349939"</f>
        <v>3251202108131519349939</v>
      </c>
      <c r="C1923" s="2" t="s">
        <v>25</v>
      </c>
      <c r="D1923" s="2" t="str">
        <f>"陈小妹"</f>
        <v>陈小妹</v>
      </c>
      <c r="E1923" s="2" t="str">
        <f>"女"</f>
        <v>女</v>
      </c>
    </row>
    <row r="1924" spans="1:5" ht="14.4" x14ac:dyDescent="0.25">
      <c r="A1924" s="4">
        <v>1922</v>
      </c>
      <c r="B1924" s="2" t="str">
        <f>"32512021081411052610486"</f>
        <v>32512021081411052610486</v>
      </c>
      <c r="C1924" s="2" t="s">
        <v>25</v>
      </c>
      <c r="D1924" s="2" t="str">
        <f>"陈玲"</f>
        <v>陈玲</v>
      </c>
      <c r="E1924" s="2" t="str">
        <f>"女"</f>
        <v>女</v>
      </c>
    </row>
    <row r="1925" spans="1:5" ht="14.4" x14ac:dyDescent="0.25">
      <c r="A1925" s="4">
        <v>1923</v>
      </c>
      <c r="B1925" s="2" t="str">
        <f>"32512021081516334411249"</f>
        <v>32512021081516334411249</v>
      </c>
      <c r="C1925" s="2" t="s">
        <v>25</v>
      </c>
      <c r="D1925" s="2" t="str">
        <f>"王晓想"</f>
        <v>王晓想</v>
      </c>
      <c r="E1925" s="2" t="str">
        <f>"女"</f>
        <v>女</v>
      </c>
    </row>
    <row r="1926" spans="1:5" ht="14.4" x14ac:dyDescent="0.25">
      <c r="A1926" s="4">
        <v>1924</v>
      </c>
      <c r="B1926" s="2" t="str">
        <f>"32512021081608362111761"</f>
        <v>32512021081608362111761</v>
      </c>
      <c r="C1926" s="2" t="s">
        <v>25</v>
      </c>
      <c r="D1926" s="2" t="str">
        <f>"符海杰"</f>
        <v>符海杰</v>
      </c>
      <c r="E1926" s="2" t="str">
        <f>"男"</f>
        <v>男</v>
      </c>
    </row>
    <row r="1927" spans="1:5" ht="14.4" x14ac:dyDescent="0.25">
      <c r="A1927" s="4">
        <v>1925</v>
      </c>
      <c r="B1927" s="2" t="str">
        <f>"3251202108100913053877"</f>
        <v>3251202108100913053877</v>
      </c>
      <c r="C1927" s="2" t="s">
        <v>26</v>
      </c>
      <c r="D1927" s="2" t="str">
        <f>"吕玲芝"</f>
        <v>吕玲芝</v>
      </c>
      <c r="E1927" s="2" t="str">
        <f>"女"</f>
        <v>女</v>
      </c>
    </row>
    <row r="1928" spans="1:5" ht="14.4" x14ac:dyDescent="0.25">
      <c r="A1928" s="4">
        <v>1926</v>
      </c>
      <c r="B1928" s="2" t="str">
        <f>"3251202108100915083900"</f>
        <v>3251202108100915083900</v>
      </c>
      <c r="C1928" s="2" t="s">
        <v>26</v>
      </c>
      <c r="D1928" s="2" t="str">
        <f>"庄艳"</f>
        <v>庄艳</v>
      </c>
      <c r="E1928" s="2" t="str">
        <f>"女"</f>
        <v>女</v>
      </c>
    </row>
    <row r="1929" spans="1:5" ht="14.4" x14ac:dyDescent="0.25">
      <c r="A1929" s="4">
        <v>1927</v>
      </c>
      <c r="B1929" s="2" t="str">
        <f>"3251202108100946584128"</f>
        <v>3251202108100946584128</v>
      </c>
      <c r="C1929" s="2" t="s">
        <v>26</v>
      </c>
      <c r="D1929" s="2" t="str">
        <f>"黄琳"</f>
        <v>黄琳</v>
      </c>
      <c r="E1929" s="2" t="str">
        <f>"女"</f>
        <v>女</v>
      </c>
    </row>
    <row r="1930" spans="1:5" ht="14.4" x14ac:dyDescent="0.25">
      <c r="A1930" s="4">
        <v>1928</v>
      </c>
      <c r="B1930" s="2" t="str">
        <f>"3251202108100955214196"</f>
        <v>3251202108100955214196</v>
      </c>
      <c r="C1930" s="2" t="s">
        <v>26</v>
      </c>
      <c r="D1930" s="2" t="str">
        <f>"张富键"</f>
        <v>张富键</v>
      </c>
      <c r="E1930" s="2" t="str">
        <f>"男"</f>
        <v>男</v>
      </c>
    </row>
    <row r="1931" spans="1:5" ht="14.4" x14ac:dyDescent="0.25">
      <c r="A1931" s="4">
        <v>1929</v>
      </c>
      <c r="B1931" s="2" t="str">
        <f>"3251202108101003294246"</f>
        <v>3251202108101003294246</v>
      </c>
      <c r="C1931" s="2" t="s">
        <v>26</v>
      </c>
      <c r="D1931" s="2" t="str">
        <f>"曾李妹"</f>
        <v>曾李妹</v>
      </c>
      <c r="E1931" s="2" t="str">
        <f>"女"</f>
        <v>女</v>
      </c>
    </row>
    <row r="1932" spans="1:5" ht="14.4" x14ac:dyDescent="0.25">
      <c r="A1932" s="4">
        <v>1930</v>
      </c>
      <c r="B1932" s="2" t="str">
        <f>"3251202108101010034279"</f>
        <v>3251202108101010034279</v>
      </c>
      <c r="C1932" s="2" t="s">
        <v>26</v>
      </c>
      <c r="D1932" s="2" t="str">
        <f>"陈欢"</f>
        <v>陈欢</v>
      </c>
      <c r="E1932" s="2" t="str">
        <f>"女"</f>
        <v>女</v>
      </c>
    </row>
    <row r="1933" spans="1:5" ht="14.4" x14ac:dyDescent="0.25">
      <c r="A1933" s="4">
        <v>1931</v>
      </c>
      <c r="B1933" s="2" t="str">
        <f>"3251202108101019514336"</f>
        <v>3251202108101019514336</v>
      </c>
      <c r="C1933" s="2" t="s">
        <v>26</v>
      </c>
      <c r="D1933" s="2" t="str">
        <f>"羊冠婷"</f>
        <v>羊冠婷</v>
      </c>
      <c r="E1933" s="2" t="str">
        <f>"女"</f>
        <v>女</v>
      </c>
    </row>
    <row r="1934" spans="1:5" ht="14.4" x14ac:dyDescent="0.25">
      <c r="A1934" s="4">
        <v>1932</v>
      </c>
      <c r="B1934" s="2" t="str">
        <f>"3251202108101037114430"</f>
        <v>3251202108101037114430</v>
      </c>
      <c r="C1934" s="2" t="s">
        <v>26</v>
      </c>
      <c r="D1934" s="2" t="str">
        <f>"陈雅静"</f>
        <v>陈雅静</v>
      </c>
      <c r="E1934" s="2" t="str">
        <f>"女"</f>
        <v>女</v>
      </c>
    </row>
    <row r="1935" spans="1:5" ht="14.4" x14ac:dyDescent="0.25">
      <c r="A1935" s="4">
        <v>1933</v>
      </c>
      <c r="B1935" s="2" t="str">
        <f>"3251202108101041444447"</f>
        <v>3251202108101041444447</v>
      </c>
      <c r="C1935" s="2" t="s">
        <v>26</v>
      </c>
      <c r="D1935" s="2" t="str">
        <f>"许彬彬"</f>
        <v>许彬彬</v>
      </c>
      <c r="E1935" s="2" t="str">
        <f>"女"</f>
        <v>女</v>
      </c>
    </row>
    <row r="1936" spans="1:5" ht="14.4" x14ac:dyDescent="0.25">
      <c r="A1936" s="4">
        <v>1934</v>
      </c>
      <c r="B1936" s="2" t="str">
        <f>"3251202108101047524477"</f>
        <v>3251202108101047524477</v>
      </c>
      <c r="C1936" s="2" t="s">
        <v>26</v>
      </c>
      <c r="D1936" s="2" t="str">
        <f>"符垂曌"</f>
        <v>符垂曌</v>
      </c>
      <c r="E1936" s="2" t="str">
        <f>"男"</f>
        <v>男</v>
      </c>
    </row>
    <row r="1937" spans="1:5" ht="14.4" x14ac:dyDescent="0.25">
      <c r="A1937" s="4">
        <v>1935</v>
      </c>
      <c r="B1937" s="2" t="str">
        <f>"3251202108101110104592"</f>
        <v>3251202108101110104592</v>
      </c>
      <c r="C1937" s="2" t="s">
        <v>26</v>
      </c>
      <c r="D1937" s="2" t="str">
        <f>"黄甜"</f>
        <v>黄甜</v>
      </c>
      <c r="E1937" s="2" t="str">
        <f>"女"</f>
        <v>女</v>
      </c>
    </row>
    <row r="1938" spans="1:5" ht="14.4" x14ac:dyDescent="0.25">
      <c r="A1938" s="4">
        <v>1936</v>
      </c>
      <c r="B1938" s="2" t="str">
        <f>"3251202108101216254851"</f>
        <v>3251202108101216254851</v>
      </c>
      <c r="C1938" s="2" t="s">
        <v>26</v>
      </c>
      <c r="D1938" s="2" t="str">
        <f>"李上宇"</f>
        <v>李上宇</v>
      </c>
      <c r="E1938" s="2" t="str">
        <f>"男"</f>
        <v>男</v>
      </c>
    </row>
    <row r="1939" spans="1:5" ht="14.4" x14ac:dyDescent="0.25">
      <c r="A1939" s="4">
        <v>1937</v>
      </c>
      <c r="B1939" s="2" t="str">
        <f>"3251202108101246094951"</f>
        <v>3251202108101246094951</v>
      </c>
      <c r="C1939" s="2" t="s">
        <v>26</v>
      </c>
      <c r="D1939" s="2" t="str">
        <f>"杨庄元"</f>
        <v>杨庄元</v>
      </c>
      <c r="E1939" s="2" t="str">
        <f>"女"</f>
        <v>女</v>
      </c>
    </row>
    <row r="1940" spans="1:5" ht="14.4" x14ac:dyDescent="0.25">
      <c r="A1940" s="4">
        <v>1938</v>
      </c>
      <c r="B1940" s="2" t="str">
        <f>"3251202108101249284963"</f>
        <v>3251202108101249284963</v>
      </c>
      <c r="C1940" s="2" t="s">
        <v>26</v>
      </c>
      <c r="D1940" s="2" t="str">
        <f>"羊文熙"</f>
        <v>羊文熙</v>
      </c>
      <c r="E1940" s="2" t="str">
        <f>"男"</f>
        <v>男</v>
      </c>
    </row>
    <row r="1941" spans="1:5" ht="14.4" x14ac:dyDescent="0.25">
      <c r="A1941" s="4">
        <v>1939</v>
      </c>
      <c r="B1941" s="2" t="str">
        <f>"3251202108101321575031"</f>
        <v>3251202108101321575031</v>
      </c>
      <c r="C1941" s="2" t="s">
        <v>26</v>
      </c>
      <c r="D1941" s="2" t="str">
        <f>"林雅琪"</f>
        <v>林雅琪</v>
      </c>
      <c r="E1941" s="2" t="str">
        <f>"女"</f>
        <v>女</v>
      </c>
    </row>
    <row r="1942" spans="1:5" ht="14.4" x14ac:dyDescent="0.25">
      <c r="A1942" s="4">
        <v>1940</v>
      </c>
      <c r="B1942" s="2" t="str">
        <f>"3251202108101457275279"</f>
        <v>3251202108101457275279</v>
      </c>
      <c r="C1942" s="2" t="s">
        <v>26</v>
      </c>
      <c r="D1942" s="2" t="str">
        <f>"冯译锐"</f>
        <v>冯译锐</v>
      </c>
      <c r="E1942" s="2" t="str">
        <f>"男"</f>
        <v>男</v>
      </c>
    </row>
    <row r="1943" spans="1:5" ht="14.4" x14ac:dyDescent="0.25">
      <c r="A1943" s="4">
        <v>1941</v>
      </c>
      <c r="B1943" s="2" t="str">
        <f>"3251202108101546255451"</f>
        <v>3251202108101546255451</v>
      </c>
      <c r="C1943" s="2" t="s">
        <v>26</v>
      </c>
      <c r="D1943" s="2" t="str">
        <f>"何凡"</f>
        <v>何凡</v>
      </c>
      <c r="E1943" s="2" t="str">
        <f>"女"</f>
        <v>女</v>
      </c>
    </row>
    <row r="1944" spans="1:5" ht="14.4" x14ac:dyDescent="0.25">
      <c r="A1944" s="4">
        <v>1942</v>
      </c>
      <c r="B1944" s="2" t="str">
        <f>"3251202108102032266231"</f>
        <v>3251202108102032266231</v>
      </c>
      <c r="C1944" s="2" t="s">
        <v>26</v>
      </c>
      <c r="D1944" s="2" t="str">
        <f>"王海锋"</f>
        <v>王海锋</v>
      </c>
      <c r="E1944" s="2" t="str">
        <f>"男"</f>
        <v>男</v>
      </c>
    </row>
    <row r="1945" spans="1:5" ht="14.4" x14ac:dyDescent="0.25">
      <c r="A1945" s="4">
        <v>1943</v>
      </c>
      <c r="B1945" s="2" t="str">
        <f>"3251202108102052266265"</f>
        <v>3251202108102052266265</v>
      </c>
      <c r="C1945" s="2" t="s">
        <v>26</v>
      </c>
      <c r="D1945" s="2" t="str">
        <f>"符欣琪"</f>
        <v>符欣琪</v>
      </c>
      <c r="E1945" s="2" t="str">
        <f>"女"</f>
        <v>女</v>
      </c>
    </row>
    <row r="1946" spans="1:5" ht="14.4" x14ac:dyDescent="0.25">
      <c r="A1946" s="4">
        <v>1944</v>
      </c>
      <c r="B1946" s="2" t="str">
        <f>"3251202108102203276384"</f>
        <v>3251202108102203276384</v>
      </c>
      <c r="C1946" s="2" t="s">
        <v>26</v>
      </c>
      <c r="D1946" s="2" t="str">
        <f>"陈正芳"</f>
        <v>陈正芳</v>
      </c>
      <c r="E1946" s="2" t="str">
        <f>"女"</f>
        <v>女</v>
      </c>
    </row>
    <row r="1947" spans="1:5" ht="14.4" x14ac:dyDescent="0.25">
      <c r="A1947" s="4">
        <v>1945</v>
      </c>
      <c r="B1947" s="2" t="str">
        <f>"3251202108110927376741"</f>
        <v>3251202108110927376741</v>
      </c>
      <c r="C1947" s="2" t="s">
        <v>26</v>
      </c>
      <c r="D1947" s="2" t="str">
        <f>"符雨诚"</f>
        <v>符雨诚</v>
      </c>
      <c r="E1947" s="2" t="str">
        <f>"男"</f>
        <v>男</v>
      </c>
    </row>
    <row r="1948" spans="1:5" ht="14.4" x14ac:dyDescent="0.25">
      <c r="A1948" s="4">
        <v>1946</v>
      </c>
      <c r="B1948" s="2" t="str">
        <f>"3251202108111259067216"</f>
        <v>3251202108111259067216</v>
      </c>
      <c r="C1948" s="2" t="s">
        <v>26</v>
      </c>
      <c r="D1948" s="2" t="str">
        <f>"刘光明"</f>
        <v>刘光明</v>
      </c>
      <c r="E1948" s="2" t="str">
        <f>"男"</f>
        <v>男</v>
      </c>
    </row>
    <row r="1949" spans="1:5" ht="14.4" x14ac:dyDescent="0.25">
      <c r="A1949" s="4">
        <v>1947</v>
      </c>
      <c r="B1949" s="2" t="str">
        <f>"3251202108111301287217"</f>
        <v>3251202108111301287217</v>
      </c>
      <c r="C1949" s="2" t="s">
        <v>26</v>
      </c>
      <c r="D1949" s="2" t="str">
        <f>"陈玉婕"</f>
        <v>陈玉婕</v>
      </c>
      <c r="E1949" s="2" t="str">
        <f>"女"</f>
        <v>女</v>
      </c>
    </row>
    <row r="1950" spans="1:5" ht="14.4" x14ac:dyDescent="0.25">
      <c r="A1950" s="4">
        <v>1948</v>
      </c>
      <c r="B1950" s="2" t="str">
        <f>"3251202108111432067299"</f>
        <v>3251202108111432067299</v>
      </c>
      <c r="C1950" s="2" t="s">
        <v>26</v>
      </c>
      <c r="D1950" s="2" t="str">
        <f>"符昭昭"</f>
        <v>符昭昭</v>
      </c>
      <c r="E1950" s="2" t="str">
        <f>"女"</f>
        <v>女</v>
      </c>
    </row>
    <row r="1951" spans="1:5" ht="14.4" x14ac:dyDescent="0.25">
      <c r="A1951" s="4">
        <v>1949</v>
      </c>
      <c r="B1951" s="2" t="str">
        <f>"3251202108120825018194"</f>
        <v>3251202108120825018194</v>
      </c>
      <c r="C1951" s="2" t="s">
        <v>26</v>
      </c>
      <c r="D1951" s="2" t="str">
        <f>"吴孟浩"</f>
        <v>吴孟浩</v>
      </c>
      <c r="E1951" s="2" t="str">
        <f>"男"</f>
        <v>男</v>
      </c>
    </row>
    <row r="1952" spans="1:5" ht="14.4" x14ac:dyDescent="0.25">
      <c r="A1952" s="4">
        <v>1950</v>
      </c>
      <c r="B1952" s="2" t="str">
        <f>"3251202108121032068471"</f>
        <v>3251202108121032068471</v>
      </c>
      <c r="C1952" s="2" t="s">
        <v>26</v>
      </c>
      <c r="D1952" s="2" t="str">
        <f>"万眉眉"</f>
        <v>万眉眉</v>
      </c>
      <c r="E1952" s="2" t="str">
        <f>"女"</f>
        <v>女</v>
      </c>
    </row>
    <row r="1953" spans="1:5" ht="14.4" x14ac:dyDescent="0.25">
      <c r="A1953" s="4">
        <v>1951</v>
      </c>
      <c r="B1953" s="2" t="str">
        <f>"3251202108121038208484"</f>
        <v>3251202108121038208484</v>
      </c>
      <c r="C1953" s="2" t="s">
        <v>26</v>
      </c>
      <c r="D1953" s="2" t="str">
        <f>"羊容德"</f>
        <v>羊容德</v>
      </c>
      <c r="E1953" s="2" t="str">
        <f>"男"</f>
        <v>男</v>
      </c>
    </row>
    <row r="1954" spans="1:5" ht="14.4" x14ac:dyDescent="0.25">
      <c r="A1954" s="4">
        <v>1952</v>
      </c>
      <c r="B1954" s="2" t="str">
        <f>"3251202108121438008808"</f>
        <v>3251202108121438008808</v>
      </c>
      <c r="C1954" s="2" t="s">
        <v>26</v>
      </c>
      <c r="D1954" s="2" t="str">
        <f>"陈雅君"</f>
        <v>陈雅君</v>
      </c>
      <c r="E1954" s="2" t="str">
        <f>"女"</f>
        <v>女</v>
      </c>
    </row>
    <row r="1955" spans="1:5" ht="14.4" x14ac:dyDescent="0.25">
      <c r="A1955" s="4">
        <v>1953</v>
      </c>
      <c r="B1955" s="2" t="str">
        <f>"3251202108121442108816"</f>
        <v>3251202108121442108816</v>
      </c>
      <c r="C1955" s="2" t="s">
        <v>26</v>
      </c>
      <c r="D1955" s="2" t="str">
        <f>"黎春花"</f>
        <v>黎春花</v>
      </c>
      <c r="E1955" s="2" t="str">
        <f>"女"</f>
        <v>女</v>
      </c>
    </row>
    <row r="1956" spans="1:5" ht="14.4" x14ac:dyDescent="0.25">
      <c r="A1956" s="4">
        <v>1954</v>
      </c>
      <c r="B1956" s="2" t="str">
        <f>"3251202108121604408981"</f>
        <v>3251202108121604408981</v>
      </c>
      <c r="C1956" s="2" t="s">
        <v>26</v>
      </c>
      <c r="D1956" s="2" t="str">
        <f>"周朋"</f>
        <v>周朋</v>
      </c>
      <c r="E1956" s="2" t="str">
        <f>"女"</f>
        <v>女</v>
      </c>
    </row>
    <row r="1957" spans="1:5" ht="14.4" x14ac:dyDescent="0.25">
      <c r="A1957" s="4">
        <v>1955</v>
      </c>
      <c r="B1957" s="2" t="str">
        <f>"3251202108130020189470"</f>
        <v>3251202108130020189470</v>
      </c>
      <c r="C1957" s="2" t="s">
        <v>26</v>
      </c>
      <c r="D1957" s="2" t="str">
        <f>"符秋霞"</f>
        <v>符秋霞</v>
      </c>
      <c r="E1957" s="2" t="str">
        <f>"女"</f>
        <v>女</v>
      </c>
    </row>
    <row r="1958" spans="1:5" ht="14.4" x14ac:dyDescent="0.25">
      <c r="A1958" s="4">
        <v>1956</v>
      </c>
      <c r="B1958" s="2" t="str">
        <f>"3251202108131309229830"</f>
        <v>3251202108131309229830</v>
      </c>
      <c r="C1958" s="2" t="s">
        <v>26</v>
      </c>
      <c r="D1958" s="2" t="str">
        <f>"符舒婷"</f>
        <v>符舒婷</v>
      </c>
      <c r="E1958" s="2" t="str">
        <f>"女"</f>
        <v>女</v>
      </c>
    </row>
    <row r="1959" spans="1:5" ht="14.4" x14ac:dyDescent="0.25">
      <c r="A1959" s="4">
        <v>1957</v>
      </c>
      <c r="B1959" s="2" t="str">
        <f>"3251202108131342549851"</f>
        <v>3251202108131342549851</v>
      </c>
      <c r="C1959" s="2" t="s">
        <v>26</v>
      </c>
      <c r="D1959" s="2" t="str">
        <f>"吴炜健"</f>
        <v>吴炜健</v>
      </c>
      <c r="E1959" s="2" t="str">
        <f>"男"</f>
        <v>男</v>
      </c>
    </row>
    <row r="1960" spans="1:5" ht="14.4" x14ac:dyDescent="0.25">
      <c r="A1960" s="4">
        <v>1958</v>
      </c>
      <c r="B1960" s="2" t="str">
        <f>"32512021081316301310036"</f>
        <v>32512021081316301310036</v>
      </c>
      <c r="C1960" s="2" t="s">
        <v>26</v>
      </c>
      <c r="D1960" s="2" t="str">
        <f>"符容月"</f>
        <v>符容月</v>
      </c>
      <c r="E1960" s="2" t="str">
        <f>"女"</f>
        <v>女</v>
      </c>
    </row>
    <row r="1961" spans="1:5" ht="14.4" x14ac:dyDescent="0.25">
      <c r="A1961" s="4">
        <v>1959</v>
      </c>
      <c r="B1961" s="2" t="str">
        <f>"32512021081414084310587"</f>
        <v>32512021081414084310587</v>
      </c>
      <c r="C1961" s="2" t="s">
        <v>26</v>
      </c>
      <c r="D1961" s="2" t="str">
        <f>"潘玉华"</f>
        <v>潘玉华</v>
      </c>
      <c r="E1961" s="2" t="str">
        <f>"女"</f>
        <v>女</v>
      </c>
    </row>
    <row r="1962" spans="1:5" ht="14.4" x14ac:dyDescent="0.25">
      <c r="A1962" s="4">
        <v>1960</v>
      </c>
      <c r="B1962" s="2" t="str">
        <f>"32512021081507444910931"</f>
        <v>32512021081507444910931</v>
      </c>
      <c r="C1962" s="2" t="s">
        <v>26</v>
      </c>
      <c r="D1962" s="2" t="str">
        <f>"梁文辉"</f>
        <v>梁文辉</v>
      </c>
      <c r="E1962" s="2" t="str">
        <f>"男"</f>
        <v>男</v>
      </c>
    </row>
    <row r="1963" spans="1:5" ht="14.4" x14ac:dyDescent="0.25">
      <c r="A1963" s="4">
        <v>1961</v>
      </c>
      <c r="B1963" s="2" t="str">
        <f>"32512021081512194811073"</f>
        <v>32512021081512194811073</v>
      </c>
      <c r="C1963" s="2" t="s">
        <v>26</v>
      </c>
      <c r="D1963" s="2" t="str">
        <f>"符瑀珊"</f>
        <v>符瑀珊</v>
      </c>
      <c r="E1963" s="2" t="str">
        <f>"女"</f>
        <v>女</v>
      </c>
    </row>
    <row r="1964" spans="1:5" ht="14.4" x14ac:dyDescent="0.25">
      <c r="A1964" s="4">
        <v>1962</v>
      </c>
      <c r="B1964" s="2" t="str">
        <f>"32512021081516061811226"</f>
        <v>32512021081516061811226</v>
      </c>
      <c r="C1964" s="2" t="s">
        <v>26</v>
      </c>
      <c r="D1964" s="2" t="str">
        <f>"羊晓梦"</f>
        <v>羊晓梦</v>
      </c>
      <c r="E1964" s="2" t="str">
        <f>"女"</f>
        <v>女</v>
      </c>
    </row>
    <row r="1965" spans="1:5" ht="14.4" x14ac:dyDescent="0.25">
      <c r="A1965" s="4">
        <v>1963</v>
      </c>
      <c r="B1965" s="2" t="str">
        <f>"32512021081608201711729"</f>
        <v>32512021081608201711729</v>
      </c>
      <c r="C1965" s="2" t="s">
        <v>26</v>
      </c>
      <c r="D1965" s="2" t="str">
        <f>"许南娇"</f>
        <v>许南娇</v>
      </c>
      <c r="E1965" s="2" t="str">
        <f>"女"</f>
        <v>女</v>
      </c>
    </row>
    <row r="1966" spans="1:5" ht="14.4" x14ac:dyDescent="0.25">
      <c r="A1966" s="4">
        <v>1964</v>
      </c>
      <c r="B1966" s="2" t="str">
        <f>"32512021081613540212872"</f>
        <v>32512021081613540212872</v>
      </c>
      <c r="C1966" s="2" t="s">
        <v>26</v>
      </c>
      <c r="D1966" s="2" t="str">
        <f>"王丽晶"</f>
        <v>王丽晶</v>
      </c>
      <c r="E1966" s="2" t="str">
        <f>"女"</f>
        <v>女</v>
      </c>
    </row>
    <row r="1967" spans="1:5" ht="14.4" x14ac:dyDescent="0.25">
      <c r="A1967" s="4">
        <v>1965</v>
      </c>
      <c r="B1967" s="2" t="str">
        <f>"3251202108100901583751"</f>
        <v>3251202108100901583751</v>
      </c>
      <c r="C1967" s="2" t="s">
        <v>27</v>
      </c>
      <c r="D1967" s="2" t="str">
        <f>"李海德"</f>
        <v>李海德</v>
      </c>
      <c r="E1967" s="2" t="str">
        <f>"男"</f>
        <v>男</v>
      </c>
    </row>
    <row r="1968" spans="1:5" ht="14.4" x14ac:dyDescent="0.25">
      <c r="A1968" s="4">
        <v>1966</v>
      </c>
      <c r="B1968" s="2" t="str">
        <f>"3251202108100905563794"</f>
        <v>3251202108100905563794</v>
      </c>
      <c r="C1968" s="2" t="s">
        <v>27</v>
      </c>
      <c r="D1968" s="2" t="str">
        <f>"周振华"</f>
        <v>周振华</v>
      </c>
      <c r="E1968" s="2" t="str">
        <f>"男"</f>
        <v>男</v>
      </c>
    </row>
    <row r="1969" spans="1:5" ht="14.4" x14ac:dyDescent="0.25">
      <c r="A1969" s="4">
        <v>1967</v>
      </c>
      <c r="B1969" s="2" t="str">
        <f>"3251202108100917163915"</f>
        <v>3251202108100917163915</v>
      </c>
      <c r="C1969" s="2" t="s">
        <v>27</v>
      </c>
      <c r="D1969" s="2" t="str">
        <f>"王丽敏"</f>
        <v>王丽敏</v>
      </c>
      <c r="E1969" s="2" t="str">
        <f t="shared" ref="E1969:E1981" si="56">"女"</f>
        <v>女</v>
      </c>
    </row>
    <row r="1970" spans="1:5" ht="14.4" x14ac:dyDescent="0.25">
      <c r="A1970" s="4">
        <v>1968</v>
      </c>
      <c r="B1970" s="2" t="str">
        <f>"3251202108100959494222"</f>
        <v>3251202108100959494222</v>
      </c>
      <c r="C1970" s="2" t="s">
        <v>27</v>
      </c>
      <c r="D1970" s="2" t="str">
        <f>"符冬蕾"</f>
        <v>符冬蕾</v>
      </c>
      <c r="E1970" s="2" t="str">
        <f t="shared" si="56"/>
        <v>女</v>
      </c>
    </row>
    <row r="1971" spans="1:5" ht="14.4" x14ac:dyDescent="0.25">
      <c r="A1971" s="4">
        <v>1969</v>
      </c>
      <c r="B1971" s="2" t="str">
        <f>"3251202108101025444371"</f>
        <v>3251202108101025444371</v>
      </c>
      <c r="C1971" s="2" t="s">
        <v>27</v>
      </c>
      <c r="D1971" s="2" t="str">
        <f>"王夏霜"</f>
        <v>王夏霜</v>
      </c>
      <c r="E1971" s="2" t="str">
        <f t="shared" si="56"/>
        <v>女</v>
      </c>
    </row>
    <row r="1972" spans="1:5" ht="14.4" x14ac:dyDescent="0.25">
      <c r="A1972" s="4">
        <v>1970</v>
      </c>
      <c r="B1972" s="2" t="str">
        <f>"3251202108101125034671"</f>
        <v>3251202108101125034671</v>
      </c>
      <c r="C1972" s="2" t="s">
        <v>27</v>
      </c>
      <c r="D1972" s="2" t="str">
        <f>"李肖"</f>
        <v>李肖</v>
      </c>
      <c r="E1972" s="2" t="str">
        <f t="shared" si="56"/>
        <v>女</v>
      </c>
    </row>
    <row r="1973" spans="1:5" ht="14.4" x14ac:dyDescent="0.25">
      <c r="A1973" s="4">
        <v>1971</v>
      </c>
      <c r="B1973" s="2" t="str">
        <f>"3251202108101357265098"</f>
        <v>3251202108101357265098</v>
      </c>
      <c r="C1973" s="2" t="s">
        <v>27</v>
      </c>
      <c r="D1973" s="2" t="str">
        <f>"曾丽莉"</f>
        <v>曾丽莉</v>
      </c>
      <c r="E1973" s="2" t="str">
        <f t="shared" si="56"/>
        <v>女</v>
      </c>
    </row>
    <row r="1974" spans="1:5" ht="14.4" x14ac:dyDescent="0.25">
      <c r="A1974" s="4">
        <v>1972</v>
      </c>
      <c r="B1974" s="2" t="str">
        <f>"3251202108101457525282"</f>
        <v>3251202108101457525282</v>
      </c>
      <c r="C1974" s="2" t="s">
        <v>27</v>
      </c>
      <c r="D1974" s="2" t="str">
        <f>"罗雅珅"</f>
        <v>罗雅珅</v>
      </c>
      <c r="E1974" s="2" t="str">
        <f t="shared" si="56"/>
        <v>女</v>
      </c>
    </row>
    <row r="1975" spans="1:5" ht="14.4" x14ac:dyDescent="0.25">
      <c r="A1975" s="4">
        <v>1973</v>
      </c>
      <c r="B1975" s="2" t="str">
        <f>"3251202108101924036084"</f>
        <v>3251202108101924036084</v>
      </c>
      <c r="C1975" s="2" t="s">
        <v>27</v>
      </c>
      <c r="D1975" s="2" t="str">
        <f>"杨霖"</f>
        <v>杨霖</v>
      </c>
      <c r="E1975" s="2" t="str">
        <f t="shared" si="56"/>
        <v>女</v>
      </c>
    </row>
    <row r="1976" spans="1:5" ht="14.4" x14ac:dyDescent="0.25">
      <c r="A1976" s="4">
        <v>1974</v>
      </c>
      <c r="B1976" s="2" t="str">
        <f>"3251202108102023086210"</f>
        <v>3251202108102023086210</v>
      </c>
      <c r="C1976" s="2" t="s">
        <v>27</v>
      </c>
      <c r="D1976" s="2" t="str">
        <f>"符明慧"</f>
        <v>符明慧</v>
      </c>
      <c r="E1976" s="2" t="str">
        <f t="shared" si="56"/>
        <v>女</v>
      </c>
    </row>
    <row r="1977" spans="1:5" ht="14.4" x14ac:dyDescent="0.25">
      <c r="A1977" s="4">
        <v>1975</v>
      </c>
      <c r="B1977" s="2" t="str">
        <f>"3251202108102050476262"</f>
        <v>3251202108102050476262</v>
      </c>
      <c r="C1977" s="2" t="s">
        <v>27</v>
      </c>
      <c r="D1977" s="2" t="str">
        <f>"符汉秀"</f>
        <v>符汉秀</v>
      </c>
      <c r="E1977" s="2" t="str">
        <f t="shared" si="56"/>
        <v>女</v>
      </c>
    </row>
    <row r="1978" spans="1:5" ht="14.4" x14ac:dyDescent="0.25">
      <c r="A1978" s="4">
        <v>1976</v>
      </c>
      <c r="B1978" s="2" t="str">
        <f>"3251202108102318196502"</f>
        <v>3251202108102318196502</v>
      </c>
      <c r="C1978" s="2" t="s">
        <v>27</v>
      </c>
      <c r="D1978" s="2" t="str">
        <f>"谭芸萃"</f>
        <v>谭芸萃</v>
      </c>
      <c r="E1978" s="2" t="str">
        <f t="shared" si="56"/>
        <v>女</v>
      </c>
    </row>
    <row r="1979" spans="1:5" ht="14.4" x14ac:dyDescent="0.25">
      <c r="A1979" s="4">
        <v>1977</v>
      </c>
      <c r="B1979" s="2" t="str">
        <f>"3251202108102324256505"</f>
        <v>3251202108102324256505</v>
      </c>
      <c r="C1979" s="2" t="s">
        <v>27</v>
      </c>
      <c r="D1979" s="2" t="str">
        <f>"王琪"</f>
        <v>王琪</v>
      </c>
      <c r="E1979" s="2" t="str">
        <f t="shared" si="56"/>
        <v>女</v>
      </c>
    </row>
    <row r="1980" spans="1:5" ht="14.4" x14ac:dyDescent="0.25">
      <c r="A1980" s="4">
        <v>1978</v>
      </c>
      <c r="B1980" s="2" t="str">
        <f>"3251202108102344466517"</f>
        <v>3251202108102344466517</v>
      </c>
      <c r="C1980" s="2" t="s">
        <v>27</v>
      </c>
      <c r="D1980" s="2" t="str">
        <f>"符智慧"</f>
        <v>符智慧</v>
      </c>
      <c r="E1980" s="2" t="str">
        <f t="shared" si="56"/>
        <v>女</v>
      </c>
    </row>
    <row r="1981" spans="1:5" ht="14.4" x14ac:dyDescent="0.25">
      <c r="A1981" s="4">
        <v>1979</v>
      </c>
      <c r="B1981" s="2" t="str">
        <f>"3251202108110810456581"</f>
        <v>3251202108110810456581</v>
      </c>
      <c r="C1981" s="2" t="s">
        <v>27</v>
      </c>
      <c r="D1981" s="2" t="str">
        <f>"符瑞璠"</f>
        <v>符瑞璠</v>
      </c>
      <c r="E1981" s="2" t="str">
        <f t="shared" si="56"/>
        <v>女</v>
      </c>
    </row>
    <row r="1982" spans="1:5" ht="14.4" x14ac:dyDescent="0.25">
      <c r="A1982" s="4">
        <v>1980</v>
      </c>
      <c r="B1982" s="2" t="str">
        <f>"3251202108110841346629"</f>
        <v>3251202108110841346629</v>
      </c>
      <c r="C1982" s="2" t="s">
        <v>27</v>
      </c>
      <c r="D1982" s="2" t="str">
        <f>"黄鸿捷"</f>
        <v>黄鸿捷</v>
      </c>
      <c r="E1982" s="2" t="str">
        <f>"男"</f>
        <v>男</v>
      </c>
    </row>
    <row r="1983" spans="1:5" ht="14.4" x14ac:dyDescent="0.25">
      <c r="A1983" s="4">
        <v>1981</v>
      </c>
      <c r="B1983" s="2" t="str">
        <f>"3251202108111452317335"</f>
        <v>3251202108111452317335</v>
      </c>
      <c r="C1983" s="2" t="s">
        <v>27</v>
      </c>
      <c r="D1983" s="2" t="str">
        <f>"王宏宇"</f>
        <v>王宏宇</v>
      </c>
      <c r="E1983" s="2" t="str">
        <f>"男"</f>
        <v>男</v>
      </c>
    </row>
    <row r="1984" spans="1:5" ht="14.4" x14ac:dyDescent="0.25">
      <c r="A1984" s="4">
        <v>1982</v>
      </c>
      <c r="B1984" s="2" t="str">
        <f>"3251202108111535007442"</f>
        <v>3251202108111535007442</v>
      </c>
      <c r="C1984" s="2" t="s">
        <v>27</v>
      </c>
      <c r="D1984" s="2" t="str">
        <f>"符珊"</f>
        <v>符珊</v>
      </c>
      <c r="E1984" s="2" t="str">
        <f>"女"</f>
        <v>女</v>
      </c>
    </row>
    <row r="1985" spans="1:5" ht="14.4" x14ac:dyDescent="0.25">
      <c r="A1985" s="4">
        <v>1983</v>
      </c>
      <c r="B1985" s="2" t="str">
        <f>"3251202108111952297831"</f>
        <v>3251202108111952297831</v>
      </c>
      <c r="C1985" s="2" t="s">
        <v>27</v>
      </c>
      <c r="D1985" s="2" t="str">
        <f>"肖明燕"</f>
        <v>肖明燕</v>
      </c>
      <c r="E1985" s="2" t="str">
        <f>"女"</f>
        <v>女</v>
      </c>
    </row>
    <row r="1986" spans="1:5" ht="14.4" x14ac:dyDescent="0.25">
      <c r="A1986" s="4">
        <v>1984</v>
      </c>
      <c r="B1986" s="2" t="str">
        <f>"3251202108112005537847"</f>
        <v>3251202108112005537847</v>
      </c>
      <c r="C1986" s="2" t="s">
        <v>27</v>
      </c>
      <c r="D1986" s="2" t="str">
        <f>"符玲娥"</f>
        <v>符玲娥</v>
      </c>
      <c r="E1986" s="2" t="str">
        <f>"女"</f>
        <v>女</v>
      </c>
    </row>
    <row r="1987" spans="1:5" ht="14.4" x14ac:dyDescent="0.25">
      <c r="A1987" s="4">
        <v>1985</v>
      </c>
      <c r="B1987" s="2" t="str">
        <f>"3251202108112310088120"</f>
        <v>3251202108112310088120</v>
      </c>
      <c r="C1987" s="2" t="s">
        <v>27</v>
      </c>
      <c r="D1987" s="2" t="str">
        <f>"符丽艳"</f>
        <v>符丽艳</v>
      </c>
      <c r="E1987" s="2" t="str">
        <f>"女"</f>
        <v>女</v>
      </c>
    </row>
    <row r="1988" spans="1:5" ht="14.4" x14ac:dyDescent="0.25">
      <c r="A1988" s="4">
        <v>1986</v>
      </c>
      <c r="B1988" s="2" t="str">
        <f>"3251202108130859279538"</f>
        <v>3251202108130859279538</v>
      </c>
      <c r="C1988" s="2" t="s">
        <v>27</v>
      </c>
      <c r="D1988" s="2" t="str">
        <f>"符阳春"</f>
        <v>符阳春</v>
      </c>
      <c r="E1988" s="2" t="str">
        <f>"女"</f>
        <v>女</v>
      </c>
    </row>
    <row r="1989" spans="1:5" ht="14.4" x14ac:dyDescent="0.25">
      <c r="A1989" s="4">
        <v>1987</v>
      </c>
      <c r="B1989" s="2" t="str">
        <f>"32512021081400180210350"</f>
        <v>32512021081400180210350</v>
      </c>
      <c r="C1989" s="2" t="s">
        <v>27</v>
      </c>
      <c r="D1989" s="2" t="str">
        <f>"钟起鑫"</f>
        <v>钟起鑫</v>
      </c>
      <c r="E1989" s="2" t="str">
        <f>"男"</f>
        <v>男</v>
      </c>
    </row>
    <row r="1990" spans="1:5" ht="14.4" x14ac:dyDescent="0.25">
      <c r="A1990" s="4">
        <v>1988</v>
      </c>
      <c r="B1990" s="2" t="str">
        <f>"32512021081419064110781"</f>
        <v>32512021081419064110781</v>
      </c>
      <c r="C1990" s="2" t="s">
        <v>27</v>
      </c>
      <c r="D1990" s="2" t="str">
        <f>"麦欣"</f>
        <v>麦欣</v>
      </c>
      <c r="E1990" s="2" t="str">
        <f t="shared" ref="E1990:E1998" si="57">"女"</f>
        <v>女</v>
      </c>
    </row>
    <row r="1991" spans="1:5" ht="14.4" x14ac:dyDescent="0.25">
      <c r="A1991" s="4">
        <v>1989</v>
      </c>
      <c r="B1991" s="2" t="str">
        <f>"32512021081614442312972"</f>
        <v>32512021081614442312972</v>
      </c>
      <c r="C1991" s="2" t="s">
        <v>27</v>
      </c>
      <c r="D1991" s="2" t="str">
        <f>"朱秋敏"</f>
        <v>朱秋敏</v>
      </c>
      <c r="E1991" s="2" t="str">
        <f t="shared" si="57"/>
        <v>女</v>
      </c>
    </row>
    <row r="1992" spans="1:5" ht="14.4" x14ac:dyDescent="0.25">
      <c r="A1992" s="4">
        <v>1990</v>
      </c>
      <c r="B1992" s="2" t="str">
        <f>"3251202108100902043754"</f>
        <v>3251202108100902043754</v>
      </c>
      <c r="C1992" s="2" t="s">
        <v>28</v>
      </c>
      <c r="D1992" s="2" t="str">
        <f>"王丹"</f>
        <v>王丹</v>
      </c>
      <c r="E1992" s="2" t="str">
        <f t="shared" si="57"/>
        <v>女</v>
      </c>
    </row>
    <row r="1993" spans="1:5" ht="14.4" x14ac:dyDescent="0.25">
      <c r="A1993" s="4">
        <v>1991</v>
      </c>
      <c r="B1993" s="2" t="str">
        <f>"3251202108100917583921"</f>
        <v>3251202108100917583921</v>
      </c>
      <c r="C1993" s="2" t="s">
        <v>28</v>
      </c>
      <c r="D1993" s="2" t="str">
        <f>"赖家春"</f>
        <v>赖家春</v>
      </c>
      <c r="E1993" s="2" t="str">
        <f t="shared" si="57"/>
        <v>女</v>
      </c>
    </row>
    <row r="1994" spans="1:5" ht="14.4" x14ac:dyDescent="0.25">
      <c r="A1994" s="4">
        <v>1992</v>
      </c>
      <c r="B1994" s="2" t="str">
        <f>"3251202108100919573936"</f>
        <v>3251202108100919573936</v>
      </c>
      <c r="C1994" s="2" t="s">
        <v>28</v>
      </c>
      <c r="D1994" s="2" t="str">
        <f>"钟秋霞"</f>
        <v>钟秋霞</v>
      </c>
      <c r="E1994" s="2" t="str">
        <f t="shared" si="57"/>
        <v>女</v>
      </c>
    </row>
    <row r="1995" spans="1:5" ht="14.4" x14ac:dyDescent="0.25">
      <c r="A1995" s="4">
        <v>1993</v>
      </c>
      <c r="B1995" s="2" t="str">
        <f>"3251202108100921053949"</f>
        <v>3251202108100921053949</v>
      </c>
      <c r="C1995" s="2" t="s">
        <v>28</v>
      </c>
      <c r="D1995" s="2" t="str">
        <f>"王海玉"</f>
        <v>王海玉</v>
      </c>
      <c r="E1995" s="2" t="str">
        <f t="shared" si="57"/>
        <v>女</v>
      </c>
    </row>
    <row r="1996" spans="1:5" ht="14.4" x14ac:dyDescent="0.25">
      <c r="A1996" s="4">
        <v>1994</v>
      </c>
      <c r="B1996" s="2" t="str">
        <f>"3251202108100946014120"</f>
        <v>3251202108100946014120</v>
      </c>
      <c r="C1996" s="2" t="s">
        <v>28</v>
      </c>
      <c r="D1996" s="2" t="str">
        <f>"羊媛媛"</f>
        <v>羊媛媛</v>
      </c>
      <c r="E1996" s="2" t="str">
        <f t="shared" si="57"/>
        <v>女</v>
      </c>
    </row>
    <row r="1997" spans="1:5" ht="14.4" x14ac:dyDescent="0.25">
      <c r="A1997" s="4">
        <v>1995</v>
      </c>
      <c r="B1997" s="2" t="str">
        <f>"3251202108100953234182"</f>
        <v>3251202108100953234182</v>
      </c>
      <c r="C1997" s="2" t="s">
        <v>28</v>
      </c>
      <c r="D1997" s="2" t="str">
        <f>"叶慧婷"</f>
        <v>叶慧婷</v>
      </c>
      <c r="E1997" s="2" t="str">
        <f t="shared" si="57"/>
        <v>女</v>
      </c>
    </row>
    <row r="1998" spans="1:5" ht="14.4" x14ac:dyDescent="0.25">
      <c r="A1998" s="4">
        <v>1996</v>
      </c>
      <c r="B1998" s="2" t="str">
        <f>"3251202108101013274308"</f>
        <v>3251202108101013274308</v>
      </c>
      <c r="C1998" s="2" t="s">
        <v>28</v>
      </c>
      <c r="D1998" s="2" t="str">
        <f>"王慧丹"</f>
        <v>王慧丹</v>
      </c>
      <c r="E1998" s="2" t="str">
        <f t="shared" si="57"/>
        <v>女</v>
      </c>
    </row>
    <row r="1999" spans="1:5" ht="14.4" x14ac:dyDescent="0.25">
      <c r="A1999" s="4">
        <v>1997</v>
      </c>
      <c r="B1999" s="2" t="str">
        <f>"3251202108101037574433"</f>
        <v>3251202108101037574433</v>
      </c>
      <c r="C1999" s="2" t="s">
        <v>28</v>
      </c>
      <c r="D1999" s="2" t="str">
        <f>"梁燕罡"</f>
        <v>梁燕罡</v>
      </c>
      <c r="E1999" s="2" t="str">
        <f>"男"</f>
        <v>男</v>
      </c>
    </row>
    <row r="2000" spans="1:5" ht="14.4" x14ac:dyDescent="0.25">
      <c r="A2000" s="4">
        <v>1998</v>
      </c>
      <c r="B2000" s="2" t="str">
        <f>"3251202108101101204546"</f>
        <v>3251202108101101204546</v>
      </c>
      <c r="C2000" s="2" t="s">
        <v>28</v>
      </c>
      <c r="D2000" s="2" t="str">
        <f>"符小康"</f>
        <v>符小康</v>
      </c>
      <c r="E2000" s="2" t="str">
        <f>"男"</f>
        <v>男</v>
      </c>
    </row>
    <row r="2001" spans="1:5" ht="14.4" x14ac:dyDescent="0.25">
      <c r="A2001" s="4">
        <v>1999</v>
      </c>
      <c r="B2001" s="2" t="str">
        <f>"3251202108101125244674"</f>
        <v>3251202108101125244674</v>
      </c>
      <c r="C2001" s="2" t="s">
        <v>28</v>
      </c>
      <c r="D2001" s="2" t="str">
        <f>"吴淑敏"</f>
        <v>吴淑敏</v>
      </c>
      <c r="E2001" s="2" t="str">
        <f>"男"</f>
        <v>男</v>
      </c>
    </row>
    <row r="2002" spans="1:5" ht="14.4" x14ac:dyDescent="0.25">
      <c r="A2002" s="4">
        <v>2000</v>
      </c>
      <c r="B2002" s="2" t="str">
        <f>"3251202108101126504680"</f>
        <v>3251202108101126504680</v>
      </c>
      <c r="C2002" s="2" t="s">
        <v>28</v>
      </c>
      <c r="D2002" s="2" t="str">
        <f>"符雅倩"</f>
        <v>符雅倩</v>
      </c>
      <c r="E2002" s="2" t="str">
        <f t="shared" ref="E2002:E2007" si="58">"女"</f>
        <v>女</v>
      </c>
    </row>
    <row r="2003" spans="1:5" ht="14.4" x14ac:dyDescent="0.25">
      <c r="A2003" s="4">
        <v>2001</v>
      </c>
      <c r="B2003" s="2" t="str">
        <f>"3251202108101132254707"</f>
        <v>3251202108101132254707</v>
      </c>
      <c r="C2003" s="2" t="s">
        <v>28</v>
      </c>
      <c r="D2003" s="2" t="str">
        <f>"符倩倩"</f>
        <v>符倩倩</v>
      </c>
      <c r="E2003" s="2" t="str">
        <f t="shared" si="58"/>
        <v>女</v>
      </c>
    </row>
    <row r="2004" spans="1:5" ht="14.4" x14ac:dyDescent="0.25">
      <c r="A2004" s="4">
        <v>2002</v>
      </c>
      <c r="B2004" s="2" t="str">
        <f>"3251202108101146374767"</f>
        <v>3251202108101146374767</v>
      </c>
      <c r="C2004" s="2" t="s">
        <v>28</v>
      </c>
      <c r="D2004" s="2" t="str">
        <f>"王丹婷"</f>
        <v>王丹婷</v>
      </c>
      <c r="E2004" s="2" t="str">
        <f t="shared" si="58"/>
        <v>女</v>
      </c>
    </row>
    <row r="2005" spans="1:5" ht="14.4" x14ac:dyDescent="0.25">
      <c r="A2005" s="4">
        <v>2003</v>
      </c>
      <c r="B2005" s="2" t="str">
        <f>"3251202108101147044769"</f>
        <v>3251202108101147044769</v>
      </c>
      <c r="C2005" s="2" t="s">
        <v>28</v>
      </c>
      <c r="D2005" s="2" t="str">
        <f>"符海媚"</f>
        <v>符海媚</v>
      </c>
      <c r="E2005" s="2" t="str">
        <f t="shared" si="58"/>
        <v>女</v>
      </c>
    </row>
    <row r="2006" spans="1:5" ht="14.4" x14ac:dyDescent="0.25">
      <c r="A2006" s="4">
        <v>2004</v>
      </c>
      <c r="B2006" s="2" t="str">
        <f>"3251202108101352155089"</f>
        <v>3251202108101352155089</v>
      </c>
      <c r="C2006" s="2" t="s">
        <v>28</v>
      </c>
      <c r="D2006" s="2" t="str">
        <f>"练婕"</f>
        <v>练婕</v>
      </c>
      <c r="E2006" s="2" t="str">
        <f t="shared" si="58"/>
        <v>女</v>
      </c>
    </row>
    <row r="2007" spans="1:5" ht="14.4" x14ac:dyDescent="0.25">
      <c r="A2007" s="4">
        <v>2005</v>
      </c>
      <c r="B2007" s="2" t="str">
        <f>"3251202108101445545242"</f>
        <v>3251202108101445545242</v>
      </c>
      <c r="C2007" s="2" t="s">
        <v>28</v>
      </c>
      <c r="D2007" s="2" t="str">
        <f>"符晶"</f>
        <v>符晶</v>
      </c>
      <c r="E2007" s="2" t="str">
        <f t="shared" si="58"/>
        <v>女</v>
      </c>
    </row>
    <row r="2008" spans="1:5" ht="14.4" x14ac:dyDescent="0.25">
      <c r="A2008" s="4">
        <v>2006</v>
      </c>
      <c r="B2008" s="2" t="str">
        <f>"3251202108101514595354"</f>
        <v>3251202108101514595354</v>
      </c>
      <c r="C2008" s="2" t="s">
        <v>28</v>
      </c>
      <c r="D2008" s="2" t="str">
        <f>"曾传亮"</f>
        <v>曾传亮</v>
      </c>
      <c r="E2008" s="2" t="str">
        <f>"男"</f>
        <v>男</v>
      </c>
    </row>
    <row r="2009" spans="1:5" ht="14.4" x14ac:dyDescent="0.25">
      <c r="A2009" s="4">
        <v>2007</v>
      </c>
      <c r="B2009" s="2" t="str">
        <f>"3251202108101533035413"</f>
        <v>3251202108101533035413</v>
      </c>
      <c r="C2009" s="2" t="s">
        <v>28</v>
      </c>
      <c r="D2009" s="2" t="str">
        <f>"王国乾"</f>
        <v>王国乾</v>
      </c>
      <c r="E2009" s="2" t="str">
        <f>"男"</f>
        <v>男</v>
      </c>
    </row>
    <row r="2010" spans="1:5" ht="14.4" x14ac:dyDescent="0.25">
      <c r="A2010" s="4">
        <v>2008</v>
      </c>
      <c r="B2010" s="2" t="str">
        <f>"3251202108101622575593"</f>
        <v>3251202108101622575593</v>
      </c>
      <c r="C2010" s="2" t="s">
        <v>28</v>
      </c>
      <c r="D2010" s="2" t="str">
        <f>"郑庭月"</f>
        <v>郑庭月</v>
      </c>
      <c r="E2010" s="2" t="str">
        <f>"女"</f>
        <v>女</v>
      </c>
    </row>
    <row r="2011" spans="1:5" ht="14.4" x14ac:dyDescent="0.25">
      <c r="A2011" s="4">
        <v>2009</v>
      </c>
      <c r="B2011" s="2" t="str">
        <f>"3251202108101647115690"</f>
        <v>3251202108101647115690</v>
      </c>
      <c r="C2011" s="2" t="s">
        <v>28</v>
      </c>
      <c r="D2011" s="2" t="str">
        <f>"符菊现"</f>
        <v>符菊现</v>
      </c>
      <c r="E2011" s="2" t="str">
        <f>"女"</f>
        <v>女</v>
      </c>
    </row>
    <row r="2012" spans="1:5" ht="14.4" x14ac:dyDescent="0.25">
      <c r="A2012" s="4">
        <v>2010</v>
      </c>
      <c r="B2012" s="2" t="str">
        <f>"3251202108101707575767"</f>
        <v>3251202108101707575767</v>
      </c>
      <c r="C2012" s="2" t="s">
        <v>28</v>
      </c>
      <c r="D2012" s="2" t="str">
        <f>"吴井川"</f>
        <v>吴井川</v>
      </c>
      <c r="E2012" s="2" t="str">
        <f>"男"</f>
        <v>男</v>
      </c>
    </row>
    <row r="2013" spans="1:5" ht="14.4" x14ac:dyDescent="0.25">
      <c r="A2013" s="4">
        <v>2011</v>
      </c>
      <c r="B2013" s="2" t="str">
        <f>"3251202108101903276046"</f>
        <v>3251202108101903276046</v>
      </c>
      <c r="C2013" s="2" t="s">
        <v>28</v>
      </c>
      <c r="D2013" s="2" t="str">
        <f>"曾小云"</f>
        <v>曾小云</v>
      </c>
      <c r="E2013" s="2" t="str">
        <f>"女"</f>
        <v>女</v>
      </c>
    </row>
    <row r="2014" spans="1:5" ht="14.4" x14ac:dyDescent="0.25">
      <c r="A2014" s="4">
        <v>2012</v>
      </c>
      <c r="B2014" s="2" t="str">
        <f>"3251202108101908476055"</f>
        <v>3251202108101908476055</v>
      </c>
      <c r="C2014" s="2" t="s">
        <v>28</v>
      </c>
      <c r="D2014" s="2" t="str">
        <f>"庄圣达"</f>
        <v>庄圣达</v>
      </c>
      <c r="E2014" s="2" t="str">
        <f>"男"</f>
        <v>男</v>
      </c>
    </row>
    <row r="2015" spans="1:5" ht="14.4" x14ac:dyDescent="0.25">
      <c r="A2015" s="4">
        <v>2013</v>
      </c>
      <c r="B2015" s="2" t="str">
        <f>"3251202108102140036354"</f>
        <v>3251202108102140036354</v>
      </c>
      <c r="C2015" s="2" t="s">
        <v>28</v>
      </c>
      <c r="D2015" s="2" t="str">
        <f>"孙雁望"</f>
        <v>孙雁望</v>
      </c>
      <c r="E2015" s="2" t="str">
        <f>"男"</f>
        <v>男</v>
      </c>
    </row>
    <row r="2016" spans="1:5" ht="14.4" x14ac:dyDescent="0.25">
      <c r="A2016" s="4">
        <v>2014</v>
      </c>
      <c r="B2016" s="2" t="str">
        <f>"3251202108102142296359"</f>
        <v>3251202108102142296359</v>
      </c>
      <c r="C2016" s="2" t="s">
        <v>28</v>
      </c>
      <c r="D2016" s="2" t="str">
        <f>"符成元"</f>
        <v>符成元</v>
      </c>
      <c r="E2016" s="2" t="str">
        <f>"男"</f>
        <v>男</v>
      </c>
    </row>
    <row r="2017" spans="1:5" ht="14.4" x14ac:dyDescent="0.25">
      <c r="A2017" s="4">
        <v>2015</v>
      </c>
      <c r="B2017" s="2" t="str">
        <f>"3251202108102157486375"</f>
        <v>3251202108102157486375</v>
      </c>
      <c r="C2017" s="2" t="s">
        <v>28</v>
      </c>
      <c r="D2017" s="2" t="str">
        <f>"符仕川"</f>
        <v>符仕川</v>
      </c>
      <c r="E2017" s="2" t="str">
        <f>"男"</f>
        <v>男</v>
      </c>
    </row>
    <row r="2018" spans="1:5" ht="14.4" x14ac:dyDescent="0.25">
      <c r="A2018" s="4">
        <v>2016</v>
      </c>
      <c r="B2018" s="2" t="str">
        <f>"3251202108102238596448"</f>
        <v>3251202108102238596448</v>
      </c>
      <c r="C2018" s="2" t="s">
        <v>28</v>
      </c>
      <c r="D2018" s="2" t="str">
        <f>"符小羽"</f>
        <v>符小羽</v>
      </c>
      <c r="E2018" s="2" t="str">
        <f t="shared" ref="E2018:E2026" si="59">"女"</f>
        <v>女</v>
      </c>
    </row>
    <row r="2019" spans="1:5" ht="14.4" x14ac:dyDescent="0.25">
      <c r="A2019" s="4">
        <v>2017</v>
      </c>
      <c r="B2019" s="2" t="str">
        <f>"3251202108110354146558"</f>
        <v>3251202108110354146558</v>
      </c>
      <c r="C2019" s="2" t="s">
        <v>28</v>
      </c>
      <c r="D2019" s="2" t="str">
        <f>"符艳强"</f>
        <v>符艳强</v>
      </c>
      <c r="E2019" s="2" t="str">
        <f t="shared" si="59"/>
        <v>女</v>
      </c>
    </row>
    <row r="2020" spans="1:5" ht="14.4" x14ac:dyDescent="0.25">
      <c r="A2020" s="4">
        <v>2018</v>
      </c>
      <c r="B2020" s="2" t="str">
        <f>"3251202108110805296579"</f>
        <v>3251202108110805296579</v>
      </c>
      <c r="C2020" s="2" t="s">
        <v>28</v>
      </c>
      <c r="D2020" s="2" t="str">
        <f>"符晓苏"</f>
        <v>符晓苏</v>
      </c>
      <c r="E2020" s="2" t="str">
        <f t="shared" si="59"/>
        <v>女</v>
      </c>
    </row>
    <row r="2021" spans="1:5" ht="14.4" x14ac:dyDescent="0.25">
      <c r="A2021" s="4">
        <v>2019</v>
      </c>
      <c r="B2021" s="2" t="str">
        <f>"3251202108110848506647"</f>
        <v>3251202108110848506647</v>
      </c>
      <c r="C2021" s="2" t="s">
        <v>28</v>
      </c>
      <c r="D2021" s="2" t="str">
        <f>"符彤"</f>
        <v>符彤</v>
      </c>
      <c r="E2021" s="2" t="str">
        <f t="shared" si="59"/>
        <v>女</v>
      </c>
    </row>
    <row r="2022" spans="1:5" ht="14.4" x14ac:dyDescent="0.25">
      <c r="A2022" s="4">
        <v>2020</v>
      </c>
      <c r="B2022" s="2" t="str">
        <f>"3251202108110941256784"</f>
        <v>3251202108110941256784</v>
      </c>
      <c r="C2022" s="2" t="s">
        <v>28</v>
      </c>
      <c r="D2022" s="2" t="str">
        <f>"符小露"</f>
        <v>符小露</v>
      </c>
      <c r="E2022" s="2" t="str">
        <f t="shared" si="59"/>
        <v>女</v>
      </c>
    </row>
    <row r="2023" spans="1:5" ht="14.4" x14ac:dyDescent="0.25">
      <c r="A2023" s="4">
        <v>2021</v>
      </c>
      <c r="B2023" s="2" t="str">
        <f>"3251202108110956206830"</f>
        <v>3251202108110956206830</v>
      </c>
      <c r="C2023" s="2" t="s">
        <v>28</v>
      </c>
      <c r="D2023" s="2" t="str">
        <f>"黄卉依"</f>
        <v>黄卉依</v>
      </c>
      <c r="E2023" s="2" t="str">
        <f t="shared" si="59"/>
        <v>女</v>
      </c>
    </row>
    <row r="2024" spans="1:5" ht="14.4" x14ac:dyDescent="0.25">
      <c r="A2024" s="4">
        <v>2022</v>
      </c>
      <c r="B2024" s="2" t="str">
        <f>"3251202108111349137253"</f>
        <v>3251202108111349137253</v>
      </c>
      <c r="C2024" s="2" t="s">
        <v>28</v>
      </c>
      <c r="D2024" s="2" t="str">
        <f>"王彩霞"</f>
        <v>王彩霞</v>
      </c>
      <c r="E2024" s="2" t="str">
        <f t="shared" si="59"/>
        <v>女</v>
      </c>
    </row>
    <row r="2025" spans="1:5" ht="14.4" x14ac:dyDescent="0.25">
      <c r="A2025" s="4">
        <v>2023</v>
      </c>
      <c r="B2025" s="2" t="str">
        <f>"3251202108111523367407"</f>
        <v>3251202108111523367407</v>
      </c>
      <c r="C2025" s="2" t="s">
        <v>28</v>
      </c>
      <c r="D2025" s="2" t="str">
        <f>"符小燕"</f>
        <v>符小燕</v>
      </c>
      <c r="E2025" s="2" t="str">
        <f t="shared" si="59"/>
        <v>女</v>
      </c>
    </row>
    <row r="2026" spans="1:5" ht="14.4" x14ac:dyDescent="0.25">
      <c r="A2026" s="4">
        <v>2024</v>
      </c>
      <c r="B2026" s="2" t="str">
        <f>"3251202108111620377524"</f>
        <v>3251202108111620377524</v>
      </c>
      <c r="C2026" s="2" t="s">
        <v>28</v>
      </c>
      <c r="D2026" s="2" t="str">
        <f>"符海恋"</f>
        <v>符海恋</v>
      </c>
      <c r="E2026" s="2" t="str">
        <f t="shared" si="59"/>
        <v>女</v>
      </c>
    </row>
    <row r="2027" spans="1:5" ht="14.4" x14ac:dyDescent="0.25">
      <c r="A2027" s="4">
        <v>2025</v>
      </c>
      <c r="B2027" s="2" t="str">
        <f>"3251202108111756337681"</f>
        <v>3251202108111756337681</v>
      </c>
      <c r="C2027" s="2" t="s">
        <v>28</v>
      </c>
      <c r="D2027" s="2" t="str">
        <f>"李栋栋"</f>
        <v>李栋栋</v>
      </c>
      <c r="E2027" s="2" t="str">
        <f>"男"</f>
        <v>男</v>
      </c>
    </row>
    <row r="2028" spans="1:5" ht="14.4" x14ac:dyDescent="0.25">
      <c r="A2028" s="4">
        <v>2026</v>
      </c>
      <c r="B2028" s="2" t="str">
        <f>"3251202108112103547939"</f>
        <v>3251202108112103547939</v>
      </c>
      <c r="C2028" s="2" t="s">
        <v>28</v>
      </c>
      <c r="D2028" s="2" t="str">
        <f>"符文慧"</f>
        <v>符文慧</v>
      </c>
      <c r="E2028" s="2" t="str">
        <f>"女"</f>
        <v>女</v>
      </c>
    </row>
    <row r="2029" spans="1:5" ht="14.4" x14ac:dyDescent="0.25">
      <c r="A2029" s="4">
        <v>2027</v>
      </c>
      <c r="B2029" s="2" t="str">
        <f>"3251202108112134467991"</f>
        <v>3251202108112134467991</v>
      </c>
      <c r="C2029" s="2" t="s">
        <v>28</v>
      </c>
      <c r="D2029" s="2" t="str">
        <f>"高桂珊"</f>
        <v>高桂珊</v>
      </c>
      <c r="E2029" s="2" t="str">
        <f>"女"</f>
        <v>女</v>
      </c>
    </row>
    <row r="2030" spans="1:5" ht="14.4" x14ac:dyDescent="0.25">
      <c r="A2030" s="4">
        <v>2028</v>
      </c>
      <c r="B2030" s="2" t="str">
        <f>"3251202108112217088046"</f>
        <v>3251202108112217088046</v>
      </c>
      <c r="C2030" s="2" t="s">
        <v>28</v>
      </c>
      <c r="D2030" s="2" t="str">
        <f>"符茂洁"</f>
        <v>符茂洁</v>
      </c>
      <c r="E2030" s="2" t="str">
        <f>"女"</f>
        <v>女</v>
      </c>
    </row>
    <row r="2031" spans="1:5" ht="14.4" x14ac:dyDescent="0.25">
      <c r="A2031" s="4">
        <v>2029</v>
      </c>
      <c r="B2031" s="2" t="str">
        <f>"3251202108120206028163"</f>
        <v>3251202108120206028163</v>
      </c>
      <c r="C2031" s="2" t="s">
        <v>28</v>
      </c>
      <c r="D2031" s="2" t="str">
        <f>"符明亮"</f>
        <v>符明亮</v>
      </c>
      <c r="E2031" s="2" t="str">
        <f>"男"</f>
        <v>男</v>
      </c>
    </row>
    <row r="2032" spans="1:5" ht="14.4" x14ac:dyDescent="0.25">
      <c r="A2032" s="4">
        <v>2030</v>
      </c>
      <c r="B2032" s="2" t="str">
        <f>"3251202108121701269068"</f>
        <v>3251202108121701269068</v>
      </c>
      <c r="C2032" s="2" t="s">
        <v>28</v>
      </c>
      <c r="D2032" s="2" t="str">
        <f>"符巧晓"</f>
        <v>符巧晓</v>
      </c>
      <c r="E2032" s="2" t="str">
        <f>"女"</f>
        <v>女</v>
      </c>
    </row>
    <row r="2033" spans="1:5" ht="14.4" x14ac:dyDescent="0.25">
      <c r="A2033" s="4">
        <v>2031</v>
      </c>
      <c r="B2033" s="2" t="str">
        <f>"3251202108121742319127"</f>
        <v>3251202108121742319127</v>
      </c>
      <c r="C2033" s="2" t="s">
        <v>28</v>
      </c>
      <c r="D2033" s="2" t="str">
        <f>"符安智"</f>
        <v>符安智</v>
      </c>
      <c r="E2033" s="2" t="str">
        <f>"女"</f>
        <v>女</v>
      </c>
    </row>
    <row r="2034" spans="1:5" ht="14.4" x14ac:dyDescent="0.25">
      <c r="A2034" s="4">
        <v>2032</v>
      </c>
      <c r="B2034" s="2" t="str">
        <f>"3251202108121839309186"</f>
        <v>3251202108121839309186</v>
      </c>
      <c r="C2034" s="2" t="s">
        <v>28</v>
      </c>
      <c r="D2034" s="2" t="str">
        <f>"黄瑜"</f>
        <v>黄瑜</v>
      </c>
      <c r="E2034" s="2" t="str">
        <f>"男"</f>
        <v>男</v>
      </c>
    </row>
    <row r="2035" spans="1:5" ht="14.4" x14ac:dyDescent="0.25">
      <c r="A2035" s="4">
        <v>2033</v>
      </c>
      <c r="B2035" s="2" t="str">
        <f>"3251202108130921439571"</f>
        <v>3251202108130921439571</v>
      </c>
      <c r="C2035" s="2" t="s">
        <v>28</v>
      </c>
      <c r="D2035" s="2" t="str">
        <f>"符凯嘉"</f>
        <v>符凯嘉</v>
      </c>
      <c r="E2035" s="2" t="str">
        <f>"女"</f>
        <v>女</v>
      </c>
    </row>
    <row r="2036" spans="1:5" ht="14.4" x14ac:dyDescent="0.25">
      <c r="A2036" s="4">
        <v>2034</v>
      </c>
      <c r="B2036" s="2" t="str">
        <f>"3251202108130923239572"</f>
        <v>3251202108130923239572</v>
      </c>
      <c r="C2036" s="2" t="s">
        <v>28</v>
      </c>
      <c r="D2036" s="2" t="str">
        <f>"唐淑颖"</f>
        <v>唐淑颖</v>
      </c>
      <c r="E2036" s="2" t="str">
        <f>"女"</f>
        <v>女</v>
      </c>
    </row>
    <row r="2037" spans="1:5" ht="14.4" x14ac:dyDescent="0.25">
      <c r="A2037" s="4">
        <v>2035</v>
      </c>
      <c r="B2037" s="2" t="str">
        <f>"3251202108131118329734"</f>
        <v>3251202108131118329734</v>
      </c>
      <c r="C2037" s="2" t="s">
        <v>28</v>
      </c>
      <c r="D2037" s="2" t="str">
        <f>"吴健"</f>
        <v>吴健</v>
      </c>
      <c r="E2037" s="2" t="str">
        <f>"男"</f>
        <v>男</v>
      </c>
    </row>
    <row r="2038" spans="1:5" ht="14.4" x14ac:dyDescent="0.25">
      <c r="A2038" s="4">
        <v>2036</v>
      </c>
      <c r="B2038" s="2" t="str">
        <f>"32512021081316173810021"</f>
        <v>32512021081316173810021</v>
      </c>
      <c r="C2038" s="2" t="s">
        <v>28</v>
      </c>
      <c r="D2038" s="2" t="str">
        <f>"符有祥"</f>
        <v>符有祥</v>
      </c>
      <c r="E2038" s="2" t="str">
        <f>"男"</f>
        <v>男</v>
      </c>
    </row>
    <row r="2039" spans="1:5" ht="14.4" x14ac:dyDescent="0.25">
      <c r="A2039" s="4">
        <v>2037</v>
      </c>
      <c r="B2039" s="2" t="str">
        <f>"32512021081413482210575"</f>
        <v>32512021081413482210575</v>
      </c>
      <c r="C2039" s="2" t="s">
        <v>28</v>
      </c>
      <c r="D2039" s="2" t="str">
        <f>"高梓渊"</f>
        <v>高梓渊</v>
      </c>
      <c r="E2039" s="2" t="str">
        <f>"男"</f>
        <v>男</v>
      </c>
    </row>
    <row r="2040" spans="1:5" ht="14.4" x14ac:dyDescent="0.25">
      <c r="A2040" s="4">
        <v>2038</v>
      </c>
      <c r="B2040" s="2" t="str">
        <f>"32512021081414060410585"</f>
        <v>32512021081414060410585</v>
      </c>
      <c r="C2040" s="2" t="s">
        <v>28</v>
      </c>
      <c r="D2040" s="2" t="str">
        <f>"符海勋"</f>
        <v>符海勋</v>
      </c>
      <c r="E2040" s="2" t="str">
        <f>"男"</f>
        <v>男</v>
      </c>
    </row>
    <row r="2041" spans="1:5" ht="14.4" x14ac:dyDescent="0.25">
      <c r="A2041" s="4">
        <v>2039</v>
      </c>
      <c r="B2041" s="2" t="str">
        <f>"32512021081418191510759"</f>
        <v>32512021081418191510759</v>
      </c>
      <c r="C2041" s="2" t="s">
        <v>28</v>
      </c>
      <c r="D2041" s="2" t="str">
        <f>"王秋杏"</f>
        <v>王秋杏</v>
      </c>
      <c r="E2041" s="2" t="str">
        <f>"女"</f>
        <v>女</v>
      </c>
    </row>
    <row r="2042" spans="1:5" ht="14.4" x14ac:dyDescent="0.25">
      <c r="A2042" s="4">
        <v>2040</v>
      </c>
      <c r="B2042" s="2" t="str">
        <f>"32512021081419143110787"</f>
        <v>32512021081419143110787</v>
      </c>
      <c r="C2042" s="2" t="s">
        <v>28</v>
      </c>
      <c r="D2042" s="2" t="str">
        <f>"周冠锡"</f>
        <v>周冠锡</v>
      </c>
      <c r="E2042" s="2" t="str">
        <f>"男"</f>
        <v>男</v>
      </c>
    </row>
    <row r="2043" spans="1:5" ht="14.4" x14ac:dyDescent="0.25">
      <c r="A2043" s="4">
        <v>2041</v>
      </c>
      <c r="B2043" s="2" t="str">
        <f>"32512021081421232310845"</f>
        <v>32512021081421232310845</v>
      </c>
      <c r="C2043" s="2" t="s">
        <v>28</v>
      </c>
      <c r="D2043" s="2" t="str">
        <f>"陈南霞"</f>
        <v>陈南霞</v>
      </c>
      <c r="E2043" s="2" t="str">
        <f t="shared" ref="E2043:E2053" si="60">"女"</f>
        <v>女</v>
      </c>
    </row>
    <row r="2044" spans="1:5" ht="14.4" x14ac:dyDescent="0.25">
      <c r="A2044" s="4">
        <v>2042</v>
      </c>
      <c r="B2044" s="2" t="str">
        <f>"32512021081423161010896"</f>
        <v>32512021081423161010896</v>
      </c>
      <c r="C2044" s="2" t="s">
        <v>28</v>
      </c>
      <c r="D2044" s="2" t="str">
        <f>"陈春伶"</f>
        <v>陈春伶</v>
      </c>
      <c r="E2044" s="2" t="str">
        <f t="shared" si="60"/>
        <v>女</v>
      </c>
    </row>
    <row r="2045" spans="1:5" ht="14.4" x14ac:dyDescent="0.25">
      <c r="A2045" s="4">
        <v>2043</v>
      </c>
      <c r="B2045" s="2" t="str">
        <f>"32512021081514561011185"</f>
        <v>32512021081514561011185</v>
      </c>
      <c r="C2045" s="2" t="s">
        <v>28</v>
      </c>
      <c r="D2045" s="2" t="str">
        <f>"符佳佳"</f>
        <v>符佳佳</v>
      </c>
      <c r="E2045" s="2" t="str">
        <f t="shared" si="60"/>
        <v>女</v>
      </c>
    </row>
    <row r="2046" spans="1:5" ht="14.4" x14ac:dyDescent="0.25">
      <c r="A2046" s="4">
        <v>2044</v>
      </c>
      <c r="B2046" s="2" t="str">
        <f>"32512021081519444211405"</f>
        <v>32512021081519444211405</v>
      </c>
      <c r="C2046" s="2" t="s">
        <v>28</v>
      </c>
      <c r="D2046" s="2" t="str">
        <f>"符建熙"</f>
        <v>符建熙</v>
      </c>
      <c r="E2046" s="2" t="str">
        <f t="shared" si="60"/>
        <v>女</v>
      </c>
    </row>
    <row r="2047" spans="1:5" ht="14.4" x14ac:dyDescent="0.25">
      <c r="A2047" s="4">
        <v>2045</v>
      </c>
      <c r="B2047" s="2" t="str">
        <f>"32512021081520161811433"</f>
        <v>32512021081520161811433</v>
      </c>
      <c r="C2047" s="2" t="s">
        <v>28</v>
      </c>
      <c r="D2047" s="2" t="str">
        <f>"周川琦"</f>
        <v>周川琦</v>
      </c>
      <c r="E2047" s="2" t="str">
        <f t="shared" si="60"/>
        <v>女</v>
      </c>
    </row>
    <row r="2048" spans="1:5" ht="14.4" x14ac:dyDescent="0.25">
      <c r="A2048" s="4">
        <v>2046</v>
      </c>
      <c r="B2048" s="2" t="str">
        <f>"32512021081520531711472"</f>
        <v>32512021081520531711472</v>
      </c>
      <c r="C2048" s="2" t="s">
        <v>28</v>
      </c>
      <c r="D2048" s="2" t="str">
        <f>"张瑜"</f>
        <v>张瑜</v>
      </c>
      <c r="E2048" s="2" t="str">
        <f t="shared" si="60"/>
        <v>女</v>
      </c>
    </row>
    <row r="2049" spans="1:5" ht="14.4" x14ac:dyDescent="0.25">
      <c r="A2049" s="4">
        <v>2047</v>
      </c>
      <c r="B2049" s="2" t="str">
        <f>"32512021081521134511491"</f>
        <v>32512021081521134511491</v>
      </c>
      <c r="C2049" s="2" t="s">
        <v>28</v>
      </c>
      <c r="D2049" s="2" t="str">
        <f>"黄琳"</f>
        <v>黄琳</v>
      </c>
      <c r="E2049" s="2" t="str">
        <f t="shared" si="60"/>
        <v>女</v>
      </c>
    </row>
    <row r="2050" spans="1:5" ht="14.4" x14ac:dyDescent="0.25">
      <c r="A2050" s="4">
        <v>2048</v>
      </c>
      <c r="B2050" s="2" t="str">
        <f>"32512021081608250011739"</f>
        <v>32512021081608250011739</v>
      </c>
      <c r="C2050" s="2" t="s">
        <v>28</v>
      </c>
      <c r="D2050" s="2" t="str">
        <f>"张瑶"</f>
        <v>张瑶</v>
      </c>
      <c r="E2050" s="2" t="str">
        <f t="shared" si="60"/>
        <v>女</v>
      </c>
    </row>
    <row r="2051" spans="1:5" ht="14.4" x14ac:dyDescent="0.25">
      <c r="A2051" s="4">
        <v>2049</v>
      </c>
      <c r="B2051" s="2" t="str">
        <f>"32512021081609011711812"</f>
        <v>32512021081609011711812</v>
      </c>
      <c r="C2051" s="2" t="s">
        <v>28</v>
      </c>
      <c r="D2051" s="2" t="str">
        <f>"陈逸婕"</f>
        <v>陈逸婕</v>
      </c>
      <c r="E2051" s="2" t="str">
        <f t="shared" si="60"/>
        <v>女</v>
      </c>
    </row>
    <row r="2052" spans="1:5" ht="14.4" x14ac:dyDescent="0.25">
      <c r="A2052" s="4">
        <v>2050</v>
      </c>
      <c r="B2052" s="2" t="str">
        <f>"32512021081610414912335"</f>
        <v>32512021081610414912335</v>
      </c>
      <c r="C2052" s="2" t="s">
        <v>28</v>
      </c>
      <c r="D2052" s="2" t="str">
        <f>"符培培"</f>
        <v>符培培</v>
      </c>
      <c r="E2052" s="2" t="str">
        <f t="shared" si="60"/>
        <v>女</v>
      </c>
    </row>
    <row r="2053" spans="1:5" ht="14.4" x14ac:dyDescent="0.25">
      <c r="A2053" s="4">
        <v>2051</v>
      </c>
      <c r="B2053" s="2" t="str">
        <f>"32512021081612342512719"</f>
        <v>32512021081612342512719</v>
      </c>
      <c r="C2053" s="2" t="s">
        <v>28</v>
      </c>
      <c r="D2053" s="2" t="str">
        <f>"符瑾怡"</f>
        <v>符瑾怡</v>
      </c>
      <c r="E2053" s="2" t="str">
        <f t="shared" si="60"/>
        <v>女</v>
      </c>
    </row>
    <row r="2054" spans="1:5" ht="14.4" x14ac:dyDescent="0.25">
      <c r="A2054" s="4">
        <v>2052</v>
      </c>
      <c r="B2054" s="2" t="str">
        <f>"32512021081614214812926"</f>
        <v>32512021081614214812926</v>
      </c>
      <c r="C2054" s="2" t="s">
        <v>28</v>
      </c>
      <c r="D2054" s="2" t="str">
        <f>"高润"</f>
        <v>高润</v>
      </c>
      <c r="E2054" s="2" t="str">
        <f>"男"</f>
        <v>男</v>
      </c>
    </row>
    <row r="2055" spans="1:5" ht="14.4" x14ac:dyDescent="0.25">
      <c r="A2055" s="4">
        <v>2053</v>
      </c>
      <c r="B2055" s="2" t="str">
        <f>"3251202108100903003765"</f>
        <v>3251202108100903003765</v>
      </c>
      <c r="C2055" s="2" t="s">
        <v>29</v>
      </c>
      <c r="D2055" s="2" t="str">
        <f>"林君"</f>
        <v>林君</v>
      </c>
      <c r="E2055" s="2" t="str">
        <f>"女"</f>
        <v>女</v>
      </c>
    </row>
    <row r="2056" spans="1:5" ht="14.4" x14ac:dyDescent="0.25">
      <c r="A2056" s="4">
        <v>2054</v>
      </c>
      <c r="B2056" s="2" t="str">
        <f>"3251202108101232194913"</f>
        <v>3251202108101232194913</v>
      </c>
      <c r="C2056" s="2" t="s">
        <v>29</v>
      </c>
      <c r="D2056" s="2" t="str">
        <f>"符江琦"</f>
        <v>符江琦</v>
      </c>
      <c r="E2056" s="2" t="str">
        <f>"女"</f>
        <v>女</v>
      </c>
    </row>
    <row r="2057" spans="1:5" ht="14.4" x14ac:dyDescent="0.25">
      <c r="A2057" s="4">
        <v>2055</v>
      </c>
      <c r="B2057" s="2" t="str">
        <f>"3251202108101246324955"</f>
        <v>3251202108101246324955</v>
      </c>
      <c r="C2057" s="2" t="s">
        <v>29</v>
      </c>
      <c r="D2057" s="2" t="str">
        <f>"羊品认"</f>
        <v>羊品认</v>
      </c>
      <c r="E2057" s="2" t="str">
        <f>"男"</f>
        <v>男</v>
      </c>
    </row>
    <row r="2058" spans="1:5" ht="14.4" x14ac:dyDescent="0.25">
      <c r="A2058" s="4">
        <v>2056</v>
      </c>
      <c r="B2058" s="2" t="str">
        <f>"3251202108101311305008"</f>
        <v>3251202108101311305008</v>
      </c>
      <c r="C2058" s="2" t="s">
        <v>29</v>
      </c>
      <c r="D2058" s="2" t="str">
        <f>"符有珍"</f>
        <v>符有珍</v>
      </c>
      <c r="E2058" s="2" t="str">
        <f t="shared" ref="E2058:E2064" si="61">"女"</f>
        <v>女</v>
      </c>
    </row>
    <row r="2059" spans="1:5" ht="14.4" x14ac:dyDescent="0.25">
      <c r="A2059" s="4">
        <v>2057</v>
      </c>
      <c r="B2059" s="2" t="str">
        <f>"3251202108101644005676"</f>
        <v>3251202108101644005676</v>
      </c>
      <c r="C2059" s="2" t="s">
        <v>29</v>
      </c>
      <c r="D2059" s="2" t="str">
        <f>"谭美秀"</f>
        <v>谭美秀</v>
      </c>
      <c r="E2059" s="2" t="str">
        <f t="shared" si="61"/>
        <v>女</v>
      </c>
    </row>
    <row r="2060" spans="1:5" ht="14.4" x14ac:dyDescent="0.25">
      <c r="A2060" s="4">
        <v>2058</v>
      </c>
      <c r="B2060" s="2" t="str">
        <f>"3251202108101717305801"</f>
        <v>3251202108101717305801</v>
      </c>
      <c r="C2060" s="2" t="s">
        <v>29</v>
      </c>
      <c r="D2060" s="2" t="str">
        <f>"符紫倩"</f>
        <v>符紫倩</v>
      </c>
      <c r="E2060" s="2" t="str">
        <f t="shared" si="61"/>
        <v>女</v>
      </c>
    </row>
    <row r="2061" spans="1:5" ht="14.4" x14ac:dyDescent="0.25">
      <c r="A2061" s="4">
        <v>2059</v>
      </c>
      <c r="B2061" s="2" t="str">
        <f>"3251202108101939586117"</f>
        <v>3251202108101939586117</v>
      </c>
      <c r="C2061" s="2" t="s">
        <v>29</v>
      </c>
      <c r="D2061" s="2" t="str">
        <f>"王梦琪"</f>
        <v>王梦琪</v>
      </c>
      <c r="E2061" s="2" t="str">
        <f t="shared" si="61"/>
        <v>女</v>
      </c>
    </row>
    <row r="2062" spans="1:5" ht="14.4" x14ac:dyDescent="0.25">
      <c r="A2062" s="4">
        <v>2060</v>
      </c>
      <c r="B2062" s="2" t="str">
        <f>"3251202108111200187137"</f>
        <v>3251202108111200187137</v>
      </c>
      <c r="C2062" s="2" t="s">
        <v>29</v>
      </c>
      <c r="D2062" s="2" t="str">
        <f>"王婷"</f>
        <v>王婷</v>
      </c>
      <c r="E2062" s="2" t="str">
        <f t="shared" si="61"/>
        <v>女</v>
      </c>
    </row>
    <row r="2063" spans="1:5" ht="14.4" x14ac:dyDescent="0.25">
      <c r="A2063" s="4">
        <v>2061</v>
      </c>
      <c r="B2063" s="2" t="str">
        <f>"3251202108111344037248"</f>
        <v>3251202108111344037248</v>
      </c>
      <c r="C2063" s="2" t="s">
        <v>29</v>
      </c>
      <c r="D2063" s="2" t="str">
        <f>"符世殷"</f>
        <v>符世殷</v>
      </c>
      <c r="E2063" s="2" t="str">
        <f t="shared" si="61"/>
        <v>女</v>
      </c>
    </row>
    <row r="2064" spans="1:5" ht="14.4" x14ac:dyDescent="0.25">
      <c r="A2064" s="4">
        <v>2062</v>
      </c>
      <c r="B2064" s="2" t="str">
        <f>"3251202108111540527454"</f>
        <v>3251202108111540527454</v>
      </c>
      <c r="C2064" s="2" t="s">
        <v>29</v>
      </c>
      <c r="D2064" s="2" t="str">
        <f>"符启莹"</f>
        <v>符启莹</v>
      </c>
      <c r="E2064" s="2" t="str">
        <f t="shared" si="61"/>
        <v>女</v>
      </c>
    </row>
    <row r="2065" spans="1:5" ht="14.4" x14ac:dyDescent="0.25">
      <c r="A2065" s="4">
        <v>2063</v>
      </c>
      <c r="B2065" s="2" t="str">
        <f>"3251202108111940117811"</f>
        <v>3251202108111940117811</v>
      </c>
      <c r="C2065" s="2" t="s">
        <v>29</v>
      </c>
      <c r="D2065" s="2" t="str">
        <f>"符家鹏"</f>
        <v>符家鹏</v>
      </c>
      <c r="E2065" s="2" t="str">
        <f>"男"</f>
        <v>男</v>
      </c>
    </row>
    <row r="2066" spans="1:5" ht="14.4" x14ac:dyDescent="0.25">
      <c r="A2066" s="4">
        <v>2064</v>
      </c>
      <c r="B2066" s="2" t="str">
        <f>"3251202108120958208403"</f>
        <v>3251202108120958208403</v>
      </c>
      <c r="C2066" s="2" t="s">
        <v>29</v>
      </c>
      <c r="D2066" s="2" t="str">
        <f>"羊小霜"</f>
        <v>羊小霜</v>
      </c>
      <c r="E2066" s="2" t="str">
        <f>"女"</f>
        <v>女</v>
      </c>
    </row>
    <row r="2067" spans="1:5" ht="14.4" x14ac:dyDescent="0.25">
      <c r="A2067" s="4">
        <v>2065</v>
      </c>
      <c r="B2067" s="2" t="str">
        <f>"3251202108130937499594"</f>
        <v>3251202108130937499594</v>
      </c>
      <c r="C2067" s="2" t="s">
        <v>29</v>
      </c>
      <c r="D2067" s="2" t="str">
        <f>"符绩盈"</f>
        <v>符绩盈</v>
      </c>
      <c r="E2067" s="2" t="str">
        <f>"女"</f>
        <v>女</v>
      </c>
    </row>
    <row r="2068" spans="1:5" ht="14.4" x14ac:dyDescent="0.25">
      <c r="A2068" s="4">
        <v>2066</v>
      </c>
      <c r="B2068" s="2" t="str">
        <f>"32512021081412294910536"</f>
        <v>32512021081412294910536</v>
      </c>
      <c r="C2068" s="2" t="s">
        <v>29</v>
      </c>
      <c r="D2068" s="2" t="str">
        <f>"郑渊洁"</f>
        <v>郑渊洁</v>
      </c>
      <c r="E2068" s="2" t="str">
        <f>"女"</f>
        <v>女</v>
      </c>
    </row>
    <row r="2069" spans="1:5" ht="14.4" x14ac:dyDescent="0.25">
      <c r="A2069" s="4">
        <v>2067</v>
      </c>
      <c r="B2069" s="2" t="str">
        <f>"32512021081415361410651"</f>
        <v>32512021081415361410651</v>
      </c>
      <c r="C2069" s="2" t="s">
        <v>29</v>
      </c>
      <c r="D2069" s="2" t="str">
        <f>"符志鹏"</f>
        <v>符志鹏</v>
      </c>
      <c r="E2069" s="2" t="str">
        <f>"男"</f>
        <v>男</v>
      </c>
    </row>
    <row r="2070" spans="1:5" ht="14.4" x14ac:dyDescent="0.25">
      <c r="A2070" s="4">
        <v>2068</v>
      </c>
      <c r="B2070" s="2" t="str">
        <f>"32512021081521155211495"</f>
        <v>32512021081521155211495</v>
      </c>
      <c r="C2070" s="2" t="s">
        <v>29</v>
      </c>
      <c r="D2070" s="2" t="str">
        <f>"王欣颖"</f>
        <v>王欣颖</v>
      </c>
      <c r="E2070" s="2" t="str">
        <f>"女"</f>
        <v>女</v>
      </c>
    </row>
    <row r="2071" spans="1:5" ht="14.4" x14ac:dyDescent="0.25">
      <c r="A2071" s="4">
        <v>2069</v>
      </c>
      <c r="B2071" s="2" t="str">
        <f>"3251202108100909483840"</f>
        <v>3251202108100909483840</v>
      </c>
      <c r="C2071" s="2" t="s">
        <v>30</v>
      </c>
      <c r="D2071" s="2" t="str">
        <f>"符永贵"</f>
        <v>符永贵</v>
      </c>
      <c r="E2071" s="2" t="str">
        <f>"男"</f>
        <v>男</v>
      </c>
    </row>
    <row r="2072" spans="1:5" ht="14.4" x14ac:dyDescent="0.25">
      <c r="A2072" s="4">
        <v>2070</v>
      </c>
      <c r="B2072" s="2" t="str">
        <f>"3251202108100925063982"</f>
        <v>3251202108100925063982</v>
      </c>
      <c r="C2072" s="2" t="s">
        <v>30</v>
      </c>
      <c r="D2072" s="2" t="str">
        <f>"符栋"</f>
        <v>符栋</v>
      </c>
      <c r="E2072" s="2" t="str">
        <f>"男"</f>
        <v>男</v>
      </c>
    </row>
    <row r="2073" spans="1:5" ht="14.4" x14ac:dyDescent="0.25">
      <c r="A2073" s="4">
        <v>2071</v>
      </c>
      <c r="B2073" s="2" t="str">
        <f>"3251202108100935204059"</f>
        <v>3251202108100935204059</v>
      </c>
      <c r="C2073" s="2" t="s">
        <v>30</v>
      </c>
      <c r="D2073" s="2" t="str">
        <f>"符润"</f>
        <v>符润</v>
      </c>
      <c r="E2073" s="2" t="str">
        <f>"男"</f>
        <v>男</v>
      </c>
    </row>
    <row r="2074" spans="1:5" ht="14.4" x14ac:dyDescent="0.25">
      <c r="A2074" s="4">
        <v>2072</v>
      </c>
      <c r="B2074" s="2" t="str">
        <f>"3251202108100936474066"</f>
        <v>3251202108100936474066</v>
      </c>
      <c r="C2074" s="2" t="s">
        <v>30</v>
      </c>
      <c r="D2074" s="2" t="str">
        <f>"符佳香"</f>
        <v>符佳香</v>
      </c>
      <c r="E2074" s="2" t="str">
        <f>"女"</f>
        <v>女</v>
      </c>
    </row>
    <row r="2075" spans="1:5" ht="14.4" x14ac:dyDescent="0.25">
      <c r="A2075" s="4">
        <v>2073</v>
      </c>
      <c r="B2075" s="2" t="str">
        <f>"3251202108100939334077"</f>
        <v>3251202108100939334077</v>
      </c>
      <c r="C2075" s="2" t="s">
        <v>30</v>
      </c>
      <c r="D2075" s="2" t="str">
        <f>"周志"</f>
        <v>周志</v>
      </c>
      <c r="E2075" s="2" t="str">
        <f>"男"</f>
        <v>男</v>
      </c>
    </row>
    <row r="2076" spans="1:5" ht="14.4" x14ac:dyDescent="0.25">
      <c r="A2076" s="4">
        <v>2074</v>
      </c>
      <c r="B2076" s="2" t="str">
        <f>"3251202108100944204113"</f>
        <v>3251202108100944204113</v>
      </c>
      <c r="C2076" s="2" t="s">
        <v>30</v>
      </c>
      <c r="D2076" s="2" t="str">
        <f>"李明青"</f>
        <v>李明青</v>
      </c>
      <c r="E2076" s="2" t="str">
        <f>"男"</f>
        <v>男</v>
      </c>
    </row>
    <row r="2077" spans="1:5" ht="14.4" x14ac:dyDescent="0.25">
      <c r="A2077" s="4">
        <v>2075</v>
      </c>
      <c r="B2077" s="2" t="str">
        <f>"3251202108101012484300"</f>
        <v>3251202108101012484300</v>
      </c>
      <c r="C2077" s="2" t="s">
        <v>30</v>
      </c>
      <c r="D2077" s="2" t="str">
        <f>"何晓娜"</f>
        <v>何晓娜</v>
      </c>
      <c r="E2077" s="2" t="str">
        <f>"女"</f>
        <v>女</v>
      </c>
    </row>
    <row r="2078" spans="1:5" ht="14.4" x14ac:dyDescent="0.25">
      <c r="A2078" s="4">
        <v>2076</v>
      </c>
      <c r="B2078" s="2" t="str">
        <f>"3251202108101025304368"</f>
        <v>3251202108101025304368</v>
      </c>
      <c r="C2078" s="2" t="s">
        <v>30</v>
      </c>
      <c r="D2078" s="2" t="str">
        <f>"李成钻"</f>
        <v>李成钻</v>
      </c>
      <c r="E2078" s="2" t="str">
        <f>"男"</f>
        <v>男</v>
      </c>
    </row>
    <row r="2079" spans="1:5" ht="14.4" x14ac:dyDescent="0.25">
      <c r="A2079" s="4">
        <v>2077</v>
      </c>
      <c r="B2079" s="2" t="str">
        <f>"3251202108101042454455"</f>
        <v>3251202108101042454455</v>
      </c>
      <c r="C2079" s="2" t="s">
        <v>30</v>
      </c>
      <c r="D2079" s="2" t="str">
        <f>"刘胜林"</f>
        <v>刘胜林</v>
      </c>
      <c r="E2079" s="2" t="str">
        <f>"男"</f>
        <v>男</v>
      </c>
    </row>
    <row r="2080" spans="1:5" ht="14.4" x14ac:dyDescent="0.25">
      <c r="A2080" s="4">
        <v>2078</v>
      </c>
      <c r="B2080" s="2" t="str">
        <f>"3251202108101111424605"</f>
        <v>3251202108101111424605</v>
      </c>
      <c r="C2080" s="2" t="s">
        <v>30</v>
      </c>
      <c r="D2080" s="2" t="str">
        <f>"符海龙"</f>
        <v>符海龙</v>
      </c>
      <c r="E2080" s="2" t="str">
        <f>"男"</f>
        <v>男</v>
      </c>
    </row>
    <row r="2081" spans="1:5" ht="14.4" x14ac:dyDescent="0.25">
      <c r="A2081" s="4">
        <v>2079</v>
      </c>
      <c r="B2081" s="2" t="str">
        <f>"3251202108101206434821"</f>
        <v>3251202108101206434821</v>
      </c>
      <c r="C2081" s="2" t="s">
        <v>30</v>
      </c>
      <c r="D2081" s="2" t="str">
        <f>"符海龙"</f>
        <v>符海龙</v>
      </c>
      <c r="E2081" s="2" t="str">
        <f>"男"</f>
        <v>男</v>
      </c>
    </row>
    <row r="2082" spans="1:5" ht="14.4" x14ac:dyDescent="0.25">
      <c r="A2082" s="4">
        <v>2080</v>
      </c>
      <c r="B2082" s="2" t="str">
        <f>"3251202108101210464832"</f>
        <v>3251202108101210464832</v>
      </c>
      <c r="C2082" s="2" t="s">
        <v>30</v>
      </c>
      <c r="D2082" s="2" t="str">
        <f>"王丽婷"</f>
        <v>王丽婷</v>
      </c>
      <c r="E2082" s="2" t="str">
        <f>"女"</f>
        <v>女</v>
      </c>
    </row>
    <row r="2083" spans="1:5" ht="14.4" x14ac:dyDescent="0.25">
      <c r="A2083" s="4">
        <v>2081</v>
      </c>
      <c r="B2083" s="2" t="str">
        <f>"3251202108101224474882"</f>
        <v>3251202108101224474882</v>
      </c>
      <c r="C2083" s="2" t="s">
        <v>30</v>
      </c>
      <c r="D2083" s="2" t="str">
        <f>"符锦恒"</f>
        <v>符锦恒</v>
      </c>
      <c r="E2083" s="2" t="str">
        <f>"男"</f>
        <v>男</v>
      </c>
    </row>
    <row r="2084" spans="1:5" ht="14.4" x14ac:dyDescent="0.25">
      <c r="A2084" s="4">
        <v>2082</v>
      </c>
      <c r="B2084" s="2" t="str">
        <f>"3251202108101226084890"</f>
        <v>3251202108101226084890</v>
      </c>
      <c r="C2084" s="2" t="s">
        <v>30</v>
      </c>
      <c r="D2084" s="2" t="str">
        <f>"王雅"</f>
        <v>王雅</v>
      </c>
      <c r="E2084" s="2" t="str">
        <f>"女"</f>
        <v>女</v>
      </c>
    </row>
    <row r="2085" spans="1:5" ht="14.4" x14ac:dyDescent="0.25">
      <c r="A2085" s="4">
        <v>2083</v>
      </c>
      <c r="B2085" s="2" t="str">
        <f>"3251202108101253344980"</f>
        <v>3251202108101253344980</v>
      </c>
      <c r="C2085" s="2" t="s">
        <v>30</v>
      </c>
      <c r="D2085" s="2" t="str">
        <f>"符秋珍"</f>
        <v>符秋珍</v>
      </c>
      <c r="E2085" s="2" t="str">
        <f>"女"</f>
        <v>女</v>
      </c>
    </row>
    <row r="2086" spans="1:5" ht="14.4" x14ac:dyDescent="0.25">
      <c r="A2086" s="4">
        <v>2084</v>
      </c>
      <c r="B2086" s="2" t="str">
        <f>"3251202108101311545010"</f>
        <v>3251202108101311545010</v>
      </c>
      <c r="C2086" s="2" t="s">
        <v>30</v>
      </c>
      <c r="D2086" s="2" t="str">
        <f>"彭文"</f>
        <v>彭文</v>
      </c>
      <c r="E2086" s="2" t="str">
        <f>"男"</f>
        <v>男</v>
      </c>
    </row>
    <row r="2087" spans="1:5" ht="14.4" x14ac:dyDescent="0.25">
      <c r="A2087" s="4">
        <v>2085</v>
      </c>
      <c r="B2087" s="2" t="str">
        <f>"3251202108101334595056"</f>
        <v>3251202108101334595056</v>
      </c>
      <c r="C2087" s="2" t="s">
        <v>30</v>
      </c>
      <c r="D2087" s="2" t="str">
        <f>"王卉"</f>
        <v>王卉</v>
      </c>
      <c r="E2087" s="2" t="str">
        <f t="shared" ref="E2087:E2096" si="62">"女"</f>
        <v>女</v>
      </c>
    </row>
    <row r="2088" spans="1:5" ht="14.4" x14ac:dyDescent="0.25">
      <c r="A2088" s="4">
        <v>2086</v>
      </c>
      <c r="B2088" s="2" t="str">
        <f>"3251202108101430095180"</f>
        <v>3251202108101430095180</v>
      </c>
      <c r="C2088" s="2" t="s">
        <v>30</v>
      </c>
      <c r="D2088" s="2" t="str">
        <f>"羊秀云"</f>
        <v>羊秀云</v>
      </c>
      <c r="E2088" s="2" t="str">
        <f t="shared" si="62"/>
        <v>女</v>
      </c>
    </row>
    <row r="2089" spans="1:5" ht="14.4" x14ac:dyDescent="0.25">
      <c r="A2089" s="4">
        <v>2087</v>
      </c>
      <c r="B2089" s="2" t="str">
        <f>"3251202108101500315295"</f>
        <v>3251202108101500315295</v>
      </c>
      <c r="C2089" s="2" t="s">
        <v>30</v>
      </c>
      <c r="D2089" s="2" t="str">
        <f>"符晓艳"</f>
        <v>符晓艳</v>
      </c>
      <c r="E2089" s="2" t="str">
        <f t="shared" si="62"/>
        <v>女</v>
      </c>
    </row>
    <row r="2090" spans="1:5" ht="14.4" x14ac:dyDescent="0.25">
      <c r="A2090" s="4">
        <v>2088</v>
      </c>
      <c r="B2090" s="2" t="str">
        <f>"3251202108101504085310"</f>
        <v>3251202108101504085310</v>
      </c>
      <c r="C2090" s="2" t="s">
        <v>30</v>
      </c>
      <c r="D2090" s="2" t="str">
        <f>"符雪"</f>
        <v>符雪</v>
      </c>
      <c r="E2090" s="2" t="str">
        <f t="shared" si="62"/>
        <v>女</v>
      </c>
    </row>
    <row r="2091" spans="1:5" ht="14.4" x14ac:dyDescent="0.25">
      <c r="A2091" s="4">
        <v>2089</v>
      </c>
      <c r="B2091" s="2" t="str">
        <f>"3251202108101518465370"</f>
        <v>3251202108101518465370</v>
      </c>
      <c r="C2091" s="2" t="s">
        <v>30</v>
      </c>
      <c r="D2091" s="2" t="str">
        <f>"符少萍"</f>
        <v>符少萍</v>
      </c>
      <c r="E2091" s="2" t="str">
        <f t="shared" si="62"/>
        <v>女</v>
      </c>
    </row>
    <row r="2092" spans="1:5" ht="14.4" x14ac:dyDescent="0.25">
      <c r="A2092" s="4">
        <v>2090</v>
      </c>
      <c r="B2092" s="2" t="str">
        <f>"3251202108101527005394"</f>
        <v>3251202108101527005394</v>
      </c>
      <c r="C2092" s="2" t="s">
        <v>30</v>
      </c>
      <c r="D2092" s="2" t="str">
        <f>"林雪丽"</f>
        <v>林雪丽</v>
      </c>
      <c r="E2092" s="2" t="str">
        <f t="shared" si="62"/>
        <v>女</v>
      </c>
    </row>
    <row r="2093" spans="1:5" ht="14.4" x14ac:dyDescent="0.25">
      <c r="A2093" s="4">
        <v>2091</v>
      </c>
      <c r="B2093" s="2" t="str">
        <f>"3251202108101622075589"</f>
        <v>3251202108101622075589</v>
      </c>
      <c r="C2093" s="2" t="s">
        <v>30</v>
      </c>
      <c r="D2093" s="2" t="str">
        <f>"羊晶晶"</f>
        <v>羊晶晶</v>
      </c>
      <c r="E2093" s="2" t="str">
        <f t="shared" si="62"/>
        <v>女</v>
      </c>
    </row>
    <row r="2094" spans="1:5" ht="14.4" x14ac:dyDescent="0.25">
      <c r="A2094" s="4">
        <v>2092</v>
      </c>
      <c r="B2094" s="2" t="str">
        <f>"3251202108101825105957"</f>
        <v>3251202108101825105957</v>
      </c>
      <c r="C2094" s="2" t="s">
        <v>30</v>
      </c>
      <c r="D2094" s="2" t="str">
        <f>"符玉姜"</f>
        <v>符玉姜</v>
      </c>
      <c r="E2094" s="2" t="str">
        <f t="shared" si="62"/>
        <v>女</v>
      </c>
    </row>
    <row r="2095" spans="1:5" ht="14.4" x14ac:dyDescent="0.25">
      <c r="A2095" s="4">
        <v>2093</v>
      </c>
      <c r="B2095" s="2" t="str">
        <f>"3251202108102141556358"</f>
        <v>3251202108102141556358</v>
      </c>
      <c r="C2095" s="2" t="s">
        <v>30</v>
      </c>
      <c r="D2095" s="2" t="str">
        <f>"符晓慧"</f>
        <v>符晓慧</v>
      </c>
      <c r="E2095" s="2" t="str">
        <f t="shared" si="62"/>
        <v>女</v>
      </c>
    </row>
    <row r="2096" spans="1:5" ht="14.4" x14ac:dyDescent="0.25">
      <c r="A2096" s="4">
        <v>2094</v>
      </c>
      <c r="B2096" s="2" t="str">
        <f>"3251202108102241486454"</f>
        <v>3251202108102241486454</v>
      </c>
      <c r="C2096" s="2" t="s">
        <v>30</v>
      </c>
      <c r="D2096" s="2" t="str">
        <f>"符周婷"</f>
        <v>符周婷</v>
      </c>
      <c r="E2096" s="2" t="str">
        <f t="shared" si="62"/>
        <v>女</v>
      </c>
    </row>
    <row r="2097" spans="1:5" ht="14.4" x14ac:dyDescent="0.25">
      <c r="A2097" s="4">
        <v>2095</v>
      </c>
      <c r="B2097" s="2" t="str">
        <f>"3251202108102315326499"</f>
        <v>3251202108102315326499</v>
      </c>
      <c r="C2097" s="2" t="s">
        <v>30</v>
      </c>
      <c r="D2097" s="2" t="str">
        <f>"王健生"</f>
        <v>王健生</v>
      </c>
      <c r="E2097" s="2" t="str">
        <f>"男"</f>
        <v>男</v>
      </c>
    </row>
    <row r="2098" spans="1:5" ht="14.4" x14ac:dyDescent="0.25">
      <c r="A2098" s="4">
        <v>2096</v>
      </c>
      <c r="B2098" s="2" t="str">
        <f>"3251202108110826036599"</f>
        <v>3251202108110826036599</v>
      </c>
      <c r="C2098" s="2" t="s">
        <v>30</v>
      </c>
      <c r="D2098" s="2" t="str">
        <f>"熊文汇"</f>
        <v>熊文汇</v>
      </c>
      <c r="E2098" s="2" t="str">
        <f>"女"</f>
        <v>女</v>
      </c>
    </row>
    <row r="2099" spans="1:5" ht="14.4" x14ac:dyDescent="0.25">
      <c r="A2099" s="4">
        <v>2097</v>
      </c>
      <c r="B2099" s="2" t="str">
        <f>"3251202108110908206693"</f>
        <v>3251202108110908206693</v>
      </c>
      <c r="C2099" s="2" t="s">
        <v>30</v>
      </c>
      <c r="D2099" s="2" t="str">
        <f>"林燕敏"</f>
        <v>林燕敏</v>
      </c>
      <c r="E2099" s="2" t="str">
        <f>"女"</f>
        <v>女</v>
      </c>
    </row>
    <row r="2100" spans="1:5" ht="14.4" x14ac:dyDescent="0.25">
      <c r="A2100" s="4">
        <v>2098</v>
      </c>
      <c r="B2100" s="2" t="str">
        <f>"3251202108110911406704"</f>
        <v>3251202108110911406704</v>
      </c>
      <c r="C2100" s="2" t="s">
        <v>30</v>
      </c>
      <c r="D2100" s="2" t="str">
        <f>"符学专"</f>
        <v>符学专</v>
      </c>
      <c r="E2100" s="2" t="str">
        <f>"男"</f>
        <v>男</v>
      </c>
    </row>
    <row r="2101" spans="1:5" ht="14.4" x14ac:dyDescent="0.25">
      <c r="A2101" s="4">
        <v>2099</v>
      </c>
      <c r="B2101" s="2" t="str">
        <f>"3251202108110923146731"</f>
        <v>3251202108110923146731</v>
      </c>
      <c r="C2101" s="2" t="s">
        <v>30</v>
      </c>
      <c r="D2101" s="2" t="str">
        <f>"曾小平"</f>
        <v>曾小平</v>
      </c>
      <c r="E2101" s="2" t="str">
        <f>"男"</f>
        <v>男</v>
      </c>
    </row>
    <row r="2102" spans="1:5" ht="14.4" x14ac:dyDescent="0.25">
      <c r="A2102" s="4">
        <v>2100</v>
      </c>
      <c r="B2102" s="2" t="str">
        <f>"3251202108110953486826"</f>
        <v>3251202108110953486826</v>
      </c>
      <c r="C2102" s="2" t="s">
        <v>30</v>
      </c>
      <c r="D2102" s="2" t="str">
        <f>"陈文龙"</f>
        <v>陈文龙</v>
      </c>
      <c r="E2102" s="2" t="str">
        <f>"男"</f>
        <v>男</v>
      </c>
    </row>
    <row r="2103" spans="1:5" ht="14.4" x14ac:dyDescent="0.25">
      <c r="A2103" s="4">
        <v>2101</v>
      </c>
      <c r="B2103" s="2" t="str">
        <f>"3251202108111254127206"</f>
        <v>3251202108111254127206</v>
      </c>
      <c r="C2103" s="2" t="s">
        <v>30</v>
      </c>
      <c r="D2103" s="2" t="str">
        <f>"符秋爱"</f>
        <v>符秋爱</v>
      </c>
      <c r="E2103" s="2" t="str">
        <f>"女"</f>
        <v>女</v>
      </c>
    </row>
    <row r="2104" spans="1:5" ht="14.4" x14ac:dyDescent="0.25">
      <c r="A2104" s="4">
        <v>2102</v>
      </c>
      <c r="B2104" s="2" t="str">
        <f>"3251202108111511027383"</f>
        <v>3251202108111511027383</v>
      </c>
      <c r="C2104" s="2" t="s">
        <v>30</v>
      </c>
      <c r="D2104" s="2" t="str">
        <f>"符鸿冰"</f>
        <v>符鸿冰</v>
      </c>
      <c r="E2104" s="2" t="str">
        <f>"女"</f>
        <v>女</v>
      </c>
    </row>
    <row r="2105" spans="1:5" ht="14.4" x14ac:dyDescent="0.25">
      <c r="A2105" s="4">
        <v>2103</v>
      </c>
      <c r="B2105" s="2" t="str">
        <f>"3251202108111811097699"</f>
        <v>3251202108111811097699</v>
      </c>
      <c r="C2105" s="2" t="s">
        <v>30</v>
      </c>
      <c r="D2105" s="2" t="str">
        <f>"符晓艺"</f>
        <v>符晓艺</v>
      </c>
      <c r="E2105" s="2" t="str">
        <f>"女"</f>
        <v>女</v>
      </c>
    </row>
    <row r="2106" spans="1:5" ht="14.4" x14ac:dyDescent="0.25">
      <c r="A2106" s="4">
        <v>2104</v>
      </c>
      <c r="B2106" s="2" t="str">
        <f>"3251202108111828337728"</f>
        <v>3251202108111828337728</v>
      </c>
      <c r="C2106" s="2" t="s">
        <v>30</v>
      </c>
      <c r="D2106" s="2" t="str">
        <f>"符政芳"</f>
        <v>符政芳</v>
      </c>
      <c r="E2106" s="2" t="str">
        <f>"女"</f>
        <v>女</v>
      </c>
    </row>
    <row r="2107" spans="1:5" ht="14.4" x14ac:dyDescent="0.25">
      <c r="A2107" s="4">
        <v>2105</v>
      </c>
      <c r="B2107" s="2" t="str">
        <f>"3251202108111958117839"</f>
        <v>3251202108111958117839</v>
      </c>
      <c r="C2107" s="2" t="s">
        <v>30</v>
      </c>
      <c r="D2107" s="2" t="str">
        <f>"孙开翔"</f>
        <v>孙开翔</v>
      </c>
      <c r="E2107" s="2" t="str">
        <f>"男"</f>
        <v>男</v>
      </c>
    </row>
    <row r="2108" spans="1:5" ht="14.4" x14ac:dyDescent="0.25">
      <c r="A2108" s="4">
        <v>2106</v>
      </c>
      <c r="B2108" s="2" t="str">
        <f>"3251202108112049547912"</f>
        <v>3251202108112049547912</v>
      </c>
      <c r="C2108" s="2" t="s">
        <v>30</v>
      </c>
      <c r="D2108" s="2" t="str">
        <f>"符菊欢"</f>
        <v>符菊欢</v>
      </c>
      <c r="E2108" s="2" t="str">
        <f>"女"</f>
        <v>女</v>
      </c>
    </row>
    <row r="2109" spans="1:5" ht="14.4" x14ac:dyDescent="0.25">
      <c r="A2109" s="4">
        <v>2107</v>
      </c>
      <c r="B2109" s="2" t="str">
        <f>"3251202108120821268189"</f>
        <v>3251202108120821268189</v>
      </c>
      <c r="C2109" s="2" t="s">
        <v>30</v>
      </c>
      <c r="D2109" s="2" t="str">
        <f>"符晨梦"</f>
        <v>符晨梦</v>
      </c>
      <c r="E2109" s="2" t="str">
        <f>"女"</f>
        <v>女</v>
      </c>
    </row>
    <row r="2110" spans="1:5" ht="14.4" x14ac:dyDescent="0.25">
      <c r="A2110" s="4">
        <v>2108</v>
      </c>
      <c r="B2110" s="2" t="str">
        <f>"3251202108121050198518"</f>
        <v>3251202108121050198518</v>
      </c>
      <c r="C2110" s="2" t="s">
        <v>30</v>
      </c>
      <c r="D2110" s="2" t="str">
        <f>"王青畅"</f>
        <v>王青畅</v>
      </c>
      <c r="E2110" s="2" t="str">
        <f>"女"</f>
        <v>女</v>
      </c>
    </row>
    <row r="2111" spans="1:5" ht="14.4" x14ac:dyDescent="0.25">
      <c r="A2111" s="4">
        <v>2109</v>
      </c>
      <c r="B2111" s="2" t="str">
        <f>"3251202108121316478716"</f>
        <v>3251202108121316478716</v>
      </c>
      <c r="C2111" s="2" t="s">
        <v>30</v>
      </c>
      <c r="D2111" s="2" t="str">
        <f>"符泽山"</f>
        <v>符泽山</v>
      </c>
      <c r="E2111" s="2" t="str">
        <f>"男"</f>
        <v>男</v>
      </c>
    </row>
    <row r="2112" spans="1:5" ht="14.4" x14ac:dyDescent="0.25">
      <c r="A2112" s="4">
        <v>2110</v>
      </c>
      <c r="B2112" s="2" t="str">
        <f>"3251202108121550418951"</f>
        <v>3251202108121550418951</v>
      </c>
      <c r="C2112" s="2" t="s">
        <v>30</v>
      </c>
      <c r="D2112" s="2" t="str">
        <f>"符雅云"</f>
        <v>符雅云</v>
      </c>
      <c r="E2112" s="2" t="str">
        <f>"女"</f>
        <v>女</v>
      </c>
    </row>
    <row r="2113" spans="1:5" ht="14.4" x14ac:dyDescent="0.25">
      <c r="A2113" s="4">
        <v>2111</v>
      </c>
      <c r="B2113" s="2" t="str">
        <f>"3251202108121636559032"</f>
        <v>3251202108121636559032</v>
      </c>
      <c r="C2113" s="2" t="s">
        <v>30</v>
      </c>
      <c r="D2113" s="2" t="str">
        <f>"刘晓玉"</f>
        <v>刘晓玉</v>
      </c>
      <c r="E2113" s="2" t="str">
        <f>"女"</f>
        <v>女</v>
      </c>
    </row>
    <row r="2114" spans="1:5" ht="14.4" x14ac:dyDescent="0.25">
      <c r="A2114" s="4">
        <v>2112</v>
      </c>
      <c r="B2114" s="2" t="str">
        <f>"3251202108121744429129"</f>
        <v>3251202108121744429129</v>
      </c>
      <c r="C2114" s="2" t="s">
        <v>30</v>
      </c>
      <c r="D2114" s="2" t="str">
        <f>"符鸽"</f>
        <v>符鸽</v>
      </c>
      <c r="E2114" s="2" t="str">
        <f>"女"</f>
        <v>女</v>
      </c>
    </row>
    <row r="2115" spans="1:5" ht="14.4" x14ac:dyDescent="0.25">
      <c r="A2115" s="4">
        <v>2113</v>
      </c>
      <c r="B2115" s="2" t="str">
        <f>"3251202108122043389291"</f>
        <v>3251202108122043389291</v>
      </c>
      <c r="C2115" s="2" t="s">
        <v>30</v>
      </c>
      <c r="D2115" s="2" t="str">
        <f>"高明锦"</f>
        <v>高明锦</v>
      </c>
      <c r="E2115" s="2" t="str">
        <f>"男"</f>
        <v>男</v>
      </c>
    </row>
    <row r="2116" spans="1:5" ht="14.4" x14ac:dyDescent="0.25">
      <c r="A2116" s="4">
        <v>2114</v>
      </c>
      <c r="B2116" s="2" t="str">
        <f>"3251202108122110019320"</f>
        <v>3251202108122110019320</v>
      </c>
      <c r="C2116" s="2" t="s">
        <v>30</v>
      </c>
      <c r="D2116" s="2" t="str">
        <f>"黄岳帅"</f>
        <v>黄岳帅</v>
      </c>
      <c r="E2116" s="2" t="str">
        <f>"男"</f>
        <v>男</v>
      </c>
    </row>
    <row r="2117" spans="1:5" ht="14.4" x14ac:dyDescent="0.25">
      <c r="A2117" s="4">
        <v>2115</v>
      </c>
      <c r="B2117" s="2" t="str">
        <f>"3251202108122308509437"</f>
        <v>3251202108122308509437</v>
      </c>
      <c r="C2117" s="2" t="s">
        <v>30</v>
      </c>
      <c r="D2117" s="2" t="str">
        <f>"符万朝"</f>
        <v>符万朝</v>
      </c>
      <c r="E2117" s="2" t="str">
        <f>"男"</f>
        <v>男</v>
      </c>
    </row>
    <row r="2118" spans="1:5" ht="14.4" x14ac:dyDescent="0.25">
      <c r="A2118" s="4">
        <v>2116</v>
      </c>
      <c r="B2118" s="2" t="str">
        <f>"3251202108130824209507"</f>
        <v>3251202108130824209507</v>
      </c>
      <c r="C2118" s="2" t="s">
        <v>30</v>
      </c>
      <c r="D2118" s="2" t="str">
        <f>"曾晓妹"</f>
        <v>曾晓妹</v>
      </c>
      <c r="E2118" s="2" t="str">
        <f>"女"</f>
        <v>女</v>
      </c>
    </row>
    <row r="2119" spans="1:5" ht="14.4" x14ac:dyDescent="0.25">
      <c r="A2119" s="4">
        <v>2117</v>
      </c>
      <c r="B2119" s="2" t="str">
        <f>"3251202108131109529724"</f>
        <v>3251202108131109529724</v>
      </c>
      <c r="C2119" s="2" t="s">
        <v>30</v>
      </c>
      <c r="D2119" s="2" t="str">
        <f>"符月芬"</f>
        <v>符月芬</v>
      </c>
      <c r="E2119" s="2" t="str">
        <f>"女"</f>
        <v>女</v>
      </c>
    </row>
    <row r="2120" spans="1:5" ht="14.4" x14ac:dyDescent="0.25">
      <c r="A2120" s="4">
        <v>2118</v>
      </c>
      <c r="B2120" s="2" t="str">
        <f>"32512021081320205310225"</f>
        <v>32512021081320205310225</v>
      </c>
      <c r="C2120" s="2" t="s">
        <v>30</v>
      </c>
      <c r="D2120" s="2" t="str">
        <f>"陈曦"</f>
        <v>陈曦</v>
      </c>
      <c r="E2120" s="2" t="str">
        <f>"女"</f>
        <v>女</v>
      </c>
    </row>
    <row r="2121" spans="1:5" ht="14.4" x14ac:dyDescent="0.25">
      <c r="A2121" s="4">
        <v>2119</v>
      </c>
      <c r="B2121" s="2" t="str">
        <f>"32512021081418532510775"</f>
        <v>32512021081418532510775</v>
      </c>
      <c r="C2121" s="2" t="s">
        <v>30</v>
      </c>
      <c r="D2121" s="2" t="str">
        <f>"吴红仪"</f>
        <v>吴红仪</v>
      </c>
      <c r="E2121" s="2" t="str">
        <f>"女"</f>
        <v>女</v>
      </c>
    </row>
    <row r="2122" spans="1:5" ht="14.4" x14ac:dyDescent="0.25">
      <c r="A2122" s="4">
        <v>2120</v>
      </c>
      <c r="B2122" s="2" t="str">
        <f>"32512021081421173710843"</f>
        <v>32512021081421173710843</v>
      </c>
      <c r="C2122" s="2" t="s">
        <v>30</v>
      </c>
      <c r="D2122" s="2" t="str">
        <f>"符婉婷"</f>
        <v>符婉婷</v>
      </c>
      <c r="E2122" s="2" t="str">
        <f>"女"</f>
        <v>女</v>
      </c>
    </row>
    <row r="2123" spans="1:5" ht="14.4" x14ac:dyDescent="0.25">
      <c r="A2123" s="4">
        <v>2121</v>
      </c>
      <c r="B2123" s="2" t="str">
        <f>"32512021081513050511100"</f>
        <v>32512021081513050511100</v>
      </c>
      <c r="C2123" s="2" t="s">
        <v>30</v>
      </c>
      <c r="D2123" s="2" t="str">
        <f>"周俊"</f>
        <v>周俊</v>
      </c>
      <c r="E2123" s="2" t="str">
        <f>"男"</f>
        <v>男</v>
      </c>
    </row>
    <row r="2124" spans="1:5" ht="14.4" x14ac:dyDescent="0.25">
      <c r="A2124" s="4">
        <v>2122</v>
      </c>
      <c r="B2124" s="2" t="str">
        <f>"32512021081518331911352"</f>
        <v>32512021081518331911352</v>
      </c>
      <c r="C2124" s="2" t="s">
        <v>30</v>
      </c>
      <c r="D2124" s="2" t="str">
        <f>"符延峰"</f>
        <v>符延峰</v>
      </c>
      <c r="E2124" s="2" t="str">
        <f>"男"</f>
        <v>男</v>
      </c>
    </row>
    <row r="2125" spans="1:5" ht="14.4" x14ac:dyDescent="0.25">
      <c r="A2125" s="4">
        <v>2123</v>
      </c>
      <c r="B2125" s="2" t="str">
        <f>"32512021081519570611419"</f>
        <v>32512021081519570611419</v>
      </c>
      <c r="C2125" s="2" t="s">
        <v>30</v>
      </c>
      <c r="D2125" s="2" t="str">
        <f>"符文欣"</f>
        <v>符文欣</v>
      </c>
      <c r="E2125" s="2" t="str">
        <f>"男"</f>
        <v>男</v>
      </c>
    </row>
    <row r="2126" spans="1:5" ht="14.4" x14ac:dyDescent="0.25">
      <c r="A2126" s="4">
        <v>2124</v>
      </c>
      <c r="B2126" s="2" t="str">
        <f>"32512021081609021211824"</f>
        <v>32512021081609021211824</v>
      </c>
      <c r="C2126" s="2" t="s">
        <v>30</v>
      </c>
      <c r="D2126" s="2" t="str">
        <f>"符俊明"</f>
        <v>符俊明</v>
      </c>
      <c r="E2126" s="2" t="str">
        <f>"男"</f>
        <v>男</v>
      </c>
    </row>
    <row r="2127" spans="1:5" ht="14.4" x14ac:dyDescent="0.25">
      <c r="A2127" s="4">
        <v>2125</v>
      </c>
      <c r="B2127" s="2" t="str">
        <f>"32512021081616011213169"</f>
        <v>32512021081616011213169</v>
      </c>
      <c r="C2127" s="2" t="s">
        <v>30</v>
      </c>
      <c r="D2127" s="2" t="str">
        <f>"陈献俊"</f>
        <v>陈献俊</v>
      </c>
      <c r="E2127" s="2" t="str">
        <f>"男"</f>
        <v>男</v>
      </c>
    </row>
    <row r="2128" spans="1:5" ht="14.4" x14ac:dyDescent="0.25">
      <c r="A2128" s="4">
        <v>2126</v>
      </c>
      <c r="B2128" s="2" t="str">
        <f>"3251202108100910493855"</f>
        <v>3251202108100910493855</v>
      </c>
      <c r="C2128" s="2" t="s">
        <v>31</v>
      </c>
      <c r="D2128" s="2" t="str">
        <f>"符艳敏"</f>
        <v>符艳敏</v>
      </c>
      <c r="E2128" s="2" t="str">
        <f>"女"</f>
        <v>女</v>
      </c>
    </row>
    <row r="2129" spans="1:5" ht="14.4" x14ac:dyDescent="0.25">
      <c r="A2129" s="4">
        <v>2127</v>
      </c>
      <c r="B2129" s="2" t="str">
        <f>"3251202108101051054492"</f>
        <v>3251202108101051054492</v>
      </c>
      <c r="C2129" s="2" t="s">
        <v>31</v>
      </c>
      <c r="D2129" s="2" t="str">
        <f>"符雪柔"</f>
        <v>符雪柔</v>
      </c>
      <c r="E2129" s="2" t="str">
        <f>"女"</f>
        <v>女</v>
      </c>
    </row>
    <row r="2130" spans="1:5" ht="14.4" x14ac:dyDescent="0.25">
      <c r="A2130" s="4">
        <v>2128</v>
      </c>
      <c r="B2130" s="2" t="str">
        <f>"3251202108101229354903"</f>
        <v>3251202108101229354903</v>
      </c>
      <c r="C2130" s="2" t="s">
        <v>31</v>
      </c>
      <c r="D2130" s="2" t="str">
        <f>"官海波"</f>
        <v>官海波</v>
      </c>
      <c r="E2130" s="2" t="str">
        <f>"男"</f>
        <v>男</v>
      </c>
    </row>
    <row r="2131" spans="1:5" ht="14.4" x14ac:dyDescent="0.25">
      <c r="A2131" s="4">
        <v>2129</v>
      </c>
      <c r="B2131" s="2" t="str">
        <f>"3251202108101239344940"</f>
        <v>3251202108101239344940</v>
      </c>
      <c r="C2131" s="2" t="s">
        <v>31</v>
      </c>
      <c r="D2131" s="2" t="str">
        <f>"王淳"</f>
        <v>王淳</v>
      </c>
      <c r="E2131" s="2" t="str">
        <f>"男"</f>
        <v>男</v>
      </c>
    </row>
    <row r="2132" spans="1:5" ht="14.4" x14ac:dyDescent="0.25">
      <c r="A2132" s="4">
        <v>2130</v>
      </c>
      <c r="B2132" s="2" t="str">
        <f>"3251202108101247334957"</f>
        <v>3251202108101247334957</v>
      </c>
      <c r="C2132" s="2" t="s">
        <v>31</v>
      </c>
      <c r="D2132" s="2" t="str">
        <f>"张旭"</f>
        <v>张旭</v>
      </c>
      <c r="E2132" s="2" t="str">
        <f>"女"</f>
        <v>女</v>
      </c>
    </row>
    <row r="2133" spans="1:5" ht="14.4" x14ac:dyDescent="0.25">
      <c r="A2133" s="4">
        <v>2131</v>
      </c>
      <c r="B2133" s="2" t="str">
        <f>"3251202108111219267157"</f>
        <v>3251202108111219267157</v>
      </c>
      <c r="C2133" s="2" t="s">
        <v>31</v>
      </c>
      <c r="D2133" s="2" t="str">
        <f>"陈泰泽"</f>
        <v>陈泰泽</v>
      </c>
      <c r="E2133" s="2" t="str">
        <f>"男"</f>
        <v>男</v>
      </c>
    </row>
    <row r="2134" spans="1:5" ht="14.4" x14ac:dyDescent="0.25">
      <c r="A2134" s="4">
        <v>2132</v>
      </c>
      <c r="B2134" s="2" t="str">
        <f>"3251202108111237047180"</f>
        <v>3251202108111237047180</v>
      </c>
      <c r="C2134" s="2" t="s">
        <v>31</v>
      </c>
      <c r="D2134" s="2" t="str">
        <f>"黄家浩"</f>
        <v>黄家浩</v>
      </c>
      <c r="E2134" s="2" t="str">
        <f>"男"</f>
        <v>男</v>
      </c>
    </row>
    <row r="2135" spans="1:5" ht="14.4" x14ac:dyDescent="0.25">
      <c r="A2135" s="4">
        <v>2133</v>
      </c>
      <c r="B2135" s="2" t="str">
        <f>"3251202108121702319070"</f>
        <v>3251202108121702319070</v>
      </c>
      <c r="C2135" s="2" t="s">
        <v>31</v>
      </c>
      <c r="D2135" s="2" t="str">
        <f>"符智伟"</f>
        <v>符智伟</v>
      </c>
      <c r="E2135" s="2" t="str">
        <f>"男"</f>
        <v>男</v>
      </c>
    </row>
    <row r="2136" spans="1:5" ht="14.4" x14ac:dyDescent="0.25">
      <c r="A2136" s="4">
        <v>2134</v>
      </c>
      <c r="B2136" s="2" t="str">
        <f>"3251202108130210319478"</f>
        <v>3251202108130210319478</v>
      </c>
      <c r="C2136" s="2" t="s">
        <v>31</v>
      </c>
      <c r="D2136" s="2" t="str">
        <f>"韦晓燕"</f>
        <v>韦晓燕</v>
      </c>
      <c r="E2136" s="2" t="str">
        <f>"女"</f>
        <v>女</v>
      </c>
    </row>
    <row r="2137" spans="1:5" ht="14.4" x14ac:dyDescent="0.25">
      <c r="A2137" s="4">
        <v>2135</v>
      </c>
      <c r="B2137" s="2" t="str">
        <f>"3251202108131321459838"</f>
        <v>3251202108131321459838</v>
      </c>
      <c r="C2137" s="2" t="s">
        <v>31</v>
      </c>
      <c r="D2137" s="2" t="str">
        <f>"林硕"</f>
        <v>林硕</v>
      </c>
      <c r="E2137" s="2" t="str">
        <f>"男"</f>
        <v>男</v>
      </c>
    </row>
    <row r="2138" spans="1:5" ht="14.4" x14ac:dyDescent="0.25">
      <c r="A2138" s="4">
        <v>2136</v>
      </c>
      <c r="B2138" s="2" t="str">
        <f>"32512021081318082710145"</f>
        <v>32512021081318082710145</v>
      </c>
      <c r="C2138" s="2" t="s">
        <v>31</v>
      </c>
      <c r="D2138" s="2" t="str">
        <f>"刘然"</f>
        <v>刘然</v>
      </c>
      <c r="E2138" s="2" t="str">
        <f>"女"</f>
        <v>女</v>
      </c>
    </row>
    <row r="2139" spans="1:5" ht="14.4" x14ac:dyDescent="0.25">
      <c r="A2139" s="4">
        <v>2137</v>
      </c>
      <c r="B2139" s="2" t="str">
        <f>"32512021081318341010162"</f>
        <v>32512021081318341010162</v>
      </c>
      <c r="C2139" s="2" t="s">
        <v>31</v>
      </c>
      <c r="D2139" s="2" t="str">
        <f>"黄健伟"</f>
        <v>黄健伟</v>
      </c>
      <c r="E2139" s="2" t="str">
        <f>"男"</f>
        <v>男</v>
      </c>
    </row>
    <row r="2140" spans="1:5" ht="14.4" x14ac:dyDescent="0.25">
      <c r="A2140" s="4">
        <v>2138</v>
      </c>
      <c r="B2140" s="2" t="str">
        <f>"32512021081322064110288"</f>
        <v>32512021081322064110288</v>
      </c>
      <c r="C2140" s="2" t="s">
        <v>31</v>
      </c>
      <c r="D2140" s="2" t="str">
        <f>"王小红"</f>
        <v>王小红</v>
      </c>
      <c r="E2140" s="2" t="str">
        <f>"女"</f>
        <v>女</v>
      </c>
    </row>
    <row r="2141" spans="1:5" ht="14.4" x14ac:dyDescent="0.25">
      <c r="A2141" s="4">
        <v>2139</v>
      </c>
      <c r="B2141" s="2" t="str">
        <f>"32512021081600392411654"</f>
        <v>32512021081600392411654</v>
      </c>
      <c r="C2141" s="2" t="s">
        <v>31</v>
      </c>
      <c r="D2141" s="2" t="str">
        <f>"陈磊豪"</f>
        <v>陈磊豪</v>
      </c>
      <c r="E2141" s="2" t="str">
        <f>"男"</f>
        <v>男</v>
      </c>
    </row>
    <row r="2142" spans="1:5" ht="14.4" x14ac:dyDescent="0.25">
      <c r="A2142" s="4">
        <v>2140</v>
      </c>
      <c r="B2142" s="2" t="str">
        <f>"3251202108100917383917"</f>
        <v>3251202108100917383917</v>
      </c>
      <c r="C2142" s="2" t="s">
        <v>32</v>
      </c>
      <c r="D2142" s="2" t="str">
        <f>"王升龙"</f>
        <v>王升龙</v>
      </c>
      <c r="E2142" s="2" t="str">
        <f>"男"</f>
        <v>男</v>
      </c>
    </row>
    <row r="2143" spans="1:5" ht="14.4" x14ac:dyDescent="0.25">
      <c r="A2143" s="4">
        <v>2141</v>
      </c>
      <c r="B2143" s="2" t="str">
        <f>"3251202108100942074102"</f>
        <v>3251202108100942074102</v>
      </c>
      <c r="C2143" s="2" t="s">
        <v>32</v>
      </c>
      <c r="D2143" s="2" t="str">
        <f>"符艺墨"</f>
        <v>符艺墨</v>
      </c>
      <c r="E2143" s="2" t="str">
        <f>"男"</f>
        <v>男</v>
      </c>
    </row>
    <row r="2144" spans="1:5" ht="14.4" x14ac:dyDescent="0.25">
      <c r="A2144" s="4">
        <v>2142</v>
      </c>
      <c r="B2144" s="2" t="str">
        <f>"3251202108101004414253"</f>
        <v>3251202108101004414253</v>
      </c>
      <c r="C2144" s="2" t="s">
        <v>32</v>
      </c>
      <c r="D2144" s="2" t="str">
        <f>"符雅萍"</f>
        <v>符雅萍</v>
      </c>
      <c r="E2144" s="2" t="str">
        <f>"女"</f>
        <v>女</v>
      </c>
    </row>
    <row r="2145" spans="1:5" ht="14.4" x14ac:dyDescent="0.25">
      <c r="A2145" s="4">
        <v>2143</v>
      </c>
      <c r="B2145" s="2" t="str">
        <f>"3251202108101005274259"</f>
        <v>3251202108101005274259</v>
      </c>
      <c r="C2145" s="2" t="s">
        <v>32</v>
      </c>
      <c r="D2145" s="2" t="str">
        <f>"谭定锋"</f>
        <v>谭定锋</v>
      </c>
      <c r="E2145" s="2" t="str">
        <f>"男"</f>
        <v>男</v>
      </c>
    </row>
    <row r="2146" spans="1:5" ht="14.4" x14ac:dyDescent="0.25">
      <c r="A2146" s="4">
        <v>2144</v>
      </c>
      <c r="B2146" s="2" t="str">
        <f>"3251202108101010434288"</f>
        <v>3251202108101010434288</v>
      </c>
      <c r="C2146" s="2" t="s">
        <v>32</v>
      </c>
      <c r="D2146" s="2" t="str">
        <f>"王双"</f>
        <v>王双</v>
      </c>
      <c r="E2146" s="2" t="str">
        <f t="shared" ref="E2146:E2151" si="63">"女"</f>
        <v>女</v>
      </c>
    </row>
    <row r="2147" spans="1:5" ht="14.4" x14ac:dyDescent="0.25">
      <c r="A2147" s="4">
        <v>2145</v>
      </c>
      <c r="B2147" s="2" t="str">
        <f>"3251202108101110484600"</f>
        <v>3251202108101110484600</v>
      </c>
      <c r="C2147" s="2" t="s">
        <v>32</v>
      </c>
      <c r="D2147" s="2" t="str">
        <f>"高小娜"</f>
        <v>高小娜</v>
      </c>
      <c r="E2147" s="2" t="str">
        <f t="shared" si="63"/>
        <v>女</v>
      </c>
    </row>
    <row r="2148" spans="1:5" ht="14.4" x14ac:dyDescent="0.25">
      <c r="A2148" s="4">
        <v>2146</v>
      </c>
      <c r="B2148" s="2" t="str">
        <f>"3251202108101314255016"</f>
        <v>3251202108101314255016</v>
      </c>
      <c r="C2148" s="2" t="s">
        <v>32</v>
      </c>
      <c r="D2148" s="2" t="str">
        <f>"符丹丹"</f>
        <v>符丹丹</v>
      </c>
      <c r="E2148" s="2" t="str">
        <f t="shared" si="63"/>
        <v>女</v>
      </c>
    </row>
    <row r="2149" spans="1:5" ht="14.4" x14ac:dyDescent="0.25">
      <c r="A2149" s="4">
        <v>2147</v>
      </c>
      <c r="B2149" s="2" t="str">
        <f>"3251202108101404075114"</f>
        <v>3251202108101404075114</v>
      </c>
      <c r="C2149" s="2" t="s">
        <v>32</v>
      </c>
      <c r="D2149" s="2" t="str">
        <f>"吴芝玲"</f>
        <v>吴芝玲</v>
      </c>
      <c r="E2149" s="2" t="str">
        <f t="shared" si="63"/>
        <v>女</v>
      </c>
    </row>
    <row r="2150" spans="1:5" ht="14.4" x14ac:dyDescent="0.25">
      <c r="A2150" s="4">
        <v>2148</v>
      </c>
      <c r="B2150" s="2" t="str">
        <f>"3251202108101608155535"</f>
        <v>3251202108101608155535</v>
      </c>
      <c r="C2150" s="2" t="s">
        <v>32</v>
      </c>
      <c r="D2150" s="2" t="str">
        <f>"符慧珍"</f>
        <v>符慧珍</v>
      </c>
      <c r="E2150" s="2" t="str">
        <f t="shared" si="63"/>
        <v>女</v>
      </c>
    </row>
    <row r="2151" spans="1:5" ht="14.4" x14ac:dyDescent="0.25">
      <c r="A2151" s="4">
        <v>2149</v>
      </c>
      <c r="B2151" s="2" t="str">
        <f>"3251202108101618165574"</f>
        <v>3251202108101618165574</v>
      </c>
      <c r="C2151" s="2" t="s">
        <v>32</v>
      </c>
      <c r="D2151" s="2" t="str">
        <f>"曾丽婷"</f>
        <v>曾丽婷</v>
      </c>
      <c r="E2151" s="2" t="str">
        <f t="shared" si="63"/>
        <v>女</v>
      </c>
    </row>
    <row r="2152" spans="1:5" ht="14.4" x14ac:dyDescent="0.25">
      <c r="A2152" s="4">
        <v>2150</v>
      </c>
      <c r="B2152" s="2" t="str">
        <f>"3251202108101730285834"</f>
        <v>3251202108101730285834</v>
      </c>
      <c r="C2152" s="2" t="s">
        <v>32</v>
      </c>
      <c r="D2152" s="2" t="str">
        <f>"李强安"</f>
        <v>李强安</v>
      </c>
      <c r="E2152" s="2" t="str">
        <f>"男"</f>
        <v>男</v>
      </c>
    </row>
    <row r="2153" spans="1:5" ht="14.4" x14ac:dyDescent="0.25">
      <c r="A2153" s="4">
        <v>2151</v>
      </c>
      <c r="B2153" s="2" t="str">
        <f>"3251202108102136146347"</f>
        <v>3251202108102136146347</v>
      </c>
      <c r="C2153" s="2" t="s">
        <v>32</v>
      </c>
      <c r="D2153" s="2" t="str">
        <f>"王康宏"</f>
        <v>王康宏</v>
      </c>
      <c r="E2153" s="2" t="str">
        <f>"男"</f>
        <v>男</v>
      </c>
    </row>
    <row r="2154" spans="1:5" ht="14.4" x14ac:dyDescent="0.25">
      <c r="A2154" s="4">
        <v>2152</v>
      </c>
      <c r="B2154" s="2" t="str">
        <f>"3251202108102218266415"</f>
        <v>3251202108102218266415</v>
      </c>
      <c r="C2154" s="2" t="s">
        <v>32</v>
      </c>
      <c r="D2154" s="2" t="str">
        <f>"符惠芬"</f>
        <v>符惠芬</v>
      </c>
      <c r="E2154" s="2" t="str">
        <f t="shared" ref="E2154:E2160" si="64">"女"</f>
        <v>女</v>
      </c>
    </row>
    <row r="2155" spans="1:5" ht="14.4" x14ac:dyDescent="0.25">
      <c r="A2155" s="4">
        <v>2153</v>
      </c>
      <c r="B2155" s="2" t="str">
        <f>"3251202108102225106424"</f>
        <v>3251202108102225106424</v>
      </c>
      <c r="C2155" s="2" t="s">
        <v>32</v>
      </c>
      <c r="D2155" s="2" t="str">
        <f>"符妹丘"</f>
        <v>符妹丘</v>
      </c>
      <c r="E2155" s="2" t="str">
        <f t="shared" si="64"/>
        <v>女</v>
      </c>
    </row>
    <row r="2156" spans="1:5" ht="14.4" x14ac:dyDescent="0.25">
      <c r="A2156" s="4">
        <v>2154</v>
      </c>
      <c r="B2156" s="2" t="str">
        <f>"3251202108110818246586"</f>
        <v>3251202108110818246586</v>
      </c>
      <c r="C2156" s="2" t="s">
        <v>32</v>
      </c>
      <c r="D2156" s="2" t="str">
        <f>"韦小青"</f>
        <v>韦小青</v>
      </c>
      <c r="E2156" s="2" t="str">
        <f t="shared" si="64"/>
        <v>女</v>
      </c>
    </row>
    <row r="2157" spans="1:5" ht="14.4" x14ac:dyDescent="0.25">
      <c r="A2157" s="4">
        <v>2155</v>
      </c>
      <c r="B2157" s="2" t="str">
        <f>"3251202108111031396922"</f>
        <v>3251202108111031396922</v>
      </c>
      <c r="C2157" s="2" t="s">
        <v>32</v>
      </c>
      <c r="D2157" s="2" t="str">
        <f>"黄昱"</f>
        <v>黄昱</v>
      </c>
      <c r="E2157" s="2" t="str">
        <f t="shared" si="64"/>
        <v>女</v>
      </c>
    </row>
    <row r="2158" spans="1:5" ht="14.4" x14ac:dyDescent="0.25">
      <c r="A2158" s="4">
        <v>2156</v>
      </c>
      <c r="B2158" s="2" t="str">
        <f>"3251202108111120467049"</f>
        <v>3251202108111120467049</v>
      </c>
      <c r="C2158" s="2" t="s">
        <v>32</v>
      </c>
      <c r="D2158" s="2" t="str">
        <f>"符佳慧"</f>
        <v>符佳慧</v>
      </c>
      <c r="E2158" s="2" t="str">
        <f t="shared" si="64"/>
        <v>女</v>
      </c>
    </row>
    <row r="2159" spans="1:5" ht="14.4" x14ac:dyDescent="0.25">
      <c r="A2159" s="4">
        <v>2157</v>
      </c>
      <c r="B2159" s="2" t="str">
        <f>"3251202108111127517072"</f>
        <v>3251202108111127517072</v>
      </c>
      <c r="C2159" s="2" t="s">
        <v>32</v>
      </c>
      <c r="D2159" s="2" t="str">
        <f>"符慧容"</f>
        <v>符慧容</v>
      </c>
      <c r="E2159" s="2" t="str">
        <f t="shared" si="64"/>
        <v>女</v>
      </c>
    </row>
    <row r="2160" spans="1:5" ht="14.4" x14ac:dyDescent="0.25">
      <c r="A2160" s="4">
        <v>2158</v>
      </c>
      <c r="B2160" s="2" t="str">
        <f>"3251202108111253137204"</f>
        <v>3251202108111253137204</v>
      </c>
      <c r="C2160" s="2" t="s">
        <v>32</v>
      </c>
      <c r="D2160" s="2" t="str">
        <f>"高亚妹"</f>
        <v>高亚妹</v>
      </c>
      <c r="E2160" s="2" t="str">
        <f t="shared" si="64"/>
        <v>女</v>
      </c>
    </row>
    <row r="2161" spans="1:5" ht="14.4" x14ac:dyDescent="0.25">
      <c r="A2161" s="4">
        <v>2159</v>
      </c>
      <c r="B2161" s="2" t="str">
        <f>"3251202108111258417215"</f>
        <v>3251202108111258417215</v>
      </c>
      <c r="C2161" s="2" t="s">
        <v>32</v>
      </c>
      <c r="D2161" s="2" t="str">
        <f>"符永三"</f>
        <v>符永三</v>
      </c>
      <c r="E2161" s="2" t="str">
        <f>"男"</f>
        <v>男</v>
      </c>
    </row>
    <row r="2162" spans="1:5" ht="14.4" x14ac:dyDescent="0.25">
      <c r="A2162" s="4">
        <v>2160</v>
      </c>
      <c r="B2162" s="2" t="str">
        <f>"3251202108111327227231"</f>
        <v>3251202108111327227231</v>
      </c>
      <c r="C2162" s="2" t="s">
        <v>32</v>
      </c>
      <c r="D2162" s="2" t="str">
        <f>"唐玉婷"</f>
        <v>唐玉婷</v>
      </c>
      <c r="E2162" s="2" t="str">
        <f>"女"</f>
        <v>女</v>
      </c>
    </row>
    <row r="2163" spans="1:5" ht="14.4" x14ac:dyDescent="0.25">
      <c r="A2163" s="4">
        <v>2161</v>
      </c>
      <c r="B2163" s="2" t="str">
        <f>"3251202108111346137249"</f>
        <v>3251202108111346137249</v>
      </c>
      <c r="C2163" s="2" t="s">
        <v>32</v>
      </c>
      <c r="D2163" s="2" t="str">
        <f>"田宏耀"</f>
        <v>田宏耀</v>
      </c>
      <c r="E2163" s="2" t="str">
        <f>"男"</f>
        <v>男</v>
      </c>
    </row>
    <row r="2164" spans="1:5" ht="14.4" x14ac:dyDescent="0.25">
      <c r="A2164" s="4">
        <v>2162</v>
      </c>
      <c r="B2164" s="2" t="str">
        <f>"3251202108111512047387"</f>
        <v>3251202108111512047387</v>
      </c>
      <c r="C2164" s="2" t="s">
        <v>32</v>
      </c>
      <c r="D2164" s="2" t="str">
        <f>"孙晓卓"</f>
        <v>孙晓卓</v>
      </c>
      <c r="E2164" s="2" t="str">
        <f>"男"</f>
        <v>男</v>
      </c>
    </row>
    <row r="2165" spans="1:5" ht="14.4" x14ac:dyDescent="0.25">
      <c r="A2165" s="4">
        <v>2163</v>
      </c>
      <c r="B2165" s="2" t="str">
        <f>"3251202108111559157487"</f>
        <v>3251202108111559157487</v>
      </c>
      <c r="C2165" s="2" t="s">
        <v>32</v>
      </c>
      <c r="D2165" s="2" t="str">
        <f>"李鑫"</f>
        <v>李鑫</v>
      </c>
      <c r="E2165" s="2" t="str">
        <f>"女"</f>
        <v>女</v>
      </c>
    </row>
    <row r="2166" spans="1:5" ht="14.4" x14ac:dyDescent="0.25">
      <c r="A2166" s="4">
        <v>2164</v>
      </c>
      <c r="B2166" s="2" t="str">
        <f>"3251202108111642527566"</f>
        <v>3251202108111642527566</v>
      </c>
      <c r="C2166" s="2" t="s">
        <v>32</v>
      </c>
      <c r="D2166" s="2" t="str">
        <f>"王程"</f>
        <v>王程</v>
      </c>
      <c r="E2166" s="2" t="str">
        <f>"男"</f>
        <v>男</v>
      </c>
    </row>
    <row r="2167" spans="1:5" ht="14.4" x14ac:dyDescent="0.25">
      <c r="A2167" s="4">
        <v>2165</v>
      </c>
      <c r="B2167" s="2" t="str">
        <f>"3251202108111708027600"</f>
        <v>3251202108111708027600</v>
      </c>
      <c r="C2167" s="2" t="s">
        <v>32</v>
      </c>
      <c r="D2167" s="2" t="str">
        <f>"刘少剑"</f>
        <v>刘少剑</v>
      </c>
      <c r="E2167" s="2" t="str">
        <f>"男"</f>
        <v>男</v>
      </c>
    </row>
    <row r="2168" spans="1:5" ht="14.4" x14ac:dyDescent="0.25">
      <c r="A2168" s="4">
        <v>2166</v>
      </c>
      <c r="B2168" s="2" t="str">
        <f>"3251202108111751527676"</f>
        <v>3251202108111751527676</v>
      </c>
      <c r="C2168" s="2" t="s">
        <v>32</v>
      </c>
      <c r="D2168" s="2" t="str">
        <f>"符怡思"</f>
        <v>符怡思</v>
      </c>
      <c r="E2168" s="2" t="str">
        <f>"女"</f>
        <v>女</v>
      </c>
    </row>
    <row r="2169" spans="1:5" ht="14.4" x14ac:dyDescent="0.25">
      <c r="A2169" s="4">
        <v>2167</v>
      </c>
      <c r="B2169" s="2" t="str">
        <f>"3251202108112336298140"</f>
        <v>3251202108112336298140</v>
      </c>
      <c r="C2169" s="2" t="s">
        <v>32</v>
      </c>
      <c r="D2169" s="2" t="str">
        <f>"符永神"</f>
        <v>符永神</v>
      </c>
      <c r="E2169" s="2" t="str">
        <f>"男"</f>
        <v>男</v>
      </c>
    </row>
    <row r="2170" spans="1:5" ht="14.4" x14ac:dyDescent="0.25">
      <c r="A2170" s="4">
        <v>2168</v>
      </c>
      <c r="B2170" s="2" t="str">
        <f>"3251202108120812568181"</f>
        <v>3251202108120812568181</v>
      </c>
      <c r="C2170" s="2" t="s">
        <v>32</v>
      </c>
      <c r="D2170" s="2" t="str">
        <f>"吴仪"</f>
        <v>吴仪</v>
      </c>
      <c r="E2170" s="2" t="str">
        <f>"女"</f>
        <v>女</v>
      </c>
    </row>
    <row r="2171" spans="1:5" ht="14.4" x14ac:dyDescent="0.25">
      <c r="A2171" s="4">
        <v>2169</v>
      </c>
      <c r="B2171" s="2" t="str">
        <f>"3251202108120904148254"</f>
        <v>3251202108120904148254</v>
      </c>
      <c r="C2171" s="2" t="s">
        <v>32</v>
      </c>
      <c r="D2171" s="2" t="str">
        <f>"符会怡"</f>
        <v>符会怡</v>
      </c>
      <c r="E2171" s="2" t="str">
        <f>"女"</f>
        <v>女</v>
      </c>
    </row>
    <row r="2172" spans="1:5" ht="14.4" x14ac:dyDescent="0.25">
      <c r="A2172" s="4">
        <v>2170</v>
      </c>
      <c r="B2172" s="2" t="str">
        <f>"3251202108121035478480"</f>
        <v>3251202108121035478480</v>
      </c>
      <c r="C2172" s="2" t="s">
        <v>32</v>
      </c>
      <c r="D2172" s="2" t="str">
        <f>"符晓思"</f>
        <v>符晓思</v>
      </c>
      <c r="E2172" s="2" t="str">
        <f>"女"</f>
        <v>女</v>
      </c>
    </row>
    <row r="2173" spans="1:5" ht="14.4" x14ac:dyDescent="0.25">
      <c r="A2173" s="4">
        <v>2171</v>
      </c>
      <c r="B2173" s="2" t="str">
        <f>"3251202108121907479208"</f>
        <v>3251202108121907479208</v>
      </c>
      <c r="C2173" s="2" t="s">
        <v>32</v>
      </c>
      <c r="D2173" s="2" t="str">
        <f>"吴英伦"</f>
        <v>吴英伦</v>
      </c>
      <c r="E2173" s="2" t="str">
        <f>"男"</f>
        <v>男</v>
      </c>
    </row>
    <row r="2174" spans="1:5" ht="14.4" x14ac:dyDescent="0.25">
      <c r="A2174" s="4">
        <v>2172</v>
      </c>
      <c r="B2174" s="2" t="str">
        <f>"3251202108131030059660"</f>
        <v>3251202108131030059660</v>
      </c>
      <c r="C2174" s="2" t="s">
        <v>32</v>
      </c>
      <c r="D2174" s="2" t="str">
        <f>"韦桂英"</f>
        <v>韦桂英</v>
      </c>
      <c r="E2174" s="2" t="str">
        <f>"女"</f>
        <v>女</v>
      </c>
    </row>
    <row r="2175" spans="1:5" ht="14.4" x14ac:dyDescent="0.25">
      <c r="A2175" s="4">
        <v>2173</v>
      </c>
      <c r="B2175" s="2" t="str">
        <f>"3251202108131132029751"</f>
        <v>3251202108131132029751</v>
      </c>
      <c r="C2175" s="2" t="s">
        <v>32</v>
      </c>
      <c r="D2175" s="2" t="str">
        <f>"李超"</f>
        <v>李超</v>
      </c>
      <c r="E2175" s="2" t="str">
        <f>"男"</f>
        <v>男</v>
      </c>
    </row>
    <row r="2176" spans="1:5" ht="14.4" x14ac:dyDescent="0.25">
      <c r="A2176" s="4">
        <v>2174</v>
      </c>
      <c r="B2176" s="2" t="str">
        <f>"3251202108131529249952"</f>
        <v>3251202108131529249952</v>
      </c>
      <c r="C2176" s="2" t="s">
        <v>32</v>
      </c>
      <c r="D2176" s="2" t="str">
        <f>"王文宇"</f>
        <v>王文宇</v>
      </c>
      <c r="E2176" s="2" t="str">
        <f>"男"</f>
        <v>男</v>
      </c>
    </row>
    <row r="2177" spans="1:5" ht="14.4" x14ac:dyDescent="0.25">
      <c r="A2177" s="4">
        <v>2175</v>
      </c>
      <c r="B2177" s="2" t="str">
        <f>"32512021081410181810447"</f>
        <v>32512021081410181810447</v>
      </c>
      <c r="C2177" s="2" t="s">
        <v>32</v>
      </c>
      <c r="D2177" s="2" t="str">
        <f>"符小微"</f>
        <v>符小微</v>
      </c>
      <c r="E2177" s="2" t="str">
        <f>"女"</f>
        <v>女</v>
      </c>
    </row>
    <row r="2178" spans="1:5" ht="14.4" x14ac:dyDescent="0.25">
      <c r="A2178" s="4">
        <v>2176</v>
      </c>
      <c r="B2178" s="2" t="str">
        <f>"32512021081410272610453"</f>
        <v>32512021081410272610453</v>
      </c>
      <c r="C2178" s="2" t="s">
        <v>32</v>
      </c>
      <c r="D2178" s="2" t="str">
        <f>"罗思宜"</f>
        <v>罗思宜</v>
      </c>
      <c r="E2178" s="2" t="str">
        <f>"男"</f>
        <v>男</v>
      </c>
    </row>
    <row r="2179" spans="1:5" ht="14.4" x14ac:dyDescent="0.25">
      <c r="A2179" s="4">
        <v>2177</v>
      </c>
      <c r="B2179" s="2" t="str">
        <f>"32512021081411072010490"</f>
        <v>32512021081411072010490</v>
      </c>
      <c r="C2179" s="2" t="s">
        <v>32</v>
      </c>
      <c r="D2179" s="2" t="str">
        <f>"符良慧"</f>
        <v>符良慧</v>
      </c>
      <c r="E2179" s="2" t="str">
        <f>"女"</f>
        <v>女</v>
      </c>
    </row>
    <row r="2180" spans="1:5" ht="14.4" x14ac:dyDescent="0.25">
      <c r="A2180" s="4">
        <v>2178</v>
      </c>
      <c r="B2180" s="2" t="str">
        <f>"32512021081418190610758"</f>
        <v>32512021081418190610758</v>
      </c>
      <c r="C2180" s="2" t="s">
        <v>32</v>
      </c>
      <c r="D2180" s="2" t="str">
        <f>"罗智泳"</f>
        <v>罗智泳</v>
      </c>
      <c r="E2180" s="2" t="str">
        <f>"女"</f>
        <v>女</v>
      </c>
    </row>
    <row r="2181" spans="1:5" ht="14.4" x14ac:dyDescent="0.25">
      <c r="A2181" s="4">
        <v>2179</v>
      </c>
      <c r="B2181" s="2" t="str">
        <f>"32512021081418305810766"</f>
        <v>32512021081418305810766</v>
      </c>
      <c r="C2181" s="2" t="s">
        <v>32</v>
      </c>
      <c r="D2181" s="2" t="str">
        <f>"刘淑娟"</f>
        <v>刘淑娟</v>
      </c>
      <c r="E2181" s="2" t="str">
        <f>"女"</f>
        <v>女</v>
      </c>
    </row>
    <row r="2182" spans="1:5" ht="14.4" x14ac:dyDescent="0.25">
      <c r="A2182" s="4">
        <v>2180</v>
      </c>
      <c r="B2182" s="2" t="str">
        <f>"32512021081422552610887"</f>
        <v>32512021081422552610887</v>
      </c>
      <c r="C2182" s="2" t="s">
        <v>32</v>
      </c>
      <c r="D2182" s="2" t="str">
        <f>"符纪琳"</f>
        <v>符纪琳</v>
      </c>
      <c r="E2182" s="2" t="str">
        <f>"女"</f>
        <v>女</v>
      </c>
    </row>
    <row r="2183" spans="1:5" ht="14.4" x14ac:dyDescent="0.25">
      <c r="A2183" s="4">
        <v>2181</v>
      </c>
      <c r="B2183" s="2" t="str">
        <f>"32512021081502484610922"</f>
        <v>32512021081502484610922</v>
      </c>
      <c r="C2183" s="2" t="s">
        <v>32</v>
      </c>
      <c r="D2183" s="2" t="str">
        <f>"符文彬"</f>
        <v>符文彬</v>
      </c>
      <c r="E2183" s="2" t="str">
        <f>"男"</f>
        <v>男</v>
      </c>
    </row>
    <row r="2184" spans="1:5" ht="14.4" x14ac:dyDescent="0.25">
      <c r="A2184" s="4">
        <v>2182</v>
      </c>
      <c r="B2184" s="2" t="str">
        <f>"32512021081509550610975"</f>
        <v>32512021081509550610975</v>
      </c>
      <c r="C2184" s="2" t="s">
        <v>32</v>
      </c>
      <c r="D2184" s="2" t="str">
        <f>"林炜善"</f>
        <v>林炜善</v>
      </c>
      <c r="E2184" s="2" t="str">
        <f>"男"</f>
        <v>男</v>
      </c>
    </row>
    <row r="2185" spans="1:5" ht="14.4" x14ac:dyDescent="0.25">
      <c r="A2185" s="4">
        <v>2183</v>
      </c>
      <c r="B2185" s="2" t="str">
        <f>"32512021081510273610994"</f>
        <v>32512021081510273610994</v>
      </c>
      <c r="C2185" s="2" t="s">
        <v>32</v>
      </c>
      <c r="D2185" s="2" t="str">
        <f>"符家祺"</f>
        <v>符家祺</v>
      </c>
      <c r="E2185" s="2" t="str">
        <f>"男"</f>
        <v>男</v>
      </c>
    </row>
    <row r="2186" spans="1:5" ht="14.4" x14ac:dyDescent="0.25">
      <c r="A2186" s="4">
        <v>2184</v>
      </c>
      <c r="B2186" s="2" t="str">
        <f>"32512021081512115111068"</f>
        <v>32512021081512115111068</v>
      </c>
      <c r="C2186" s="2" t="s">
        <v>32</v>
      </c>
      <c r="D2186" s="2" t="str">
        <f>"朱宁"</f>
        <v>朱宁</v>
      </c>
      <c r="E2186" s="2" t="str">
        <f>"男"</f>
        <v>男</v>
      </c>
    </row>
    <row r="2187" spans="1:5" ht="14.4" x14ac:dyDescent="0.25">
      <c r="A2187" s="4">
        <v>2185</v>
      </c>
      <c r="B2187" s="2" t="str">
        <f>"32512021081512353711081"</f>
        <v>32512021081512353711081</v>
      </c>
      <c r="C2187" s="2" t="s">
        <v>32</v>
      </c>
      <c r="D2187" s="2" t="str">
        <f>"符安南"</f>
        <v>符安南</v>
      </c>
      <c r="E2187" s="2" t="str">
        <f>"男"</f>
        <v>男</v>
      </c>
    </row>
    <row r="2188" spans="1:5" ht="14.4" x14ac:dyDescent="0.25">
      <c r="A2188" s="4">
        <v>2186</v>
      </c>
      <c r="B2188" s="2" t="str">
        <f>"32512021081513081611102"</f>
        <v>32512021081513081611102</v>
      </c>
      <c r="C2188" s="2" t="s">
        <v>32</v>
      </c>
      <c r="D2188" s="2" t="str">
        <f>"李晨洁"</f>
        <v>李晨洁</v>
      </c>
      <c r="E2188" s="2" t="str">
        <f>"女"</f>
        <v>女</v>
      </c>
    </row>
    <row r="2189" spans="1:5" ht="14.4" x14ac:dyDescent="0.25">
      <c r="A2189" s="4">
        <v>2187</v>
      </c>
      <c r="B2189" s="2" t="str">
        <f>"32512021081514260811163"</f>
        <v>32512021081514260811163</v>
      </c>
      <c r="C2189" s="2" t="s">
        <v>32</v>
      </c>
      <c r="D2189" s="2" t="str">
        <f>"符秀音"</f>
        <v>符秀音</v>
      </c>
      <c r="E2189" s="2" t="str">
        <f>"女"</f>
        <v>女</v>
      </c>
    </row>
    <row r="2190" spans="1:5" ht="14.4" x14ac:dyDescent="0.25">
      <c r="A2190" s="4">
        <v>2188</v>
      </c>
      <c r="B2190" s="2" t="str">
        <f>"32512021081518171011337"</f>
        <v>32512021081518171011337</v>
      </c>
      <c r="C2190" s="2" t="s">
        <v>32</v>
      </c>
      <c r="D2190" s="2" t="str">
        <f>"符月婷"</f>
        <v>符月婷</v>
      </c>
      <c r="E2190" s="2" t="str">
        <f>"女"</f>
        <v>女</v>
      </c>
    </row>
    <row r="2191" spans="1:5" ht="14.4" x14ac:dyDescent="0.25">
      <c r="A2191" s="4">
        <v>2189</v>
      </c>
      <c r="B2191" s="2" t="str">
        <f>"32512021081519535511415"</f>
        <v>32512021081519535511415</v>
      </c>
      <c r="C2191" s="2" t="s">
        <v>32</v>
      </c>
      <c r="D2191" s="2" t="str">
        <f>"符颖"</f>
        <v>符颖</v>
      </c>
      <c r="E2191" s="2" t="str">
        <f>"女"</f>
        <v>女</v>
      </c>
    </row>
    <row r="2192" spans="1:5" ht="14.4" x14ac:dyDescent="0.25">
      <c r="A2192" s="4">
        <v>2190</v>
      </c>
      <c r="B2192" s="2" t="str">
        <f>"32512021081522161811555"</f>
        <v>32512021081522161811555</v>
      </c>
      <c r="C2192" s="2" t="s">
        <v>32</v>
      </c>
      <c r="D2192" s="2" t="str">
        <f>"王茂"</f>
        <v>王茂</v>
      </c>
      <c r="E2192" s="2" t="str">
        <f>"男"</f>
        <v>男</v>
      </c>
    </row>
    <row r="2193" spans="1:5" ht="14.4" x14ac:dyDescent="0.25">
      <c r="A2193" s="4">
        <v>2191</v>
      </c>
      <c r="B2193" s="2" t="str">
        <f>"32512021081522360411579"</f>
        <v>32512021081522360411579</v>
      </c>
      <c r="C2193" s="2" t="s">
        <v>32</v>
      </c>
      <c r="D2193" s="2" t="str">
        <f>"李红"</f>
        <v>李红</v>
      </c>
      <c r="E2193" s="2" t="str">
        <f>"女"</f>
        <v>女</v>
      </c>
    </row>
    <row r="2194" spans="1:5" ht="14.4" x14ac:dyDescent="0.25">
      <c r="A2194" s="4">
        <v>2192</v>
      </c>
      <c r="B2194" s="2" t="str">
        <f>"32512021081607105311687"</f>
        <v>32512021081607105311687</v>
      </c>
      <c r="C2194" s="2" t="s">
        <v>32</v>
      </c>
      <c r="D2194" s="2" t="str">
        <f>"张秀双"</f>
        <v>张秀双</v>
      </c>
      <c r="E2194" s="2" t="str">
        <f>"女"</f>
        <v>女</v>
      </c>
    </row>
    <row r="2195" spans="1:5" ht="14.4" x14ac:dyDescent="0.25">
      <c r="A2195" s="4">
        <v>2193</v>
      </c>
      <c r="B2195" s="2" t="str">
        <f>"32512021081608222011732"</f>
        <v>32512021081608222011732</v>
      </c>
      <c r="C2195" s="2" t="s">
        <v>32</v>
      </c>
      <c r="D2195" s="2" t="str">
        <f>"符宝"</f>
        <v>符宝</v>
      </c>
      <c r="E2195" s="2" t="str">
        <f>"女"</f>
        <v>女</v>
      </c>
    </row>
    <row r="2196" spans="1:5" ht="14.4" x14ac:dyDescent="0.25">
      <c r="A2196" s="4">
        <v>2194</v>
      </c>
      <c r="B2196" s="2" t="str">
        <f>"32512021081609180511924"</f>
        <v>32512021081609180511924</v>
      </c>
      <c r="C2196" s="2" t="s">
        <v>32</v>
      </c>
      <c r="D2196" s="2" t="str">
        <f>"符丽香"</f>
        <v>符丽香</v>
      </c>
      <c r="E2196" s="2" t="str">
        <f>"女"</f>
        <v>女</v>
      </c>
    </row>
    <row r="2197" spans="1:5" ht="14.4" x14ac:dyDescent="0.25">
      <c r="A2197" s="4">
        <v>2195</v>
      </c>
      <c r="B2197" s="2" t="str">
        <f>"32512021081610252412248"</f>
        <v>32512021081610252412248</v>
      </c>
      <c r="C2197" s="2" t="s">
        <v>32</v>
      </c>
      <c r="D2197" s="2" t="str">
        <f>"符晓静"</f>
        <v>符晓静</v>
      </c>
      <c r="E2197" s="2" t="str">
        <f>"女"</f>
        <v>女</v>
      </c>
    </row>
    <row r="2198" spans="1:5" ht="14.4" x14ac:dyDescent="0.25">
      <c r="A2198" s="4">
        <v>2196</v>
      </c>
      <c r="B2198" s="2" t="str">
        <f>"32512021081611060612431"</f>
        <v>32512021081611060612431</v>
      </c>
      <c r="C2198" s="2" t="s">
        <v>32</v>
      </c>
      <c r="D2198" s="2" t="str">
        <f>"符仕武"</f>
        <v>符仕武</v>
      </c>
      <c r="E2198" s="2" t="str">
        <f>"男"</f>
        <v>男</v>
      </c>
    </row>
    <row r="2199" spans="1:5" ht="14.4" x14ac:dyDescent="0.25">
      <c r="A2199" s="4">
        <v>2197</v>
      </c>
      <c r="B2199" s="2" t="str">
        <f>"32512021081614425012967"</f>
        <v>32512021081614425012967</v>
      </c>
      <c r="C2199" s="2" t="s">
        <v>32</v>
      </c>
      <c r="D2199" s="2" t="str">
        <f>"谭亦琳"</f>
        <v>谭亦琳</v>
      </c>
      <c r="E2199" s="2" t="str">
        <f>"女"</f>
        <v>女</v>
      </c>
    </row>
    <row r="2200" spans="1:5" ht="14.4" x14ac:dyDescent="0.25">
      <c r="A2200" s="4">
        <v>2198</v>
      </c>
      <c r="B2200" s="2" t="str">
        <f>"3251202108100905303790"</f>
        <v>3251202108100905303790</v>
      </c>
      <c r="C2200" s="2" t="s">
        <v>33</v>
      </c>
      <c r="D2200" s="2" t="str">
        <f>"练然"</f>
        <v>练然</v>
      </c>
      <c r="E2200" s="2" t="str">
        <f>"女"</f>
        <v>女</v>
      </c>
    </row>
    <row r="2201" spans="1:5" ht="14.4" x14ac:dyDescent="0.25">
      <c r="A2201" s="4">
        <v>2199</v>
      </c>
      <c r="B2201" s="2" t="str">
        <f>"3251202108100944514116"</f>
        <v>3251202108100944514116</v>
      </c>
      <c r="C2201" s="2" t="s">
        <v>33</v>
      </c>
      <c r="D2201" s="2" t="str">
        <f>"周鑫"</f>
        <v>周鑫</v>
      </c>
      <c r="E2201" s="2" t="str">
        <f>"男"</f>
        <v>男</v>
      </c>
    </row>
    <row r="2202" spans="1:5" ht="14.4" x14ac:dyDescent="0.25">
      <c r="A2202" s="4">
        <v>2200</v>
      </c>
      <c r="B2202" s="2" t="str">
        <f>"3251202108100946224124"</f>
        <v>3251202108100946224124</v>
      </c>
      <c r="C2202" s="2" t="s">
        <v>33</v>
      </c>
      <c r="D2202" s="2" t="str">
        <f>"文杨东"</f>
        <v>文杨东</v>
      </c>
      <c r="E2202" s="2" t="str">
        <f>"男"</f>
        <v>男</v>
      </c>
    </row>
    <row r="2203" spans="1:5" ht="14.4" x14ac:dyDescent="0.25">
      <c r="A2203" s="4">
        <v>2201</v>
      </c>
      <c r="B2203" s="2" t="str">
        <f>"3251202108100949254154"</f>
        <v>3251202108100949254154</v>
      </c>
      <c r="C2203" s="2" t="s">
        <v>33</v>
      </c>
      <c r="D2203" s="2" t="str">
        <f>"莫美劲"</f>
        <v>莫美劲</v>
      </c>
      <c r="E2203" s="2" t="str">
        <f>"男"</f>
        <v>男</v>
      </c>
    </row>
    <row r="2204" spans="1:5" ht="14.4" x14ac:dyDescent="0.25">
      <c r="A2204" s="4">
        <v>2202</v>
      </c>
      <c r="B2204" s="2" t="str">
        <f>"3251202108100952214173"</f>
        <v>3251202108100952214173</v>
      </c>
      <c r="C2204" s="2" t="s">
        <v>33</v>
      </c>
      <c r="D2204" s="2" t="str">
        <f>"李扬佳"</f>
        <v>李扬佳</v>
      </c>
      <c r="E2204" s="2" t="str">
        <f>"女"</f>
        <v>女</v>
      </c>
    </row>
    <row r="2205" spans="1:5" ht="14.4" x14ac:dyDescent="0.25">
      <c r="A2205" s="4">
        <v>2203</v>
      </c>
      <c r="B2205" s="2" t="str">
        <f>"3251202108100957034208"</f>
        <v>3251202108100957034208</v>
      </c>
      <c r="C2205" s="2" t="s">
        <v>33</v>
      </c>
      <c r="D2205" s="2" t="str">
        <f>"黄琪"</f>
        <v>黄琪</v>
      </c>
      <c r="E2205" s="2" t="str">
        <f>"女"</f>
        <v>女</v>
      </c>
    </row>
    <row r="2206" spans="1:5" ht="14.4" x14ac:dyDescent="0.25">
      <c r="A2206" s="4">
        <v>2204</v>
      </c>
      <c r="B2206" s="2" t="str">
        <f>"3251202108101114324617"</f>
        <v>3251202108101114324617</v>
      </c>
      <c r="C2206" s="2" t="s">
        <v>33</v>
      </c>
      <c r="D2206" s="2" t="str">
        <f>"符州明"</f>
        <v>符州明</v>
      </c>
      <c r="E2206" s="2" t="str">
        <f t="shared" ref="E2206:E2217" si="65">"男"</f>
        <v>男</v>
      </c>
    </row>
    <row r="2207" spans="1:5" ht="14.4" x14ac:dyDescent="0.25">
      <c r="A2207" s="4">
        <v>2205</v>
      </c>
      <c r="B2207" s="2" t="str">
        <f>"3251202108101135434725"</f>
        <v>3251202108101135434725</v>
      </c>
      <c r="C2207" s="2" t="s">
        <v>33</v>
      </c>
      <c r="D2207" s="2" t="str">
        <f>"黄威"</f>
        <v>黄威</v>
      </c>
      <c r="E2207" s="2" t="str">
        <f t="shared" si="65"/>
        <v>男</v>
      </c>
    </row>
    <row r="2208" spans="1:5" ht="14.4" x14ac:dyDescent="0.25">
      <c r="A2208" s="4">
        <v>2206</v>
      </c>
      <c r="B2208" s="2" t="str">
        <f>"3251202108101157044795"</f>
        <v>3251202108101157044795</v>
      </c>
      <c r="C2208" s="2" t="s">
        <v>33</v>
      </c>
      <c r="D2208" s="2" t="str">
        <f>"叶宗贵"</f>
        <v>叶宗贵</v>
      </c>
      <c r="E2208" s="2" t="str">
        <f t="shared" si="65"/>
        <v>男</v>
      </c>
    </row>
    <row r="2209" spans="1:5" ht="14.4" x14ac:dyDescent="0.25">
      <c r="A2209" s="4">
        <v>2207</v>
      </c>
      <c r="B2209" s="2" t="str">
        <f>"3251202108101158254802"</f>
        <v>3251202108101158254802</v>
      </c>
      <c r="C2209" s="2" t="s">
        <v>33</v>
      </c>
      <c r="D2209" s="2" t="str">
        <f>"潘以和"</f>
        <v>潘以和</v>
      </c>
      <c r="E2209" s="2" t="str">
        <f t="shared" si="65"/>
        <v>男</v>
      </c>
    </row>
    <row r="2210" spans="1:5" ht="14.4" x14ac:dyDescent="0.25">
      <c r="A2210" s="4">
        <v>2208</v>
      </c>
      <c r="B2210" s="2" t="str">
        <f>"3251202108101204404819"</f>
        <v>3251202108101204404819</v>
      </c>
      <c r="C2210" s="2" t="s">
        <v>33</v>
      </c>
      <c r="D2210" s="2" t="str">
        <f>"揭云峰"</f>
        <v>揭云峰</v>
      </c>
      <c r="E2210" s="2" t="str">
        <f t="shared" si="65"/>
        <v>男</v>
      </c>
    </row>
    <row r="2211" spans="1:5" ht="14.4" x14ac:dyDescent="0.25">
      <c r="A2211" s="4">
        <v>2209</v>
      </c>
      <c r="B2211" s="2" t="str">
        <f>"3251202108101210304830"</f>
        <v>3251202108101210304830</v>
      </c>
      <c r="C2211" s="2" t="s">
        <v>33</v>
      </c>
      <c r="D2211" s="2" t="str">
        <f>"陈灼"</f>
        <v>陈灼</v>
      </c>
      <c r="E2211" s="2" t="str">
        <f t="shared" si="65"/>
        <v>男</v>
      </c>
    </row>
    <row r="2212" spans="1:5" ht="14.4" x14ac:dyDescent="0.25">
      <c r="A2212" s="4">
        <v>2210</v>
      </c>
      <c r="B2212" s="2" t="str">
        <f>"3251202108101322295033"</f>
        <v>3251202108101322295033</v>
      </c>
      <c r="C2212" s="2" t="s">
        <v>33</v>
      </c>
      <c r="D2212" s="2" t="str">
        <f>"符明智"</f>
        <v>符明智</v>
      </c>
      <c r="E2212" s="2" t="str">
        <f t="shared" si="65"/>
        <v>男</v>
      </c>
    </row>
    <row r="2213" spans="1:5" ht="14.4" x14ac:dyDescent="0.25">
      <c r="A2213" s="4">
        <v>2211</v>
      </c>
      <c r="B2213" s="2" t="str">
        <f>"3251202108101403345112"</f>
        <v>3251202108101403345112</v>
      </c>
      <c r="C2213" s="2" t="s">
        <v>33</v>
      </c>
      <c r="D2213" s="2" t="str">
        <f>"李昌业"</f>
        <v>李昌业</v>
      </c>
      <c r="E2213" s="2" t="str">
        <f t="shared" si="65"/>
        <v>男</v>
      </c>
    </row>
    <row r="2214" spans="1:5" ht="14.4" x14ac:dyDescent="0.25">
      <c r="A2214" s="4">
        <v>2212</v>
      </c>
      <c r="B2214" s="2" t="str">
        <f>"3251202108101439335216"</f>
        <v>3251202108101439335216</v>
      </c>
      <c r="C2214" s="2" t="s">
        <v>33</v>
      </c>
      <c r="D2214" s="2" t="str">
        <f>"王伟"</f>
        <v>王伟</v>
      </c>
      <c r="E2214" s="2" t="str">
        <f t="shared" si="65"/>
        <v>男</v>
      </c>
    </row>
    <row r="2215" spans="1:5" ht="14.4" x14ac:dyDescent="0.25">
      <c r="A2215" s="4">
        <v>2213</v>
      </c>
      <c r="B2215" s="2" t="str">
        <f>"3251202108101441345224"</f>
        <v>3251202108101441345224</v>
      </c>
      <c r="C2215" s="2" t="s">
        <v>33</v>
      </c>
      <c r="D2215" s="2" t="str">
        <f>"张善亮"</f>
        <v>张善亮</v>
      </c>
      <c r="E2215" s="2" t="str">
        <f t="shared" si="65"/>
        <v>男</v>
      </c>
    </row>
    <row r="2216" spans="1:5" ht="14.4" x14ac:dyDescent="0.25">
      <c r="A2216" s="4">
        <v>2214</v>
      </c>
      <c r="B2216" s="2" t="str">
        <f>"3251202108101554195472"</f>
        <v>3251202108101554195472</v>
      </c>
      <c r="C2216" s="2" t="s">
        <v>33</v>
      </c>
      <c r="D2216" s="2" t="str">
        <f>"张宇峰"</f>
        <v>张宇峰</v>
      </c>
      <c r="E2216" s="2" t="str">
        <f t="shared" si="65"/>
        <v>男</v>
      </c>
    </row>
    <row r="2217" spans="1:5" ht="14.4" x14ac:dyDescent="0.25">
      <c r="A2217" s="4">
        <v>2215</v>
      </c>
      <c r="B2217" s="2" t="str">
        <f>"3251202108101652415701"</f>
        <v>3251202108101652415701</v>
      </c>
      <c r="C2217" s="2" t="s">
        <v>33</v>
      </c>
      <c r="D2217" s="2" t="str">
        <f>"王德助"</f>
        <v>王德助</v>
      </c>
      <c r="E2217" s="2" t="str">
        <f t="shared" si="65"/>
        <v>男</v>
      </c>
    </row>
    <row r="2218" spans="1:5" ht="14.4" x14ac:dyDescent="0.25">
      <c r="A2218" s="4">
        <v>2216</v>
      </c>
      <c r="B2218" s="2" t="str">
        <f>"3251202108101800575909"</f>
        <v>3251202108101800575909</v>
      </c>
      <c r="C2218" s="2" t="s">
        <v>33</v>
      </c>
      <c r="D2218" s="2" t="str">
        <f>"王小珏"</f>
        <v>王小珏</v>
      </c>
      <c r="E2218" s="2" t="str">
        <f>"女"</f>
        <v>女</v>
      </c>
    </row>
    <row r="2219" spans="1:5" ht="14.4" x14ac:dyDescent="0.25">
      <c r="A2219" s="4">
        <v>2217</v>
      </c>
      <c r="B2219" s="2" t="str">
        <f>"3251202108101934166100"</f>
        <v>3251202108101934166100</v>
      </c>
      <c r="C2219" s="2" t="s">
        <v>33</v>
      </c>
      <c r="D2219" s="2" t="str">
        <f>"羊伊伟"</f>
        <v>羊伊伟</v>
      </c>
      <c r="E2219" s="2" t="str">
        <f>"男"</f>
        <v>男</v>
      </c>
    </row>
    <row r="2220" spans="1:5" ht="14.4" x14ac:dyDescent="0.25">
      <c r="A2220" s="4">
        <v>2218</v>
      </c>
      <c r="B2220" s="2" t="str">
        <f>"3251202108101938326114"</f>
        <v>3251202108101938326114</v>
      </c>
      <c r="C2220" s="2" t="s">
        <v>33</v>
      </c>
      <c r="D2220" s="2" t="str">
        <f>"符万兵"</f>
        <v>符万兵</v>
      </c>
      <c r="E2220" s="2" t="str">
        <f>"男"</f>
        <v>男</v>
      </c>
    </row>
    <row r="2221" spans="1:5" ht="14.4" x14ac:dyDescent="0.25">
      <c r="A2221" s="4">
        <v>2219</v>
      </c>
      <c r="B2221" s="2" t="str">
        <f>"3251202108101941416122"</f>
        <v>3251202108101941416122</v>
      </c>
      <c r="C2221" s="2" t="s">
        <v>33</v>
      </c>
      <c r="D2221" s="2" t="str">
        <f>"卢亚弟"</f>
        <v>卢亚弟</v>
      </c>
      <c r="E2221" s="2" t="str">
        <f>"男"</f>
        <v>男</v>
      </c>
    </row>
    <row r="2222" spans="1:5" ht="14.4" x14ac:dyDescent="0.25">
      <c r="A2222" s="4">
        <v>2220</v>
      </c>
      <c r="B2222" s="2" t="str">
        <f>"3251202108101954026151"</f>
        <v>3251202108101954026151</v>
      </c>
      <c r="C2222" s="2" t="s">
        <v>33</v>
      </c>
      <c r="D2222" s="2" t="str">
        <f>"王利优"</f>
        <v>王利优</v>
      </c>
      <c r="E2222" s="2" t="str">
        <f>"女"</f>
        <v>女</v>
      </c>
    </row>
    <row r="2223" spans="1:5" ht="14.4" x14ac:dyDescent="0.25">
      <c r="A2223" s="4">
        <v>2221</v>
      </c>
      <c r="B2223" s="2" t="str">
        <f>"3251202108102042106246"</f>
        <v>3251202108102042106246</v>
      </c>
      <c r="C2223" s="2" t="s">
        <v>33</v>
      </c>
      <c r="D2223" s="2" t="str">
        <f>"吴锺川"</f>
        <v>吴锺川</v>
      </c>
      <c r="E2223" s="2" t="str">
        <f t="shared" ref="E2223:E2230" si="66">"男"</f>
        <v>男</v>
      </c>
    </row>
    <row r="2224" spans="1:5" ht="14.4" x14ac:dyDescent="0.25">
      <c r="A2224" s="4">
        <v>2222</v>
      </c>
      <c r="B2224" s="2" t="str">
        <f>"3251202108102223106420"</f>
        <v>3251202108102223106420</v>
      </c>
      <c r="C2224" s="2" t="s">
        <v>33</v>
      </c>
      <c r="D2224" s="2" t="str">
        <f>"符益雄"</f>
        <v>符益雄</v>
      </c>
      <c r="E2224" s="2" t="str">
        <f t="shared" si="66"/>
        <v>男</v>
      </c>
    </row>
    <row r="2225" spans="1:5" ht="14.4" x14ac:dyDescent="0.25">
      <c r="A2225" s="4">
        <v>2223</v>
      </c>
      <c r="B2225" s="2" t="str">
        <f>"3251202108110011436538"</f>
        <v>3251202108110011436538</v>
      </c>
      <c r="C2225" s="2" t="s">
        <v>33</v>
      </c>
      <c r="D2225" s="2" t="str">
        <f>"张清凌"</f>
        <v>张清凌</v>
      </c>
      <c r="E2225" s="2" t="str">
        <f t="shared" si="66"/>
        <v>男</v>
      </c>
    </row>
    <row r="2226" spans="1:5" ht="14.4" x14ac:dyDescent="0.25">
      <c r="A2226" s="4">
        <v>2224</v>
      </c>
      <c r="B2226" s="2" t="str">
        <f>"3251202108110918586719"</f>
        <v>3251202108110918586719</v>
      </c>
      <c r="C2226" s="2" t="s">
        <v>33</v>
      </c>
      <c r="D2226" s="2" t="str">
        <f>"王秀云"</f>
        <v>王秀云</v>
      </c>
      <c r="E2226" s="2" t="str">
        <f t="shared" si="66"/>
        <v>男</v>
      </c>
    </row>
    <row r="2227" spans="1:5" ht="14.4" x14ac:dyDescent="0.25">
      <c r="A2227" s="4">
        <v>2225</v>
      </c>
      <c r="B2227" s="2" t="str">
        <f>"3251202108111038276944"</f>
        <v>3251202108111038276944</v>
      </c>
      <c r="C2227" s="2" t="s">
        <v>33</v>
      </c>
      <c r="D2227" s="2" t="str">
        <f>"林道恒"</f>
        <v>林道恒</v>
      </c>
      <c r="E2227" s="2" t="str">
        <f t="shared" si="66"/>
        <v>男</v>
      </c>
    </row>
    <row r="2228" spans="1:5" ht="14.4" x14ac:dyDescent="0.25">
      <c r="A2228" s="4">
        <v>2226</v>
      </c>
      <c r="B2228" s="2" t="str">
        <f>"3251202108111231477176"</f>
        <v>3251202108111231477176</v>
      </c>
      <c r="C2228" s="2" t="s">
        <v>33</v>
      </c>
      <c r="D2228" s="2" t="str">
        <f>"刘建林"</f>
        <v>刘建林</v>
      </c>
      <c r="E2228" s="2" t="str">
        <f t="shared" si="66"/>
        <v>男</v>
      </c>
    </row>
    <row r="2229" spans="1:5" ht="14.4" x14ac:dyDescent="0.25">
      <c r="A2229" s="4">
        <v>2227</v>
      </c>
      <c r="B2229" s="2" t="str">
        <f>"3251202108111715557620"</f>
        <v>3251202108111715557620</v>
      </c>
      <c r="C2229" s="2" t="s">
        <v>33</v>
      </c>
      <c r="D2229" s="2" t="str">
        <f>"卢路路"</f>
        <v>卢路路</v>
      </c>
      <c r="E2229" s="2" t="str">
        <f t="shared" si="66"/>
        <v>男</v>
      </c>
    </row>
    <row r="2230" spans="1:5" ht="14.4" x14ac:dyDescent="0.25">
      <c r="A2230" s="4">
        <v>2228</v>
      </c>
      <c r="B2230" s="2" t="str">
        <f>"3251202108120822188191"</f>
        <v>3251202108120822188191</v>
      </c>
      <c r="C2230" s="2" t="s">
        <v>33</v>
      </c>
      <c r="D2230" s="2" t="str">
        <f>"蔡家乐"</f>
        <v>蔡家乐</v>
      </c>
      <c r="E2230" s="2" t="str">
        <f t="shared" si="66"/>
        <v>男</v>
      </c>
    </row>
    <row r="2231" spans="1:5" ht="14.4" x14ac:dyDescent="0.25">
      <c r="A2231" s="4">
        <v>2229</v>
      </c>
      <c r="B2231" s="2" t="str">
        <f>"3251202108121004008414"</f>
        <v>3251202108121004008414</v>
      </c>
      <c r="C2231" s="2" t="s">
        <v>33</v>
      </c>
      <c r="D2231" s="2" t="str">
        <f>"邝钰蓉"</f>
        <v>邝钰蓉</v>
      </c>
      <c r="E2231" s="2" t="str">
        <f>"女"</f>
        <v>女</v>
      </c>
    </row>
    <row r="2232" spans="1:5" ht="14.4" x14ac:dyDescent="0.25">
      <c r="A2232" s="4">
        <v>2230</v>
      </c>
      <c r="B2232" s="2" t="str">
        <f>"3251202108121518558888"</f>
        <v>3251202108121518558888</v>
      </c>
      <c r="C2232" s="2" t="s">
        <v>33</v>
      </c>
      <c r="D2232" s="2" t="str">
        <f>"吴多添"</f>
        <v>吴多添</v>
      </c>
      <c r="E2232" s="2" t="str">
        <f>"男"</f>
        <v>男</v>
      </c>
    </row>
    <row r="2233" spans="1:5" ht="14.4" x14ac:dyDescent="0.25">
      <c r="A2233" s="4">
        <v>2231</v>
      </c>
      <c r="B2233" s="2" t="str">
        <f>"3251202108121656179056"</f>
        <v>3251202108121656179056</v>
      </c>
      <c r="C2233" s="2" t="s">
        <v>33</v>
      </c>
      <c r="D2233" s="2" t="str">
        <f>"符含浓"</f>
        <v>符含浓</v>
      </c>
      <c r="E2233" s="2" t="str">
        <f>"男"</f>
        <v>男</v>
      </c>
    </row>
    <row r="2234" spans="1:5" ht="14.4" x14ac:dyDescent="0.25">
      <c r="A2234" s="4">
        <v>2232</v>
      </c>
      <c r="B2234" s="2" t="str">
        <f>"3251202108121724499106"</f>
        <v>3251202108121724499106</v>
      </c>
      <c r="C2234" s="2" t="s">
        <v>33</v>
      </c>
      <c r="D2234" s="2" t="str">
        <f>"黄胜开"</f>
        <v>黄胜开</v>
      </c>
      <c r="E2234" s="2" t="str">
        <f>"男"</f>
        <v>男</v>
      </c>
    </row>
    <row r="2235" spans="1:5" ht="14.4" x14ac:dyDescent="0.25">
      <c r="A2235" s="4">
        <v>2233</v>
      </c>
      <c r="B2235" s="2" t="str">
        <f>"3251202108122139559350"</f>
        <v>3251202108122139559350</v>
      </c>
      <c r="C2235" s="2" t="s">
        <v>33</v>
      </c>
      <c r="D2235" s="2" t="str">
        <f>"张小慧"</f>
        <v>张小慧</v>
      </c>
      <c r="E2235" s="2" t="str">
        <f>"女"</f>
        <v>女</v>
      </c>
    </row>
    <row r="2236" spans="1:5" ht="14.4" x14ac:dyDescent="0.25">
      <c r="A2236" s="4">
        <v>2234</v>
      </c>
      <c r="B2236" s="2" t="str">
        <f>"3251202108131312549833"</f>
        <v>3251202108131312549833</v>
      </c>
      <c r="C2236" s="2" t="s">
        <v>33</v>
      </c>
      <c r="D2236" s="2" t="str">
        <f>"林金归"</f>
        <v>林金归</v>
      </c>
      <c r="E2236" s="2" t="str">
        <f>"男"</f>
        <v>男</v>
      </c>
    </row>
    <row r="2237" spans="1:5" ht="14.4" x14ac:dyDescent="0.25">
      <c r="A2237" s="4">
        <v>2235</v>
      </c>
      <c r="B2237" s="2" t="str">
        <f>"32512021081316492510063"</f>
        <v>32512021081316492510063</v>
      </c>
      <c r="C2237" s="2" t="s">
        <v>33</v>
      </c>
      <c r="D2237" s="2" t="str">
        <f>"王胜"</f>
        <v>王胜</v>
      </c>
      <c r="E2237" s="2" t="str">
        <f>"男"</f>
        <v>男</v>
      </c>
    </row>
    <row r="2238" spans="1:5" ht="14.4" x14ac:dyDescent="0.25">
      <c r="A2238" s="4">
        <v>2236</v>
      </c>
      <c r="B2238" s="2" t="str">
        <f>"32512021081322041110287"</f>
        <v>32512021081322041110287</v>
      </c>
      <c r="C2238" s="2" t="s">
        <v>33</v>
      </c>
      <c r="D2238" s="2" t="str">
        <f>"李项禹"</f>
        <v>李项禹</v>
      </c>
      <c r="E2238" s="2" t="str">
        <f>"男"</f>
        <v>男</v>
      </c>
    </row>
    <row r="2239" spans="1:5" ht="14.4" x14ac:dyDescent="0.25">
      <c r="A2239" s="4">
        <v>2237</v>
      </c>
      <c r="B2239" s="2" t="str">
        <f>"32512021081409540510426"</f>
        <v>32512021081409540510426</v>
      </c>
      <c r="C2239" s="2" t="s">
        <v>33</v>
      </c>
      <c r="D2239" s="2" t="str">
        <f>"符世侦"</f>
        <v>符世侦</v>
      </c>
      <c r="E2239" s="2" t="str">
        <f>"男"</f>
        <v>男</v>
      </c>
    </row>
    <row r="2240" spans="1:5" ht="14.4" x14ac:dyDescent="0.25">
      <c r="A2240" s="4">
        <v>2238</v>
      </c>
      <c r="B2240" s="2" t="str">
        <f>"32512021081411192510501"</f>
        <v>32512021081411192510501</v>
      </c>
      <c r="C2240" s="2" t="s">
        <v>33</v>
      </c>
      <c r="D2240" s="2" t="str">
        <f>"周彩虹"</f>
        <v>周彩虹</v>
      </c>
      <c r="E2240" s="2" t="str">
        <f>"女"</f>
        <v>女</v>
      </c>
    </row>
    <row r="2241" spans="1:5" ht="14.4" x14ac:dyDescent="0.25">
      <c r="A2241" s="4">
        <v>2239</v>
      </c>
      <c r="B2241" s="2" t="str">
        <f>"32512021081416225010686"</f>
        <v>32512021081416225010686</v>
      </c>
      <c r="C2241" s="2" t="s">
        <v>33</v>
      </c>
      <c r="D2241" s="2" t="str">
        <f>"卢靖"</f>
        <v>卢靖</v>
      </c>
      <c r="E2241" s="2" t="str">
        <f>"男"</f>
        <v>男</v>
      </c>
    </row>
    <row r="2242" spans="1:5" ht="14.4" x14ac:dyDescent="0.25">
      <c r="A2242" s="4">
        <v>2240</v>
      </c>
      <c r="B2242" s="2" t="str">
        <f>"32512021081418235110763"</f>
        <v>32512021081418235110763</v>
      </c>
      <c r="C2242" s="2" t="s">
        <v>33</v>
      </c>
      <c r="D2242" s="2" t="str">
        <f>"许振辉"</f>
        <v>许振辉</v>
      </c>
      <c r="E2242" s="2" t="str">
        <f>"男"</f>
        <v>男</v>
      </c>
    </row>
    <row r="2243" spans="1:5" ht="14.4" x14ac:dyDescent="0.25">
      <c r="A2243" s="4">
        <v>2241</v>
      </c>
      <c r="B2243" s="2" t="str">
        <f>"32512021081418562210776"</f>
        <v>32512021081418562210776</v>
      </c>
      <c r="C2243" s="2" t="s">
        <v>33</v>
      </c>
      <c r="D2243" s="2" t="str">
        <f>"吴海琳"</f>
        <v>吴海琳</v>
      </c>
      <c r="E2243" s="2" t="str">
        <f>"女"</f>
        <v>女</v>
      </c>
    </row>
    <row r="2244" spans="1:5" ht="14.4" x14ac:dyDescent="0.25">
      <c r="A2244" s="4">
        <v>2242</v>
      </c>
      <c r="B2244" s="2" t="str">
        <f>"32512021081420124410812"</f>
        <v>32512021081420124410812</v>
      </c>
      <c r="C2244" s="2" t="s">
        <v>33</v>
      </c>
      <c r="D2244" s="2" t="str">
        <f>"郝曦"</f>
        <v>郝曦</v>
      </c>
      <c r="E2244" s="2" t="str">
        <f t="shared" ref="E2244:E2249" si="67">"男"</f>
        <v>男</v>
      </c>
    </row>
    <row r="2245" spans="1:5" ht="14.4" x14ac:dyDescent="0.25">
      <c r="A2245" s="4">
        <v>2243</v>
      </c>
      <c r="B2245" s="2" t="str">
        <f>"32512021081421104910840"</f>
        <v>32512021081421104910840</v>
      </c>
      <c r="C2245" s="2" t="s">
        <v>33</v>
      </c>
      <c r="D2245" s="2" t="str">
        <f>"王开志"</f>
        <v>王开志</v>
      </c>
      <c r="E2245" s="2" t="str">
        <f t="shared" si="67"/>
        <v>男</v>
      </c>
    </row>
    <row r="2246" spans="1:5" ht="14.4" x14ac:dyDescent="0.25">
      <c r="A2246" s="4">
        <v>2244</v>
      </c>
      <c r="B2246" s="2" t="str">
        <f>"32512021081511493211055"</f>
        <v>32512021081511493211055</v>
      </c>
      <c r="C2246" s="2" t="s">
        <v>33</v>
      </c>
      <c r="D2246" s="2" t="str">
        <f>"李琼驹"</f>
        <v>李琼驹</v>
      </c>
      <c r="E2246" s="2" t="str">
        <f t="shared" si="67"/>
        <v>男</v>
      </c>
    </row>
    <row r="2247" spans="1:5" ht="14.4" x14ac:dyDescent="0.25">
      <c r="A2247" s="4">
        <v>2245</v>
      </c>
      <c r="B2247" s="2" t="str">
        <f>"32512021081516335711250"</f>
        <v>32512021081516335711250</v>
      </c>
      <c r="C2247" s="2" t="s">
        <v>33</v>
      </c>
      <c r="D2247" s="2" t="str">
        <f>"雷雨"</f>
        <v>雷雨</v>
      </c>
      <c r="E2247" s="2" t="str">
        <f t="shared" si="67"/>
        <v>男</v>
      </c>
    </row>
    <row r="2248" spans="1:5" ht="14.4" x14ac:dyDescent="0.25">
      <c r="A2248" s="4">
        <v>2246</v>
      </c>
      <c r="B2248" s="2" t="str">
        <f>"32512021081516562111275"</f>
        <v>32512021081516562111275</v>
      </c>
      <c r="C2248" s="2" t="s">
        <v>33</v>
      </c>
      <c r="D2248" s="2" t="str">
        <f>"刘磊"</f>
        <v>刘磊</v>
      </c>
      <c r="E2248" s="2" t="str">
        <f t="shared" si="67"/>
        <v>男</v>
      </c>
    </row>
    <row r="2249" spans="1:5" ht="14.4" x14ac:dyDescent="0.25">
      <c r="A2249" s="4">
        <v>2247</v>
      </c>
      <c r="B2249" s="2" t="str">
        <f>"32512021081523222911619"</f>
        <v>32512021081523222911619</v>
      </c>
      <c r="C2249" s="2" t="s">
        <v>33</v>
      </c>
      <c r="D2249" s="2" t="str">
        <f>"王伟冰"</f>
        <v>王伟冰</v>
      </c>
      <c r="E2249" s="2" t="str">
        <f t="shared" si="67"/>
        <v>男</v>
      </c>
    </row>
    <row r="2250" spans="1:5" ht="14.4" x14ac:dyDescent="0.25">
      <c r="A2250" s="4">
        <v>2248</v>
      </c>
      <c r="B2250" s="2" t="str">
        <f>"32512021081609204611937"</f>
        <v>32512021081609204611937</v>
      </c>
      <c r="C2250" s="2" t="s">
        <v>33</v>
      </c>
      <c r="D2250" s="2" t="str">
        <f>"汪初蕾"</f>
        <v>汪初蕾</v>
      </c>
      <c r="E2250" s="2" t="str">
        <f>"女"</f>
        <v>女</v>
      </c>
    </row>
    <row r="2251" spans="1:5" ht="14.4" x14ac:dyDescent="0.25">
      <c r="A2251" s="4">
        <v>2249</v>
      </c>
      <c r="B2251" s="2" t="str">
        <f>"32512021081609283711975"</f>
        <v>32512021081609283711975</v>
      </c>
      <c r="C2251" s="2" t="s">
        <v>33</v>
      </c>
      <c r="D2251" s="2" t="str">
        <f>"刘鹏"</f>
        <v>刘鹏</v>
      </c>
      <c r="E2251" s="2" t="str">
        <f>"男"</f>
        <v>男</v>
      </c>
    </row>
    <row r="2252" spans="1:5" ht="14.4" x14ac:dyDescent="0.25">
      <c r="A2252" s="4">
        <v>2250</v>
      </c>
      <c r="B2252" s="2" t="str">
        <f>"3251202108100922353960"</f>
        <v>3251202108100922353960</v>
      </c>
      <c r="C2252" s="2" t="s">
        <v>34</v>
      </c>
      <c r="D2252" s="2" t="str">
        <f>"邱业盛"</f>
        <v>邱业盛</v>
      </c>
      <c r="E2252" s="2" t="str">
        <f>"男"</f>
        <v>男</v>
      </c>
    </row>
    <row r="2253" spans="1:5" ht="14.4" x14ac:dyDescent="0.25">
      <c r="A2253" s="4">
        <v>2251</v>
      </c>
      <c r="B2253" s="2" t="str">
        <f>"3251202108101904126049"</f>
        <v>3251202108101904126049</v>
      </c>
      <c r="C2253" s="2" t="s">
        <v>34</v>
      </c>
      <c r="D2253" s="2" t="str">
        <f>"温嘉明"</f>
        <v>温嘉明</v>
      </c>
      <c r="E2253" s="2" t="str">
        <f>"男"</f>
        <v>男</v>
      </c>
    </row>
    <row r="2254" spans="1:5" ht="14.4" x14ac:dyDescent="0.25">
      <c r="A2254" s="4">
        <v>2252</v>
      </c>
      <c r="B2254" s="2" t="str">
        <f>"3251202108102003056166"</f>
        <v>3251202108102003056166</v>
      </c>
      <c r="C2254" s="2" t="s">
        <v>34</v>
      </c>
      <c r="D2254" s="2" t="str">
        <f>"何黄瑜"</f>
        <v>何黄瑜</v>
      </c>
      <c r="E2254" s="2" t="str">
        <f>"女"</f>
        <v>女</v>
      </c>
    </row>
    <row r="2255" spans="1:5" ht="14.4" x14ac:dyDescent="0.25">
      <c r="A2255" s="4">
        <v>2253</v>
      </c>
      <c r="B2255" s="2" t="str">
        <f>"3251202108110056546549"</f>
        <v>3251202108110056546549</v>
      </c>
      <c r="C2255" s="2" t="s">
        <v>34</v>
      </c>
      <c r="D2255" s="2" t="str">
        <f>"刘正童"</f>
        <v>刘正童</v>
      </c>
      <c r="E2255" s="2" t="str">
        <f t="shared" ref="E2255:E2260" si="68">"男"</f>
        <v>男</v>
      </c>
    </row>
    <row r="2256" spans="1:5" ht="14.4" x14ac:dyDescent="0.25">
      <c r="A2256" s="4">
        <v>2254</v>
      </c>
      <c r="B2256" s="2" t="str">
        <f>"3251202108131130369749"</f>
        <v>3251202108131130369749</v>
      </c>
      <c r="C2256" s="2" t="s">
        <v>34</v>
      </c>
      <c r="D2256" s="2" t="str">
        <f>"符迪"</f>
        <v>符迪</v>
      </c>
      <c r="E2256" s="2" t="str">
        <f t="shared" si="68"/>
        <v>男</v>
      </c>
    </row>
    <row r="2257" spans="1:5" ht="14.4" x14ac:dyDescent="0.25">
      <c r="A2257" s="4">
        <v>2255</v>
      </c>
      <c r="B2257" s="2" t="str">
        <f>"3251202108131311309832"</f>
        <v>3251202108131311309832</v>
      </c>
      <c r="C2257" s="2" t="s">
        <v>34</v>
      </c>
      <c r="D2257" s="2" t="str">
        <f>"陈庆通"</f>
        <v>陈庆通</v>
      </c>
      <c r="E2257" s="2" t="str">
        <f t="shared" si="68"/>
        <v>男</v>
      </c>
    </row>
    <row r="2258" spans="1:5" ht="14.4" x14ac:dyDescent="0.25">
      <c r="A2258" s="4">
        <v>2256</v>
      </c>
      <c r="B2258" s="2" t="str">
        <f>"32512021081319132410194"</f>
        <v>32512021081319132410194</v>
      </c>
      <c r="C2258" s="2" t="s">
        <v>34</v>
      </c>
      <c r="D2258" s="2" t="str">
        <f>"朱海青"</f>
        <v>朱海青</v>
      </c>
      <c r="E2258" s="2" t="str">
        <f t="shared" si="68"/>
        <v>男</v>
      </c>
    </row>
    <row r="2259" spans="1:5" ht="14.4" x14ac:dyDescent="0.25">
      <c r="A2259" s="4">
        <v>2257</v>
      </c>
      <c r="B2259" s="2" t="str">
        <f>"32512021081516282811248"</f>
        <v>32512021081516282811248</v>
      </c>
      <c r="C2259" s="2" t="s">
        <v>34</v>
      </c>
      <c r="D2259" s="2" t="str">
        <f>"符森"</f>
        <v>符森</v>
      </c>
      <c r="E2259" s="2" t="str">
        <f t="shared" si="68"/>
        <v>男</v>
      </c>
    </row>
    <row r="2260" spans="1:5" ht="14.4" x14ac:dyDescent="0.25">
      <c r="A2260" s="4">
        <v>2258</v>
      </c>
      <c r="B2260" s="2" t="str">
        <f>"32512021081520462311464"</f>
        <v>32512021081520462311464</v>
      </c>
      <c r="C2260" s="2" t="s">
        <v>34</v>
      </c>
      <c r="D2260" s="2" t="str">
        <f>"王定刚"</f>
        <v>王定刚</v>
      </c>
      <c r="E2260" s="2" t="str">
        <f t="shared" si="68"/>
        <v>男</v>
      </c>
    </row>
    <row r="2261" spans="1:5" ht="14.4" x14ac:dyDescent="0.25">
      <c r="A2261" s="4">
        <v>2259</v>
      </c>
      <c r="B2261" s="2" t="str">
        <f>"3251202108100906163801"</f>
        <v>3251202108100906163801</v>
      </c>
      <c r="C2261" s="2" t="s">
        <v>35</v>
      </c>
      <c r="D2261" s="2" t="str">
        <f>"罗萍"</f>
        <v>罗萍</v>
      </c>
      <c r="E2261" s="2" t="str">
        <f>"女"</f>
        <v>女</v>
      </c>
    </row>
    <row r="2262" spans="1:5" ht="14.4" x14ac:dyDescent="0.25">
      <c r="A2262" s="4">
        <v>2260</v>
      </c>
      <c r="B2262" s="2" t="str">
        <f>"3251202108100906563807"</f>
        <v>3251202108100906563807</v>
      </c>
      <c r="C2262" s="2" t="s">
        <v>35</v>
      </c>
      <c r="D2262" s="2" t="str">
        <f>"吴挺全"</f>
        <v>吴挺全</v>
      </c>
      <c r="E2262" s="2" t="str">
        <f>"男"</f>
        <v>男</v>
      </c>
    </row>
    <row r="2263" spans="1:5" ht="14.4" x14ac:dyDescent="0.25">
      <c r="A2263" s="4">
        <v>2261</v>
      </c>
      <c r="B2263" s="2" t="str">
        <f>"3251202108100907353815"</f>
        <v>3251202108100907353815</v>
      </c>
      <c r="C2263" s="2" t="s">
        <v>35</v>
      </c>
      <c r="D2263" s="2" t="str">
        <f>"符祖翰"</f>
        <v>符祖翰</v>
      </c>
      <c r="E2263" s="2" t="str">
        <f>"男"</f>
        <v>男</v>
      </c>
    </row>
    <row r="2264" spans="1:5" ht="14.4" x14ac:dyDescent="0.25">
      <c r="A2264" s="4">
        <v>2262</v>
      </c>
      <c r="B2264" s="2" t="str">
        <f>"3251202108100923173968"</f>
        <v>3251202108100923173968</v>
      </c>
      <c r="C2264" s="2" t="s">
        <v>35</v>
      </c>
      <c r="D2264" s="2" t="str">
        <f>"王增保"</f>
        <v>王增保</v>
      </c>
      <c r="E2264" s="2" t="str">
        <f>"男"</f>
        <v>男</v>
      </c>
    </row>
    <row r="2265" spans="1:5" ht="14.4" x14ac:dyDescent="0.25">
      <c r="A2265" s="4">
        <v>2263</v>
      </c>
      <c r="B2265" s="2" t="str">
        <f>"3251202108100929224012"</f>
        <v>3251202108100929224012</v>
      </c>
      <c r="C2265" s="2" t="s">
        <v>35</v>
      </c>
      <c r="D2265" s="2" t="str">
        <f>"王运选"</f>
        <v>王运选</v>
      </c>
      <c r="E2265" s="2" t="str">
        <f>"男"</f>
        <v>男</v>
      </c>
    </row>
    <row r="2266" spans="1:5" ht="14.4" x14ac:dyDescent="0.25">
      <c r="A2266" s="4">
        <v>2264</v>
      </c>
      <c r="B2266" s="2" t="str">
        <f>"3251202108100935064056"</f>
        <v>3251202108100935064056</v>
      </c>
      <c r="C2266" s="2" t="s">
        <v>35</v>
      </c>
      <c r="D2266" s="2" t="str">
        <f>"符健雄"</f>
        <v>符健雄</v>
      </c>
      <c r="E2266" s="2" t="str">
        <f>"男"</f>
        <v>男</v>
      </c>
    </row>
    <row r="2267" spans="1:5" ht="14.4" x14ac:dyDescent="0.25">
      <c r="A2267" s="4">
        <v>2265</v>
      </c>
      <c r="B2267" s="2" t="str">
        <f>"3251202108100941464098"</f>
        <v>3251202108100941464098</v>
      </c>
      <c r="C2267" s="2" t="s">
        <v>35</v>
      </c>
      <c r="D2267" s="2" t="str">
        <f>"林妙玲"</f>
        <v>林妙玲</v>
      </c>
      <c r="E2267" s="2" t="str">
        <f>"女"</f>
        <v>女</v>
      </c>
    </row>
    <row r="2268" spans="1:5" ht="14.4" x14ac:dyDescent="0.25">
      <c r="A2268" s="4">
        <v>2266</v>
      </c>
      <c r="B2268" s="2" t="str">
        <f>"3251202108100950564162"</f>
        <v>3251202108100950564162</v>
      </c>
      <c r="C2268" s="2" t="s">
        <v>35</v>
      </c>
      <c r="D2268" s="2" t="str">
        <f>"李景增"</f>
        <v>李景增</v>
      </c>
      <c r="E2268" s="2" t="str">
        <f>"男"</f>
        <v>男</v>
      </c>
    </row>
    <row r="2269" spans="1:5" ht="14.4" x14ac:dyDescent="0.25">
      <c r="A2269" s="4">
        <v>2267</v>
      </c>
      <c r="B2269" s="2" t="str">
        <f>"3251202108100955024193"</f>
        <v>3251202108100955024193</v>
      </c>
      <c r="C2269" s="2" t="s">
        <v>35</v>
      </c>
      <c r="D2269" s="2" t="str">
        <f>"吴佳玲"</f>
        <v>吴佳玲</v>
      </c>
      <c r="E2269" s="2" t="str">
        <f>"女"</f>
        <v>女</v>
      </c>
    </row>
    <row r="2270" spans="1:5" ht="14.4" x14ac:dyDescent="0.25">
      <c r="A2270" s="4">
        <v>2268</v>
      </c>
      <c r="B2270" s="2" t="str">
        <f>"3251202108100958434215"</f>
        <v>3251202108100958434215</v>
      </c>
      <c r="C2270" s="2" t="s">
        <v>35</v>
      </c>
      <c r="D2270" s="2" t="str">
        <f>"许婷婷"</f>
        <v>许婷婷</v>
      </c>
      <c r="E2270" s="2" t="str">
        <f>"女"</f>
        <v>女</v>
      </c>
    </row>
    <row r="2271" spans="1:5" ht="14.4" x14ac:dyDescent="0.25">
      <c r="A2271" s="4">
        <v>2269</v>
      </c>
      <c r="B2271" s="2" t="str">
        <f>"3251202108101007104269"</f>
        <v>3251202108101007104269</v>
      </c>
      <c r="C2271" s="2" t="s">
        <v>35</v>
      </c>
      <c r="D2271" s="2" t="str">
        <f>"潘声笔"</f>
        <v>潘声笔</v>
      </c>
      <c r="E2271" s="2" t="str">
        <f>"男"</f>
        <v>男</v>
      </c>
    </row>
    <row r="2272" spans="1:5" ht="14.4" x14ac:dyDescent="0.25">
      <c r="A2272" s="4">
        <v>2270</v>
      </c>
      <c r="B2272" s="2" t="str">
        <f>"3251202108101013104304"</f>
        <v>3251202108101013104304</v>
      </c>
      <c r="C2272" s="2" t="s">
        <v>35</v>
      </c>
      <c r="D2272" s="2" t="str">
        <f>"吴芬芳"</f>
        <v>吴芬芳</v>
      </c>
      <c r="E2272" s="2" t="str">
        <f>"女"</f>
        <v>女</v>
      </c>
    </row>
    <row r="2273" spans="1:5" ht="14.4" x14ac:dyDescent="0.25">
      <c r="A2273" s="4">
        <v>2271</v>
      </c>
      <c r="B2273" s="2" t="str">
        <f>"3251202108101018124331"</f>
        <v>3251202108101018124331</v>
      </c>
      <c r="C2273" s="2" t="s">
        <v>35</v>
      </c>
      <c r="D2273" s="2" t="str">
        <f>"王艳蕾"</f>
        <v>王艳蕾</v>
      </c>
      <c r="E2273" s="2" t="str">
        <f>"女"</f>
        <v>女</v>
      </c>
    </row>
    <row r="2274" spans="1:5" ht="14.4" x14ac:dyDescent="0.25">
      <c r="A2274" s="4">
        <v>2272</v>
      </c>
      <c r="B2274" s="2" t="str">
        <f>"3251202108101033424414"</f>
        <v>3251202108101033424414</v>
      </c>
      <c r="C2274" s="2" t="s">
        <v>35</v>
      </c>
      <c r="D2274" s="2" t="str">
        <f>"邢文君"</f>
        <v>邢文君</v>
      </c>
      <c r="E2274" s="2" t="str">
        <f>"女"</f>
        <v>女</v>
      </c>
    </row>
    <row r="2275" spans="1:5" ht="14.4" x14ac:dyDescent="0.25">
      <c r="A2275" s="4">
        <v>2273</v>
      </c>
      <c r="B2275" s="2" t="str">
        <f>"3251202108101054334513"</f>
        <v>3251202108101054334513</v>
      </c>
      <c r="C2275" s="2" t="s">
        <v>35</v>
      </c>
      <c r="D2275" s="2" t="str">
        <f>"韩静"</f>
        <v>韩静</v>
      </c>
      <c r="E2275" s="2" t="str">
        <f>"女"</f>
        <v>女</v>
      </c>
    </row>
    <row r="2276" spans="1:5" ht="14.4" x14ac:dyDescent="0.25">
      <c r="A2276" s="4">
        <v>2274</v>
      </c>
      <c r="B2276" s="2" t="str">
        <f>"3251202108101057514524"</f>
        <v>3251202108101057514524</v>
      </c>
      <c r="C2276" s="2" t="s">
        <v>35</v>
      </c>
      <c r="D2276" s="2" t="str">
        <f>"陈焕明"</f>
        <v>陈焕明</v>
      </c>
      <c r="E2276" s="2" t="str">
        <f>"男"</f>
        <v>男</v>
      </c>
    </row>
    <row r="2277" spans="1:5" ht="14.4" x14ac:dyDescent="0.25">
      <c r="A2277" s="4">
        <v>2275</v>
      </c>
      <c r="B2277" s="2" t="str">
        <f>"3251202108101106024572"</f>
        <v>3251202108101106024572</v>
      </c>
      <c r="C2277" s="2" t="s">
        <v>35</v>
      </c>
      <c r="D2277" s="2" t="str">
        <f>"邢诒美"</f>
        <v>邢诒美</v>
      </c>
      <c r="E2277" s="2" t="str">
        <f>"女"</f>
        <v>女</v>
      </c>
    </row>
    <row r="2278" spans="1:5" ht="14.4" x14ac:dyDescent="0.25">
      <c r="A2278" s="4">
        <v>2276</v>
      </c>
      <c r="B2278" s="2" t="str">
        <f>"3251202108101130114691"</f>
        <v>3251202108101130114691</v>
      </c>
      <c r="C2278" s="2" t="s">
        <v>35</v>
      </c>
      <c r="D2278" s="2" t="str">
        <f>"马玉洁"</f>
        <v>马玉洁</v>
      </c>
      <c r="E2278" s="2" t="str">
        <f>"女"</f>
        <v>女</v>
      </c>
    </row>
    <row r="2279" spans="1:5" ht="14.4" x14ac:dyDescent="0.25">
      <c r="A2279" s="4">
        <v>2277</v>
      </c>
      <c r="B2279" s="2" t="str">
        <f>"3251202108101130514696"</f>
        <v>3251202108101130514696</v>
      </c>
      <c r="C2279" s="2" t="s">
        <v>35</v>
      </c>
      <c r="D2279" s="2" t="str">
        <f>"刘雅倩"</f>
        <v>刘雅倩</v>
      </c>
      <c r="E2279" s="2" t="str">
        <f>"女"</f>
        <v>女</v>
      </c>
    </row>
    <row r="2280" spans="1:5" ht="14.4" x14ac:dyDescent="0.25">
      <c r="A2280" s="4">
        <v>2278</v>
      </c>
      <c r="B2280" s="2" t="str">
        <f>"3251202108101132494708"</f>
        <v>3251202108101132494708</v>
      </c>
      <c r="C2280" s="2" t="s">
        <v>35</v>
      </c>
      <c r="D2280" s="2" t="str">
        <f>"周志飞"</f>
        <v>周志飞</v>
      </c>
      <c r="E2280" s="2" t="str">
        <f>"男"</f>
        <v>男</v>
      </c>
    </row>
    <row r="2281" spans="1:5" ht="14.4" x14ac:dyDescent="0.25">
      <c r="A2281" s="4">
        <v>2279</v>
      </c>
      <c r="B2281" s="2" t="str">
        <f>"3251202108101144054762"</f>
        <v>3251202108101144054762</v>
      </c>
      <c r="C2281" s="2" t="s">
        <v>35</v>
      </c>
      <c r="D2281" s="2" t="str">
        <f>"潘少俐"</f>
        <v>潘少俐</v>
      </c>
      <c r="E2281" s="2" t="str">
        <f>"女"</f>
        <v>女</v>
      </c>
    </row>
    <row r="2282" spans="1:5" ht="14.4" x14ac:dyDescent="0.25">
      <c r="A2282" s="4">
        <v>2280</v>
      </c>
      <c r="B2282" s="2" t="str">
        <f>"3251202108101230004905"</f>
        <v>3251202108101230004905</v>
      </c>
      <c r="C2282" s="2" t="s">
        <v>35</v>
      </c>
      <c r="D2282" s="2" t="str">
        <f>"王莹"</f>
        <v>王莹</v>
      </c>
      <c r="E2282" s="2" t="str">
        <f>"女"</f>
        <v>女</v>
      </c>
    </row>
    <row r="2283" spans="1:5" ht="14.4" x14ac:dyDescent="0.25">
      <c r="A2283" s="4">
        <v>2281</v>
      </c>
      <c r="B2283" s="2" t="str">
        <f>"3251202108101236104926"</f>
        <v>3251202108101236104926</v>
      </c>
      <c r="C2283" s="2" t="s">
        <v>35</v>
      </c>
      <c r="D2283" s="2" t="str">
        <f>"李子葵"</f>
        <v>李子葵</v>
      </c>
      <c r="E2283" s="2" t="str">
        <f>"女"</f>
        <v>女</v>
      </c>
    </row>
    <row r="2284" spans="1:5" ht="14.4" x14ac:dyDescent="0.25">
      <c r="A2284" s="4">
        <v>2282</v>
      </c>
      <c r="B2284" s="2" t="str">
        <f>"3251202108101401115105"</f>
        <v>3251202108101401115105</v>
      </c>
      <c r="C2284" s="2" t="s">
        <v>35</v>
      </c>
      <c r="D2284" s="2" t="str">
        <f>"符明霜"</f>
        <v>符明霜</v>
      </c>
      <c r="E2284" s="2" t="str">
        <f>"女"</f>
        <v>女</v>
      </c>
    </row>
    <row r="2285" spans="1:5" ht="14.4" x14ac:dyDescent="0.25">
      <c r="A2285" s="4">
        <v>2283</v>
      </c>
      <c r="B2285" s="2" t="str">
        <f>"3251202108101417465150"</f>
        <v>3251202108101417465150</v>
      </c>
      <c r="C2285" s="2" t="s">
        <v>35</v>
      </c>
      <c r="D2285" s="2" t="str">
        <f>"张文康"</f>
        <v>张文康</v>
      </c>
      <c r="E2285" s="2" t="str">
        <f>"男"</f>
        <v>男</v>
      </c>
    </row>
    <row r="2286" spans="1:5" ht="14.4" x14ac:dyDescent="0.25">
      <c r="A2286" s="4">
        <v>2284</v>
      </c>
      <c r="B2286" s="2" t="str">
        <f>"3251202108101500395296"</f>
        <v>3251202108101500395296</v>
      </c>
      <c r="C2286" s="2" t="s">
        <v>35</v>
      </c>
      <c r="D2286" s="2" t="str">
        <f>"羊春松"</f>
        <v>羊春松</v>
      </c>
      <c r="E2286" s="2" t="str">
        <f>"男"</f>
        <v>男</v>
      </c>
    </row>
    <row r="2287" spans="1:5" ht="14.4" x14ac:dyDescent="0.25">
      <c r="A2287" s="4">
        <v>2285</v>
      </c>
      <c r="B2287" s="2" t="str">
        <f>"3251202108101507555327"</f>
        <v>3251202108101507555327</v>
      </c>
      <c r="C2287" s="2" t="s">
        <v>35</v>
      </c>
      <c r="D2287" s="2" t="str">
        <f>"赵壮婷"</f>
        <v>赵壮婷</v>
      </c>
      <c r="E2287" s="2" t="str">
        <f>"女"</f>
        <v>女</v>
      </c>
    </row>
    <row r="2288" spans="1:5" ht="14.4" x14ac:dyDescent="0.25">
      <c r="A2288" s="4">
        <v>2286</v>
      </c>
      <c r="B2288" s="2" t="str">
        <f>"3251202108101517175362"</f>
        <v>3251202108101517175362</v>
      </c>
      <c r="C2288" s="2" t="s">
        <v>35</v>
      </c>
      <c r="D2288" s="2" t="str">
        <f>"符春腊"</f>
        <v>符春腊</v>
      </c>
      <c r="E2288" s="2" t="str">
        <f>"女"</f>
        <v>女</v>
      </c>
    </row>
    <row r="2289" spans="1:5" ht="14.4" x14ac:dyDescent="0.25">
      <c r="A2289" s="4">
        <v>2287</v>
      </c>
      <c r="B2289" s="2" t="str">
        <f>"3251202108101517465364"</f>
        <v>3251202108101517465364</v>
      </c>
      <c r="C2289" s="2" t="s">
        <v>35</v>
      </c>
      <c r="D2289" s="2" t="str">
        <f>"何垂辉"</f>
        <v>何垂辉</v>
      </c>
      <c r="E2289" s="2" t="str">
        <f>"男"</f>
        <v>男</v>
      </c>
    </row>
    <row r="2290" spans="1:5" ht="14.4" x14ac:dyDescent="0.25">
      <c r="A2290" s="4">
        <v>2288</v>
      </c>
      <c r="B2290" s="2" t="str">
        <f>"3251202108101528185399"</f>
        <v>3251202108101528185399</v>
      </c>
      <c r="C2290" s="2" t="s">
        <v>35</v>
      </c>
      <c r="D2290" s="2" t="str">
        <f>"卢元东"</f>
        <v>卢元东</v>
      </c>
      <c r="E2290" s="2" t="str">
        <f>"男"</f>
        <v>男</v>
      </c>
    </row>
    <row r="2291" spans="1:5" ht="14.4" x14ac:dyDescent="0.25">
      <c r="A2291" s="4">
        <v>2289</v>
      </c>
      <c r="B2291" s="2" t="str">
        <f>"3251202108101600305503"</f>
        <v>3251202108101600305503</v>
      </c>
      <c r="C2291" s="2" t="s">
        <v>35</v>
      </c>
      <c r="D2291" s="2" t="str">
        <f>"赖芸"</f>
        <v>赖芸</v>
      </c>
      <c r="E2291" s="2" t="str">
        <f>"女"</f>
        <v>女</v>
      </c>
    </row>
    <row r="2292" spans="1:5" ht="14.4" x14ac:dyDescent="0.25">
      <c r="A2292" s="4">
        <v>2290</v>
      </c>
      <c r="B2292" s="2" t="str">
        <f>"3251202108101629495629"</f>
        <v>3251202108101629495629</v>
      </c>
      <c r="C2292" s="2" t="s">
        <v>35</v>
      </c>
      <c r="D2292" s="2" t="str">
        <f>"王梦娜"</f>
        <v>王梦娜</v>
      </c>
      <c r="E2292" s="2" t="str">
        <f>"女"</f>
        <v>女</v>
      </c>
    </row>
    <row r="2293" spans="1:5" ht="14.4" x14ac:dyDescent="0.25">
      <c r="A2293" s="4">
        <v>2291</v>
      </c>
      <c r="B2293" s="2" t="str">
        <f>"3251202108101630515636"</f>
        <v>3251202108101630515636</v>
      </c>
      <c r="C2293" s="2" t="s">
        <v>35</v>
      </c>
      <c r="D2293" s="2" t="str">
        <f>"许积宏"</f>
        <v>许积宏</v>
      </c>
      <c r="E2293" s="2" t="str">
        <f>"男"</f>
        <v>男</v>
      </c>
    </row>
    <row r="2294" spans="1:5" ht="14.4" x14ac:dyDescent="0.25">
      <c r="A2294" s="4">
        <v>2292</v>
      </c>
      <c r="B2294" s="2" t="str">
        <f>"3251202108101639345652"</f>
        <v>3251202108101639345652</v>
      </c>
      <c r="C2294" s="2" t="s">
        <v>35</v>
      </c>
      <c r="D2294" s="2" t="str">
        <f>"宋莹"</f>
        <v>宋莹</v>
      </c>
      <c r="E2294" s="2" t="str">
        <f>"女"</f>
        <v>女</v>
      </c>
    </row>
    <row r="2295" spans="1:5" ht="14.4" x14ac:dyDescent="0.25">
      <c r="A2295" s="4">
        <v>2293</v>
      </c>
      <c r="B2295" s="2" t="str">
        <f>"3251202108101704025742"</f>
        <v>3251202108101704025742</v>
      </c>
      <c r="C2295" s="2" t="s">
        <v>35</v>
      </c>
      <c r="D2295" s="2" t="str">
        <f>"符新武"</f>
        <v>符新武</v>
      </c>
      <c r="E2295" s="2" t="str">
        <f>"男"</f>
        <v>男</v>
      </c>
    </row>
    <row r="2296" spans="1:5" ht="14.4" x14ac:dyDescent="0.25">
      <c r="A2296" s="4">
        <v>2294</v>
      </c>
      <c r="B2296" s="2" t="str">
        <f>"3251202108101709155771"</f>
        <v>3251202108101709155771</v>
      </c>
      <c r="C2296" s="2" t="s">
        <v>35</v>
      </c>
      <c r="D2296" s="2" t="str">
        <f>"张雨歆"</f>
        <v>张雨歆</v>
      </c>
      <c r="E2296" s="2" t="str">
        <f t="shared" ref="E2296:E2302" si="69">"女"</f>
        <v>女</v>
      </c>
    </row>
    <row r="2297" spans="1:5" ht="14.4" x14ac:dyDescent="0.25">
      <c r="A2297" s="4">
        <v>2295</v>
      </c>
      <c r="B2297" s="2" t="str">
        <f>"3251202108101810395927"</f>
        <v>3251202108101810395927</v>
      </c>
      <c r="C2297" s="2" t="s">
        <v>35</v>
      </c>
      <c r="D2297" s="2" t="str">
        <f>"林鸿庆"</f>
        <v>林鸿庆</v>
      </c>
      <c r="E2297" s="2" t="str">
        <f t="shared" si="69"/>
        <v>女</v>
      </c>
    </row>
    <row r="2298" spans="1:5" ht="14.4" x14ac:dyDescent="0.25">
      <c r="A2298" s="4">
        <v>2296</v>
      </c>
      <c r="B2298" s="2" t="str">
        <f>"3251202108101849046012"</f>
        <v>3251202108101849046012</v>
      </c>
      <c r="C2298" s="2" t="s">
        <v>35</v>
      </c>
      <c r="D2298" s="2" t="str">
        <f>"李姿"</f>
        <v>李姿</v>
      </c>
      <c r="E2298" s="2" t="str">
        <f t="shared" si="69"/>
        <v>女</v>
      </c>
    </row>
    <row r="2299" spans="1:5" ht="14.4" x14ac:dyDescent="0.25">
      <c r="A2299" s="4">
        <v>2297</v>
      </c>
      <c r="B2299" s="2" t="str">
        <f>"3251202108101849256013"</f>
        <v>3251202108101849256013</v>
      </c>
      <c r="C2299" s="2" t="s">
        <v>35</v>
      </c>
      <c r="D2299" s="2" t="str">
        <f>"廖云彤"</f>
        <v>廖云彤</v>
      </c>
      <c r="E2299" s="2" t="str">
        <f t="shared" si="69"/>
        <v>女</v>
      </c>
    </row>
    <row r="2300" spans="1:5" ht="14.4" x14ac:dyDescent="0.25">
      <c r="A2300" s="4">
        <v>2298</v>
      </c>
      <c r="B2300" s="2" t="str">
        <f>"3251202108101916006072"</f>
        <v>3251202108101916006072</v>
      </c>
      <c r="C2300" s="2" t="s">
        <v>35</v>
      </c>
      <c r="D2300" s="2" t="str">
        <f>"吴含秀"</f>
        <v>吴含秀</v>
      </c>
      <c r="E2300" s="2" t="str">
        <f t="shared" si="69"/>
        <v>女</v>
      </c>
    </row>
    <row r="2301" spans="1:5" ht="14.4" x14ac:dyDescent="0.25">
      <c r="A2301" s="4">
        <v>2299</v>
      </c>
      <c r="B2301" s="2" t="str">
        <f>"3251202108101934176101"</f>
        <v>3251202108101934176101</v>
      </c>
      <c r="C2301" s="2" t="s">
        <v>35</v>
      </c>
      <c r="D2301" s="2" t="str">
        <f>"吴玮婷"</f>
        <v>吴玮婷</v>
      </c>
      <c r="E2301" s="2" t="str">
        <f t="shared" si="69"/>
        <v>女</v>
      </c>
    </row>
    <row r="2302" spans="1:5" ht="14.4" x14ac:dyDescent="0.25">
      <c r="A2302" s="4">
        <v>2300</v>
      </c>
      <c r="B2302" s="2" t="str">
        <f>"3251202108102000156162"</f>
        <v>3251202108102000156162</v>
      </c>
      <c r="C2302" s="2" t="s">
        <v>35</v>
      </c>
      <c r="D2302" s="2" t="str">
        <f>"王惠玲"</f>
        <v>王惠玲</v>
      </c>
      <c r="E2302" s="2" t="str">
        <f t="shared" si="69"/>
        <v>女</v>
      </c>
    </row>
    <row r="2303" spans="1:5" ht="14.4" x14ac:dyDescent="0.25">
      <c r="A2303" s="4">
        <v>2301</v>
      </c>
      <c r="B2303" s="2" t="str">
        <f>"3251202108102006306173"</f>
        <v>3251202108102006306173</v>
      </c>
      <c r="C2303" s="2" t="s">
        <v>35</v>
      </c>
      <c r="D2303" s="2" t="str">
        <f>"王儒锦"</f>
        <v>王儒锦</v>
      </c>
      <c r="E2303" s="2" t="str">
        <f>"男"</f>
        <v>男</v>
      </c>
    </row>
    <row r="2304" spans="1:5" ht="14.4" x14ac:dyDescent="0.25">
      <c r="A2304" s="4">
        <v>2302</v>
      </c>
      <c r="B2304" s="2" t="str">
        <f>"3251202108102015426197"</f>
        <v>3251202108102015426197</v>
      </c>
      <c r="C2304" s="2" t="s">
        <v>35</v>
      </c>
      <c r="D2304" s="2" t="str">
        <f>"魏赛丽"</f>
        <v>魏赛丽</v>
      </c>
      <c r="E2304" s="2" t="str">
        <f t="shared" ref="E2304:E2315" si="70">"女"</f>
        <v>女</v>
      </c>
    </row>
    <row r="2305" spans="1:5" ht="14.4" x14ac:dyDescent="0.25">
      <c r="A2305" s="4">
        <v>2303</v>
      </c>
      <c r="B2305" s="2" t="str">
        <f>"3251202108102031426229"</f>
        <v>3251202108102031426229</v>
      </c>
      <c r="C2305" s="2" t="s">
        <v>35</v>
      </c>
      <c r="D2305" s="2" t="str">
        <f>"王甲丹"</f>
        <v>王甲丹</v>
      </c>
      <c r="E2305" s="2" t="str">
        <f t="shared" si="70"/>
        <v>女</v>
      </c>
    </row>
    <row r="2306" spans="1:5" ht="14.4" x14ac:dyDescent="0.25">
      <c r="A2306" s="4">
        <v>2304</v>
      </c>
      <c r="B2306" s="2" t="str">
        <f>"3251202108102220126419"</f>
        <v>3251202108102220126419</v>
      </c>
      <c r="C2306" s="2" t="s">
        <v>35</v>
      </c>
      <c r="D2306" s="2" t="str">
        <f>"唐玉娟"</f>
        <v>唐玉娟</v>
      </c>
      <c r="E2306" s="2" t="str">
        <f t="shared" si="70"/>
        <v>女</v>
      </c>
    </row>
    <row r="2307" spans="1:5" ht="14.4" x14ac:dyDescent="0.25">
      <c r="A2307" s="4">
        <v>2305</v>
      </c>
      <c r="B2307" s="2" t="str">
        <f>"3251202108102224106422"</f>
        <v>3251202108102224106422</v>
      </c>
      <c r="C2307" s="2" t="s">
        <v>35</v>
      </c>
      <c r="D2307" s="2" t="str">
        <f>"谭倩"</f>
        <v>谭倩</v>
      </c>
      <c r="E2307" s="2" t="str">
        <f t="shared" si="70"/>
        <v>女</v>
      </c>
    </row>
    <row r="2308" spans="1:5" ht="14.4" x14ac:dyDescent="0.25">
      <c r="A2308" s="4">
        <v>2306</v>
      </c>
      <c r="B2308" s="2" t="str">
        <f>"3251202108102231516433"</f>
        <v>3251202108102231516433</v>
      </c>
      <c r="C2308" s="2" t="s">
        <v>35</v>
      </c>
      <c r="D2308" s="2" t="str">
        <f>"吉才琳"</f>
        <v>吉才琳</v>
      </c>
      <c r="E2308" s="2" t="str">
        <f t="shared" si="70"/>
        <v>女</v>
      </c>
    </row>
    <row r="2309" spans="1:5" ht="14.4" x14ac:dyDescent="0.25">
      <c r="A2309" s="4">
        <v>2307</v>
      </c>
      <c r="B2309" s="2" t="str">
        <f>"3251202108102236256446"</f>
        <v>3251202108102236256446</v>
      </c>
      <c r="C2309" s="2" t="s">
        <v>35</v>
      </c>
      <c r="D2309" s="2" t="str">
        <f>"黄艳"</f>
        <v>黄艳</v>
      </c>
      <c r="E2309" s="2" t="str">
        <f t="shared" si="70"/>
        <v>女</v>
      </c>
    </row>
    <row r="2310" spans="1:5" ht="14.4" x14ac:dyDescent="0.25">
      <c r="A2310" s="4">
        <v>2308</v>
      </c>
      <c r="B2310" s="2" t="str">
        <f>"3251202108110222226556"</f>
        <v>3251202108110222226556</v>
      </c>
      <c r="C2310" s="2" t="s">
        <v>35</v>
      </c>
      <c r="D2310" s="2" t="str">
        <f>"王雅"</f>
        <v>王雅</v>
      </c>
      <c r="E2310" s="2" t="str">
        <f t="shared" si="70"/>
        <v>女</v>
      </c>
    </row>
    <row r="2311" spans="1:5" ht="14.4" x14ac:dyDescent="0.25">
      <c r="A2311" s="4">
        <v>2309</v>
      </c>
      <c r="B2311" s="2" t="str">
        <f>"3251202108110709126563"</f>
        <v>3251202108110709126563</v>
      </c>
      <c r="C2311" s="2" t="s">
        <v>35</v>
      </c>
      <c r="D2311" s="2" t="str">
        <f>"陈欣妍"</f>
        <v>陈欣妍</v>
      </c>
      <c r="E2311" s="2" t="str">
        <f t="shared" si="70"/>
        <v>女</v>
      </c>
    </row>
    <row r="2312" spans="1:5" ht="14.4" x14ac:dyDescent="0.25">
      <c r="A2312" s="4">
        <v>2310</v>
      </c>
      <c r="B2312" s="2" t="str">
        <f>"3251202108110857216662"</f>
        <v>3251202108110857216662</v>
      </c>
      <c r="C2312" s="2" t="s">
        <v>35</v>
      </c>
      <c r="D2312" s="2" t="str">
        <f>"吕丹女"</f>
        <v>吕丹女</v>
      </c>
      <c r="E2312" s="2" t="str">
        <f t="shared" si="70"/>
        <v>女</v>
      </c>
    </row>
    <row r="2313" spans="1:5" ht="14.4" x14ac:dyDescent="0.25">
      <c r="A2313" s="4">
        <v>2311</v>
      </c>
      <c r="B2313" s="2" t="str">
        <f>"3251202108110903296675"</f>
        <v>3251202108110903296675</v>
      </c>
      <c r="C2313" s="2" t="s">
        <v>35</v>
      </c>
      <c r="D2313" s="2" t="str">
        <f>"黄娇冬"</f>
        <v>黄娇冬</v>
      </c>
      <c r="E2313" s="2" t="str">
        <f t="shared" si="70"/>
        <v>女</v>
      </c>
    </row>
    <row r="2314" spans="1:5" ht="14.4" x14ac:dyDescent="0.25">
      <c r="A2314" s="4">
        <v>2312</v>
      </c>
      <c r="B2314" s="2" t="str">
        <f>"3251202108111030136919"</f>
        <v>3251202108111030136919</v>
      </c>
      <c r="C2314" s="2" t="s">
        <v>35</v>
      </c>
      <c r="D2314" s="2" t="str">
        <f>"陈小卉"</f>
        <v>陈小卉</v>
      </c>
      <c r="E2314" s="2" t="str">
        <f t="shared" si="70"/>
        <v>女</v>
      </c>
    </row>
    <row r="2315" spans="1:5" ht="14.4" x14ac:dyDescent="0.25">
      <c r="A2315" s="4">
        <v>2313</v>
      </c>
      <c r="B2315" s="2" t="str">
        <f>"3251202108111121397052"</f>
        <v>3251202108111121397052</v>
      </c>
      <c r="C2315" s="2" t="s">
        <v>35</v>
      </c>
      <c r="D2315" s="2" t="str">
        <f>"王慧芳"</f>
        <v>王慧芳</v>
      </c>
      <c r="E2315" s="2" t="str">
        <f t="shared" si="70"/>
        <v>女</v>
      </c>
    </row>
    <row r="2316" spans="1:5" ht="14.4" x14ac:dyDescent="0.25">
      <c r="A2316" s="4">
        <v>2314</v>
      </c>
      <c r="B2316" s="2" t="str">
        <f>"3251202108111223447165"</f>
        <v>3251202108111223447165</v>
      </c>
      <c r="C2316" s="2" t="s">
        <v>35</v>
      </c>
      <c r="D2316" s="2" t="str">
        <f>"黄良源"</f>
        <v>黄良源</v>
      </c>
      <c r="E2316" s="2" t="str">
        <f>"男"</f>
        <v>男</v>
      </c>
    </row>
    <row r="2317" spans="1:5" ht="14.4" x14ac:dyDescent="0.25">
      <c r="A2317" s="4">
        <v>2315</v>
      </c>
      <c r="B2317" s="2" t="str">
        <f>"3251202108111526017413"</f>
        <v>3251202108111526017413</v>
      </c>
      <c r="C2317" s="2" t="s">
        <v>35</v>
      </c>
      <c r="D2317" s="2" t="str">
        <f>"黄惠"</f>
        <v>黄惠</v>
      </c>
      <c r="E2317" s="2" t="str">
        <f>"女"</f>
        <v>女</v>
      </c>
    </row>
    <row r="2318" spans="1:5" ht="14.4" x14ac:dyDescent="0.25">
      <c r="A2318" s="4">
        <v>2316</v>
      </c>
      <c r="B2318" s="2" t="str">
        <f>"3251202108111551517471"</f>
        <v>3251202108111551517471</v>
      </c>
      <c r="C2318" s="2" t="s">
        <v>35</v>
      </c>
      <c r="D2318" s="2" t="str">
        <f>"钟庆琳"</f>
        <v>钟庆琳</v>
      </c>
      <c r="E2318" s="2" t="str">
        <f>"女"</f>
        <v>女</v>
      </c>
    </row>
    <row r="2319" spans="1:5" ht="14.4" x14ac:dyDescent="0.25">
      <c r="A2319" s="4">
        <v>2317</v>
      </c>
      <c r="B2319" s="2" t="str">
        <f>"3251202108111626447536"</f>
        <v>3251202108111626447536</v>
      </c>
      <c r="C2319" s="2" t="s">
        <v>35</v>
      </c>
      <c r="D2319" s="2" t="str">
        <f>"秦静"</f>
        <v>秦静</v>
      </c>
      <c r="E2319" s="2" t="str">
        <f>"女"</f>
        <v>女</v>
      </c>
    </row>
    <row r="2320" spans="1:5" ht="14.4" x14ac:dyDescent="0.25">
      <c r="A2320" s="4">
        <v>2318</v>
      </c>
      <c r="B2320" s="2" t="str">
        <f>"3251202108111745377663"</f>
        <v>3251202108111745377663</v>
      </c>
      <c r="C2320" s="2" t="s">
        <v>35</v>
      </c>
      <c r="D2320" s="2" t="str">
        <f>"黄尚水"</f>
        <v>黄尚水</v>
      </c>
      <c r="E2320" s="2" t="str">
        <f>"男"</f>
        <v>男</v>
      </c>
    </row>
    <row r="2321" spans="1:5" ht="14.4" x14ac:dyDescent="0.25">
      <c r="A2321" s="4">
        <v>2319</v>
      </c>
      <c r="B2321" s="2" t="str">
        <f>"3251202108111819587714"</f>
        <v>3251202108111819587714</v>
      </c>
      <c r="C2321" s="2" t="s">
        <v>35</v>
      </c>
      <c r="D2321" s="2" t="str">
        <f>"徐建东"</f>
        <v>徐建东</v>
      </c>
      <c r="E2321" s="2" t="str">
        <f>"男"</f>
        <v>男</v>
      </c>
    </row>
    <row r="2322" spans="1:5" ht="14.4" x14ac:dyDescent="0.25">
      <c r="A2322" s="4">
        <v>2320</v>
      </c>
      <c r="B2322" s="2" t="str">
        <f>"3251202108111944107818"</f>
        <v>3251202108111944107818</v>
      </c>
      <c r="C2322" s="2" t="s">
        <v>35</v>
      </c>
      <c r="D2322" s="2" t="str">
        <f>"王一媚"</f>
        <v>王一媚</v>
      </c>
      <c r="E2322" s="2" t="str">
        <f>"女"</f>
        <v>女</v>
      </c>
    </row>
    <row r="2323" spans="1:5" ht="14.4" x14ac:dyDescent="0.25">
      <c r="A2323" s="4">
        <v>2321</v>
      </c>
      <c r="B2323" s="2" t="str">
        <f>"3251202108112022117866"</f>
        <v>3251202108112022117866</v>
      </c>
      <c r="C2323" s="2" t="s">
        <v>35</v>
      </c>
      <c r="D2323" s="2" t="str">
        <f>"谢昌梧"</f>
        <v>谢昌梧</v>
      </c>
      <c r="E2323" s="2" t="str">
        <f>"男"</f>
        <v>男</v>
      </c>
    </row>
    <row r="2324" spans="1:5" ht="14.4" x14ac:dyDescent="0.25">
      <c r="A2324" s="4">
        <v>2322</v>
      </c>
      <c r="B2324" s="2" t="str">
        <f>"3251202108112147388009"</f>
        <v>3251202108112147388009</v>
      </c>
      <c r="C2324" s="2" t="s">
        <v>35</v>
      </c>
      <c r="D2324" s="2" t="str">
        <f>"符笃韩"</f>
        <v>符笃韩</v>
      </c>
      <c r="E2324" s="2" t="str">
        <f>"男"</f>
        <v>男</v>
      </c>
    </row>
    <row r="2325" spans="1:5" ht="14.4" x14ac:dyDescent="0.25">
      <c r="A2325" s="4">
        <v>2323</v>
      </c>
      <c r="B2325" s="2" t="str">
        <f>"3251202108112205558029"</f>
        <v>3251202108112205558029</v>
      </c>
      <c r="C2325" s="2" t="s">
        <v>35</v>
      </c>
      <c r="D2325" s="2" t="str">
        <f>"周著名"</f>
        <v>周著名</v>
      </c>
      <c r="E2325" s="2" t="str">
        <f>"男"</f>
        <v>男</v>
      </c>
    </row>
    <row r="2326" spans="1:5" ht="14.4" x14ac:dyDescent="0.25">
      <c r="A2326" s="4">
        <v>2324</v>
      </c>
      <c r="B2326" s="2" t="str">
        <f>"3251202108112228218063"</f>
        <v>3251202108112228218063</v>
      </c>
      <c r="C2326" s="2" t="s">
        <v>35</v>
      </c>
      <c r="D2326" s="2" t="str">
        <f>"何书苗"</f>
        <v>何书苗</v>
      </c>
      <c r="E2326" s="2" t="str">
        <f>"女"</f>
        <v>女</v>
      </c>
    </row>
    <row r="2327" spans="1:5" ht="14.4" x14ac:dyDescent="0.25">
      <c r="A2327" s="4">
        <v>2325</v>
      </c>
      <c r="B2327" s="2" t="str">
        <f>"3251202108112246278095"</f>
        <v>3251202108112246278095</v>
      </c>
      <c r="C2327" s="2" t="s">
        <v>35</v>
      </c>
      <c r="D2327" s="2" t="str">
        <f>"莫海花"</f>
        <v>莫海花</v>
      </c>
      <c r="E2327" s="2" t="str">
        <f>"女"</f>
        <v>女</v>
      </c>
    </row>
    <row r="2328" spans="1:5" ht="14.4" x14ac:dyDescent="0.25">
      <c r="A2328" s="4">
        <v>2326</v>
      </c>
      <c r="B2328" s="2" t="str">
        <f>"3251202108120011298151"</f>
        <v>3251202108120011298151</v>
      </c>
      <c r="C2328" s="2" t="s">
        <v>35</v>
      </c>
      <c r="D2328" s="2" t="str">
        <f>"王英亮"</f>
        <v>王英亮</v>
      </c>
      <c r="E2328" s="2" t="str">
        <f>"男"</f>
        <v>男</v>
      </c>
    </row>
    <row r="2329" spans="1:5" ht="14.4" x14ac:dyDescent="0.25">
      <c r="A2329" s="4">
        <v>2327</v>
      </c>
      <c r="B2329" s="2" t="str">
        <f>"3251202108120902258245"</f>
        <v>3251202108120902258245</v>
      </c>
      <c r="C2329" s="2" t="s">
        <v>35</v>
      </c>
      <c r="D2329" s="2" t="str">
        <f>"黄金影"</f>
        <v>黄金影</v>
      </c>
      <c r="E2329" s="2" t="str">
        <f>"女"</f>
        <v>女</v>
      </c>
    </row>
    <row r="2330" spans="1:5" ht="14.4" x14ac:dyDescent="0.25">
      <c r="A2330" s="4">
        <v>2328</v>
      </c>
      <c r="B2330" s="2" t="str">
        <f>"3251202108120927098326"</f>
        <v>3251202108120927098326</v>
      </c>
      <c r="C2330" s="2" t="s">
        <v>35</v>
      </c>
      <c r="D2330" s="2" t="str">
        <f>"王章裕"</f>
        <v>王章裕</v>
      </c>
      <c r="E2330" s="2" t="str">
        <f>"男"</f>
        <v>男</v>
      </c>
    </row>
    <row r="2331" spans="1:5" ht="14.4" x14ac:dyDescent="0.25">
      <c r="A2331" s="4">
        <v>2329</v>
      </c>
      <c r="B2331" s="2" t="str">
        <f>"3251202108121007078417"</f>
        <v>3251202108121007078417</v>
      </c>
      <c r="C2331" s="2" t="s">
        <v>35</v>
      </c>
      <c r="D2331" s="2" t="str">
        <f>"羊四妹"</f>
        <v>羊四妹</v>
      </c>
      <c r="E2331" s="2" t="str">
        <f>"女"</f>
        <v>女</v>
      </c>
    </row>
    <row r="2332" spans="1:5" ht="14.4" x14ac:dyDescent="0.25">
      <c r="A2332" s="4">
        <v>2330</v>
      </c>
      <c r="B2332" s="2" t="str">
        <f>"3251202108121147598621"</f>
        <v>3251202108121147598621</v>
      </c>
      <c r="C2332" s="2" t="s">
        <v>35</v>
      </c>
      <c r="D2332" s="2" t="str">
        <f>"文永娟"</f>
        <v>文永娟</v>
      </c>
      <c r="E2332" s="2" t="str">
        <f>"女"</f>
        <v>女</v>
      </c>
    </row>
    <row r="2333" spans="1:5" ht="14.4" x14ac:dyDescent="0.25">
      <c r="A2333" s="4">
        <v>2331</v>
      </c>
      <c r="B2333" s="2" t="str">
        <f>"3251202108121339058740"</f>
        <v>3251202108121339058740</v>
      </c>
      <c r="C2333" s="2" t="s">
        <v>35</v>
      </c>
      <c r="D2333" s="2" t="str">
        <f>"陈惠"</f>
        <v>陈惠</v>
      </c>
      <c r="E2333" s="2" t="str">
        <f>"女"</f>
        <v>女</v>
      </c>
    </row>
    <row r="2334" spans="1:5" ht="14.4" x14ac:dyDescent="0.25">
      <c r="A2334" s="4">
        <v>2332</v>
      </c>
      <c r="B2334" s="2" t="str">
        <f>"3251202108121522318894"</f>
        <v>3251202108121522318894</v>
      </c>
      <c r="C2334" s="2" t="s">
        <v>35</v>
      </c>
      <c r="D2334" s="2" t="str">
        <f>"陈秋霞"</f>
        <v>陈秋霞</v>
      </c>
      <c r="E2334" s="2" t="str">
        <f>"女"</f>
        <v>女</v>
      </c>
    </row>
    <row r="2335" spans="1:5" ht="14.4" x14ac:dyDescent="0.25">
      <c r="A2335" s="4">
        <v>2333</v>
      </c>
      <c r="B2335" s="2" t="str">
        <f>"3251202108121543508939"</f>
        <v>3251202108121543508939</v>
      </c>
      <c r="C2335" s="2" t="s">
        <v>35</v>
      </c>
      <c r="D2335" s="2" t="str">
        <f>"邱娟娣"</f>
        <v>邱娟娣</v>
      </c>
      <c r="E2335" s="2" t="str">
        <f>"女"</f>
        <v>女</v>
      </c>
    </row>
    <row r="2336" spans="1:5" ht="14.4" x14ac:dyDescent="0.25">
      <c r="A2336" s="4">
        <v>2334</v>
      </c>
      <c r="B2336" s="2" t="str">
        <f>"3251202108121544348942"</f>
        <v>3251202108121544348942</v>
      </c>
      <c r="C2336" s="2" t="s">
        <v>35</v>
      </c>
      <c r="D2336" s="2" t="str">
        <f>"王生瑾"</f>
        <v>王生瑾</v>
      </c>
      <c r="E2336" s="2" t="str">
        <f>"男"</f>
        <v>男</v>
      </c>
    </row>
    <row r="2337" spans="1:5" ht="14.4" x14ac:dyDescent="0.25">
      <c r="A2337" s="4">
        <v>2335</v>
      </c>
      <c r="B2337" s="2" t="str">
        <f>"3251202108121602058976"</f>
        <v>3251202108121602058976</v>
      </c>
      <c r="C2337" s="2" t="s">
        <v>35</v>
      </c>
      <c r="D2337" s="2" t="str">
        <f>"林文萍"</f>
        <v>林文萍</v>
      </c>
      <c r="E2337" s="2" t="str">
        <f>"女"</f>
        <v>女</v>
      </c>
    </row>
    <row r="2338" spans="1:5" ht="14.4" x14ac:dyDescent="0.25">
      <c r="A2338" s="4">
        <v>2336</v>
      </c>
      <c r="B2338" s="2" t="str">
        <f>"3251202108121648279045"</f>
        <v>3251202108121648279045</v>
      </c>
      <c r="C2338" s="2" t="s">
        <v>35</v>
      </c>
      <c r="D2338" s="2" t="str">
        <f>"刘海晶"</f>
        <v>刘海晶</v>
      </c>
      <c r="E2338" s="2" t="str">
        <f>"女"</f>
        <v>女</v>
      </c>
    </row>
    <row r="2339" spans="1:5" ht="14.4" x14ac:dyDescent="0.25">
      <c r="A2339" s="4">
        <v>2337</v>
      </c>
      <c r="B2339" s="2" t="str">
        <f>"3251202108121834479178"</f>
        <v>3251202108121834479178</v>
      </c>
      <c r="C2339" s="2" t="s">
        <v>35</v>
      </c>
      <c r="D2339" s="2" t="str">
        <f>"王丽君"</f>
        <v>王丽君</v>
      </c>
      <c r="E2339" s="2" t="str">
        <f>"女"</f>
        <v>女</v>
      </c>
    </row>
    <row r="2340" spans="1:5" ht="14.4" x14ac:dyDescent="0.25">
      <c r="A2340" s="4">
        <v>2338</v>
      </c>
      <c r="B2340" s="2" t="str">
        <f>"3251202108122049529297"</f>
        <v>3251202108122049529297</v>
      </c>
      <c r="C2340" s="2" t="s">
        <v>35</v>
      </c>
      <c r="D2340" s="2" t="str">
        <f>"周广诞"</f>
        <v>周广诞</v>
      </c>
      <c r="E2340" s="2" t="str">
        <f>"男"</f>
        <v>男</v>
      </c>
    </row>
    <row r="2341" spans="1:5" ht="14.4" x14ac:dyDescent="0.25">
      <c r="A2341" s="4">
        <v>2339</v>
      </c>
      <c r="B2341" s="2" t="str">
        <f>"3251202108122121439334"</f>
        <v>3251202108122121439334</v>
      </c>
      <c r="C2341" s="2" t="s">
        <v>35</v>
      </c>
      <c r="D2341" s="2" t="str">
        <f>"苏敏文"</f>
        <v>苏敏文</v>
      </c>
      <c r="E2341" s="2" t="str">
        <f>"男"</f>
        <v>男</v>
      </c>
    </row>
    <row r="2342" spans="1:5" ht="14.4" x14ac:dyDescent="0.25">
      <c r="A2342" s="4">
        <v>2340</v>
      </c>
      <c r="B2342" s="2" t="str">
        <f>"3251202108122214019384"</f>
        <v>3251202108122214019384</v>
      </c>
      <c r="C2342" s="2" t="s">
        <v>35</v>
      </c>
      <c r="D2342" s="2" t="str">
        <f>"王孟"</f>
        <v>王孟</v>
      </c>
      <c r="E2342" s="2" t="str">
        <f>"女"</f>
        <v>女</v>
      </c>
    </row>
    <row r="2343" spans="1:5" ht="14.4" x14ac:dyDescent="0.25">
      <c r="A2343" s="4">
        <v>2341</v>
      </c>
      <c r="B2343" s="2" t="str">
        <f>"3251202108122252569423"</f>
        <v>3251202108122252569423</v>
      </c>
      <c r="C2343" s="2" t="s">
        <v>35</v>
      </c>
      <c r="D2343" s="2" t="str">
        <f>"符会文"</f>
        <v>符会文</v>
      </c>
      <c r="E2343" s="2" t="str">
        <f>"男"</f>
        <v>男</v>
      </c>
    </row>
    <row r="2344" spans="1:5" ht="14.4" x14ac:dyDescent="0.25">
      <c r="A2344" s="4">
        <v>2342</v>
      </c>
      <c r="B2344" s="2" t="str">
        <f>"3251202108130842219524"</f>
        <v>3251202108130842219524</v>
      </c>
      <c r="C2344" s="2" t="s">
        <v>35</v>
      </c>
      <c r="D2344" s="2" t="str">
        <f>"吴淑蔚"</f>
        <v>吴淑蔚</v>
      </c>
      <c r="E2344" s="2" t="str">
        <f>"男"</f>
        <v>男</v>
      </c>
    </row>
    <row r="2345" spans="1:5" ht="14.4" x14ac:dyDescent="0.25">
      <c r="A2345" s="4">
        <v>2343</v>
      </c>
      <c r="B2345" s="2" t="str">
        <f>"3251202108131041549676"</f>
        <v>3251202108131041549676</v>
      </c>
      <c r="C2345" s="2" t="s">
        <v>35</v>
      </c>
      <c r="D2345" s="2" t="str">
        <f>"云凤妮"</f>
        <v>云凤妮</v>
      </c>
      <c r="E2345" s="2" t="str">
        <f>"女"</f>
        <v>女</v>
      </c>
    </row>
    <row r="2346" spans="1:5" ht="14.4" x14ac:dyDescent="0.25">
      <c r="A2346" s="4">
        <v>2344</v>
      </c>
      <c r="B2346" s="2" t="str">
        <f>"3251202108131255239820"</f>
        <v>3251202108131255239820</v>
      </c>
      <c r="C2346" s="2" t="s">
        <v>35</v>
      </c>
      <c r="D2346" s="2" t="str">
        <f>"杨胤铭"</f>
        <v>杨胤铭</v>
      </c>
      <c r="E2346" s="2" t="str">
        <f>"男"</f>
        <v>男</v>
      </c>
    </row>
    <row r="2347" spans="1:5" ht="14.4" x14ac:dyDescent="0.25">
      <c r="A2347" s="4">
        <v>2345</v>
      </c>
      <c r="B2347" s="2" t="str">
        <f>"3251202108131515299933"</f>
        <v>3251202108131515299933</v>
      </c>
      <c r="C2347" s="2" t="s">
        <v>35</v>
      </c>
      <c r="D2347" s="2" t="str">
        <f>"陈文华"</f>
        <v>陈文华</v>
      </c>
      <c r="E2347" s="2" t="str">
        <f>"女"</f>
        <v>女</v>
      </c>
    </row>
    <row r="2348" spans="1:5" ht="14.4" x14ac:dyDescent="0.25">
      <c r="A2348" s="4">
        <v>2346</v>
      </c>
      <c r="B2348" s="2" t="str">
        <f>"32512021081320415510239"</f>
        <v>32512021081320415510239</v>
      </c>
      <c r="C2348" s="2" t="s">
        <v>35</v>
      </c>
      <c r="D2348" s="2" t="str">
        <f>"符茜"</f>
        <v>符茜</v>
      </c>
      <c r="E2348" s="2" t="str">
        <f>"女"</f>
        <v>女</v>
      </c>
    </row>
    <row r="2349" spans="1:5" ht="14.4" x14ac:dyDescent="0.25">
      <c r="A2349" s="4">
        <v>2347</v>
      </c>
      <c r="B2349" s="2" t="str">
        <f>"32512021081321163710259"</f>
        <v>32512021081321163710259</v>
      </c>
      <c r="C2349" s="2" t="s">
        <v>35</v>
      </c>
      <c r="D2349" s="2" t="str">
        <f>"王晓义"</f>
        <v>王晓义</v>
      </c>
      <c r="E2349" s="2" t="str">
        <f>"女"</f>
        <v>女</v>
      </c>
    </row>
    <row r="2350" spans="1:5" ht="14.4" x14ac:dyDescent="0.25">
      <c r="A2350" s="4">
        <v>2348</v>
      </c>
      <c r="B2350" s="2" t="str">
        <f>"32512021081408412910385"</f>
        <v>32512021081408412910385</v>
      </c>
      <c r="C2350" s="2" t="s">
        <v>35</v>
      </c>
      <c r="D2350" s="2" t="str">
        <f>"王少天"</f>
        <v>王少天</v>
      </c>
      <c r="E2350" s="2" t="str">
        <f>"男"</f>
        <v>男</v>
      </c>
    </row>
    <row r="2351" spans="1:5" ht="14.4" x14ac:dyDescent="0.25">
      <c r="A2351" s="4">
        <v>2349</v>
      </c>
      <c r="B2351" s="2" t="str">
        <f>"32512021081409050610394"</f>
        <v>32512021081409050610394</v>
      </c>
      <c r="C2351" s="2" t="s">
        <v>35</v>
      </c>
      <c r="D2351" s="2" t="str">
        <f>"叶秀香"</f>
        <v>叶秀香</v>
      </c>
      <c r="E2351" s="2" t="str">
        <f>"女"</f>
        <v>女</v>
      </c>
    </row>
    <row r="2352" spans="1:5" ht="14.4" x14ac:dyDescent="0.25">
      <c r="A2352" s="4">
        <v>2350</v>
      </c>
      <c r="B2352" s="2" t="str">
        <f>"32512021081410345310459"</f>
        <v>32512021081410345310459</v>
      </c>
      <c r="C2352" s="2" t="s">
        <v>35</v>
      </c>
      <c r="D2352" s="2" t="str">
        <f>"周丽莎"</f>
        <v>周丽莎</v>
      </c>
      <c r="E2352" s="2" t="str">
        <f>"女"</f>
        <v>女</v>
      </c>
    </row>
    <row r="2353" spans="1:5" ht="14.4" x14ac:dyDescent="0.25">
      <c r="A2353" s="4">
        <v>2351</v>
      </c>
      <c r="B2353" s="2" t="str">
        <f>"32512021081415290210642"</f>
        <v>32512021081415290210642</v>
      </c>
      <c r="C2353" s="2" t="s">
        <v>35</v>
      </c>
      <c r="D2353" s="2" t="str">
        <f>"陈莲妹"</f>
        <v>陈莲妹</v>
      </c>
      <c r="E2353" s="2" t="str">
        <f>"女"</f>
        <v>女</v>
      </c>
    </row>
    <row r="2354" spans="1:5" ht="14.4" x14ac:dyDescent="0.25">
      <c r="A2354" s="4">
        <v>2352</v>
      </c>
      <c r="B2354" s="2" t="str">
        <f>"32512021081415531010668"</f>
        <v>32512021081415531010668</v>
      </c>
      <c r="C2354" s="2" t="s">
        <v>35</v>
      </c>
      <c r="D2354" s="2" t="str">
        <f>"刘桂超"</f>
        <v>刘桂超</v>
      </c>
      <c r="E2354" s="2" t="str">
        <f>"女"</f>
        <v>女</v>
      </c>
    </row>
    <row r="2355" spans="1:5" ht="14.4" x14ac:dyDescent="0.25">
      <c r="A2355" s="4">
        <v>2353</v>
      </c>
      <c r="B2355" s="2" t="str">
        <f>"32512021081416054710676"</f>
        <v>32512021081416054710676</v>
      </c>
      <c r="C2355" s="2" t="s">
        <v>35</v>
      </c>
      <c r="D2355" s="2" t="str">
        <f>"张华兴"</f>
        <v>张华兴</v>
      </c>
      <c r="E2355" s="2" t="str">
        <f>"男"</f>
        <v>男</v>
      </c>
    </row>
    <row r="2356" spans="1:5" ht="14.4" x14ac:dyDescent="0.25">
      <c r="A2356" s="4">
        <v>2354</v>
      </c>
      <c r="B2356" s="2" t="str">
        <f>"32512021081418512110773"</f>
        <v>32512021081418512110773</v>
      </c>
      <c r="C2356" s="2" t="s">
        <v>35</v>
      </c>
      <c r="D2356" s="2" t="str">
        <f>"叶彬彬"</f>
        <v>叶彬彬</v>
      </c>
      <c r="E2356" s="2" t="str">
        <f>"男"</f>
        <v>男</v>
      </c>
    </row>
    <row r="2357" spans="1:5" ht="14.4" x14ac:dyDescent="0.25">
      <c r="A2357" s="4">
        <v>2355</v>
      </c>
      <c r="B2357" s="2" t="str">
        <f>"32512021081419502510804"</f>
        <v>32512021081419502510804</v>
      </c>
      <c r="C2357" s="2" t="s">
        <v>35</v>
      </c>
      <c r="D2357" s="2" t="str">
        <f>"邱建明"</f>
        <v>邱建明</v>
      </c>
      <c r="E2357" s="2" t="str">
        <f>"男"</f>
        <v>男</v>
      </c>
    </row>
    <row r="2358" spans="1:5" ht="14.4" x14ac:dyDescent="0.25">
      <c r="A2358" s="4">
        <v>2356</v>
      </c>
      <c r="B2358" s="2" t="str">
        <f>"32512021081420294110815"</f>
        <v>32512021081420294110815</v>
      </c>
      <c r="C2358" s="2" t="s">
        <v>35</v>
      </c>
      <c r="D2358" s="2" t="str">
        <f>"吕雯"</f>
        <v>吕雯</v>
      </c>
      <c r="E2358" s="2" t="str">
        <f>"女"</f>
        <v>女</v>
      </c>
    </row>
    <row r="2359" spans="1:5" ht="14.4" x14ac:dyDescent="0.25">
      <c r="A2359" s="4">
        <v>2357</v>
      </c>
      <c r="B2359" s="2" t="str">
        <f>"32512021081420345710817"</f>
        <v>32512021081420345710817</v>
      </c>
      <c r="C2359" s="2" t="s">
        <v>35</v>
      </c>
      <c r="D2359" s="2" t="str">
        <f>"姜雨欣"</f>
        <v>姜雨欣</v>
      </c>
      <c r="E2359" s="2" t="str">
        <f>"女"</f>
        <v>女</v>
      </c>
    </row>
    <row r="2360" spans="1:5" ht="14.4" x14ac:dyDescent="0.25">
      <c r="A2360" s="4">
        <v>2358</v>
      </c>
      <c r="B2360" s="2" t="str">
        <f>"32512021081421522610859"</f>
        <v>32512021081421522610859</v>
      </c>
      <c r="C2360" s="2" t="s">
        <v>35</v>
      </c>
      <c r="D2360" s="2" t="str">
        <f>"孙琼鹏"</f>
        <v>孙琼鹏</v>
      </c>
      <c r="E2360" s="2" t="str">
        <f>"男"</f>
        <v>男</v>
      </c>
    </row>
    <row r="2361" spans="1:5" ht="14.4" x14ac:dyDescent="0.25">
      <c r="A2361" s="4">
        <v>2359</v>
      </c>
      <c r="B2361" s="2" t="str">
        <f>"32512021081423192510898"</f>
        <v>32512021081423192510898</v>
      </c>
      <c r="C2361" s="2" t="s">
        <v>35</v>
      </c>
      <c r="D2361" s="2" t="str">
        <f>"邓舒云"</f>
        <v>邓舒云</v>
      </c>
      <c r="E2361" s="2" t="str">
        <f t="shared" ref="E2361:E2366" si="71">"女"</f>
        <v>女</v>
      </c>
    </row>
    <row r="2362" spans="1:5" ht="14.4" x14ac:dyDescent="0.25">
      <c r="A2362" s="4">
        <v>2360</v>
      </c>
      <c r="B2362" s="2" t="str">
        <f>"32512021081504495210927"</f>
        <v>32512021081504495210927</v>
      </c>
      <c r="C2362" s="2" t="s">
        <v>35</v>
      </c>
      <c r="D2362" s="2" t="str">
        <f>"王有莹"</f>
        <v>王有莹</v>
      </c>
      <c r="E2362" s="2" t="str">
        <f t="shared" si="71"/>
        <v>女</v>
      </c>
    </row>
    <row r="2363" spans="1:5" ht="14.4" x14ac:dyDescent="0.25">
      <c r="A2363" s="4">
        <v>2361</v>
      </c>
      <c r="B2363" s="2" t="str">
        <f>"32512021081509083710955"</f>
        <v>32512021081509083710955</v>
      </c>
      <c r="C2363" s="2" t="s">
        <v>35</v>
      </c>
      <c r="D2363" s="2" t="str">
        <f>"文铭昕"</f>
        <v>文铭昕</v>
      </c>
      <c r="E2363" s="2" t="str">
        <f t="shared" si="71"/>
        <v>女</v>
      </c>
    </row>
    <row r="2364" spans="1:5" ht="14.4" x14ac:dyDescent="0.25">
      <c r="A2364" s="4">
        <v>2362</v>
      </c>
      <c r="B2364" s="2" t="str">
        <f>"32512021081512225711075"</f>
        <v>32512021081512225711075</v>
      </c>
      <c r="C2364" s="2" t="s">
        <v>35</v>
      </c>
      <c r="D2364" s="2" t="str">
        <f>"唐日姣"</f>
        <v>唐日姣</v>
      </c>
      <c r="E2364" s="2" t="str">
        <f t="shared" si="71"/>
        <v>女</v>
      </c>
    </row>
    <row r="2365" spans="1:5" ht="14.4" x14ac:dyDescent="0.25">
      <c r="A2365" s="4">
        <v>2363</v>
      </c>
      <c r="B2365" s="2" t="str">
        <f>"32512021081514244111160"</f>
        <v>32512021081514244111160</v>
      </c>
      <c r="C2365" s="2" t="s">
        <v>35</v>
      </c>
      <c r="D2365" s="2" t="str">
        <f>"梁艳昕"</f>
        <v>梁艳昕</v>
      </c>
      <c r="E2365" s="2" t="str">
        <f t="shared" si="71"/>
        <v>女</v>
      </c>
    </row>
    <row r="2366" spans="1:5" ht="14.4" x14ac:dyDescent="0.25">
      <c r="A2366" s="4">
        <v>2364</v>
      </c>
      <c r="B2366" s="2" t="str">
        <f>"32512021081517352511308"</f>
        <v>32512021081517352511308</v>
      </c>
      <c r="C2366" s="2" t="s">
        <v>35</v>
      </c>
      <c r="D2366" s="2" t="str">
        <f>"麦彩依"</f>
        <v>麦彩依</v>
      </c>
      <c r="E2366" s="2" t="str">
        <f t="shared" si="71"/>
        <v>女</v>
      </c>
    </row>
    <row r="2367" spans="1:5" ht="14.4" x14ac:dyDescent="0.25">
      <c r="A2367" s="4">
        <v>2365</v>
      </c>
      <c r="B2367" s="2" t="str">
        <f>"32512021081521302011510"</f>
        <v>32512021081521302011510</v>
      </c>
      <c r="C2367" s="2" t="s">
        <v>35</v>
      </c>
      <c r="D2367" s="2" t="str">
        <f>"王世铨"</f>
        <v>王世铨</v>
      </c>
      <c r="E2367" s="2" t="str">
        <f>"男"</f>
        <v>男</v>
      </c>
    </row>
    <row r="2368" spans="1:5" ht="14.4" x14ac:dyDescent="0.25">
      <c r="A2368" s="4">
        <v>2366</v>
      </c>
      <c r="B2368" s="2" t="str">
        <f>"32512021081600471911657"</f>
        <v>32512021081600471911657</v>
      </c>
      <c r="C2368" s="2" t="s">
        <v>35</v>
      </c>
      <c r="D2368" s="2" t="str">
        <f>"符梦莹"</f>
        <v>符梦莹</v>
      </c>
      <c r="E2368" s="2" t="str">
        <f>"女"</f>
        <v>女</v>
      </c>
    </row>
    <row r="2369" spans="1:5" ht="14.4" x14ac:dyDescent="0.25">
      <c r="A2369" s="4">
        <v>2367</v>
      </c>
      <c r="B2369" s="2" t="str">
        <f>"32512021081609083611870"</f>
        <v>32512021081609083611870</v>
      </c>
      <c r="C2369" s="2" t="s">
        <v>35</v>
      </c>
      <c r="D2369" s="2" t="str">
        <f>"黄琳玮"</f>
        <v>黄琳玮</v>
      </c>
      <c r="E2369" s="2" t="str">
        <f>"女"</f>
        <v>女</v>
      </c>
    </row>
    <row r="2370" spans="1:5" ht="14.4" x14ac:dyDescent="0.25">
      <c r="A2370" s="4">
        <v>2368</v>
      </c>
      <c r="B2370" s="2" t="str">
        <f>"32512021081610423312339"</f>
        <v>32512021081610423312339</v>
      </c>
      <c r="C2370" s="2" t="s">
        <v>35</v>
      </c>
      <c r="D2370" s="2" t="str">
        <f>"郑景峰"</f>
        <v>郑景峰</v>
      </c>
      <c r="E2370" s="2" t="str">
        <f>"男"</f>
        <v>男</v>
      </c>
    </row>
    <row r="2371" spans="1:5" ht="14.4" x14ac:dyDescent="0.25">
      <c r="A2371" s="4">
        <v>2369</v>
      </c>
      <c r="B2371" s="2" t="str">
        <f>"32512021081613455512863"</f>
        <v>32512021081613455512863</v>
      </c>
      <c r="C2371" s="2" t="s">
        <v>35</v>
      </c>
      <c r="D2371" s="2" t="str">
        <f>"李海春"</f>
        <v>李海春</v>
      </c>
      <c r="E2371" s="2" t="str">
        <f>"女"</f>
        <v>女</v>
      </c>
    </row>
    <row r="2372" spans="1:5" ht="14.4" x14ac:dyDescent="0.25">
      <c r="A2372" s="4">
        <v>2370</v>
      </c>
      <c r="B2372" s="2" t="str">
        <f>"32512021081614200712921"</f>
        <v>32512021081614200712921</v>
      </c>
      <c r="C2372" s="2" t="s">
        <v>35</v>
      </c>
      <c r="D2372" s="2" t="str">
        <f>"王少红"</f>
        <v>王少红</v>
      </c>
      <c r="E2372" s="2" t="str">
        <f>"女"</f>
        <v>女</v>
      </c>
    </row>
    <row r="2373" spans="1:5" ht="14.4" x14ac:dyDescent="0.25">
      <c r="A2373" s="4">
        <v>2371</v>
      </c>
      <c r="B2373" s="2" t="str">
        <f>"3251202108100901423745"</f>
        <v>3251202108100901423745</v>
      </c>
      <c r="C2373" s="2" t="s">
        <v>36</v>
      </c>
      <c r="D2373" s="2" t="str">
        <f>"符青艳"</f>
        <v>符青艳</v>
      </c>
      <c r="E2373" s="2" t="str">
        <f>"女"</f>
        <v>女</v>
      </c>
    </row>
    <row r="2374" spans="1:5" ht="14.4" x14ac:dyDescent="0.25">
      <c r="A2374" s="4">
        <v>2372</v>
      </c>
      <c r="B2374" s="2" t="str">
        <f>"3251202108100907313813"</f>
        <v>3251202108100907313813</v>
      </c>
      <c r="C2374" s="2" t="s">
        <v>36</v>
      </c>
      <c r="D2374" s="2" t="str">
        <f>"李丽芳"</f>
        <v>李丽芳</v>
      </c>
      <c r="E2374" s="2" t="str">
        <f>"女"</f>
        <v>女</v>
      </c>
    </row>
    <row r="2375" spans="1:5" ht="14.4" x14ac:dyDescent="0.25">
      <c r="A2375" s="4">
        <v>2373</v>
      </c>
      <c r="B2375" s="2" t="str">
        <f>"3251202108100911553869"</f>
        <v>3251202108100911553869</v>
      </c>
      <c r="C2375" s="2" t="s">
        <v>36</v>
      </c>
      <c r="D2375" s="2" t="str">
        <f>"王宽瑾"</f>
        <v>王宽瑾</v>
      </c>
      <c r="E2375" s="2" t="str">
        <f>"男"</f>
        <v>男</v>
      </c>
    </row>
    <row r="2376" spans="1:5" ht="14.4" x14ac:dyDescent="0.25">
      <c r="A2376" s="4">
        <v>2374</v>
      </c>
      <c r="B2376" s="2" t="str">
        <f>"3251202108100913543884"</f>
        <v>3251202108100913543884</v>
      </c>
      <c r="C2376" s="2" t="s">
        <v>36</v>
      </c>
      <c r="D2376" s="2" t="str">
        <f>"陈祖滢"</f>
        <v>陈祖滢</v>
      </c>
      <c r="E2376" s="2" t="str">
        <f>"女"</f>
        <v>女</v>
      </c>
    </row>
    <row r="2377" spans="1:5" ht="14.4" x14ac:dyDescent="0.25">
      <c r="A2377" s="4">
        <v>2375</v>
      </c>
      <c r="B2377" s="2" t="str">
        <f>"3251202108100923323969"</f>
        <v>3251202108100923323969</v>
      </c>
      <c r="C2377" s="2" t="s">
        <v>36</v>
      </c>
      <c r="D2377" s="2" t="str">
        <f>"陈萍萍"</f>
        <v>陈萍萍</v>
      </c>
      <c r="E2377" s="2" t="str">
        <f>"女"</f>
        <v>女</v>
      </c>
    </row>
    <row r="2378" spans="1:5" ht="14.4" x14ac:dyDescent="0.25">
      <c r="A2378" s="4">
        <v>2376</v>
      </c>
      <c r="B2378" s="2" t="str">
        <f>"3251202108100926303994"</f>
        <v>3251202108100926303994</v>
      </c>
      <c r="C2378" s="2" t="s">
        <v>36</v>
      </c>
      <c r="D2378" s="2" t="str">
        <f>"陈荣福"</f>
        <v>陈荣福</v>
      </c>
      <c r="E2378" s="2" t="str">
        <f>"男"</f>
        <v>男</v>
      </c>
    </row>
    <row r="2379" spans="1:5" ht="14.4" x14ac:dyDescent="0.25">
      <c r="A2379" s="4">
        <v>2377</v>
      </c>
      <c r="B2379" s="2" t="str">
        <f>"3251202108100941514099"</f>
        <v>3251202108100941514099</v>
      </c>
      <c r="C2379" s="2" t="s">
        <v>36</v>
      </c>
      <c r="D2379" s="2" t="str">
        <f>"王其创"</f>
        <v>王其创</v>
      </c>
      <c r="E2379" s="2" t="str">
        <f>"男"</f>
        <v>男</v>
      </c>
    </row>
    <row r="2380" spans="1:5" ht="14.4" x14ac:dyDescent="0.25">
      <c r="A2380" s="4">
        <v>2378</v>
      </c>
      <c r="B2380" s="2" t="str">
        <f>"3251202108100949544158"</f>
        <v>3251202108100949544158</v>
      </c>
      <c r="C2380" s="2" t="s">
        <v>36</v>
      </c>
      <c r="D2380" s="2" t="str">
        <f>"陈余珏"</f>
        <v>陈余珏</v>
      </c>
      <c r="E2380" s="2" t="str">
        <f>"男"</f>
        <v>男</v>
      </c>
    </row>
    <row r="2381" spans="1:5" ht="14.4" x14ac:dyDescent="0.25">
      <c r="A2381" s="4">
        <v>2379</v>
      </c>
      <c r="B2381" s="2" t="str">
        <f>"3251202108100952374175"</f>
        <v>3251202108100952374175</v>
      </c>
      <c r="C2381" s="2" t="s">
        <v>36</v>
      </c>
      <c r="D2381" s="2" t="str">
        <f>"羊进豪"</f>
        <v>羊进豪</v>
      </c>
      <c r="E2381" s="2" t="str">
        <f>"男"</f>
        <v>男</v>
      </c>
    </row>
    <row r="2382" spans="1:5" ht="14.4" x14ac:dyDescent="0.25">
      <c r="A2382" s="4">
        <v>2380</v>
      </c>
      <c r="B2382" s="2" t="str">
        <f>"3251202108101012234299"</f>
        <v>3251202108101012234299</v>
      </c>
      <c r="C2382" s="2" t="s">
        <v>36</v>
      </c>
      <c r="D2382" s="2" t="str">
        <f>"谢立"</f>
        <v>谢立</v>
      </c>
      <c r="E2382" s="2" t="str">
        <f>"男"</f>
        <v>男</v>
      </c>
    </row>
    <row r="2383" spans="1:5" ht="14.4" x14ac:dyDescent="0.25">
      <c r="A2383" s="4">
        <v>2381</v>
      </c>
      <c r="B2383" s="2" t="str">
        <f>"3251202108101013064303"</f>
        <v>3251202108101013064303</v>
      </c>
      <c r="C2383" s="2" t="s">
        <v>36</v>
      </c>
      <c r="D2383" s="2" t="str">
        <f>"梁春梅"</f>
        <v>梁春梅</v>
      </c>
      <c r="E2383" s="2" t="str">
        <f>"女"</f>
        <v>女</v>
      </c>
    </row>
    <row r="2384" spans="1:5" ht="14.4" x14ac:dyDescent="0.25">
      <c r="A2384" s="4">
        <v>2382</v>
      </c>
      <c r="B2384" s="2" t="str">
        <f>"3251202108101021304347"</f>
        <v>3251202108101021304347</v>
      </c>
      <c r="C2384" s="2" t="s">
        <v>36</v>
      </c>
      <c r="D2384" s="2" t="str">
        <f>"朱树帜"</f>
        <v>朱树帜</v>
      </c>
      <c r="E2384" s="2" t="str">
        <f>"男"</f>
        <v>男</v>
      </c>
    </row>
    <row r="2385" spans="1:5" ht="14.4" x14ac:dyDescent="0.25">
      <c r="A2385" s="4">
        <v>2383</v>
      </c>
      <c r="B2385" s="2" t="str">
        <f>"3251202108101036414427"</f>
        <v>3251202108101036414427</v>
      </c>
      <c r="C2385" s="2" t="s">
        <v>36</v>
      </c>
      <c r="D2385" s="2" t="str">
        <f>"卢丹丹"</f>
        <v>卢丹丹</v>
      </c>
      <c r="E2385" s="2" t="str">
        <f>"女"</f>
        <v>女</v>
      </c>
    </row>
    <row r="2386" spans="1:5" ht="14.4" x14ac:dyDescent="0.25">
      <c r="A2386" s="4">
        <v>2384</v>
      </c>
      <c r="B2386" s="2" t="str">
        <f>"3251202108101046154471"</f>
        <v>3251202108101046154471</v>
      </c>
      <c r="C2386" s="2" t="s">
        <v>36</v>
      </c>
      <c r="D2386" s="2" t="str">
        <f>"杜俊俊"</f>
        <v>杜俊俊</v>
      </c>
      <c r="E2386" s="2" t="str">
        <f>"女"</f>
        <v>女</v>
      </c>
    </row>
    <row r="2387" spans="1:5" ht="14.4" x14ac:dyDescent="0.25">
      <c r="A2387" s="4">
        <v>2385</v>
      </c>
      <c r="B2387" s="2" t="str">
        <f>"3251202108101048344479"</f>
        <v>3251202108101048344479</v>
      </c>
      <c r="C2387" s="2" t="s">
        <v>36</v>
      </c>
      <c r="D2387" s="2" t="str">
        <f>"温春虹"</f>
        <v>温春虹</v>
      </c>
      <c r="E2387" s="2" t="str">
        <f>"女"</f>
        <v>女</v>
      </c>
    </row>
    <row r="2388" spans="1:5" ht="14.4" x14ac:dyDescent="0.25">
      <c r="A2388" s="4">
        <v>2386</v>
      </c>
      <c r="B2388" s="2" t="str">
        <f>"3251202108101110144596"</f>
        <v>3251202108101110144596</v>
      </c>
      <c r="C2388" s="2" t="s">
        <v>36</v>
      </c>
      <c r="D2388" s="2" t="str">
        <f>"伍荣辉"</f>
        <v>伍荣辉</v>
      </c>
      <c r="E2388" s="2" t="str">
        <f>"男"</f>
        <v>男</v>
      </c>
    </row>
    <row r="2389" spans="1:5" ht="14.4" x14ac:dyDescent="0.25">
      <c r="A2389" s="4">
        <v>2387</v>
      </c>
      <c r="B2389" s="2" t="str">
        <f>"3251202108101119144640"</f>
        <v>3251202108101119144640</v>
      </c>
      <c r="C2389" s="2" t="s">
        <v>36</v>
      </c>
      <c r="D2389" s="2" t="str">
        <f>"符朝惠"</f>
        <v>符朝惠</v>
      </c>
      <c r="E2389" s="2" t="str">
        <f>"女"</f>
        <v>女</v>
      </c>
    </row>
    <row r="2390" spans="1:5" ht="14.4" x14ac:dyDescent="0.25">
      <c r="A2390" s="4">
        <v>2388</v>
      </c>
      <c r="B2390" s="2" t="str">
        <f>"3251202108101121064648"</f>
        <v>3251202108101121064648</v>
      </c>
      <c r="C2390" s="2" t="s">
        <v>36</v>
      </c>
      <c r="D2390" s="2" t="str">
        <f>"郑志淋"</f>
        <v>郑志淋</v>
      </c>
      <c r="E2390" s="2" t="str">
        <f>"女"</f>
        <v>女</v>
      </c>
    </row>
    <row r="2391" spans="1:5" ht="14.4" x14ac:dyDescent="0.25">
      <c r="A2391" s="4">
        <v>2389</v>
      </c>
      <c r="B2391" s="2" t="str">
        <f>"3251202108101122384656"</f>
        <v>3251202108101122384656</v>
      </c>
      <c r="C2391" s="2" t="s">
        <v>36</v>
      </c>
      <c r="D2391" s="2" t="str">
        <f>"符基伟"</f>
        <v>符基伟</v>
      </c>
      <c r="E2391" s="2" t="str">
        <f>"男"</f>
        <v>男</v>
      </c>
    </row>
    <row r="2392" spans="1:5" ht="14.4" x14ac:dyDescent="0.25">
      <c r="A2392" s="4">
        <v>2390</v>
      </c>
      <c r="B2392" s="2" t="str">
        <f>"3251202108101134384717"</f>
        <v>3251202108101134384717</v>
      </c>
      <c r="C2392" s="2" t="s">
        <v>36</v>
      </c>
      <c r="D2392" s="2" t="str">
        <f>"王群"</f>
        <v>王群</v>
      </c>
      <c r="E2392" s="2" t="str">
        <f>"男"</f>
        <v>男</v>
      </c>
    </row>
    <row r="2393" spans="1:5" ht="14.4" x14ac:dyDescent="0.25">
      <c r="A2393" s="4">
        <v>2391</v>
      </c>
      <c r="B2393" s="2" t="str">
        <f>"3251202108101252064973"</f>
        <v>3251202108101252064973</v>
      </c>
      <c r="C2393" s="2" t="s">
        <v>36</v>
      </c>
      <c r="D2393" s="2" t="str">
        <f>"蔡夫谦"</f>
        <v>蔡夫谦</v>
      </c>
      <c r="E2393" s="2" t="str">
        <f>"男"</f>
        <v>男</v>
      </c>
    </row>
    <row r="2394" spans="1:5" ht="14.4" x14ac:dyDescent="0.25">
      <c r="A2394" s="4">
        <v>2392</v>
      </c>
      <c r="B2394" s="2" t="str">
        <f>"3251202108101252484976"</f>
        <v>3251202108101252484976</v>
      </c>
      <c r="C2394" s="2" t="s">
        <v>36</v>
      </c>
      <c r="D2394" s="2" t="str">
        <f>"林秋飞"</f>
        <v>林秋飞</v>
      </c>
      <c r="E2394" s="2" t="str">
        <f t="shared" ref="E2394:E2400" si="72">"女"</f>
        <v>女</v>
      </c>
    </row>
    <row r="2395" spans="1:5" ht="14.4" x14ac:dyDescent="0.25">
      <c r="A2395" s="4">
        <v>2393</v>
      </c>
      <c r="B2395" s="2" t="str">
        <f>"3251202108101343155069"</f>
        <v>3251202108101343155069</v>
      </c>
      <c r="C2395" s="2" t="s">
        <v>36</v>
      </c>
      <c r="D2395" s="2" t="str">
        <f>"林华妹"</f>
        <v>林华妹</v>
      </c>
      <c r="E2395" s="2" t="str">
        <f t="shared" si="72"/>
        <v>女</v>
      </c>
    </row>
    <row r="2396" spans="1:5" ht="14.4" x14ac:dyDescent="0.25">
      <c r="A2396" s="4">
        <v>2394</v>
      </c>
      <c r="B2396" s="2" t="str">
        <f>"3251202108101431025186"</f>
        <v>3251202108101431025186</v>
      </c>
      <c r="C2396" s="2" t="s">
        <v>36</v>
      </c>
      <c r="D2396" s="2" t="str">
        <f>"高桂兰"</f>
        <v>高桂兰</v>
      </c>
      <c r="E2396" s="2" t="str">
        <f t="shared" si="72"/>
        <v>女</v>
      </c>
    </row>
    <row r="2397" spans="1:5" ht="14.4" x14ac:dyDescent="0.25">
      <c r="A2397" s="4">
        <v>2395</v>
      </c>
      <c r="B2397" s="2" t="str">
        <f>"3251202108101443155231"</f>
        <v>3251202108101443155231</v>
      </c>
      <c r="C2397" s="2" t="s">
        <v>36</v>
      </c>
      <c r="D2397" s="2" t="str">
        <f>"陈小燕"</f>
        <v>陈小燕</v>
      </c>
      <c r="E2397" s="2" t="str">
        <f t="shared" si="72"/>
        <v>女</v>
      </c>
    </row>
    <row r="2398" spans="1:5" ht="14.4" x14ac:dyDescent="0.25">
      <c r="A2398" s="4">
        <v>2396</v>
      </c>
      <c r="B2398" s="2" t="str">
        <f>"3251202108101444595238"</f>
        <v>3251202108101444595238</v>
      </c>
      <c r="C2398" s="2" t="s">
        <v>36</v>
      </c>
      <c r="D2398" s="2" t="str">
        <f>"麦丽丽"</f>
        <v>麦丽丽</v>
      </c>
      <c r="E2398" s="2" t="str">
        <f t="shared" si="72"/>
        <v>女</v>
      </c>
    </row>
    <row r="2399" spans="1:5" ht="14.4" x14ac:dyDescent="0.25">
      <c r="A2399" s="4">
        <v>2397</v>
      </c>
      <c r="B2399" s="2" t="str">
        <f>"3251202108101456295277"</f>
        <v>3251202108101456295277</v>
      </c>
      <c r="C2399" s="2" t="s">
        <v>36</v>
      </c>
      <c r="D2399" s="2" t="str">
        <f>"廖月容"</f>
        <v>廖月容</v>
      </c>
      <c r="E2399" s="2" t="str">
        <f t="shared" si="72"/>
        <v>女</v>
      </c>
    </row>
    <row r="2400" spans="1:5" ht="14.4" x14ac:dyDescent="0.25">
      <c r="A2400" s="4">
        <v>2398</v>
      </c>
      <c r="B2400" s="2" t="str">
        <f>"3251202108101459495290"</f>
        <v>3251202108101459495290</v>
      </c>
      <c r="C2400" s="2" t="s">
        <v>36</v>
      </c>
      <c r="D2400" s="2" t="str">
        <f>"吉玉群"</f>
        <v>吉玉群</v>
      </c>
      <c r="E2400" s="2" t="str">
        <f t="shared" si="72"/>
        <v>女</v>
      </c>
    </row>
    <row r="2401" spans="1:5" ht="14.4" x14ac:dyDescent="0.25">
      <c r="A2401" s="4">
        <v>2399</v>
      </c>
      <c r="B2401" s="2" t="str">
        <f>"3251202108101510225340"</f>
        <v>3251202108101510225340</v>
      </c>
      <c r="C2401" s="2" t="s">
        <v>36</v>
      </c>
      <c r="D2401" s="2" t="str">
        <f>"郭时滔"</f>
        <v>郭时滔</v>
      </c>
      <c r="E2401" s="2" t="str">
        <f>"男"</f>
        <v>男</v>
      </c>
    </row>
    <row r="2402" spans="1:5" ht="14.4" x14ac:dyDescent="0.25">
      <c r="A2402" s="4">
        <v>2400</v>
      </c>
      <c r="B2402" s="2" t="str">
        <f>"3251202108101558055493"</f>
        <v>3251202108101558055493</v>
      </c>
      <c r="C2402" s="2" t="s">
        <v>36</v>
      </c>
      <c r="D2402" s="2" t="str">
        <f>"张宏清"</f>
        <v>张宏清</v>
      </c>
      <c r="E2402" s="2" t="str">
        <f>"女"</f>
        <v>女</v>
      </c>
    </row>
    <row r="2403" spans="1:5" ht="14.4" x14ac:dyDescent="0.25">
      <c r="A2403" s="4">
        <v>2401</v>
      </c>
      <c r="B2403" s="2" t="str">
        <f>"3251202108101625565607"</f>
        <v>3251202108101625565607</v>
      </c>
      <c r="C2403" s="2" t="s">
        <v>36</v>
      </c>
      <c r="D2403" s="2" t="str">
        <f>"黄佳"</f>
        <v>黄佳</v>
      </c>
      <c r="E2403" s="2" t="str">
        <f>"男"</f>
        <v>男</v>
      </c>
    </row>
    <row r="2404" spans="1:5" ht="14.4" x14ac:dyDescent="0.25">
      <c r="A2404" s="4">
        <v>2402</v>
      </c>
      <c r="B2404" s="2" t="str">
        <f>"3251202108101629065619"</f>
        <v>3251202108101629065619</v>
      </c>
      <c r="C2404" s="2" t="s">
        <v>36</v>
      </c>
      <c r="D2404" s="2" t="str">
        <f>"梁文丹"</f>
        <v>梁文丹</v>
      </c>
      <c r="E2404" s="2" t="str">
        <f>"女"</f>
        <v>女</v>
      </c>
    </row>
    <row r="2405" spans="1:5" ht="14.4" x14ac:dyDescent="0.25">
      <c r="A2405" s="4">
        <v>2403</v>
      </c>
      <c r="B2405" s="2" t="str">
        <f>"3251202108101629435628"</f>
        <v>3251202108101629435628</v>
      </c>
      <c r="C2405" s="2" t="s">
        <v>36</v>
      </c>
      <c r="D2405" s="2" t="str">
        <f>"唐丽美"</f>
        <v>唐丽美</v>
      </c>
      <c r="E2405" s="2" t="str">
        <f>"女"</f>
        <v>女</v>
      </c>
    </row>
    <row r="2406" spans="1:5" ht="14.4" x14ac:dyDescent="0.25">
      <c r="A2406" s="4">
        <v>2404</v>
      </c>
      <c r="B2406" s="2" t="str">
        <f>"3251202108101640585656"</f>
        <v>3251202108101640585656</v>
      </c>
      <c r="C2406" s="2" t="s">
        <v>36</v>
      </c>
      <c r="D2406" s="2" t="str">
        <f>"尹朝亮"</f>
        <v>尹朝亮</v>
      </c>
      <c r="E2406" s="2" t="str">
        <f>"男"</f>
        <v>男</v>
      </c>
    </row>
    <row r="2407" spans="1:5" ht="14.4" x14ac:dyDescent="0.25">
      <c r="A2407" s="4">
        <v>2405</v>
      </c>
      <c r="B2407" s="2" t="str">
        <f>"3251202108101706225756"</f>
        <v>3251202108101706225756</v>
      </c>
      <c r="C2407" s="2" t="s">
        <v>36</v>
      </c>
      <c r="D2407" s="2" t="str">
        <f>"符丰晓"</f>
        <v>符丰晓</v>
      </c>
      <c r="E2407" s="2" t="str">
        <f>"男"</f>
        <v>男</v>
      </c>
    </row>
    <row r="2408" spans="1:5" ht="14.4" x14ac:dyDescent="0.25">
      <c r="A2408" s="4">
        <v>2406</v>
      </c>
      <c r="B2408" s="2" t="str">
        <f>"3251202108101856166033"</f>
        <v>3251202108101856166033</v>
      </c>
      <c r="C2408" s="2" t="s">
        <v>36</v>
      </c>
      <c r="D2408" s="2" t="str">
        <f>"罗少杰"</f>
        <v>罗少杰</v>
      </c>
      <c r="E2408" s="2" t="str">
        <f>"男"</f>
        <v>男</v>
      </c>
    </row>
    <row r="2409" spans="1:5" ht="14.4" x14ac:dyDescent="0.25">
      <c r="A2409" s="4">
        <v>2407</v>
      </c>
      <c r="B2409" s="2" t="str">
        <f>"3251202108101932536099"</f>
        <v>3251202108101932536099</v>
      </c>
      <c r="C2409" s="2" t="s">
        <v>36</v>
      </c>
      <c r="D2409" s="2" t="str">
        <f>"翁海植"</f>
        <v>翁海植</v>
      </c>
      <c r="E2409" s="2" t="str">
        <f>"男"</f>
        <v>男</v>
      </c>
    </row>
    <row r="2410" spans="1:5" ht="14.4" x14ac:dyDescent="0.25">
      <c r="A2410" s="4">
        <v>2408</v>
      </c>
      <c r="B2410" s="2" t="str">
        <f>"3251202108101939566116"</f>
        <v>3251202108101939566116</v>
      </c>
      <c r="C2410" s="2" t="s">
        <v>36</v>
      </c>
      <c r="D2410" s="2" t="str">
        <f>"符盛达"</f>
        <v>符盛达</v>
      </c>
      <c r="E2410" s="2" t="str">
        <f>"男"</f>
        <v>男</v>
      </c>
    </row>
    <row r="2411" spans="1:5" ht="14.4" x14ac:dyDescent="0.25">
      <c r="A2411" s="4">
        <v>2409</v>
      </c>
      <c r="B2411" s="2" t="str">
        <f>"3251202108102008156177"</f>
        <v>3251202108102008156177</v>
      </c>
      <c r="C2411" s="2" t="s">
        <v>36</v>
      </c>
      <c r="D2411" s="2" t="str">
        <f>"王日和"</f>
        <v>王日和</v>
      </c>
      <c r="E2411" s="2" t="str">
        <f>"女"</f>
        <v>女</v>
      </c>
    </row>
    <row r="2412" spans="1:5" ht="14.4" x14ac:dyDescent="0.25">
      <c r="A2412" s="4">
        <v>2410</v>
      </c>
      <c r="B2412" s="2" t="str">
        <f>"3251202108102026446217"</f>
        <v>3251202108102026446217</v>
      </c>
      <c r="C2412" s="2" t="s">
        <v>36</v>
      </c>
      <c r="D2412" s="2" t="str">
        <f>"陈诗笛"</f>
        <v>陈诗笛</v>
      </c>
      <c r="E2412" s="2" t="str">
        <f>"男"</f>
        <v>男</v>
      </c>
    </row>
    <row r="2413" spans="1:5" ht="14.4" x14ac:dyDescent="0.25">
      <c r="A2413" s="4">
        <v>2411</v>
      </c>
      <c r="B2413" s="2" t="str">
        <f>"3251202108102122236324"</f>
        <v>3251202108102122236324</v>
      </c>
      <c r="C2413" s="2" t="s">
        <v>36</v>
      </c>
      <c r="D2413" s="2" t="str">
        <f>"陈多峰"</f>
        <v>陈多峰</v>
      </c>
      <c r="E2413" s="2" t="str">
        <f>"男"</f>
        <v>男</v>
      </c>
    </row>
    <row r="2414" spans="1:5" ht="14.4" x14ac:dyDescent="0.25">
      <c r="A2414" s="4">
        <v>2412</v>
      </c>
      <c r="B2414" s="2" t="str">
        <f>"3251202108102227306426"</f>
        <v>3251202108102227306426</v>
      </c>
      <c r="C2414" s="2" t="s">
        <v>36</v>
      </c>
      <c r="D2414" s="2" t="str">
        <f>"廖廷娟"</f>
        <v>廖廷娟</v>
      </c>
      <c r="E2414" s="2" t="str">
        <f>"女"</f>
        <v>女</v>
      </c>
    </row>
    <row r="2415" spans="1:5" ht="14.4" x14ac:dyDescent="0.25">
      <c r="A2415" s="4">
        <v>2413</v>
      </c>
      <c r="B2415" s="2" t="str">
        <f>"3251202108102229066430"</f>
        <v>3251202108102229066430</v>
      </c>
      <c r="C2415" s="2" t="s">
        <v>36</v>
      </c>
      <c r="D2415" s="2" t="str">
        <f>"谭春日"</f>
        <v>谭春日</v>
      </c>
      <c r="E2415" s="2" t="str">
        <f>"女"</f>
        <v>女</v>
      </c>
    </row>
    <row r="2416" spans="1:5" ht="14.4" x14ac:dyDescent="0.25">
      <c r="A2416" s="4">
        <v>2414</v>
      </c>
      <c r="B2416" s="2" t="str">
        <f>"3251202108110000516532"</f>
        <v>3251202108110000516532</v>
      </c>
      <c r="C2416" s="2" t="s">
        <v>36</v>
      </c>
      <c r="D2416" s="2" t="str">
        <f>"卓上胜"</f>
        <v>卓上胜</v>
      </c>
      <c r="E2416" s="2" t="str">
        <f>"男"</f>
        <v>男</v>
      </c>
    </row>
    <row r="2417" spans="1:5" ht="14.4" x14ac:dyDescent="0.25">
      <c r="A2417" s="4">
        <v>2415</v>
      </c>
      <c r="B2417" s="2" t="str">
        <f>"3251202108110831446608"</f>
        <v>3251202108110831446608</v>
      </c>
      <c r="C2417" s="2" t="s">
        <v>36</v>
      </c>
      <c r="D2417" s="2" t="str">
        <f>"吴春晓"</f>
        <v>吴春晓</v>
      </c>
      <c r="E2417" s="2" t="str">
        <f>"女"</f>
        <v>女</v>
      </c>
    </row>
    <row r="2418" spans="1:5" ht="14.4" x14ac:dyDescent="0.25">
      <c r="A2418" s="4">
        <v>2416</v>
      </c>
      <c r="B2418" s="2" t="str">
        <f>"3251202108110844016633"</f>
        <v>3251202108110844016633</v>
      </c>
      <c r="C2418" s="2" t="s">
        <v>36</v>
      </c>
      <c r="D2418" s="2" t="str">
        <f>"刘乔颖"</f>
        <v>刘乔颖</v>
      </c>
      <c r="E2418" s="2" t="str">
        <f>"女"</f>
        <v>女</v>
      </c>
    </row>
    <row r="2419" spans="1:5" ht="14.4" x14ac:dyDescent="0.25">
      <c r="A2419" s="4">
        <v>2417</v>
      </c>
      <c r="B2419" s="2" t="str">
        <f>"3251202108110928376747"</f>
        <v>3251202108110928376747</v>
      </c>
      <c r="C2419" s="2" t="s">
        <v>36</v>
      </c>
      <c r="D2419" s="2" t="str">
        <f>"黄祖慧"</f>
        <v>黄祖慧</v>
      </c>
      <c r="E2419" s="2" t="str">
        <f>"女"</f>
        <v>女</v>
      </c>
    </row>
    <row r="2420" spans="1:5" ht="14.4" x14ac:dyDescent="0.25">
      <c r="A2420" s="4">
        <v>2418</v>
      </c>
      <c r="B2420" s="2" t="str">
        <f>"3251202108110936026772"</f>
        <v>3251202108110936026772</v>
      </c>
      <c r="C2420" s="2" t="s">
        <v>36</v>
      </c>
      <c r="D2420" s="2" t="str">
        <f>"杨雨霄"</f>
        <v>杨雨霄</v>
      </c>
      <c r="E2420" s="2" t="str">
        <f>"女"</f>
        <v>女</v>
      </c>
    </row>
    <row r="2421" spans="1:5" ht="14.4" x14ac:dyDescent="0.25">
      <c r="A2421" s="4">
        <v>2419</v>
      </c>
      <c r="B2421" s="2" t="str">
        <f>"3251202108111008586870"</f>
        <v>3251202108111008586870</v>
      </c>
      <c r="C2421" s="2" t="s">
        <v>36</v>
      </c>
      <c r="D2421" s="2" t="str">
        <f>"董国帅"</f>
        <v>董国帅</v>
      </c>
      <c r="E2421" s="2" t="str">
        <f>"男"</f>
        <v>男</v>
      </c>
    </row>
    <row r="2422" spans="1:5" ht="14.4" x14ac:dyDescent="0.25">
      <c r="A2422" s="4">
        <v>2420</v>
      </c>
      <c r="B2422" s="2" t="str">
        <f>"3251202108111040216948"</f>
        <v>3251202108111040216948</v>
      </c>
      <c r="C2422" s="2" t="s">
        <v>36</v>
      </c>
      <c r="D2422" s="2" t="str">
        <f>"符启鑫"</f>
        <v>符启鑫</v>
      </c>
      <c r="E2422" s="2" t="str">
        <f>"男"</f>
        <v>男</v>
      </c>
    </row>
    <row r="2423" spans="1:5" ht="14.4" x14ac:dyDescent="0.25">
      <c r="A2423" s="4">
        <v>2421</v>
      </c>
      <c r="B2423" s="2" t="str">
        <f>"3251202108111043126955"</f>
        <v>3251202108111043126955</v>
      </c>
      <c r="C2423" s="2" t="s">
        <v>36</v>
      </c>
      <c r="D2423" s="2" t="str">
        <f>"苏绿"</f>
        <v>苏绿</v>
      </c>
      <c r="E2423" s="2" t="str">
        <f>"女"</f>
        <v>女</v>
      </c>
    </row>
    <row r="2424" spans="1:5" ht="14.4" x14ac:dyDescent="0.25">
      <c r="A2424" s="4">
        <v>2422</v>
      </c>
      <c r="B2424" s="2" t="str">
        <f>"3251202108111116037034"</f>
        <v>3251202108111116037034</v>
      </c>
      <c r="C2424" s="2" t="s">
        <v>36</v>
      </c>
      <c r="D2424" s="2" t="str">
        <f>"黄璘璘"</f>
        <v>黄璘璘</v>
      </c>
      <c r="E2424" s="2" t="str">
        <f>"女"</f>
        <v>女</v>
      </c>
    </row>
    <row r="2425" spans="1:5" ht="14.4" x14ac:dyDescent="0.25">
      <c r="A2425" s="4">
        <v>2423</v>
      </c>
      <c r="B2425" s="2" t="str">
        <f>"3251202108111223017161"</f>
        <v>3251202108111223017161</v>
      </c>
      <c r="C2425" s="2" t="s">
        <v>36</v>
      </c>
      <c r="D2425" s="2" t="str">
        <f>"郑维焕"</f>
        <v>郑维焕</v>
      </c>
      <c r="E2425" s="2" t="str">
        <f>"女"</f>
        <v>女</v>
      </c>
    </row>
    <row r="2426" spans="1:5" ht="14.4" x14ac:dyDescent="0.25">
      <c r="A2426" s="4">
        <v>2424</v>
      </c>
      <c r="B2426" s="2" t="str">
        <f>"3251202108111229567173"</f>
        <v>3251202108111229567173</v>
      </c>
      <c r="C2426" s="2" t="s">
        <v>36</v>
      </c>
      <c r="D2426" s="2" t="str">
        <f>"符少文"</f>
        <v>符少文</v>
      </c>
      <c r="E2426" s="2" t="str">
        <f>"女"</f>
        <v>女</v>
      </c>
    </row>
    <row r="2427" spans="1:5" ht="14.4" x14ac:dyDescent="0.25">
      <c r="A2427" s="4">
        <v>2425</v>
      </c>
      <c r="B2427" s="2" t="str">
        <f>"3251202108111313037224"</f>
        <v>3251202108111313037224</v>
      </c>
      <c r="C2427" s="2" t="s">
        <v>36</v>
      </c>
      <c r="D2427" s="2" t="str">
        <f>"符永庆"</f>
        <v>符永庆</v>
      </c>
      <c r="E2427" s="2" t="str">
        <f>"男"</f>
        <v>男</v>
      </c>
    </row>
    <row r="2428" spans="1:5" ht="14.4" x14ac:dyDescent="0.25">
      <c r="A2428" s="4">
        <v>2426</v>
      </c>
      <c r="B2428" s="2" t="str">
        <f>"3251202108111332147234"</f>
        <v>3251202108111332147234</v>
      </c>
      <c r="C2428" s="2" t="s">
        <v>36</v>
      </c>
      <c r="D2428" s="2" t="str">
        <f>"陈彩霞"</f>
        <v>陈彩霞</v>
      </c>
      <c r="E2428" s="2" t="str">
        <f>"女"</f>
        <v>女</v>
      </c>
    </row>
    <row r="2429" spans="1:5" ht="14.4" x14ac:dyDescent="0.25">
      <c r="A2429" s="4">
        <v>2427</v>
      </c>
      <c r="B2429" s="2" t="str">
        <f>"3251202108111553077474"</f>
        <v>3251202108111553077474</v>
      </c>
      <c r="C2429" s="2" t="s">
        <v>36</v>
      </c>
      <c r="D2429" s="2" t="str">
        <f>"梁晋"</f>
        <v>梁晋</v>
      </c>
      <c r="E2429" s="2" t="str">
        <f>"男"</f>
        <v>男</v>
      </c>
    </row>
    <row r="2430" spans="1:5" ht="14.4" x14ac:dyDescent="0.25">
      <c r="A2430" s="4">
        <v>2428</v>
      </c>
      <c r="B2430" s="2" t="str">
        <f>"3251202108111649097575"</f>
        <v>3251202108111649097575</v>
      </c>
      <c r="C2430" s="2" t="s">
        <v>36</v>
      </c>
      <c r="D2430" s="2" t="str">
        <f>"邢轮"</f>
        <v>邢轮</v>
      </c>
      <c r="E2430" s="2" t="str">
        <f>"男"</f>
        <v>男</v>
      </c>
    </row>
    <row r="2431" spans="1:5" ht="14.4" x14ac:dyDescent="0.25">
      <c r="A2431" s="4">
        <v>2429</v>
      </c>
      <c r="B2431" s="2" t="str">
        <f>"3251202108111807567697"</f>
        <v>3251202108111807567697</v>
      </c>
      <c r="C2431" s="2" t="s">
        <v>36</v>
      </c>
      <c r="D2431" s="2" t="str">
        <f>"王国颂"</f>
        <v>王国颂</v>
      </c>
      <c r="E2431" s="2" t="str">
        <f>"男"</f>
        <v>男</v>
      </c>
    </row>
    <row r="2432" spans="1:5" ht="14.4" x14ac:dyDescent="0.25">
      <c r="A2432" s="4">
        <v>2430</v>
      </c>
      <c r="B2432" s="2" t="str">
        <f>"3251202108111826177725"</f>
        <v>3251202108111826177725</v>
      </c>
      <c r="C2432" s="2" t="s">
        <v>36</v>
      </c>
      <c r="D2432" s="2" t="str">
        <f>"符提妹"</f>
        <v>符提妹</v>
      </c>
      <c r="E2432" s="2" t="str">
        <f>"女"</f>
        <v>女</v>
      </c>
    </row>
    <row r="2433" spans="1:5" ht="14.4" x14ac:dyDescent="0.25">
      <c r="A2433" s="4">
        <v>2431</v>
      </c>
      <c r="B2433" s="2" t="str">
        <f>"3251202108111843597756"</f>
        <v>3251202108111843597756</v>
      </c>
      <c r="C2433" s="2" t="s">
        <v>36</v>
      </c>
      <c r="D2433" s="2" t="str">
        <f>"林发爱"</f>
        <v>林发爱</v>
      </c>
      <c r="E2433" s="2" t="str">
        <f>"女"</f>
        <v>女</v>
      </c>
    </row>
    <row r="2434" spans="1:5" ht="14.4" x14ac:dyDescent="0.25">
      <c r="A2434" s="4">
        <v>2432</v>
      </c>
      <c r="B2434" s="2" t="str">
        <f>"3251202108111928307798"</f>
        <v>3251202108111928307798</v>
      </c>
      <c r="C2434" s="2" t="s">
        <v>36</v>
      </c>
      <c r="D2434" s="2" t="str">
        <f>"陈传洋"</f>
        <v>陈传洋</v>
      </c>
      <c r="E2434" s="2" t="str">
        <f>"男"</f>
        <v>男</v>
      </c>
    </row>
    <row r="2435" spans="1:5" ht="14.4" x14ac:dyDescent="0.25">
      <c r="A2435" s="4">
        <v>2433</v>
      </c>
      <c r="B2435" s="2" t="str">
        <f>"3251202108112109327948"</f>
        <v>3251202108112109327948</v>
      </c>
      <c r="C2435" s="2" t="s">
        <v>36</v>
      </c>
      <c r="D2435" s="2" t="str">
        <f>"麦秀梅"</f>
        <v>麦秀梅</v>
      </c>
      <c r="E2435" s="2" t="str">
        <f t="shared" ref="E2435:E2440" si="73">"女"</f>
        <v>女</v>
      </c>
    </row>
    <row r="2436" spans="1:5" ht="14.4" x14ac:dyDescent="0.25">
      <c r="A2436" s="4">
        <v>2434</v>
      </c>
      <c r="B2436" s="2" t="str">
        <f>"3251202108112116437956"</f>
        <v>3251202108112116437956</v>
      </c>
      <c r="C2436" s="2" t="s">
        <v>36</v>
      </c>
      <c r="D2436" s="2" t="str">
        <f>"邓翠琴"</f>
        <v>邓翠琴</v>
      </c>
      <c r="E2436" s="2" t="str">
        <f t="shared" si="73"/>
        <v>女</v>
      </c>
    </row>
    <row r="2437" spans="1:5" ht="14.4" x14ac:dyDescent="0.25">
      <c r="A2437" s="4">
        <v>2435</v>
      </c>
      <c r="B2437" s="2" t="str">
        <f>"3251202108120924538320"</f>
        <v>3251202108120924538320</v>
      </c>
      <c r="C2437" s="2" t="s">
        <v>36</v>
      </c>
      <c r="D2437" s="2" t="str">
        <f>"李佳玲"</f>
        <v>李佳玲</v>
      </c>
      <c r="E2437" s="2" t="str">
        <f t="shared" si="73"/>
        <v>女</v>
      </c>
    </row>
    <row r="2438" spans="1:5" ht="14.4" x14ac:dyDescent="0.25">
      <c r="A2438" s="4">
        <v>2436</v>
      </c>
      <c r="B2438" s="2" t="str">
        <f>"3251202108121111498552"</f>
        <v>3251202108121111498552</v>
      </c>
      <c r="C2438" s="2" t="s">
        <v>36</v>
      </c>
      <c r="D2438" s="2" t="str">
        <f>"彭慧平"</f>
        <v>彭慧平</v>
      </c>
      <c r="E2438" s="2" t="str">
        <f t="shared" si="73"/>
        <v>女</v>
      </c>
    </row>
    <row r="2439" spans="1:5" ht="14.4" x14ac:dyDescent="0.25">
      <c r="A2439" s="4">
        <v>2437</v>
      </c>
      <c r="B2439" s="2" t="str">
        <f>"3251202108121320298722"</f>
        <v>3251202108121320298722</v>
      </c>
      <c r="C2439" s="2" t="s">
        <v>36</v>
      </c>
      <c r="D2439" s="2" t="str">
        <f>"冼星好"</f>
        <v>冼星好</v>
      </c>
      <c r="E2439" s="2" t="str">
        <f t="shared" si="73"/>
        <v>女</v>
      </c>
    </row>
    <row r="2440" spans="1:5" ht="14.4" x14ac:dyDescent="0.25">
      <c r="A2440" s="4">
        <v>2438</v>
      </c>
      <c r="B2440" s="2" t="str">
        <f>"3251202108121501428847"</f>
        <v>3251202108121501428847</v>
      </c>
      <c r="C2440" s="2" t="s">
        <v>36</v>
      </c>
      <c r="D2440" s="2" t="str">
        <f>"王晓怡"</f>
        <v>王晓怡</v>
      </c>
      <c r="E2440" s="2" t="str">
        <f t="shared" si="73"/>
        <v>女</v>
      </c>
    </row>
    <row r="2441" spans="1:5" ht="14.4" x14ac:dyDescent="0.25">
      <c r="A2441" s="4">
        <v>2439</v>
      </c>
      <c r="B2441" s="2" t="str">
        <f>"3251202108121503558856"</f>
        <v>3251202108121503558856</v>
      </c>
      <c r="C2441" s="2" t="s">
        <v>36</v>
      </c>
      <c r="D2441" s="2" t="str">
        <f>"容智探"</f>
        <v>容智探</v>
      </c>
      <c r="E2441" s="2" t="str">
        <f>"男"</f>
        <v>男</v>
      </c>
    </row>
    <row r="2442" spans="1:5" ht="14.4" x14ac:dyDescent="0.25">
      <c r="A2442" s="4">
        <v>2440</v>
      </c>
      <c r="B2442" s="2" t="str">
        <f>"3251202108121527128908"</f>
        <v>3251202108121527128908</v>
      </c>
      <c r="C2442" s="2" t="s">
        <v>36</v>
      </c>
      <c r="D2442" s="2" t="str">
        <f>"周妍"</f>
        <v>周妍</v>
      </c>
      <c r="E2442" s="2" t="str">
        <f>"女"</f>
        <v>女</v>
      </c>
    </row>
    <row r="2443" spans="1:5" ht="14.4" x14ac:dyDescent="0.25">
      <c r="A2443" s="4">
        <v>2441</v>
      </c>
      <c r="B2443" s="2" t="str">
        <f>"3251202108121703279072"</f>
        <v>3251202108121703279072</v>
      </c>
      <c r="C2443" s="2" t="s">
        <v>36</v>
      </c>
      <c r="D2443" s="2" t="str">
        <f>"林小漫"</f>
        <v>林小漫</v>
      </c>
      <c r="E2443" s="2" t="str">
        <f>"女"</f>
        <v>女</v>
      </c>
    </row>
    <row r="2444" spans="1:5" ht="14.4" x14ac:dyDescent="0.25">
      <c r="A2444" s="4">
        <v>2442</v>
      </c>
      <c r="B2444" s="2" t="str">
        <f>"3251202108121722279103"</f>
        <v>3251202108121722279103</v>
      </c>
      <c r="C2444" s="2" t="s">
        <v>36</v>
      </c>
      <c r="D2444" s="2" t="str">
        <f>"陈家鹏"</f>
        <v>陈家鹏</v>
      </c>
      <c r="E2444" s="2" t="str">
        <f>"男"</f>
        <v>男</v>
      </c>
    </row>
    <row r="2445" spans="1:5" ht="14.4" x14ac:dyDescent="0.25">
      <c r="A2445" s="4">
        <v>2443</v>
      </c>
      <c r="B2445" s="2" t="str">
        <f>"3251202108121937469229"</f>
        <v>3251202108121937469229</v>
      </c>
      <c r="C2445" s="2" t="s">
        <v>36</v>
      </c>
      <c r="D2445" s="2" t="str">
        <f>"符运瑞"</f>
        <v>符运瑞</v>
      </c>
      <c r="E2445" s="2" t="str">
        <f>"男"</f>
        <v>男</v>
      </c>
    </row>
    <row r="2446" spans="1:5" ht="14.4" x14ac:dyDescent="0.25">
      <c r="A2446" s="4">
        <v>2444</v>
      </c>
      <c r="B2446" s="2" t="str">
        <f>"3251202108122137449348"</f>
        <v>3251202108122137449348</v>
      </c>
      <c r="C2446" s="2" t="s">
        <v>36</v>
      </c>
      <c r="D2446" s="2" t="str">
        <f>"陈建芳"</f>
        <v>陈建芳</v>
      </c>
      <c r="E2446" s="2" t="str">
        <f>"女"</f>
        <v>女</v>
      </c>
    </row>
    <row r="2447" spans="1:5" ht="14.4" x14ac:dyDescent="0.25">
      <c r="A2447" s="4">
        <v>2445</v>
      </c>
      <c r="B2447" s="2" t="str">
        <f>"3251202108122303589431"</f>
        <v>3251202108122303589431</v>
      </c>
      <c r="C2447" s="2" t="s">
        <v>36</v>
      </c>
      <c r="D2447" s="2" t="str">
        <f>"易兴华"</f>
        <v>易兴华</v>
      </c>
      <c r="E2447" s="2" t="str">
        <f>"男"</f>
        <v>男</v>
      </c>
    </row>
    <row r="2448" spans="1:5" ht="14.4" x14ac:dyDescent="0.25">
      <c r="A2448" s="4">
        <v>2446</v>
      </c>
      <c r="B2448" s="2" t="str">
        <f>"3251202108130927129580"</f>
        <v>3251202108130927129580</v>
      </c>
      <c r="C2448" s="2" t="s">
        <v>36</v>
      </c>
      <c r="D2448" s="2" t="str">
        <f>"邢榆强"</f>
        <v>邢榆强</v>
      </c>
      <c r="E2448" s="2" t="str">
        <f>"男"</f>
        <v>男</v>
      </c>
    </row>
    <row r="2449" spans="1:5" ht="14.4" x14ac:dyDescent="0.25">
      <c r="A2449" s="4">
        <v>2447</v>
      </c>
      <c r="B2449" s="2" t="str">
        <f>"32512021081316192310023"</f>
        <v>32512021081316192310023</v>
      </c>
      <c r="C2449" s="2" t="s">
        <v>36</v>
      </c>
      <c r="D2449" s="2" t="str">
        <f>"陈艳丽"</f>
        <v>陈艳丽</v>
      </c>
      <c r="E2449" s="2" t="str">
        <f>"女"</f>
        <v>女</v>
      </c>
    </row>
    <row r="2450" spans="1:5" ht="14.4" x14ac:dyDescent="0.25">
      <c r="A2450" s="4">
        <v>2448</v>
      </c>
      <c r="B2450" s="2" t="str">
        <f>"32512021081318093610149"</f>
        <v>32512021081318093610149</v>
      </c>
      <c r="C2450" s="2" t="s">
        <v>36</v>
      </c>
      <c r="D2450" s="2" t="str">
        <f>"黎兴香"</f>
        <v>黎兴香</v>
      </c>
      <c r="E2450" s="2" t="str">
        <f>"女"</f>
        <v>女</v>
      </c>
    </row>
    <row r="2451" spans="1:5" ht="14.4" x14ac:dyDescent="0.25">
      <c r="A2451" s="4">
        <v>2449</v>
      </c>
      <c r="B2451" s="2" t="str">
        <f>"32512021081321451810277"</f>
        <v>32512021081321451810277</v>
      </c>
      <c r="C2451" s="2" t="s">
        <v>36</v>
      </c>
      <c r="D2451" s="2" t="str">
        <f>"曾光妍"</f>
        <v>曾光妍</v>
      </c>
      <c r="E2451" s="2" t="str">
        <f>"女"</f>
        <v>女</v>
      </c>
    </row>
    <row r="2452" spans="1:5" ht="14.4" x14ac:dyDescent="0.25">
      <c r="A2452" s="4">
        <v>2450</v>
      </c>
      <c r="B2452" s="2" t="str">
        <f>"32512021081322305910298"</f>
        <v>32512021081322305910298</v>
      </c>
      <c r="C2452" s="2" t="s">
        <v>36</v>
      </c>
      <c r="D2452" s="2" t="str">
        <f>"骆前光"</f>
        <v>骆前光</v>
      </c>
      <c r="E2452" s="2" t="str">
        <f>"男"</f>
        <v>男</v>
      </c>
    </row>
    <row r="2453" spans="1:5" ht="14.4" x14ac:dyDescent="0.25">
      <c r="A2453" s="4">
        <v>2451</v>
      </c>
      <c r="B2453" s="2" t="str">
        <f>"32512021081410251710450"</f>
        <v>32512021081410251710450</v>
      </c>
      <c r="C2453" s="2" t="s">
        <v>36</v>
      </c>
      <c r="D2453" s="2" t="str">
        <f>"符其姣"</f>
        <v>符其姣</v>
      </c>
      <c r="E2453" s="2" t="str">
        <f>"女"</f>
        <v>女</v>
      </c>
    </row>
    <row r="2454" spans="1:5" ht="14.4" x14ac:dyDescent="0.25">
      <c r="A2454" s="4">
        <v>2452</v>
      </c>
      <c r="B2454" s="2" t="str">
        <f>"32512021081413355310571"</f>
        <v>32512021081413355310571</v>
      </c>
      <c r="C2454" s="2" t="s">
        <v>36</v>
      </c>
      <c r="D2454" s="2" t="str">
        <f>"叶松"</f>
        <v>叶松</v>
      </c>
      <c r="E2454" s="2" t="str">
        <f>"男"</f>
        <v>男</v>
      </c>
    </row>
    <row r="2455" spans="1:5" ht="14.4" x14ac:dyDescent="0.25">
      <c r="A2455" s="4">
        <v>2453</v>
      </c>
      <c r="B2455" s="2" t="str">
        <f>"32512021081417022210712"</f>
        <v>32512021081417022210712</v>
      </c>
      <c r="C2455" s="2" t="s">
        <v>36</v>
      </c>
      <c r="D2455" s="2" t="str">
        <f>"邵秀青"</f>
        <v>邵秀青</v>
      </c>
      <c r="E2455" s="2" t="str">
        <f>"女"</f>
        <v>女</v>
      </c>
    </row>
    <row r="2456" spans="1:5" ht="14.4" x14ac:dyDescent="0.25">
      <c r="A2456" s="4">
        <v>2454</v>
      </c>
      <c r="B2456" s="2" t="str">
        <f>"32512021081419550410806"</f>
        <v>32512021081419550410806</v>
      </c>
      <c r="C2456" s="2" t="s">
        <v>36</v>
      </c>
      <c r="D2456" s="2" t="str">
        <f>"陈争"</f>
        <v>陈争</v>
      </c>
      <c r="E2456" s="2" t="str">
        <f>"男"</f>
        <v>男</v>
      </c>
    </row>
    <row r="2457" spans="1:5" ht="14.4" x14ac:dyDescent="0.25">
      <c r="A2457" s="4">
        <v>2455</v>
      </c>
      <c r="B2457" s="2" t="str">
        <f>"32512021081420394810823"</f>
        <v>32512021081420394810823</v>
      </c>
      <c r="C2457" s="2" t="s">
        <v>36</v>
      </c>
      <c r="D2457" s="2" t="str">
        <f>"陈长娇"</f>
        <v>陈长娇</v>
      </c>
      <c r="E2457" s="2" t="str">
        <f>"女"</f>
        <v>女</v>
      </c>
    </row>
    <row r="2458" spans="1:5" ht="14.4" x14ac:dyDescent="0.25">
      <c r="A2458" s="4">
        <v>2456</v>
      </c>
      <c r="B2458" s="2" t="str">
        <f>"32512021081420413110824"</f>
        <v>32512021081420413110824</v>
      </c>
      <c r="C2458" s="2" t="s">
        <v>36</v>
      </c>
      <c r="D2458" s="2" t="str">
        <f>"张昌照"</f>
        <v>张昌照</v>
      </c>
      <c r="E2458" s="2" t="str">
        <f>"男"</f>
        <v>男</v>
      </c>
    </row>
    <row r="2459" spans="1:5" ht="14.4" x14ac:dyDescent="0.25">
      <c r="A2459" s="4">
        <v>2457</v>
      </c>
      <c r="B2459" s="2" t="str">
        <f>"32512021081508004110934"</f>
        <v>32512021081508004110934</v>
      </c>
      <c r="C2459" s="2" t="s">
        <v>36</v>
      </c>
      <c r="D2459" s="2" t="str">
        <f>"钟顺超"</f>
        <v>钟顺超</v>
      </c>
      <c r="E2459" s="2" t="str">
        <f>"男"</f>
        <v>男</v>
      </c>
    </row>
    <row r="2460" spans="1:5" ht="14.4" x14ac:dyDescent="0.25">
      <c r="A2460" s="4">
        <v>2458</v>
      </c>
      <c r="B2460" s="2" t="str">
        <f>"32512021081518335911353"</f>
        <v>32512021081518335911353</v>
      </c>
      <c r="C2460" s="2" t="s">
        <v>36</v>
      </c>
      <c r="D2460" s="2" t="str">
        <f>"李雅仙"</f>
        <v>李雅仙</v>
      </c>
      <c r="E2460" s="2" t="str">
        <f>"女"</f>
        <v>女</v>
      </c>
    </row>
    <row r="2461" spans="1:5" ht="14.4" x14ac:dyDescent="0.25">
      <c r="A2461" s="4">
        <v>2459</v>
      </c>
      <c r="B2461" s="2" t="str">
        <f>"32512021081518395511357"</f>
        <v>32512021081518395511357</v>
      </c>
      <c r="C2461" s="2" t="s">
        <v>36</v>
      </c>
      <c r="D2461" s="2" t="str">
        <f>"杨水清"</f>
        <v>杨水清</v>
      </c>
      <c r="E2461" s="2" t="str">
        <f>"男"</f>
        <v>男</v>
      </c>
    </row>
    <row r="2462" spans="1:5" ht="14.4" x14ac:dyDescent="0.25">
      <c r="A2462" s="4">
        <v>2460</v>
      </c>
      <c r="B2462" s="2" t="str">
        <f>"32512021081519594511421"</f>
        <v>32512021081519594511421</v>
      </c>
      <c r="C2462" s="2" t="s">
        <v>36</v>
      </c>
      <c r="D2462" s="2" t="str">
        <f>"陈家禄"</f>
        <v>陈家禄</v>
      </c>
      <c r="E2462" s="2" t="str">
        <f>"男"</f>
        <v>男</v>
      </c>
    </row>
    <row r="2463" spans="1:5" ht="14.4" x14ac:dyDescent="0.25">
      <c r="A2463" s="4">
        <v>2461</v>
      </c>
      <c r="B2463" s="2" t="str">
        <f>"32512021081520040611422"</f>
        <v>32512021081520040611422</v>
      </c>
      <c r="C2463" s="2" t="s">
        <v>36</v>
      </c>
      <c r="D2463" s="2" t="str">
        <f>"吴彩燕"</f>
        <v>吴彩燕</v>
      </c>
      <c r="E2463" s="2" t="str">
        <f>"女"</f>
        <v>女</v>
      </c>
    </row>
    <row r="2464" spans="1:5" ht="14.4" x14ac:dyDescent="0.25">
      <c r="A2464" s="4">
        <v>2462</v>
      </c>
      <c r="B2464" s="2" t="str">
        <f>"32512021081520234111440"</f>
        <v>32512021081520234111440</v>
      </c>
      <c r="C2464" s="2" t="s">
        <v>36</v>
      </c>
      <c r="D2464" s="2" t="str">
        <f>"孙远宁"</f>
        <v>孙远宁</v>
      </c>
      <c r="E2464" s="2" t="str">
        <f>"男"</f>
        <v>男</v>
      </c>
    </row>
    <row r="2465" spans="1:5" ht="14.4" x14ac:dyDescent="0.25">
      <c r="A2465" s="4">
        <v>2463</v>
      </c>
      <c r="B2465" s="2" t="str">
        <f>"32512021081520315511449"</f>
        <v>32512021081520315511449</v>
      </c>
      <c r="C2465" s="2" t="s">
        <v>36</v>
      </c>
      <c r="D2465" s="2" t="str">
        <f>"谢灵太"</f>
        <v>谢灵太</v>
      </c>
      <c r="E2465" s="2" t="str">
        <f>"女"</f>
        <v>女</v>
      </c>
    </row>
    <row r="2466" spans="1:5" ht="14.4" x14ac:dyDescent="0.25">
      <c r="A2466" s="4">
        <v>2464</v>
      </c>
      <c r="B2466" s="2" t="str">
        <f>"32512021081609195711934"</f>
        <v>32512021081609195711934</v>
      </c>
      <c r="C2466" s="2" t="s">
        <v>36</v>
      </c>
      <c r="D2466" s="2" t="str">
        <f>"邓运菲"</f>
        <v>邓运菲</v>
      </c>
      <c r="E2466" s="2" t="str">
        <f>"女"</f>
        <v>女</v>
      </c>
    </row>
    <row r="2467" spans="1:5" ht="14.4" x14ac:dyDescent="0.25">
      <c r="A2467" s="4">
        <v>2465</v>
      </c>
      <c r="B2467" s="2" t="str">
        <f>"32512021081609273211971"</f>
        <v>32512021081609273211971</v>
      </c>
      <c r="C2467" s="2" t="s">
        <v>36</v>
      </c>
      <c r="D2467" s="2" t="str">
        <f>"陈日新"</f>
        <v>陈日新</v>
      </c>
      <c r="E2467" s="2" t="str">
        <f>"男"</f>
        <v>男</v>
      </c>
    </row>
    <row r="2468" spans="1:5" ht="14.4" x14ac:dyDescent="0.25">
      <c r="A2468" s="4">
        <v>2466</v>
      </c>
      <c r="B2468" s="2" t="str">
        <f>"32512021081609420612026"</f>
        <v>32512021081609420612026</v>
      </c>
      <c r="C2468" s="2" t="s">
        <v>36</v>
      </c>
      <c r="D2468" s="2" t="str">
        <f>"陈起源"</f>
        <v>陈起源</v>
      </c>
      <c r="E2468" s="2" t="str">
        <f>"男"</f>
        <v>男</v>
      </c>
    </row>
    <row r="2469" spans="1:5" ht="14.4" x14ac:dyDescent="0.25">
      <c r="A2469" s="4">
        <v>2467</v>
      </c>
      <c r="B2469" s="2" t="str">
        <f>"32512021081610311112281"</f>
        <v>32512021081610311112281</v>
      </c>
      <c r="C2469" s="2" t="s">
        <v>36</v>
      </c>
      <c r="D2469" s="2" t="str">
        <f>"余漫灵"</f>
        <v>余漫灵</v>
      </c>
      <c r="E2469" s="2" t="str">
        <f>"女"</f>
        <v>女</v>
      </c>
    </row>
    <row r="2470" spans="1:5" ht="14.4" x14ac:dyDescent="0.25">
      <c r="A2470" s="4">
        <v>2468</v>
      </c>
      <c r="B2470" s="2" t="str">
        <f>"32512021081611200912503"</f>
        <v>32512021081611200912503</v>
      </c>
      <c r="C2470" s="2" t="s">
        <v>36</v>
      </c>
      <c r="D2470" s="2" t="str">
        <f>"孙积攀"</f>
        <v>孙积攀</v>
      </c>
      <c r="E2470" s="2" t="str">
        <f>"男"</f>
        <v>男</v>
      </c>
    </row>
    <row r="2471" spans="1:5" ht="14.4" x14ac:dyDescent="0.25">
      <c r="A2471" s="4">
        <v>2469</v>
      </c>
      <c r="B2471" s="2" t="str">
        <f>"32512021081611230912515"</f>
        <v>32512021081611230912515</v>
      </c>
      <c r="C2471" s="2" t="s">
        <v>36</v>
      </c>
      <c r="D2471" s="2" t="str">
        <f>"张书梧"</f>
        <v>张书梧</v>
      </c>
      <c r="E2471" s="2" t="str">
        <f>"男"</f>
        <v>男</v>
      </c>
    </row>
    <row r="2472" spans="1:5" ht="14.4" x14ac:dyDescent="0.25">
      <c r="A2472" s="4">
        <v>2470</v>
      </c>
      <c r="B2472" s="2" t="str">
        <f>"32512021081611503112610"</f>
        <v>32512021081611503112610</v>
      </c>
      <c r="C2472" s="2" t="s">
        <v>36</v>
      </c>
      <c r="D2472" s="2" t="str">
        <f>"高富师"</f>
        <v>高富师</v>
      </c>
      <c r="E2472" s="2" t="str">
        <f>"男"</f>
        <v>男</v>
      </c>
    </row>
    <row r="2473" spans="1:5" ht="14.4" x14ac:dyDescent="0.25">
      <c r="A2473" s="4">
        <v>2471</v>
      </c>
      <c r="B2473" s="2" t="str">
        <f>"32512021081614011212883"</f>
        <v>32512021081614011212883</v>
      </c>
      <c r="C2473" s="2" t="s">
        <v>36</v>
      </c>
      <c r="D2473" s="2" t="str">
        <f>"吴媛媛"</f>
        <v>吴媛媛</v>
      </c>
      <c r="E2473" s="2" t="str">
        <f>"女"</f>
        <v>女</v>
      </c>
    </row>
    <row r="2474" spans="1:5" ht="14.4" x14ac:dyDescent="0.25">
      <c r="A2474" s="4">
        <v>2472</v>
      </c>
      <c r="B2474" s="2" t="str">
        <f>"3251202108101010024278"</f>
        <v>3251202108101010024278</v>
      </c>
      <c r="C2474" s="2" t="s">
        <v>37</v>
      </c>
      <c r="D2474" s="2" t="str">
        <f>"林道会"</f>
        <v>林道会</v>
      </c>
      <c r="E2474" s="2" t="str">
        <f>"女"</f>
        <v>女</v>
      </c>
    </row>
    <row r="2475" spans="1:5" ht="14.4" x14ac:dyDescent="0.25">
      <c r="A2475" s="4">
        <v>2473</v>
      </c>
      <c r="B2475" s="2" t="str">
        <f>"3251202108111538497449"</f>
        <v>3251202108111538497449</v>
      </c>
      <c r="C2475" s="2" t="s">
        <v>37</v>
      </c>
      <c r="D2475" s="2" t="str">
        <f>"陈明杰"</f>
        <v>陈明杰</v>
      </c>
      <c r="E2475" s="2" t="str">
        <f>"男"</f>
        <v>男</v>
      </c>
    </row>
    <row r="2476" spans="1:5" ht="14.4" x14ac:dyDescent="0.25">
      <c r="A2476" s="4">
        <v>2474</v>
      </c>
      <c r="B2476" s="2" t="str">
        <f>"3251202108112008177851"</f>
        <v>3251202108112008177851</v>
      </c>
      <c r="C2476" s="2" t="s">
        <v>37</v>
      </c>
      <c r="D2476" s="2" t="str">
        <f>"赵青灵"</f>
        <v>赵青灵</v>
      </c>
      <c r="E2476" s="2" t="str">
        <f>"女"</f>
        <v>女</v>
      </c>
    </row>
    <row r="2477" spans="1:5" ht="14.4" x14ac:dyDescent="0.25">
      <c r="A2477" s="4">
        <v>2475</v>
      </c>
      <c r="B2477" s="2" t="str">
        <f>"3251202108122205069373"</f>
        <v>3251202108122205069373</v>
      </c>
      <c r="C2477" s="2" t="s">
        <v>37</v>
      </c>
      <c r="D2477" s="2" t="str">
        <f>"符致越"</f>
        <v>符致越</v>
      </c>
      <c r="E2477" s="2" t="str">
        <f>"男"</f>
        <v>男</v>
      </c>
    </row>
    <row r="2478" spans="1:5" ht="14.4" x14ac:dyDescent="0.25">
      <c r="A2478" s="4">
        <v>2476</v>
      </c>
      <c r="B2478" s="2" t="str">
        <f>"32512021081513431011121"</f>
        <v>32512021081513431011121</v>
      </c>
      <c r="C2478" s="2" t="s">
        <v>37</v>
      </c>
      <c r="D2478" s="2" t="str">
        <f>"柴航"</f>
        <v>柴航</v>
      </c>
      <c r="E2478" s="2" t="str">
        <f>"女"</f>
        <v>女</v>
      </c>
    </row>
    <row r="2479" spans="1:5" ht="14.4" x14ac:dyDescent="0.25">
      <c r="A2479" s="4">
        <v>2477</v>
      </c>
      <c r="B2479" s="2" t="str">
        <f>"32512021081520231011439"</f>
        <v>32512021081520231011439</v>
      </c>
      <c r="C2479" s="2" t="s">
        <v>37</v>
      </c>
      <c r="D2479" s="2" t="str">
        <f>"黄文影"</f>
        <v>黄文影</v>
      </c>
      <c r="E2479" s="2" t="str">
        <f>"女"</f>
        <v>女</v>
      </c>
    </row>
    <row r="2480" spans="1:5" ht="14.4" x14ac:dyDescent="0.25">
      <c r="A2480" s="4">
        <v>2478</v>
      </c>
      <c r="B2480" s="2" t="str">
        <f>"3251202108100900593739"</f>
        <v>3251202108100900593739</v>
      </c>
      <c r="C2480" s="2" t="s">
        <v>38</v>
      </c>
      <c r="D2480" s="2" t="str">
        <f>"陈文娟"</f>
        <v>陈文娟</v>
      </c>
      <c r="E2480" s="2" t="str">
        <f>"女"</f>
        <v>女</v>
      </c>
    </row>
    <row r="2481" spans="1:5" ht="14.4" x14ac:dyDescent="0.25">
      <c r="A2481" s="4">
        <v>2479</v>
      </c>
      <c r="B2481" s="2" t="str">
        <f>"3251202108100909053834"</f>
        <v>3251202108100909053834</v>
      </c>
      <c r="C2481" s="2" t="s">
        <v>38</v>
      </c>
      <c r="D2481" s="2" t="str">
        <f>"陈智慧"</f>
        <v>陈智慧</v>
      </c>
      <c r="E2481" s="2" t="str">
        <f>"女"</f>
        <v>女</v>
      </c>
    </row>
    <row r="2482" spans="1:5" ht="14.4" x14ac:dyDescent="0.25">
      <c r="A2482" s="4">
        <v>2480</v>
      </c>
      <c r="B2482" s="2" t="str">
        <f>"3251202108100909443838"</f>
        <v>3251202108100909443838</v>
      </c>
      <c r="C2482" s="2" t="s">
        <v>38</v>
      </c>
      <c r="D2482" s="2" t="str">
        <f>"林树森"</f>
        <v>林树森</v>
      </c>
      <c r="E2482" s="2" t="str">
        <f>"男"</f>
        <v>男</v>
      </c>
    </row>
    <row r="2483" spans="1:5" ht="14.4" x14ac:dyDescent="0.25">
      <c r="A2483" s="4">
        <v>2481</v>
      </c>
      <c r="B2483" s="2" t="str">
        <f>"3251202108101214294846"</f>
        <v>3251202108101214294846</v>
      </c>
      <c r="C2483" s="2" t="s">
        <v>38</v>
      </c>
      <c r="D2483" s="2" t="str">
        <f>"林瑞政"</f>
        <v>林瑞政</v>
      </c>
      <c r="E2483" s="2" t="str">
        <f>"男"</f>
        <v>男</v>
      </c>
    </row>
    <row r="2484" spans="1:5" ht="14.4" x14ac:dyDescent="0.25">
      <c r="A2484" s="4">
        <v>2482</v>
      </c>
      <c r="B2484" s="2" t="str">
        <f>"3251202108101219284866"</f>
        <v>3251202108101219284866</v>
      </c>
      <c r="C2484" s="2" t="s">
        <v>38</v>
      </c>
      <c r="D2484" s="2" t="str">
        <f>"董耀"</f>
        <v>董耀</v>
      </c>
      <c r="E2484" s="2" t="str">
        <f>"女"</f>
        <v>女</v>
      </c>
    </row>
    <row r="2485" spans="1:5" ht="14.4" x14ac:dyDescent="0.25">
      <c r="A2485" s="4">
        <v>2483</v>
      </c>
      <c r="B2485" s="2" t="str">
        <f>"3251202108101246274954"</f>
        <v>3251202108101246274954</v>
      </c>
      <c r="C2485" s="2" t="s">
        <v>38</v>
      </c>
      <c r="D2485" s="2" t="str">
        <f>"洪应隆"</f>
        <v>洪应隆</v>
      </c>
      <c r="E2485" s="2" t="str">
        <f>"男"</f>
        <v>男</v>
      </c>
    </row>
    <row r="2486" spans="1:5" ht="14.4" x14ac:dyDescent="0.25">
      <c r="A2486" s="4">
        <v>2484</v>
      </c>
      <c r="B2486" s="2" t="str">
        <f>"3251202108101318265027"</f>
        <v>3251202108101318265027</v>
      </c>
      <c r="C2486" s="2" t="s">
        <v>38</v>
      </c>
      <c r="D2486" s="2" t="str">
        <f>"何允续"</f>
        <v>何允续</v>
      </c>
      <c r="E2486" s="2" t="str">
        <f>"女"</f>
        <v>女</v>
      </c>
    </row>
    <row r="2487" spans="1:5" ht="14.4" x14ac:dyDescent="0.25">
      <c r="A2487" s="4">
        <v>2485</v>
      </c>
      <c r="B2487" s="2" t="str">
        <f>"3251202108101615585565"</f>
        <v>3251202108101615585565</v>
      </c>
      <c r="C2487" s="2" t="s">
        <v>38</v>
      </c>
      <c r="D2487" s="2" t="str">
        <f>"吴年省"</f>
        <v>吴年省</v>
      </c>
      <c r="E2487" s="2" t="str">
        <f>"男"</f>
        <v>男</v>
      </c>
    </row>
    <row r="2488" spans="1:5" ht="14.4" x14ac:dyDescent="0.25">
      <c r="A2488" s="4">
        <v>2486</v>
      </c>
      <c r="B2488" s="2" t="str">
        <f>"3251202108101619595579"</f>
        <v>3251202108101619595579</v>
      </c>
      <c r="C2488" s="2" t="s">
        <v>38</v>
      </c>
      <c r="D2488" s="2" t="str">
        <f>"朱有信"</f>
        <v>朱有信</v>
      </c>
      <c r="E2488" s="2" t="str">
        <f>"男"</f>
        <v>男</v>
      </c>
    </row>
    <row r="2489" spans="1:5" ht="14.4" x14ac:dyDescent="0.25">
      <c r="A2489" s="4">
        <v>2487</v>
      </c>
      <c r="B2489" s="2" t="str">
        <f>"3251202108101816085941"</f>
        <v>3251202108101816085941</v>
      </c>
      <c r="C2489" s="2" t="s">
        <v>38</v>
      </c>
      <c r="D2489" s="2" t="str">
        <f>"黎明道"</f>
        <v>黎明道</v>
      </c>
      <c r="E2489" s="2" t="str">
        <f>"男"</f>
        <v>男</v>
      </c>
    </row>
    <row r="2490" spans="1:5" ht="14.4" x14ac:dyDescent="0.25">
      <c r="A2490" s="4">
        <v>2488</v>
      </c>
      <c r="B2490" s="2" t="str">
        <f>"3251202108101936076108"</f>
        <v>3251202108101936076108</v>
      </c>
      <c r="C2490" s="2" t="s">
        <v>38</v>
      </c>
      <c r="D2490" s="2" t="str">
        <f>"黄国玲"</f>
        <v>黄国玲</v>
      </c>
      <c r="E2490" s="2" t="str">
        <f>"女"</f>
        <v>女</v>
      </c>
    </row>
    <row r="2491" spans="1:5" ht="14.4" x14ac:dyDescent="0.25">
      <c r="A2491" s="4">
        <v>2489</v>
      </c>
      <c r="B2491" s="2" t="str">
        <f>"3251202108102010446186"</f>
        <v>3251202108102010446186</v>
      </c>
      <c r="C2491" s="2" t="s">
        <v>38</v>
      </c>
      <c r="D2491" s="2" t="str">
        <f>"杨红"</f>
        <v>杨红</v>
      </c>
      <c r="E2491" s="2" t="str">
        <f>"女"</f>
        <v>女</v>
      </c>
    </row>
    <row r="2492" spans="1:5" ht="14.4" x14ac:dyDescent="0.25">
      <c r="A2492" s="4">
        <v>2490</v>
      </c>
      <c r="B2492" s="2" t="str">
        <f>"3251202108110940346780"</f>
        <v>3251202108110940346780</v>
      </c>
      <c r="C2492" s="2" t="s">
        <v>38</v>
      </c>
      <c r="D2492" s="2" t="str">
        <f>"代厚波"</f>
        <v>代厚波</v>
      </c>
      <c r="E2492" s="2" t="str">
        <f>"男"</f>
        <v>男</v>
      </c>
    </row>
    <row r="2493" spans="1:5" ht="14.4" x14ac:dyDescent="0.25">
      <c r="A2493" s="4">
        <v>2491</v>
      </c>
      <c r="B2493" s="2" t="str">
        <f>"3251202108111122547057"</f>
        <v>3251202108111122547057</v>
      </c>
      <c r="C2493" s="2" t="s">
        <v>38</v>
      </c>
      <c r="D2493" s="2" t="str">
        <f>"王雪曼"</f>
        <v>王雪曼</v>
      </c>
      <c r="E2493" s="2" t="str">
        <f>"女"</f>
        <v>女</v>
      </c>
    </row>
    <row r="2494" spans="1:5" ht="14.4" x14ac:dyDescent="0.25">
      <c r="A2494" s="4">
        <v>2492</v>
      </c>
      <c r="B2494" s="2" t="str">
        <f>"3251202108111408387269"</f>
        <v>3251202108111408387269</v>
      </c>
      <c r="C2494" s="2" t="s">
        <v>38</v>
      </c>
      <c r="D2494" s="2" t="str">
        <f>"郭晓漩"</f>
        <v>郭晓漩</v>
      </c>
      <c r="E2494" s="2" t="str">
        <f>"女"</f>
        <v>女</v>
      </c>
    </row>
    <row r="2495" spans="1:5" ht="14.4" x14ac:dyDescent="0.25">
      <c r="A2495" s="4">
        <v>2493</v>
      </c>
      <c r="B2495" s="2" t="str">
        <f>"3251202108111553407476"</f>
        <v>3251202108111553407476</v>
      </c>
      <c r="C2495" s="2" t="s">
        <v>38</v>
      </c>
      <c r="D2495" s="2" t="str">
        <f>"祁永堂"</f>
        <v>祁永堂</v>
      </c>
      <c r="E2495" s="2" t="str">
        <f>"男"</f>
        <v>男</v>
      </c>
    </row>
    <row r="2496" spans="1:5" ht="14.4" x14ac:dyDescent="0.25">
      <c r="A2496" s="4">
        <v>2494</v>
      </c>
      <c r="B2496" s="2" t="str">
        <f>"3251202108111629207542"</f>
        <v>3251202108111629207542</v>
      </c>
      <c r="C2496" s="2" t="s">
        <v>38</v>
      </c>
      <c r="D2496" s="2" t="str">
        <f>"曾联妹"</f>
        <v>曾联妹</v>
      </c>
      <c r="E2496" s="2" t="str">
        <f>"女"</f>
        <v>女</v>
      </c>
    </row>
    <row r="2497" spans="1:5" ht="14.4" x14ac:dyDescent="0.25">
      <c r="A2497" s="4">
        <v>2495</v>
      </c>
      <c r="B2497" s="2" t="str">
        <f>"3251202108120813558182"</f>
        <v>3251202108120813558182</v>
      </c>
      <c r="C2497" s="2" t="s">
        <v>38</v>
      </c>
      <c r="D2497" s="2" t="str">
        <f>"傅后衡"</f>
        <v>傅后衡</v>
      </c>
      <c r="E2497" s="2" t="str">
        <f t="shared" ref="E2497:E2503" si="74">"男"</f>
        <v>男</v>
      </c>
    </row>
    <row r="2498" spans="1:5" ht="14.4" x14ac:dyDescent="0.25">
      <c r="A2498" s="4">
        <v>2496</v>
      </c>
      <c r="B2498" s="2" t="str">
        <f>"3251202108121012528433"</f>
        <v>3251202108121012528433</v>
      </c>
      <c r="C2498" s="2" t="s">
        <v>38</v>
      </c>
      <c r="D2498" s="2" t="str">
        <f>"刘名诚"</f>
        <v>刘名诚</v>
      </c>
      <c r="E2498" s="2" t="str">
        <f t="shared" si="74"/>
        <v>男</v>
      </c>
    </row>
    <row r="2499" spans="1:5" ht="14.4" x14ac:dyDescent="0.25">
      <c r="A2499" s="4">
        <v>2497</v>
      </c>
      <c r="B2499" s="2" t="str">
        <f>"3251202108121026158460"</f>
        <v>3251202108121026158460</v>
      </c>
      <c r="C2499" s="2" t="s">
        <v>38</v>
      </c>
      <c r="D2499" s="2" t="str">
        <f>"严居陈"</f>
        <v>严居陈</v>
      </c>
      <c r="E2499" s="2" t="str">
        <f t="shared" si="74"/>
        <v>男</v>
      </c>
    </row>
    <row r="2500" spans="1:5" ht="14.4" x14ac:dyDescent="0.25">
      <c r="A2500" s="4">
        <v>2498</v>
      </c>
      <c r="B2500" s="2" t="str">
        <f>"3251202108121208368644"</f>
        <v>3251202108121208368644</v>
      </c>
      <c r="C2500" s="2" t="s">
        <v>38</v>
      </c>
      <c r="D2500" s="2" t="str">
        <f>"符杨清"</f>
        <v>符杨清</v>
      </c>
      <c r="E2500" s="2" t="str">
        <f t="shared" si="74"/>
        <v>男</v>
      </c>
    </row>
    <row r="2501" spans="1:5" ht="14.4" x14ac:dyDescent="0.25">
      <c r="A2501" s="4">
        <v>2499</v>
      </c>
      <c r="B2501" s="2" t="str">
        <f>"3251202108121722029102"</f>
        <v>3251202108121722029102</v>
      </c>
      <c r="C2501" s="2" t="s">
        <v>38</v>
      </c>
      <c r="D2501" s="2" t="str">
        <f>"刘方敏"</f>
        <v>刘方敏</v>
      </c>
      <c r="E2501" s="2" t="str">
        <f t="shared" si="74"/>
        <v>男</v>
      </c>
    </row>
    <row r="2502" spans="1:5" ht="14.4" x14ac:dyDescent="0.25">
      <c r="A2502" s="4">
        <v>2500</v>
      </c>
      <c r="B2502" s="2" t="str">
        <f>"3251202108122204139369"</f>
        <v>3251202108122204139369</v>
      </c>
      <c r="C2502" s="2" t="s">
        <v>38</v>
      </c>
      <c r="D2502" s="2" t="str">
        <f>"韦一集"</f>
        <v>韦一集</v>
      </c>
      <c r="E2502" s="2" t="str">
        <f t="shared" si="74"/>
        <v>男</v>
      </c>
    </row>
    <row r="2503" spans="1:5" ht="14.4" x14ac:dyDescent="0.25">
      <c r="A2503" s="4">
        <v>2501</v>
      </c>
      <c r="B2503" s="2" t="str">
        <f>"3251202108122243169410"</f>
        <v>3251202108122243169410</v>
      </c>
      <c r="C2503" s="2" t="s">
        <v>38</v>
      </c>
      <c r="D2503" s="2" t="str">
        <f>"郑永"</f>
        <v>郑永</v>
      </c>
      <c r="E2503" s="2" t="str">
        <f t="shared" si="74"/>
        <v>男</v>
      </c>
    </row>
    <row r="2504" spans="1:5" ht="14.4" x14ac:dyDescent="0.25">
      <c r="A2504" s="4">
        <v>2502</v>
      </c>
      <c r="B2504" s="2" t="str">
        <f>"3251202108130944189602"</f>
        <v>3251202108130944189602</v>
      </c>
      <c r="C2504" s="2" t="s">
        <v>38</v>
      </c>
      <c r="D2504" s="2" t="str">
        <f>"黄德庄"</f>
        <v>黄德庄</v>
      </c>
      <c r="E2504" s="2" t="str">
        <f>"女"</f>
        <v>女</v>
      </c>
    </row>
    <row r="2505" spans="1:5" ht="14.4" x14ac:dyDescent="0.25">
      <c r="A2505" s="4">
        <v>2503</v>
      </c>
      <c r="B2505" s="2" t="str">
        <f>"3251202108130950139608"</f>
        <v>3251202108130950139608</v>
      </c>
      <c r="C2505" s="2" t="s">
        <v>38</v>
      </c>
      <c r="D2505" s="2" t="str">
        <f>"陈乙兴"</f>
        <v>陈乙兴</v>
      </c>
      <c r="E2505" s="2" t="str">
        <f>"男"</f>
        <v>男</v>
      </c>
    </row>
    <row r="2506" spans="1:5" ht="14.4" x14ac:dyDescent="0.25">
      <c r="A2506" s="4">
        <v>2504</v>
      </c>
      <c r="B2506" s="2" t="str">
        <f>"32512021081409205710404"</f>
        <v>32512021081409205710404</v>
      </c>
      <c r="C2506" s="2" t="s">
        <v>38</v>
      </c>
      <c r="D2506" s="2" t="str">
        <f>"王大福"</f>
        <v>王大福</v>
      </c>
      <c r="E2506" s="2" t="str">
        <f>"男"</f>
        <v>男</v>
      </c>
    </row>
    <row r="2507" spans="1:5" ht="14.4" x14ac:dyDescent="0.25">
      <c r="A2507" s="4">
        <v>2505</v>
      </c>
      <c r="B2507" s="2" t="str">
        <f>"32512021081411314110512"</f>
        <v>32512021081411314110512</v>
      </c>
      <c r="C2507" s="2" t="s">
        <v>38</v>
      </c>
      <c r="D2507" s="2" t="str">
        <f>"庄燕美"</f>
        <v>庄燕美</v>
      </c>
      <c r="E2507" s="2" t="str">
        <f>"女"</f>
        <v>女</v>
      </c>
    </row>
    <row r="2508" spans="1:5" ht="14.4" x14ac:dyDescent="0.25">
      <c r="A2508" s="4">
        <v>2506</v>
      </c>
      <c r="B2508" s="2" t="str">
        <f>"32512021081520295311447"</f>
        <v>32512021081520295311447</v>
      </c>
      <c r="C2508" s="2" t="s">
        <v>38</v>
      </c>
      <c r="D2508" s="2" t="str">
        <f>"孙继成"</f>
        <v>孙继成</v>
      </c>
      <c r="E2508" s="2" t="str">
        <f>"男"</f>
        <v>男</v>
      </c>
    </row>
    <row r="2509" spans="1:5" ht="14.4" x14ac:dyDescent="0.25">
      <c r="A2509" s="4">
        <v>2507</v>
      </c>
      <c r="B2509" s="2" t="str">
        <f>"32512021081611393512571"</f>
        <v>32512021081611393512571</v>
      </c>
      <c r="C2509" s="2" t="s">
        <v>38</v>
      </c>
      <c r="D2509" s="2" t="str">
        <f>"邢福果"</f>
        <v>邢福果</v>
      </c>
      <c r="E2509" s="2" t="str">
        <f>"男"</f>
        <v>男</v>
      </c>
    </row>
    <row r="2510" spans="1:5" ht="14.4" x14ac:dyDescent="0.25">
      <c r="A2510" s="4">
        <v>2508</v>
      </c>
      <c r="B2510" s="2" t="str">
        <f>"3251202108101010234285"</f>
        <v>3251202108101010234285</v>
      </c>
      <c r="C2510" s="2" t="s">
        <v>39</v>
      </c>
      <c r="D2510" s="2" t="str">
        <f>"姚家杰"</f>
        <v>姚家杰</v>
      </c>
      <c r="E2510" s="2" t="str">
        <f>"男"</f>
        <v>男</v>
      </c>
    </row>
    <row r="2511" spans="1:5" ht="14.4" x14ac:dyDescent="0.25">
      <c r="A2511" s="4">
        <v>2509</v>
      </c>
      <c r="B2511" s="2" t="str">
        <f>"3251202108101135274722"</f>
        <v>3251202108101135274722</v>
      </c>
      <c r="C2511" s="2" t="s">
        <v>39</v>
      </c>
      <c r="D2511" s="2" t="str">
        <f>"谢晶波"</f>
        <v>谢晶波</v>
      </c>
      <c r="E2511" s="2" t="str">
        <f>"男"</f>
        <v>男</v>
      </c>
    </row>
    <row r="2512" spans="1:5" ht="14.4" x14ac:dyDescent="0.25">
      <c r="A2512" s="4">
        <v>2510</v>
      </c>
      <c r="B2512" s="2" t="str">
        <f>"3251202108101701445736"</f>
        <v>3251202108101701445736</v>
      </c>
      <c r="C2512" s="2" t="s">
        <v>39</v>
      </c>
      <c r="D2512" s="2" t="str">
        <f>"吕晓珊"</f>
        <v>吕晓珊</v>
      </c>
      <c r="E2512" s="2" t="str">
        <f>"女"</f>
        <v>女</v>
      </c>
    </row>
    <row r="2513" spans="1:5" ht="14.4" x14ac:dyDescent="0.25">
      <c r="A2513" s="4">
        <v>2511</v>
      </c>
      <c r="B2513" s="2" t="str">
        <f>"3251202108101851326016"</f>
        <v>3251202108101851326016</v>
      </c>
      <c r="C2513" s="2" t="s">
        <v>39</v>
      </c>
      <c r="D2513" s="2" t="str">
        <f>"林道仁"</f>
        <v>林道仁</v>
      </c>
      <c r="E2513" s="2" t="str">
        <f>"男"</f>
        <v>男</v>
      </c>
    </row>
    <row r="2514" spans="1:5" ht="14.4" x14ac:dyDescent="0.25">
      <c r="A2514" s="4">
        <v>2512</v>
      </c>
      <c r="B2514" s="2" t="str">
        <f>"3251202108101924506086"</f>
        <v>3251202108101924506086</v>
      </c>
      <c r="C2514" s="2" t="s">
        <v>39</v>
      </c>
      <c r="D2514" s="2" t="str">
        <f>"郑秋菊"</f>
        <v>郑秋菊</v>
      </c>
      <c r="E2514" s="2" t="str">
        <f>"女"</f>
        <v>女</v>
      </c>
    </row>
    <row r="2515" spans="1:5" ht="14.4" x14ac:dyDescent="0.25">
      <c r="A2515" s="4">
        <v>2513</v>
      </c>
      <c r="B2515" s="2" t="str">
        <f>"3251202108110928326746"</f>
        <v>3251202108110928326746</v>
      </c>
      <c r="C2515" s="2" t="s">
        <v>39</v>
      </c>
      <c r="D2515" s="2" t="str">
        <f>"慕容妃"</f>
        <v>慕容妃</v>
      </c>
      <c r="E2515" s="2" t="str">
        <f>"女"</f>
        <v>女</v>
      </c>
    </row>
    <row r="2516" spans="1:5" ht="14.4" x14ac:dyDescent="0.25">
      <c r="A2516" s="4">
        <v>2514</v>
      </c>
      <c r="B2516" s="2" t="str">
        <f>"3251202108111748407670"</f>
        <v>3251202108111748407670</v>
      </c>
      <c r="C2516" s="2" t="s">
        <v>39</v>
      </c>
      <c r="D2516" s="2" t="str">
        <f>"严安"</f>
        <v>严安</v>
      </c>
      <c r="E2516" s="2" t="str">
        <f t="shared" ref="E2516:E2521" si="75">"男"</f>
        <v>男</v>
      </c>
    </row>
    <row r="2517" spans="1:5" ht="14.4" x14ac:dyDescent="0.25">
      <c r="A2517" s="4">
        <v>2515</v>
      </c>
      <c r="B2517" s="2" t="str">
        <f>"3251202108112326588134"</f>
        <v>3251202108112326588134</v>
      </c>
      <c r="C2517" s="2" t="s">
        <v>39</v>
      </c>
      <c r="D2517" s="2" t="str">
        <f>"田磊"</f>
        <v>田磊</v>
      </c>
      <c r="E2517" s="2" t="str">
        <f t="shared" si="75"/>
        <v>男</v>
      </c>
    </row>
    <row r="2518" spans="1:5" ht="14.4" x14ac:dyDescent="0.25">
      <c r="A2518" s="4">
        <v>2516</v>
      </c>
      <c r="B2518" s="2" t="str">
        <f>"3251202108122205449376"</f>
        <v>3251202108122205449376</v>
      </c>
      <c r="C2518" s="2" t="s">
        <v>39</v>
      </c>
      <c r="D2518" s="2" t="str">
        <f>"农翼荣"</f>
        <v>农翼荣</v>
      </c>
      <c r="E2518" s="2" t="str">
        <f t="shared" si="75"/>
        <v>男</v>
      </c>
    </row>
    <row r="2519" spans="1:5" ht="14.4" x14ac:dyDescent="0.25">
      <c r="A2519" s="4">
        <v>2517</v>
      </c>
      <c r="B2519" s="2" t="str">
        <f>"32512021081410553110480"</f>
        <v>32512021081410553110480</v>
      </c>
      <c r="C2519" s="2" t="s">
        <v>39</v>
      </c>
      <c r="D2519" s="2" t="str">
        <f>" 赵泽概"</f>
        <v xml:space="preserve"> 赵泽概</v>
      </c>
      <c r="E2519" s="2" t="str">
        <f t="shared" si="75"/>
        <v>男</v>
      </c>
    </row>
    <row r="2520" spans="1:5" ht="14.4" x14ac:dyDescent="0.25">
      <c r="A2520" s="4">
        <v>2518</v>
      </c>
      <c r="B2520" s="2" t="str">
        <f>"32512021081522400811583"</f>
        <v>32512021081522400811583</v>
      </c>
      <c r="C2520" s="2" t="s">
        <v>39</v>
      </c>
      <c r="D2520" s="2" t="str">
        <f>"李先松"</f>
        <v>李先松</v>
      </c>
      <c r="E2520" s="2" t="str">
        <f t="shared" si="75"/>
        <v>男</v>
      </c>
    </row>
    <row r="2521" spans="1:5" ht="14.4" x14ac:dyDescent="0.25">
      <c r="A2521" s="4">
        <v>2519</v>
      </c>
      <c r="B2521" s="2" t="str">
        <f>"32512021081614340112950"</f>
        <v>32512021081614340112950</v>
      </c>
      <c r="C2521" s="2" t="s">
        <v>39</v>
      </c>
      <c r="D2521" s="2" t="str">
        <f>"杨金明"</f>
        <v>杨金明</v>
      </c>
      <c r="E2521" s="2" t="str">
        <f t="shared" si="75"/>
        <v>男</v>
      </c>
    </row>
    <row r="2522" spans="1:5" ht="14.4" x14ac:dyDescent="0.25">
      <c r="A2522" s="4">
        <v>2520</v>
      </c>
      <c r="B2522" s="2" t="str">
        <f>"3251202108100941234093"</f>
        <v>3251202108100941234093</v>
      </c>
      <c r="C2522" s="2" t="s">
        <v>40</v>
      </c>
      <c r="D2522" s="2" t="str">
        <f>"王扬贤"</f>
        <v>王扬贤</v>
      </c>
      <c r="E2522" s="2" t="str">
        <f t="shared" ref="E2522:E2534" si="76">"女"</f>
        <v>女</v>
      </c>
    </row>
    <row r="2523" spans="1:5" ht="14.4" x14ac:dyDescent="0.25">
      <c r="A2523" s="4">
        <v>2521</v>
      </c>
      <c r="B2523" s="2" t="str">
        <f>"3251202108100947104132"</f>
        <v>3251202108100947104132</v>
      </c>
      <c r="C2523" s="2" t="s">
        <v>40</v>
      </c>
      <c r="D2523" s="2" t="str">
        <f>"卓文贞"</f>
        <v>卓文贞</v>
      </c>
      <c r="E2523" s="2" t="str">
        <f t="shared" si="76"/>
        <v>女</v>
      </c>
    </row>
    <row r="2524" spans="1:5" ht="14.4" x14ac:dyDescent="0.25">
      <c r="A2524" s="4">
        <v>2522</v>
      </c>
      <c r="B2524" s="2" t="str">
        <f>"3251202108100947144133"</f>
        <v>3251202108100947144133</v>
      </c>
      <c r="C2524" s="2" t="s">
        <v>40</v>
      </c>
      <c r="D2524" s="2" t="str">
        <f>"符恒瑜"</f>
        <v>符恒瑜</v>
      </c>
      <c r="E2524" s="2" t="str">
        <f t="shared" si="76"/>
        <v>女</v>
      </c>
    </row>
    <row r="2525" spans="1:5" ht="14.4" x14ac:dyDescent="0.25">
      <c r="A2525" s="4">
        <v>2523</v>
      </c>
      <c r="B2525" s="2" t="str">
        <f>"3251202108101103494561"</f>
        <v>3251202108101103494561</v>
      </c>
      <c r="C2525" s="2" t="s">
        <v>40</v>
      </c>
      <c r="D2525" s="2" t="str">
        <f>"符敏"</f>
        <v>符敏</v>
      </c>
      <c r="E2525" s="2" t="str">
        <f t="shared" si="76"/>
        <v>女</v>
      </c>
    </row>
    <row r="2526" spans="1:5" ht="14.4" x14ac:dyDescent="0.25">
      <c r="A2526" s="4">
        <v>2524</v>
      </c>
      <c r="B2526" s="2" t="str">
        <f>"3251202108101116284626"</f>
        <v>3251202108101116284626</v>
      </c>
      <c r="C2526" s="2" t="s">
        <v>40</v>
      </c>
      <c r="D2526" s="2" t="str">
        <f>"符小夏"</f>
        <v>符小夏</v>
      </c>
      <c r="E2526" s="2" t="str">
        <f t="shared" si="76"/>
        <v>女</v>
      </c>
    </row>
    <row r="2527" spans="1:5" ht="14.4" x14ac:dyDescent="0.25">
      <c r="A2527" s="4">
        <v>2525</v>
      </c>
      <c r="B2527" s="2" t="str">
        <f>"3251202108101139414740"</f>
        <v>3251202108101139414740</v>
      </c>
      <c r="C2527" s="2" t="s">
        <v>40</v>
      </c>
      <c r="D2527" s="2" t="str">
        <f>"孙晓玉"</f>
        <v>孙晓玉</v>
      </c>
      <c r="E2527" s="2" t="str">
        <f t="shared" si="76"/>
        <v>女</v>
      </c>
    </row>
    <row r="2528" spans="1:5" ht="14.4" x14ac:dyDescent="0.25">
      <c r="A2528" s="4">
        <v>2526</v>
      </c>
      <c r="B2528" s="2" t="str">
        <f>"3251202108101322445036"</f>
        <v>3251202108101322445036</v>
      </c>
      <c r="C2528" s="2" t="s">
        <v>40</v>
      </c>
      <c r="D2528" s="2" t="str">
        <f>"蒋荟芳"</f>
        <v>蒋荟芳</v>
      </c>
      <c r="E2528" s="2" t="str">
        <f t="shared" si="76"/>
        <v>女</v>
      </c>
    </row>
    <row r="2529" spans="1:5" ht="14.4" x14ac:dyDescent="0.25">
      <c r="A2529" s="4">
        <v>2527</v>
      </c>
      <c r="B2529" s="2" t="str">
        <f>"3251202108101448065248"</f>
        <v>3251202108101448065248</v>
      </c>
      <c r="C2529" s="2" t="s">
        <v>40</v>
      </c>
      <c r="D2529" s="2" t="str">
        <f>"曾进秋"</f>
        <v>曾进秋</v>
      </c>
      <c r="E2529" s="2" t="str">
        <f t="shared" si="76"/>
        <v>女</v>
      </c>
    </row>
    <row r="2530" spans="1:5" ht="14.4" x14ac:dyDescent="0.25">
      <c r="A2530" s="4">
        <v>2528</v>
      </c>
      <c r="B2530" s="2" t="str">
        <f>"3251202108121727189108"</f>
        <v>3251202108121727189108</v>
      </c>
      <c r="C2530" s="2" t="s">
        <v>40</v>
      </c>
      <c r="D2530" s="2" t="str">
        <f>"符丽悦"</f>
        <v>符丽悦</v>
      </c>
      <c r="E2530" s="2" t="str">
        <f t="shared" si="76"/>
        <v>女</v>
      </c>
    </row>
    <row r="2531" spans="1:5" ht="14.4" x14ac:dyDescent="0.25">
      <c r="A2531" s="4">
        <v>2529</v>
      </c>
      <c r="B2531" s="2" t="str">
        <f>"3251202108130914009561"</f>
        <v>3251202108130914009561</v>
      </c>
      <c r="C2531" s="2" t="s">
        <v>40</v>
      </c>
      <c r="D2531" s="2" t="str">
        <f>"王露雯"</f>
        <v>王露雯</v>
      </c>
      <c r="E2531" s="2" t="str">
        <f t="shared" si="76"/>
        <v>女</v>
      </c>
    </row>
    <row r="2532" spans="1:5" ht="14.4" x14ac:dyDescent="0.25">
      <c r="A2532" s="4">
        <v>2530</v>
      </c>
      <c r="B2532" s="2" t="str">
        <f>"32512021081322561510318"</f>
        <v>32512021081322561510318</v>
      </c>
      <c r="C2532" s="2" t="s">
        <v>40</v>
      </c>
      <c r="D2532" s="2" t="str">
        <f>"洪豆"</f>
        <v>洪豆</v>
      </c>
      <c r="E2532" s="2" t="str">
        <f t="shared" si="76"/>
        <v>女</v>
      </c>
    </row>
    <row r="2533" spans="1:5" ht="14.4" x14ac:dyDescent="0.25">
      <c r="A2533" s="4">
        <v>2531</v>
      </c>
      <c r="B2533" s="2" t="str">
        <f>"32512021081409183910403"</f>
        <v>32512021081409183910403</v>
      </c>
      <c r="C2533" s="2" t="s">
        <v>40</v>
      </c>
      <c r="D2533" s="2" t="str">
        <f>"李晓倩"</f>
        <v>李晓倩</v>
      </c>
      <c r="E2533" s="2" t="str">
        <f t="shared" si="76"/>
        <v>女</v>
      </c>
    </row>
    <row r="2534" spans="1:5" ht="14.4" x14ac:dyDescent="0.25">
      <c r="A2534" s="4">
        <v>2532</v>
      </c>
      <c r="B2534" s="2" t="str">
        <f>"32512021081518102711334"</f>
        <v>32512021081518102711334</v>
      </c>
      <c r="C2534" s="2" t="s">
        <v>40</v>
      </c>
      <c r="D2534" s="2" t="str">
        <f>"王娟"</f>
        <v>王娟</v>
      </c>
      <c r="E2534" s="2" t="str">
        <f t="shared" si="76"/>
        <v>女</v>
      </c>
    </row>
    <row r="2535" spans="1:5" ht="14.4" x14ac:dyDescent="0.25">
      <c r="A2535" s="4">
        <v>2533</v>
      </c>
      <c r="B2535" s="2" t="str">
        <f>"3251202108100901303744"</f>
        <v>3251202108100901303744</v>
      </c>
      <c r="C2535" s="2" t="s">
        <v>41</v>
      </c>
      <c r="D2535" s="2" t="str">
        <f>"邢华隆"</f>
        <v>邢华隆</v>
      </c>
      <c r="E2535" s="2" t="str">
        <f>"男"</f>
        <v>男</v>
      </c>
    </row>
    <row r="2536" spans="1:5" ht="14.4" x14ac:dyDescent="0.25">
      <c r="A2536" s="4">
        <v>2534</v>
      </c>
      <c r="B2536" s="2" t="str">
        <f>"3251202108100903253771"</f>
        <v>3251202108100903253771</v>
      </c>
      <c r="C2536" s="2" t="s">
        <v>41</v>
      </c>
      <c r="D2536" s="2" t="str">
        <f>"谭春月"</f>
        <v>谭春月</v>
      </c>
      <c r="E2536" s="2" t="str">
        <f>"女"</f>
        <v>女</v>
      </c>
    </row>
    <row r="2537" spans="1:5" ht="14.4" x14ac:dyDescent="0.25">
      <c r="A2537" s="4">
        <v>2535</v>
      </c>
      <c r="B2537" s="2" t="str">
        <f>"3251202108100905573795"</f>
        <v>3251202108100905573795</v>
      </c>
      <c r="C2537" s="2" t="s">
        <v>41</v>
      </c>
      <c r="D2537" s="2" t="str">
        <f>"洪世祺"</f>
        <v>洪世祺</v>
      </c>
      <c r="E2537" s="2" t="str">
        <f>"男"</f>
        <v>男</v>
      </c>
    </row>
    <row r="2538" spans="1:5" ht="14.4" x14ac:dyDescent="0.25">
      <c r="A2538" s="4">
        <v>2536</v>
      </c>
      <c r="B2538" s="2" t="str">
        <f>"3251202108100910383853"</f>
        <v>3251202108100910383853</v>
      </c>
      <c r="C2538" s="2" t="s">
        <v>41</v>
      </c>
      <c r="D2538" s="2" t="str">
        <f>"陈积杰"</f>
        <v>陈积杰</v>
      </c>
      <c r="E2538" s="2" t="str">
        <f>"男"</f>
        <v>男</v>
      </c>
    </row>
    <row r="2539" spans="1:5" ht="14.4" x14ac:dyDescent="0.25">
      <c r="A2539" s="4">
        <v>2537</v>
      </c>
      <c r="B2539" s="2" t="str">
        <f>"3251202108100918223927"</f>
        <v>3251202108100918223927</v>
      </c>
      <c r="C2539" s="2" t="s">
        <v>41</v>
      </c>
      <c r="D2539" s="2" t="str">
        <f>"王朝得"</f>
        <v>王朝得</v>
      </c>
      <c r="E2539" s="2" t="str">
        <f>"男"</f>
        <v>男</v>
      </c>
    </row>
    <row r="2540" spans="1:5" ht="14.4" x14ac:dyDescent="0.25">
      <c r="A2540" s="4">
        <v>2538</v>
      </c>
      <c r="B2540" s="2" t="str">
        <f>"3251202108100923533972"</f>
        <v>3251202108100923533972</v>
      </c>
      <c r="C2540" s="2" t="s">
        <v>41</v>
      </c>
      <c r="D2540" s="2" t="str">
        <f>"陈承凤"</f>
        <v>陈承凤</v>
      </c>
      <c r="E2540" s="2" t="str">
        <f>"女"</f>
        <v>女</v>
      </c>
    </row>
    <row r="2541" spans="1:5" ht="14.4" x14ac:dyDescent="0.25">
      <c r="A2541" s="4">
        <v>2539</v>
      </c>
      <c r="B2541" s="2" t="str">
        <f>"3251202108100925293986"</f>
        <v>3251202108100925293986</v>
      </c>
      <c r="C2541" s="2" t="s">
        <v>41</v>
      </c>
      <c r="D2541" s="2" t="str">
        <f>"谢宗琳"</f>
        <v>谢宗琳</v>
      </c>
      <c r="E2541" s="2" t="str">
        <f>"男"</f>
        <v>男</v>
      </c>
    </row>
    <row r="2542" spans="1:5" ht="14.4" x14ac:dyDescent="0.25">
      <c r="A2542" s="4">
        <v>2540</v>
      </c>
      <c r="B2542" s="2" t="str">
        <f>"3251202108100929244013"</f>
        <v>3251202108100929244013</v>
      </c>
      <c r="C2542" s="2" t="s">
        <v>41</v>
      </c>
      <c r="D2542" s="2" t="str">
        <f>"骆美明"</f>
        <v>骆美明</v>
      </c>
      <c r="E2542" s="2" t="str">
        <f>"女"</f>
        <v>女</v>
      </c>
    </row>
    <row r="2543" spans="1:5" ht="14.4" x14ac:dyDescent="0.25">
      <c r="A2543" s="4">
        <v>2541</v>
      </c>
      <c r="B2543" s="2" t="str">
        <f>"3251202108100931084028"</f>
        <v>3251202108100931084028</v>
      </c>
      <c r="C2543" s="2" t="s">
        <v>41</v>
      </c>
      <c r="D2543" s="2" t="str">
        <f>"王丽燕"</f>
        <v>王丽燕</v>
      </c>
      <c r="E2543" s="2" t="str">
        <f>"女"</f>
        <v>女</v>
      </c>
    </row>
    <row r="2544" spans="1:5" ht="14.4" x14ac:dyDescent="0.25">
      <c r="A2544" s="4">
        <v>2542</v>
      </c>
      <c r="B2544" s="2" t="str">
        <f>"3251202108100944014110"</f>
        <v>3251202108100944014110</v>
      </c>
      <c r="C2544" s="2" t="s">
        <v>41</v>
      </c>
      <c r="D2544" s="2" t="str">
        <f>"文金迎"</f>
        <v>文金迎</v>
      </c>
      <c r="E2544" s="2" t="str">
        <f>"女"</f>
        <v>女</v>
      </c>
    </row>
    <row r="2545" spans="1:5" ht="14.4" x14ac:dyDescent="0.25">
      <c r="A2545" s="4">
        <v>2543</v>
      </c>
      <c r="B2545" s="2" t="str">
        <f>"3251202108100951104164"</f>
        <v>3251202108100951104164</v>
      </c>
      <c r="C2545" s="2" t="s">
        <v>41</v>
      </c>
      <c r="D2545" s="2" t="str">
        <f>"沈家莹"</f>
        <v>沈家莹</v>
      </c>
      <c r="E2545" s="2" t="str">
        <f>"男"</f>
        <v>男</v>
      </c>
    </row>
    <row r="2546" spans="1:5" ht="14.4" x14ac:dyDescent="0.25">
      <c r="A2546" s="4">
        <v>2544</v>
      </c>
      <c r="B2546" s="2" t="str">
        <f>"3251202108100952184172"</f>
        <v>3251202108100952184172</v>
      </c>
      <c r="C2546" s="2" t="s">
        <v>41</v>
      </c>
      <c r="D2546" s="2" t="str">
        <f>"黄丽娜"</f>
        <v>黄丽娜</v>
      </c>
      <c r="E2546" s="2" t="str">
        <f>"女"</f>
        <v>女</v>
      </c>
    </row>
    <row r="2547" spans="1:5" ht="14.4" x14ac:dyDescent="0.25">
      <c r="A2547" s="4">
        <v>2545</v>
      </c>
      <c r="B2547" s="2" t="str">
        <f>"3251202108101003284245"</f>
        <v>3251202108101003284245</v>
      </c>
      <c r="C2547" s="2" t="s">
        <v>41</v>
      </c>
      <c r="D2547" s="2" t="str">
        <f>"桂伟东"</f>
        <v>桂伟东</v>
      </c>
      <c r="E2547" s="2" t="str">
        <f>"男"</f>
        <v>男</v>
      </c>
    </row>
    <row r="2548" spans="1:5" ht="14.4" x14ac:dyDescent="0.25">
      <c r="A2548" s="4">
        <v>2546</v>
      </c>
      <c r="B2548" s="2" t="str">
        <f>"3251202108101008514274"</f>
        <v>3251202108101008514274</v>
      </c>
      <c r="C2548" s="2" t="s">
        <v>41</v>
      </c>
      <c r="D2548" s="2" t="str">
        <f>"王进惠"</f>
        <v>王进惠</v>
      </c>
      <c r="E2548" s="2" t="str">
        <f>"男"</f>
        <v>男</v>
      </c>
    </row>
    <row r="2549" spans="1:5" ht="14.4" x14ac:dyDescent="0.25">
      <c r="A2549" s="4">
        <v>2547</v>
      </c>
      <c r="B2549" s="2" t="str">
        <f>"3251202108101020304341"</f>
        <v>3251202108101020304341</v>
      </c>
      <c r="C2549" s="2" t="s">
        <v>41</v>
      </c>
      <c r="D2549" s="2" t="str">
        <f>"符虹雨"</f>
        <v>符虹雨</v>
      </c>
      <c r="E2549" s="2" t="str">
        <f>"女"</f>
        <v>女</v>
      </c>
    </row>
    <row r="2550" spans="1:5" ht="14.4" x14ac:dyDescent="0.25">
      <c r="A2550" s="4">
        <v>2548</v>
      </c>
      <c r="B2550" s="2" t="str">
        <f>"3251202108101027384382"</f>
        <v>3251202108101027384382</v>
      </c>
      <c r="C2550" s="2" t="s">
        <v>41</v>
      </c>
      <c r="D2550" s="2" t="str">
        <f>"吴圣武"</f>
        <v>吴圣武</v>
      </c>
      <c r="E2550" s="2" t="str">
        <f>"男"</f>
        <v>男</v>
      </c>
    </row>
    <row r="2551" spans="1:5" ht="14.4" x14ac:dyDescent="0.25">
      <c r="A2551" s="4">
        <v>2549</v>
      </c>
      <c r="B2551" s="2" t="str">
        <f>"3251202108101039584438"</f>
        <v>3251202108101039584438</v>
      </c>
      <c r="C2551" s="2" t="s">
        <v>41</v>
      </c>
      <c r="D2551" s="2" t="str">
        <f>"徐婉卿"</f>
        <v>徐婉卿</v>
      </c>
      <c r="E2551" s="2" t="str">
        <f>"女"</f>
        <v>女</v>
      </c>
    </row>
    <row r="2552" spans="1:5" ht="14.4" x14ac:dyDescent="0.25">
      <c r="A2552" s="4">
        <v>2550</v>
      </c>
      <c r="B2552" s="2" t="str">
        <f>"3251202108101042544457"</f>
        <v>3251202108101042544457</v>
      </c>
      <c r="C2552" s="2" t="s">
        <v>41</v>
      </c>
      <c r="D2552" s="2" t="str">
        <f>"林玮玮"</f>
        <v>林玮玮</v>
      </c>
      <c r="E2552" s="2" t="str">
        <f>"女"</f>
        <v>女</v>
      </c>
    </row>
    <row r="2553" spans="1:5" ht="14.4" x14ac:dyDescent="0.25">
      <c r="A2553" s="4">
        <v>2551</v>
      </c>
      <c r="B2553" s="2" t="str">
        <f>"3251202108101043464464"</f>
        <v>3251202108101043464464</v>
      </c>
      <c r="C2553" s="2" t="s">
        <v>41</v>
      </c>
      <c r="D2553" s="2" t="str">
        <f>"王廷兴"</f>
        <v>王廷兴</v>
      </c>
      <c r="E2553" s="2" t="str">
        <f>"男"</f>
        <v>男</v>
      </c>
    </row>
    <row r="2554" spans="1:5" ht="14.4" x14ac:dyDescent="0.25">
      <c r="A2554" s="4">
        <v>2552</v>
      </c>
      <c r="B2554" s="2" t="str">
        <f>"3251202108101100514540"</f>
        <v>3251202108101100514540</v>
      </c>
      <c r="C2554" s="2" t="s">
        <v>41</v>
      </c>
      <c r="D2554" s="2" t="str">
        <f>"符素芳"</f>
        <v>符素芳</v>
      </c>
      <c r="E2554" s="2" t="str">
        <f>"女"</f>
        <v>女</v>
      </c>
    </row>
    <row r="2555" spans="1:5" ht="14.4" x14ac:dyDescent="0.25">
      <c r="A2555" s="4">
        <v>2553</v>
      </c>
      <c r="B2555" s="2" t="str">
        <f>"3251202108101102394553"</f>
        <v>3251202108101102394553</v>
      </c>
      <c r="C2555" s="2" t="s">
        <v>41</v>
      </c>
      <c r="D2555" s="2" t="str">
        <f>"黎博典"</f>
        <v>黎博典</v>
      </c>
      <c r="E2555" s="2" t="str">
        <f>"男"</f>
        <v>男</v>
      </c>
    </row>
    <row r="2556" spans="1:5" ht="14.4" x14ac:dyDescent="0.25">
      <c r="A2556" s="4">
        <v>2554</v>
      </c>
      <c r="B2556" s="2" t="str">
        <f>"3251202108101110004591"</f>
        <v>3251202108101110004591</v>
      </c>
      <c r="C2556" s="2" t="s">
        <v>41</v>
      </c>
      <c r="D2556" s="2" t="str">
        <f>"张依瑶"</f>
        <v>张依瑶</v>
      </c>
      <c r="E2556" s="2" t="str">
        <f>"女"</f>
        <v>女</v>
      </c>
    </row>
    <row r="2557" spans="1:5" ht="14.4" x14ac:dyDescent="0.25">
      <c r="A2557" s="4">
        <v>2555</v>
      </c>
      <c r="B2557" s="2" t="str">
        <f>"3251202108101114584619"</f>
        <v>3251202108101114584619</v>
      </c>
      <c r="C2557" s="2" t="s">
        <v>41</v>
      </c>
      <c r="D2557" s="2" t="str">
        <f>"符倩"</f>
        <v>符倩</v>
      </c>
      <c r="E2557" s="2" t="str">
        <f>"女"</f>
        <v>女</v>
      </c>
    </row>
    <row r="2558" spans="1:5" ht="14.4" x14ac:dyDescent="0.25">
      <c r="A2558" s="4">
        <v>2556</v>
      </c>
      <c r="B2558" s="2" t="str">
        <f>"3251202108101125234673"</f>
        <v>3251202108101125234673</v>
      </c>
      <c r="C2558" s="2" t="s">
        <v>41</v>
      </c>
      <c r="D2558" s="2" t="str">
        <f>"符金玲"</f>
        <v>符金玲</v>
      </c>
      <c r="E2558" s="2" t="str">
        <f>"女"</f>
        <v>女</v>
      </c>
    </row>
    <row r="2559" spans="1:5" ht="14.4" x14ac:dyDescent="0.25">
      <c r="A2559" s="4">
        <v>2557</v>
      </c>
      <c r="B2559" s="2" t="str">
        <f>"3251202108101138064732"</f>
        <v>3251202108101138064732</v>
      </c>
      <c r="C2559" s="2" t="s">
        <v>41</v>
      </c>
      <c r="D2559" s="2" t="str">
        <f>"林远"</f>
        <v>林远</v>
      </c>
      <c r="E2559" s="2" t="str">
        <f>"男"</f>
        <v>男</v>
      </c>
    </row>
    <row r="2560" spans="1:5" ht="14.4" x14ac:dyDescent="0.25">
      <c r="A2560" s="4">
        <v>2558</v>
      </c>
      <c r="B2560" s="2" t="str">
        <f>"3251202108101142094755"</f>
        <v>3251202108101142094755</v>
      </c>
      <c r="C2560" s="2" t="s">
        <v>41</v>
      </c>
      <c r="D2560" s="2" t="str">
        <f>"符逢林"</f>
        <v>符逢林</v>
      </c>
      <c r="E2560" s="2" t="str">
        <f>"男"</f>
        <v>男</v>
      </c>
    </row>
    <row r="2561" spans="1:5" ht="14.4" x14ac:dyDescent="0.25">
      <c r="A2561" s="4">
        <v>2559</v>
      </c>
      <c r="B2561" s="2" t="str">
        <f>"3251202108101144014761"</f>
        <v>3251202108101144014761</v>
      </c>
      <c r="C2561" s="2" t="s">
        <v>41</v>
      </c>
      <c r="D2561" s="2" t="str">
        <f>"朱秀梅"</f>
        <v>朱秀梅</v>
      </c>
      <c r="E2561" s="2" t="str">
        <f>"女"</f>
        <v>女</v>
      </c>
    </row>
    <row r="2562" spans="1:5" ht="14.4" x14ac:dyDescent="0.25">
      <c r="A2562" s="4">
        <v>2560</v>
      </c>
      <c r="B2562" s="2" t="str">
        <f>"3251202108101148154774"</f>
        <v>3251202108101148154774</v>
      </c>
      <c r="C2562" s="2" t="s">
        <v>41</v>
      </c>
      <c r="D2562" s="2" t="str">
        <f>"黄林浩"</f>
        <v>黄林浩</v>
      </c>
      <c r="E2562" s="2" t="str">
        <f>"男"</f>
        <v>男</v>
      </c>
    </row>
    <row r="2563" spans="1:5" ht="14.4" x14ac:dyDescent="0.25">
      <c r="A2563" s="4">
        <v>2561</v>
      </c>
      <c r="B2563" s="2" t="str">
        <f>"3251202108101155114786"</f>
        <v>3251202108101155114786</v>
      </c>
      <c r="C2563" s="2" t="s">
        <v>41</v>
      </c>
      <c r="D2563" s="2" t="str">
        <f>"王本立"</f>
        <v>王本立</v>
      </c>
      <c r="E2563" s="2" t="str">
        <f>"男"</f>
        <v>男</v>
      </c>
    </row>
    <row r="2564" spans="1:5" ht="14.4" x14ac:dyDescent="0.25">
      <c r="A2564" s="4">
        <v>2562</v>
      </c>
      <c r="B2564" s="2" t="str">
        <f>"3251202108101210534833"</f>
        <v>3251202108101210534833</v>
      </c>
      <c r="C2564" s="2" t="s">
        <v>41</v>
      </c>
      <c r="D2564" s="2" t="str">
        <f>"吴挺林"</f>
        <v>吴挺林</v>
      </c>
      <c r="E2564" s="2" t="str">
        <f>"男"</f>
        <v>男</v>
      </c>
    </row>
    <row r="2565" spans="1:5" ht="14.4" x14ac:dyDescent="0.25">
      <c r="A2565" s="4">
        <v>2563</v>
      </c>
      <c r="B2565" s="2" t="str">
        <f>"3251202108101235444925"</f>
        <v>3251202108101235444925</v>
      </c>
      <c r="C2565" s="2" t="s">
        <v>41</v>
      </c>
      <c r="D2565" s="2" t="str">
        <f>"陈斌"</f>
        <v>陈斌</v>
      </c>
      <c r="E2565" s="2" t="str">
        <f>"男"</f>
        <v>男</v>
      </c>
    </row>
    <row r="2566" spans="1:5" ht="14.4" x14ac:dyDescent="0.25">
      <c r="A2566" s="4">
        <v>2564</v>
      </c>
      <c r="B2566" s="2" t="str">
        <f>"3251202108101240254942"</f>
        <v>3251202108101240254942</v>
      </c>
      <c r="C2566" s="2" t="s">
        <v>41</v>
      </c>
      <c r="D2566" s="2" t="str">
        <f>"王永安"</f>
        <v>王永安</v>
      </c>
      <c r="E2566" s="2" t="str">
        <f>"男"</f>
        <v>男</v>
      </c>
    </row>
    <row r="2567" spans="1:5" ht="14.4" x14ac:dyDescent="0.25">
      <c r="A2567" s="4">
        <v>2565</v>
      </c>
      <c r="B2567" s="2" t="str">
        <f>"3251202108101248574962"</f>
        <v>3251202108101248574962</v>
      </c>
      <c r="C2567" s="2" t="s">
        <v>41</v>
      </c>
      <c r="D2567" s="2" t="str">
        <f>"王丽媛"</f>
        <v>王丽媛</v>
      </c>
      <c r="E2567" s="2" t="str">
        <f>"女"</f>
        <v>女</v>
      </c>
    </row>
    <row r="2568" spans="1:5" ht="14.4" x14ac:dyDescent="0.25">
      <c r="A2568" s="4">
        <v>2566</v>
      </c>
      <c r="B2568" s="2" t="str">
        <f>"3251202108101303154991"</f>
        <v>3251202108101303154991</v>
      </c>
      <c r="C2568" s="2" t="s">
        <v>41</v>
      </c>
      <c r="D2568" s="2" t="str">
        <f>"赵妹菊"</f>
        <v>赵妹菊</v>
      </c>
      <c r="E2568" s="2" t="str">
        <f>"女"</f>
        <v>女</v>
      </c>
    </row>
    <row r="2569" spans="1:5" ht="14.4" x14ac:dyDescent="0.25">
      <c r="A2569" s="4">
        <v>2567</v>
      </c>
      <c r="B2569" s="2" t="str">
        <f>"3251202108101358345100"</f>
        <v>3251202108101358345100</v>
      </c>
      <c r="C2569" s="2" t="s">
        <v>41</v>
      </c>
      <c r="D2569" s="2" t="str">
        <f>"曾佑康"</f>
        <v>曾佑康</v>
      </c>
      <c r="E2569" s="2" t="str">
        <f>"男"</f>
        <v>男</v>
      </c>
    </row>
    <row r="2570" spans="1:5" ht="14.4" x14ac:dyDescent="0.25">
      <c r="A2570" s="4">
        <v>2568</v>
      </c>
      <c r="B2570" s="2" t="str">
        <f>"3251202108101407325122"</f>
        <v>3251202108101407325122</v>
      </c>
      <c r="C2570" s="2" t="s">
        <v>41</v>
      </c>
      <c r="D2570" s="2" t="str">
        <f>"许娴静"</f>
        <v>许娴静</v>
      </c>
      <c r="E2570" s="2" t="str">
        <f>"女"</f>
        <v>女</v>
      </c>
    </row>
    <row r="2571" spans="1:5" ht="14.4" x14ac:dyDescent="0.25">
      <c r="A2571" s="4">
        <v>2569</v>
      </c>
      <c r="B2571" s="2" t="str">
        <f>"3251202108101437105207"</f>
        <v>3251202108101437105207</v>
      </c>
      <c r="C2571" s="2" t="s">
        <v>41</v>
      </c>
      <c r="D2571" s="2" t="str">
        <f>"林建汕"</f>
        <v>林建汕</v>
      </c>
      <c r="E2571" s="2" t="str">
        <f>"女"</f>
        <v>女</v>
      </c>
    </row>
    <row r="2572" spans="1:5" ht="14.4" x14ac:dyDescent="0.25">
      <c r="A2572" s="4">
        <v>2570</v>
      </c>
      <c r="B2572" s="2" t="str">
        <f>"3251202108101519565374"</f>
        <v>3251202108101519565374</v>
      </c>
      <c r="C2572" s="2" t="s">
        <v>41</v>
      </c>
      <c r="D2572" s="2" t="str">
        <f>"许志华"</f>
        <v>许志华</v>
      </c>
      <c r="E2572" s="2" t="str">
        <f>"男"</f>
        <v>男</v>
      </c>
    </row>
    <row r="2573" spans="1:5" ht="14.4" x14ac:dyDescent="0.25">
      <c r="A2573" s="4">
        <v>2571</v>
      </c>
      <c r="B2573" s="2" t="str">
        <f>"3251202108101520215376"</f>
        <v>3251202108101520215376</v>
      </c>
      <c r="C2573" s="2" t="s">
        <v>41</v>
      </c>
      <c r="D2573" s="2" t="str">
        <f>"谢伟绩"</f>
        <v>谢伟绩</v>
      </c>
      <c r="E2573" s="2" t="str">
        <f>"男"</f>
        <v>男</v>
      </c>
    </row>
    <row r="2574" spans="1:5" ht="14.4" x14ac:dyDescent="0.25">
      <c r="A2574" s="4">
        <v>2572</v>
      </c>
      <c r="B2574" s="2" t="str">
        <f>"3251202108101530185405"</f>
        <v>3251202108101530185405</v>
      </c>
      <c r="C2574" s="2" t="s">
        <v>41</v>
      </c>
      <c r="D2574" s="2" t="str">
        <f>"羊凯"</f>
        <v>羊凯</v>
      </c>
      <c r="E2574" s="2" t="str">
        <f>"男"</f>
        <v>男</v>
      </c>
    </row>
    <row r="2575" spans="1:5" ht="14.4" x14ac:dyDescent="0.25">
      <c r="A2575" s="4">
        <v>2573</v>
      </c>
      <c r="B2575" s="2" t="str">
        <f>"3251202108101544115442"</f>
        <v>3251202108101544115442</v>
      </c>
      <c r="C2575" s="2" t="s">
        <v>41</v>
      </c>
      <c r="D2575" s="2" t="str">
        <f>"符晓辉"</f>
        <v>符晓辉</v>
      </c>
      <c r="E2575" s="2" t="str">
        <f>"男"</f>
        <v>男</v>
      </c>
    </row>
    <row r="2576" spans="1:5" ht="14.4" x14ac:dyDescent="0.25">
      <c r="A2576" s="4">
        <v>2574</v>
      </c>
      <c r="B2576" s="2" t="str">
        <f>"3251202108101545545448"</f>
        <v>3251202108101545545448</v>
      </c>
      <c r="C2576" s="2" t="s">
        <v>41</v>
      </c>
      <c r="D2576" s="2" t="str">
        <f>"章欣"</f>
        <v>章欣</v>
      </c>
      <c r="E2576" s="2" t="str">
        <f>"女"</f>
        <v>女</v>
      </c>
    </row>
    <row r="2577" spans="1:5" ht="14.4" x14ac:dyDescent="0.25">
      <c r="A2577" s="4">
        <v>2575</v>
      </c>
      <c r="B2577" s="2" t="str">
        <f>"3251202108101553045466"</f>
        <v>3251202108101553045466</v>
      </c>
      <c r="C2577" s="2" t="s">
        <v>41</v>
      </c>
      <c r="D2577" s="2" t="str">
        <f>"高炜"</f>
        <v>高炜</v>
      </c>
      <c r="E2577" s="2" t="str">
        <f>"男"</f>
        <v>男</v>
      </c>
    </row>
    <row r="2578" spans="1:5" ht="14.4" x14ac:dyDescent="0.25">
      <c r="A2578" s="4">
        <v>2576</v>
      </c>
      <c r="B2578" s="2" t="str">
        <f>"3251202108101556035480"</f>
        <v>3251202108101556035480</v>
      </c>
      <c r="C2578" s="2" t="s">
        <v>41</v>
      </c>
      <c r="D2578" s="2" t="str">
        <f>"张昌琼"</f>
        <v>张昌琼</v>
      </c>
      <c r="E2578" s="2" t="str">
        <f t="shared" ref="E2578:E2583" si="77">"女"</f>
        <v>女</v>
      </c>
    </row>
    <row r="2579" spans="1:5" ht="14.4" x14ac:dyDescent="0.25">
      <c r="A2579" s="4">
        <v>2577</v>
      </c>
      <c r="B2579" s="2" t="str">
        <f>"3251202108101556245482"</f>
        <v>3251202108101556245482</v>
      </c>
      <c r="C2579" s="2" t="s">
        <v>41</v>
      </c>
      <c r="D2579" s="2" t="str">
        <f>"王妙然"</f>
        <v>王妙然</v>
      </c>
      <c r="E2579" s="2" t="str">
        <f t="shared" si="77"/>
        <v>女</v>
      </c>
    </row>
    <row r="2580" spans="1:5" ht="14.4" x14ac:dyDescent="0.25">
      <c r="A2580" s="4">
        <v>2578</v>
      </c>
      <c r="B2580" s="2" t="str">
        <f>"3251202108101557165486"</f>
        <v>3251202108101557165486</v>
      </c>
      <c r="C2580" s="2" t="s">
        <v>41</v>
      </c>
      <c r="D2580" s="2" t="str">
        <f>"吴海云"</f>
        <v>吴海云</v>
      </c>
      <c r="E2580" s="2" t="str">
        <f t="shared" si="77"/>
        <v>女</v>
      </c>
    </row>
    <row r="2581" spans="1:5" ht="14.4" x14ac:dyDescent="0.25">
      <c r="A2581" s="4">
        <v>2579</v>
      </c>
      <c r="B2581" s="2" t="str">
        <f>"3251202108101558245495"</f>
        <v>3251202108101558245495</v>
      </c>
      <c r="C2581" s="2" t="s">
        <v>41</v>
      </c>
      <c r="D2581" s="2" t="str">
        <f>"祁曼雅"</f>
        <v>祁曼雅</v>
      </c>
      <c r="E2581" s="2" t="str">
        <f t="shared" si="77"/>
        <v>女</v>
      </c>
    </row>
    <row r="2582" spans="1:5" ht="14.4" x14ac:dyDescent="0.25">
      <c r="A2582" s="4">
        <v>2580</v>
      </c>
      <c r="B2582" s="2" t="str">
        <f>"3251202108101612385552"</f>
        <v>3251202108101612385552</v>
      </c>
      <c r="C2582" s="2" t="s">
        <v>41</v>
      </c>
      <c r="D2582" s="2" t="str">
        <f>"符婷"</f>
        <v>符婷</v>
      </c>
      <c r="E2582" s="2" t="str">
        <f t="shared" si="77"/>
        <v>女</v>
      </c>
    </row>
    <row r="2583" spans="1:5" ht="14.4" x14ac:dyDescent="0.25">
      <c r="A2583" s="4">
        <v>2581</v>
      </c>
      <c r="B2583" s="2" t="str">
        <f>"3251202108101628445617"</f>
        <v>3251202108101628445617</v>
      </c>
      <c r="C2583" s="2" t="s">
        <v>41</v>
      </c>
      <c r="D2583" s="2" t="str">
        <f>"邓琼娜"</f>
        <v>邓琼娜</v>
      </c>
      <c r="E2583" s="2" t="str">
        <f t="shared" si="77"/>
        <v>女</v>
      </c>
    </row>
    <row r="2584" spans="1:5" ht="14.4" x14ac:dyDescent="0.25">
      <c r="A2584" s="4">
        <v>2582</v>
      </c>
      <c r="B2584" s="2" t="str">
        <f>"3251202108101631545641"</f>
        <v>3251202108101631545641</v>
      </c>
      <c r="C2584" s="2" t="s">
        <v>41</v>
      </c>
      <c r="D2584" s="2" t="str">
        <f>"陈叶智"</f>
        <v>陈叶智</v>
      </c>
      <c r="E2584" s="2" t="str">
        <f>"男"</f>
        <v>男</v>
      </c>
    </row>
    <row r="2585" spans="1:5" ht="14.4" x14ac:dyDescent="0.25">
      <c r="A2585" s="4">
        <v>2583</v>
      </c>
      <c r="B2585" s="2" t="str">
        <f>"3251202108101641165657"</f>
        <v>3251202108101641165657</v>
      </c>
      <c r="C2585" s="2" t="s">
        <v>41</v>
      </c>
      <c r="D2585" s="2" t="str">
        <f>"王锡燕"</f>
        <v>王锡燕</v>
      </c>
      <c r="E2585" s="2" t="str">
        <f>"女"</f>
        <v>女</v>
      </c>
    </row>
    <row r="2586" spans="1:5" ht="14.4" x14ac:dyDescent="0.25">
      <c r="A2586" s="4">
        <v>2584</v>
      </c>
      <c r="B2586" s="2" t="str">
        <f>"3251202108101642035662"</f>
        <v>3251202108101642035662</v>
      </c>
      <c r="C2586" s="2" t="s">
        <v>41</v>
      </c>
      <c r="D2586" s="2" t="str">
        <f>"刘俊彬"</f>
        <v>刘俊彬</v>
      </c>
      <c r="E2586" s="2" t="str">
        <f>"男"</f>
        <v>男</v>
      </c>
    </row>
    <row r="2587" spans="1:5" ht="14.4" x14ac:dyDescent="0.25">
      <c r="A2587" s="4">
        <v>2585</v>
      </c>
      <c r="B2587" s="2" t="str">
        <f>"3251202108101647155691"</f>
        <v>3251202108101647155691</v>
      </c>
      <c r="C2587" s="2" t="s">
        <v>41</v>
      </c>
      <c r="D2587" s="2" t="str">
        <f>"黄澳"</f>
        <v>黄澳</v>
      </c>
      <c r="E2587" s="2" t="str">
        <f>"男"</f>
        <v>男</v>
      </c>
    </row>
    <row r="2588" spans="1:5" ht="14.4" x14ac:dyDescent="0.25">
      <c r="A2588" s="4">
        <v>2586</v>
      </c>
      <c r="B2588" s="2" t="str">
        <f>"3251202108101654485710"</f>
        <v>3251202108101654485710</v>
      </c>
      <c r="C2588" s="2" t="s">
        <v>41</v>
      </c>
      <c r="D2588" s="2" t="str">
        <f>"黄思远"</f>
        <v>黄思远</v>
      </c>
      <c r="E2588" s="2" t="str">
        <f>"女"</f>
        <v>女</v>
      </c>
    </row>
    <row r="2589" spans="1:5" ht="14.4" x14ac:dyDescent="0.25">
      <c r="A2589" s="4">
        <v>2587</v>
      </c>
      <c r="B2589" s="2" t="str">
        <f>"3251202108101703425741"</f>
        <v>3251202108101703425741</v>
      </c>
      <c r="C2589" s="2" t="s">
        <v>41</v>
      </c>
      <c r="D2589" s="2" t="str">
        <f>"张俐莉"</f>
        <v>张俐莉</v>
      </c>
      <c r="E2589" s="2" t="str">
        <f>"女"</f>
        <v>女</v>
      </c>
    </row>
    <row r="2590" spans="1:5" ht="14.4" x14ac:dyDescent="0.25">
      <c r="A2590" s="4">
        <v>2588</v>
      </c>
      <c r="B2590" s="2" t="str">
        <f>"3251202108101704105744"</f>
        <v>3251202108101704105744</v>
      </c>
      <c r="C2590" s="2" t="s">
        <v>41</v>
      </c>
      <c r="D2590" s="2" t="str">
        <f>"邢丽蕙"</f>
        <v>邢丽蕙</v>
      </c>
      <c r="E2590" s="2" t="str">
        <f>"女"</f>
        <v>女</v>
      </c>
    </row>
    <row r="2591" spans="1:5" ht="14.4" x14ac:dyDescent="0.25">
      <c r="A2591" s="4">
        <v>2589</v>
      </c>
      <c r="B2591" s="2" t="str">
        <f>"3251202108101707235763"</f>
        <v>3251202108101707235763</v>
      </c>
      <c r="C2591" s="2" t="s">
        <v>41</v>
      </c>
      <c r="D2591" s="2" t="str">
        <f>"赵开静"</f>
        <v>赵开静</v>
      </c>
      <c r="E2591" s="2" t="str">
        <f>"女"</f>
        <v>女</v>
      </c>
    </row>
    <row r="2592" spans="1:5" ht="14.4" x14ac:dyDescent="0.25">
      <c r="A2592" s="4">
        <v>2590</v>
      </c>
      <c r="B2592" s="2" t="str">
        <f>"3251202108101708555768"</f>
        <v>3251202108101708555768</v>
      </c>
      <c r="C2592" s="2" t="s">
        <v>41</v>
      </c>
      <c r="D2592" s="2" t="str">
        <f>"郭江霞"</f>
        <v>郭江霞</v>
      </c>
      <c r="E2592" s="2" t="str">
        <f>"女"</f>
        <v>女</v>
      </c>
    </row>
    <row r="2593" spans="1:5" ht="14.4" x14ac:dyDescent="0.25">
      <c r="A2593" s="4">
        <v>2591</v>
      </c>
      <c r="B2593" s="2" t="str">
        <f>"3251202108101709075769"</f>
        <v>3251202108101709075769</v>
      </c>
      <c r="C2593" s="2" t="s">
        <v>41</v>
      </c>
      <c r="D2593" s="2" t="str">
        <f>"陈奕宏"</f>
        <v>陈奕宏</v>
      </c>
      <c r="E2593" s="2" t="str">
        <f>"男"</f>
        <v>男</v>
      </c>
    </row>
    <row r="2594" spans="1:5" ht="14.4" x14ac:dyDescent="0.25">
      <c r="A2594" s="4">
        <v>2592</v>
      </c>
      <c r="B2594" s="2" t="str">
        <f>"3251202108101735325847"</f>
        <v>3251202108101735325847</v>
      </c>
      <c r="C2594" s="2" t="s">
        <v>41</v>
      </c>
      <c r="D2594" s="2" t="str">
        <f>"李明丽"</f>
        <v>李明丽</v>
      </c>
      <c r="E2594" s="2" t="str">
        <f>"女"</f>
        <v>女</v>
      </c>
    </row>
    <row r="2595" spans="1:5" ht="14.4" x14ac:dyDescent="0.25">
      <c r="A2595" s="4">
        <v>2593</v>
      </c>
      <c r="B2595" s="2" t="str">
        <f>"3251202108101735585852"</f>
        <v>3251202108101735585852</v>
      </c>
      <c r="C2595" s="2" t="s">
        <v>41</v>
      </c>
      <c r="D2595" s="2" t="str">
        <f>" 周士达"</f>
        <v xml:space="preserve"> 周士达</v>
      </c>
      <c r="E2595" s="2" t="str">
        <f>"男"</f>
        <v>男</v>
      </c>
    </row>
    <row r="2596" spans="1:5" ht="14.4" x14ac:dyDescent="0.25">
      <c r="A2596" s="4">
        <v>2594</v>
      </c>
      <c r="B2596" s="2" t="str">
        <f>"3251202108101740045862"</f>
        <v>3251202108101740045862</v>
      </c>
      <c r="C2596" s="2" t="s">
        <v>41</v>
      </c>
      <c r="D2596" s="2" t="str">
        <f>"陈鹏飞"</f>
        <v>陈鹏飞</v>
      </c>
      <c r="E2596" s="2" t="str">
        <f>"男"</f>
        <v>男</v>
      </c>
    </row>
    <row r="2597" spans="1:5" ht="14.4" x14ac:dyDescent="0.25">
      <c r="A2597" s="4">
        <v>2595</v>
      </c>
      <c r="B2597" s="2" t="str">
        <f>"3251202108101740245866"</f>
        <v>3251202108101740245866</v>
      </c>
      <c r="C2597" s="2" t="s">
        <v>41</v>
      </c>
      <c r="D2597" s="2" t="str">
        <f>"陈玉翠"</f>
        <v>陈玉翠</v>
      </c>
      <c r="E2597" s="2" t="str">
        <f>"女"</f>
        <v>女</v>
      </c>
    </row>
    <row r="2598" spans="1:5" ht="14.4" x14ac:dyDescent="0.25">
      <c r="A2598" s="4">
        <v>2596</v>
      </c>
      <c r="B2598" s="2" t="str">
        <f>"3251202108101755185898"</f>
        <v>3251202108101755185898</v>
      </c>
      <c r="C2598" s="2" t="s">
        <v>41</v>
      </c>
      <c r="D2598" s="2" t="str">
        <f>"李福成"</f>
        <v>李福成</v>
      </c>
      <c r="E2598" s="2" t="str">
        <f>"男"</f>
        <v>男</v>
      </c>
    </row>
    <row r="2599" spans="1:5" ht="14.4" x14ac:dyDescent="0.25">
      <c r="A2599" s="4">
        <v>2597</v>
      </c>
      <c r="B2599" s="2" t="str">
        <f>"3251202108101802355911"</f>
        <v>3251202108101802355911</v>
      </c>
      <c r="C2599" s="2" t="s">
        <v>41</v>
      </c>
      <c r="D2599" s="2" t="str">
        <f>"梁昌琴"</f>
        <v>梁昌琴</v>
      </c>
      <c r="E2599" s="2" t="str">
        <f>"女"</f>
        <v>女</v>
      </c>
    </row>
    <row r="2600" spans="1:5" ht="14.4" x14ac:dyDescent="0.25">
      <c r="A2600" s="4">
        <v>2598</v>
      </c>
      <c r="B2600" s="2" t="str">
        <f>"3251202108101808275922"</f>
        <v>3251202108101808275922</v>
      </c>
      <c r="C2600" s="2" t="s">
        <v>41</v>
      </c>
      <c r="D2600" s="2" t="str">
        <f>"王育振"</f>
        <v>王育振</v>
      </c>
      <c r="E2600" s="2" t="str">
        <f>"男"</f>
        <v>男</v>
      </c>
    </row>
    <row r="2601" spans="1:5" ht="14.4" x14ac:dyDescent="0.25">
      <c r="A2601" s="4">
        <v>2599</v>
      </c>
      <c r="B2601" s="2" t="str">
        <f>"3251202108101835175974"</f>
        <v>3251202108101835175974</v>
      </c>
      <c r="C2601" s="2" t="s">
        <v>41</v>
      </c>
      <c r="D2601" s="2" t="str">
        <f>"郑鑫"</f>
        <v>郑鑫</v>
      </c>
      <c r="E2601" s="2" t="str">
        <f>"男"</f>
        <v>男</v>
      </c>
    </row>
    <row r="2602" spans="1:5" ht="14.4" x14ac:dyDescent="0.25">
      <c r="A2602" s="4">
        <v>2600</v>
      </c>
      <c r="B2602" s="2" t="str">
        <f>"3251202108101844085996"</f>
        <v>3251202108101844085996</v>
      </c>
      <c r="C2602" s="2" t="s">
        <v>41</v>
      </c>
      <c r="D2602" s="2" t="str">
        <f>"徐雅丽"</f>
        <v>徐雅丽</v>
      </c>
      <c r="E2602" s="2" t="str">
        <f>"女"</f>
        <v>女</v>
      </c>
    </row>
    <row r="2603" spans="1:5" ht="14.4" x14ac:dyDescent="0.25">
      <c r="A2603" s="4">
        <v>2601</v>
      </c>
      <c r="B2603" s="2" t="str">
        <f>"3251202108101908336054"</f>
        <v>3251202108101908336054</v>
      </c>
      <c r="C2603" s="2" t="s">
        <v>41</v>
      </c>
      <c r="D2603" s="2" t="str">
        <f>"邢增伟"</f>
        <v>邢增伟</v>
      </c>
      <c r="E2603" s="2" t="str">
        <f>"男"</f>
        <v>男</v>
      </c>
    </row>
    <row r="2604" spans="1:5" ht="14.4" x14ac:dyDescent="0.25">
      <c r="A2604" s="4">
        <v>2602</v>
      </c>
      <c r="B2604" s="2" t="str">
        <f>"3251202108101909596057"</f>
        <v>3251202108101909596057</v>
      </c>
      <c r="C2604" s="2" t="s">
        <v>41</v>
      </c>
      <c r="D2604" s="2" t="str">
        <f>"陈宽娜"</f>
        <v>陈宽娜</v>
      </c>
      <c r="E2604" s="2" t="str">
        <f>"女"</f>
        <v>女</v>
      </c>
    </row>
    <row r="2605" spans="1:5" ht="14.4" x14ac:dyDescent="0.25">
      <c r="A2605" s="4">
        <v>2603</v>
      </c>
      <c r="B2605" s="2" t="str">
        <f>"3251202108101919026078"</f>
        <v>3251202108101919026078</v>
      </c>
      <c r="C2605" s="2" t="s">
        <v>41</v>
      </c>
      <c r="D2605" s="2" t="str">
        <f>"林建国"</f>
        <v>林建国</v>
      </c>
      <c r="E2605" s="2" t="str">
        <f>"男"</f>
        <v>男</v>
      </c>
    </row>
    <row r="2606" spans="1:5" ht="14.4" x14ac:dyDescent="0.25">
      <c r="A2606" s="4">
        <v>2604</v>
      </c>
      <c r="B2606" s="2" t="str">
        <f>"3251202108101943356127"</f>
        <v>3251202108101943356127</v>
      </c>
      <c r="C2606" s="2" t="s">
        <v>41</v>
      </c>
      <c r="D2606" s="2" t="str">
        <f>"梁花婷"</f>
        <v>梁花婷</v>
      </c>
      <c r="E2606" s="2" t="str">
        <f>"女"</f>
        <v>女</v>
      </c>
    </row>
    <row r="2607" spans="1:5" ht="14.4" x14ac:dyDescent="0.25">
      <c r="A2607" s="4">
        <v>2605</v>
      </c>
      <c r="B2607" s="2" t="str">
        <f>"3251202108101953586150"</f>
        <v>3251202108101953586150</v>
      </c>
      <c r="C2607" s="2" t="s">
        <v>41</v>
      </c>
      <c r="D2607" s="2" t="str">
        <f>"吴阳"</f>
        <v>吴阳</v>
      </c>
      <c r="E2607" s="2" t="str">
        <f>"男"</f>
        <v>男</v>
      </c>
    </row>
    <row r="2608" spans="1:5" ht="14.4" x14ac:dyDescent="0.25">
      <c r="A2608" s="4">
        <v>2606</v>
      </c>
      <c r="B2608" s="2" t="str">
        <f>"3251202108101956056154"</f>
        <v>3251202108101956056154</v>
      </c>
      <c r="C2608" s="2" t="s">
        <v>41</v>
      </c>
      <c r="D2608" s="2" t="str">
        <f>"王立慧"</f>
        <v>王立慧</v>
      </c>
      <c r="E2608" s="2" t="str">
        <f>"男"</f>
        <v>男</v>
      </c>
    </row>
    <row r="2609" spans="1:5" ht="14.4" x14ac:dyDescent="0.25">
      <c r="A2609" s="4">
        <v>2607</v>
      </c>
      <c r="B2609" s="2" t="str">
        <f>"3251202108101959166159"</f>
        <v>3251202108101959166159</v>
      </c>
      <c r="C2609" s="2" t="s">
        <v>41</v>
      </c>
      <c r="D2609" s="2" t="str">
        <f>"曾宪政"</f>
        <v>曾宪政</v>
      </c>
      <c r="E2609" s="2" t="str">
        <f>"男"</f>
        <v>男</v>
      </c>
    </row>
    <row r="2610" spans="1:5" ht="14.4" x14ac:dyDescent="0.25">
      <c r="A2610" s="4">
        <v>2608</v>
      </c>
      <c r="B2610" s="2" t="str">
        <f>"3251202108102007056175"</f>
        <v>3251202108102007056175</v>
      </c>
      <c r="C2610" s="2" t="s">
        <v>41</v>
      </c>
      <c r="D2610" s="2" t="str">
        <f>"符发娥"</f>
        <v>符发娥</v>
      </c>
      <c r="E2610" s="2" t="str">
        <f>"女"</f>
        <v>女</v>
      </c>
    </row>
    <row r="2611" spans="1:5" ht="14.4" x14ac:dyDescent="0.25">
      <c r="A2611" s="4">
        <v>2609</v>
      </c>
      <c r="B2611" s="2" t="str">
        <f>"3251202108102104186285"</f>
        <v>3251202108102104186285</v>
      </c>
      <c r="C2611" s="2" t="s">
        <v>41</v>
      </c>
      <c r="D2611" s="2" t="str">
        <f>"陈鉴"</f>
        <v>陈鉴</v>
      </c>
      <c r="E2611" s="2" t="str">
        <f>"男"</f>
        <v>男</v>
      </c>
    </row>
    <row r="2612" spans="1:5" ht="14.4" x14ac:dyDescent="0.25">
      <c r="A2612" s="4">
        <v>2610</v>
      </c>
      <c r="B2612" s="2" t="str">
        <f>"3251202108102106566293"</f>
        <v>3251202108102106566293</v>
      </c>
      <c r="C2612" s="2" t="s">
        <v>41</v>
      </c>
      <c r="D2612" s="2" t="str">
        <f>"周石林"</f>
        <v>周石林</v>
      </c>
      <c r="E2612" s="2" t="str">
        <f>"男"</f>
        <v>男</v>
      </c>
    </row>
    <row r="2613" spans="1:5" ht="14.4" x14ac:dyDescent="0.25">
      <c r="A2613" s="4">
        <v>2611</v>
      </c>
      <c r="B2613" s="2" t="str">
        <f>"3251202108102116376314"</f>
        <v>3251202108102116376314</v>
      </c>
      <c r="C2613" s="2" t="s">
        <v>41</v>
      </c>
      <c r="D2613" s="2" t="str">
        <f>"关业梓"</f>
        <v>关业梓</v>
      </c>
      <c r="E2613" s="2" t="str">
        <f>"男"</f>
        <v>男</v>
      </c>
    </row>
    <row r="2614" spans="1:5" ht="14.4" x14ac:dyDescent="0.25">
      <c r="A2614" s="4">
        <v>2612</v>
      </c>
      <c r="B2614" s="2" t="str">
        <f>"3251202108102145466365"</f>
        <v>3251202108102145466365</v>
      </c>
      <c r="C2614" s="2" t="s">
        <v>41</v>
      </c>
      <c r="D2614" s="2" t="str">
        <f>"郭垂根"</f>
        <v>郭垂根</v>
      </c>
      <c r="E2614" s="2" t="str">
        <f>"男"</f>
        <v>男</v>
      </c>
    </row>
    <row r="2615" spans="1:5" ht="14.4" x14ac:dyDescent="0.25">
      <c r="A2615" s="4">
        <v>2613</v>
      </c>
      <c r="B2615" s="2" t="str">
        <f>"3251202108102210336396"</f>
        <v>3251202108102210336396</v>
      </c>
      <c r="C2615" s="2" t="s">
        <v>41</v>
      </c>
      <c r="D2615" s="2" t="str">
        <f>"周芬"</f>
        <v>周芬</v>
      </c>
      <c r="E2615" s="2" t="str">
        <f>"女"</f>
        <v>女</v>
      </c>
    </row>
    <row r="2616" spans="1:5" ht="14.4" x14ac:dyDescent="0.25">
      <c r="A2616" s="4">
        <v>2614</v>
      </c>
      <c r="B2616" s="2" t="str">
        <f>"3251202108102233046440"</f>
        <v>3251202108102233046440</v>
      </c>
      <c r="C2616" s="2" t="s">
        <v>41</v>
      </c>
      <c r="D2616" s="2" t="str">
        <f>"冯琼南"</f>
        <v>冯琼南</v>
      </c>
      <c r="E2616" s="2" t="str">
        <f>"男"</f>
        <v>男</v>
      </c>
    </row>
    <row r="2617" spans="1:5" ht="14.4" x14ac:dyDescent="0.25">
      <c r="A2617" s="4">
        <v>2615</v>
      </c>
      <c r="B2617" s="2" t="str">
        <f>"3251202108102353596528"</f>
        <v>3251202108102353596528</v>
      </c>
      <c r="C2617" s="2" t="s">
        <v>41</v>
      </c>
      <c r="D2617" s="2" t="str">
        <f>"李海山"</f>
        <v>李海山</v>
      </c>
      <c r="E2617" s="2" t="str">
        <f>"男"</f>
        <v>男</v>
      </c>
    </row>
    <row r="2618" spans="1:5" ht="14.4" x14ac:dyDescent="0.25">
      <c r="A2618" s="4">
        <v>2616</v>
      </c>
      <c r="B2618" s="2" t="str">
        <f>"3251202108110136476553"</f>
        <v>3251202108110136476553</v>
      </c>
      <c r="C2618" s="2" t="s">
        <v>41</v>
      </c>
      <c r="D2618" s="2" t="str">
        <f>"钟经俊"</f>
        <v>钟经俊</v>
      </c>
      <c r="E2618" s="2" t="str">
        <f>"男"</f>
        <v>男</v>
      </c>
    </row>
    <row r="2619" spans="1:5" ht="14.4" x14ac:dyDescent="0.25">
      <c r="A2619" s="4">
        <v>2617</v>
      </c>
      <c r="B2619" s="2" t="str">
        <f>"3251202108110815086584"</f>
        <v>3251202108110815086584</v>
      </c>
      <c r="C2619" s="2" t="s">
        <v>41</v>
      </c>
      <c r="D2619" s="2" t="str">
        <f>"曾妃"</f>
        <v>曾妃</v>
      </c>
      <c r="E2619" s="2" t="str">
        <f>"女"</f>
        <v>女</v>
      </c>
    </row>
    <row r="2620" spans="1:5" ht="14.4" x14ac:dyDescent="0.25">
      <c r="A2620" s="4">
        <v>2618</v>
      </c>
      <c r="B2620" s="2" t="str">
        <f>"3251202108110910426699"</f>
        <v>3251202108110910426699</v>
      </c>
      <c r="C2620" s="2" t="s">
        <v>41</v>
      </c>
      <c r="D2620" s="2" t="str">
        <f>"符叶飘"</f>
        <v>符叶飘</v>
      </c>
      <c r="E2620" s="2" t="str">
        <f>"女"</f>
        <v>女</v>
      </c>
    </row>
    <row r="2621" spans="1:5" ht="14.4" x14ac:dyDescent="0.25">
      <c r="A2621" s="4">
        <v>2619</v>
      </c>
      <c r="B2621" s="2" t="str">
        <f>"3251202108110918136715"</f>
        <v>3251202108110918136715</v>
      </c>
      <c r="C2621" s="2" t="s">
        <v>41</v>
      </c>
      <c r="D2621" s="2" t="str">
        <f>"黄小妹"</f>
        <v>黄小妹</v>
      </c>
      <c r="E2621" s="2" t="str">
        <f>"女"</f>
        <v>女</v>
      </c>
    </row>
    <row r="2622" spans="1:5" ht="14.4" x14ac:dyDescent="0.25">
      <c r="A2622" s="4">
        <v>2620</v>
      </c>
      <c r="B2622" s="2" t="str">
        <f>"3251202108110952116820"</f>
        <v>3251202108110952116820</v>
      </c>
      <c r="C2622" s="2" t="s">
        <v>41</v>
      </c>
      <c r="D2622" s="2" t="str">
        <f>"邓丕魏"</f>
        <v>邓丕魏</v>
      </c>
      <c r="E2622" s="2" t="str">
        <f>"男"</f>
        <v>男</v>
      </c>
    </row>
    <row r="2623" spans="1:5" ht="14.4" x14ac:dyDescent="0.25">
      <c r="A2623" s="4">
        <v>2621</v>
      </c>
      <c r="B2623" s="2" t="str">
        <f>"3251202108110956146829"</f>
        <v>3251202108110956146829</v>
      </c>
      <c r="C2623" s="2" t="s">
        <v>41</v>
      </c>
      <c r="D2623" s="2" t="str">
        <f>"高中丽"</f>
        <v>高中丽</v>
      </c>
      <c r="E2623" s="2" t="str">
        <f>"女"</f>
        <v>女</v>
      </c>
    </row>
    <row r="2624" spans="1:5" ht="14.4" x14ac:dyDescent="0.25">
      <c r="A2624" s="4">
        <v>2622</v>
      </c>
      <c r="B2624" s="2" t="str">
        <f>"3251202108111014166882"</f>
        <v>3251202108111014166882</v>
      </c>
      <c r="C2624" s="2" t="s">
        <v>41</v>
      </c>
      <c r="D2624" s="2" t="str">
        <f>"王元姣"</f>
        <v>王元姣</v>
      </c>
      <c r="E2624" s="2" t="str">
        <f>"女"</f>
        <v>女</v>
      </c>
    </row>
    <row r="2625" spans="1:5" ht="14.4" x14ac:dyDescent="0.25">
      <c r="A2625" s="4">
        <v>2623</v>
      </c>
      <c r="B2625" s="2" t="str">
        <f>"3251202108111017436890"</f>
        <v>3251202108111017436890</v>
      </c>
      <c r="C2625" s="2" t="s">
        <v>41</v>
      </c>
      <c r="D2625" s="2" t="str">
        <f>"林丹"</f>
        <v>林丹</v>
      </c>
      <c r="E2625" s="2" t="str">
        <f>"女"</f>
        <v>女</v>
      </c>
    </row>
    <row r="2626" spans="1:5" ht="14.4" x14ac:dyDescent="0.25">
      <c r="A2626" s="4">
        <v>2624</v>
      </c>
      <c r="B2626" s="2" t="str">
        <f>"3251202108111043536956"</f>
        <v>3251202108111043536956</v>
      </c>
      <c r="C2626" s="2" t="s">
        <v>41</v>
      </c>
      <c r="D2626" s="2" t="str">
        <f>"姚常利"</f>
        <v>姚常利</v>
      </c>
      <c r="E2626" s="2" t="str">
        <f>"女"</f>
        <v>女</v>
      </c>
    </row>
    <row r="2627" spans="1:5" ht="14.4" x14ac:dyDescent="0.25">
      <c r="A2627" s="4">
        <v>2625</v>
      </c>
      <c r="B2627" s="2" t="str">
        <f>"3251202108111110557019"</f>
        <v>3251202108111110557019</v>
      </c>
      <c r="C2627" s="2" t="s">
        <v>41</v>
      </c>
      <c r="D2627" s="2" t="str">
        <f>"符壮才"</f>
        <v>符壮才</v>
      </c>
      <c r="E2627" s="2" t="str">
        <f>"男"</f>
        <v>男</v>
      </c>
    </row>
    <row r="2628" spans="1:5" ht="14.4" x14ac:dyDescent="0.25">
      <c r="A2628" s="4">
        <v>2626</v>
      </c>
      <c r="B2628" s="2" t="str">
        <f>"3251202108111142217103"</f>
        <v>3251202108111142217103</v>
      </c>
      <c r="C2628" s="2" t="s">
        <v>41</v>
      </c>
      <c r="D2628" s="2" t="str">
        <f>"羊井桃"</f>
        <v>羊井桃</v>
      </c>
      <c r="E2628" s="2" t="str">
        <f>"女"</f>
        <v>女</v>
      </c>
    </row>
    <row r="2629" spans="1:5" ht="14.4" x14ac:dyDescent="0.25">
      <c r="A2629" s="4">
        <v>2627</v>
      </c>
      <c r="B2629" s="2" t="str">
        <f>"3251202108111257227213"</f>
        <v>3251202108111257227213</v>
      </c>
      <c r="C2629" s="2" t="s">
        <v>41</v>
      </c>
      <c r="D2629" s="2" t="str">
        <f>"符其再"</f>
        <v>符其再</v>
      </c>
      <c r="E2629" s="2" t="str">
        <f>"男"</f>
        <v>男</v>
      </c>
    </row>
    <row r="2630" spans="1:5" ht="14.4" x14ac:dyDescent="0.25">
      <c r="A2630" s="4">
        <v>2628</v>
      </c>
      <c r="B2630" s="2" t="str">
        <f>"3251202108111348497252"</f>
        <v>3251202108111348497252</v>
      </c>
      <c r="C2630" s="2" t="s">
        <v>41</v>
      </c>
      <c r="D2630" s="2" t="str">
        <f>"洪绵鹏"</f>
        <v>洪绵鹏</v>
      </c>
      <c r="E2630" s="2" t="str">
        <f>"男"</f>
        <v>男</v>
      </c>
    </row>
    <row r="2631" spans="1:5" ht="14.4" x14ac:dyDescent="0.25">
      <c r="A2631" s="4">
        <v>2629</v>
      </c>
      <c r="B2631" s="2" t="str">
        <f>"3251202108111433337300"</f>
        <v>3251202108111433337300</v>
      </c>
      <c r="C2631" s="2" t="s">
        <v>41</v>
      </c>
      <c r="D2631" s="2" t="str">
        <f>"陈娇婷"</f>
        <v>陈娇婷</v>
      </c>
      <c r="E2631" s="2" t="str">
        <f>"女"</f>
        <v>女</v>
      </c>
    </row>
    <row r="2632" spans="1:5" ht="14.4" x14ac:dyDescent="0.25">
      <c r="A2632" s="4">
        <v>2630</v>
      </c>
      <c r="B2632" s="2" t="str">
        <f>"3251202108111437287303"</f>
        <v>3251202108111437287303</v>
      </c>
      <c r="C2632" s="2" t="s">
        <v>41</v>
      </c>
      <c r="D2632" s="2" t="str">
        <f>"洪后余"</f>
        <v>洪后余</v>
      </c>
      <c r="E2632" s="2" t="str">
        <f>"女"</f>
        <v>女</v>
      </c>
    </row>
    <row r="2633" spans="1:5" ht="14.4" x14ac:dyDescent="0.25">
      <c r="A2633" s="4">
        <v>2631</v>
      </c>
      <c r="B2633" s="2" t="str">
        <f>"3251202108111445107324"</f>
        <v>3251202108111445107324</v>
      </c>
      <c r="C2633" s="2" t="s">
        <v>41</v>
      </c>
      <c r="D2633" s="2" t="str">
        <f>"周义燐"</f>
        <v>周义燐</v>
      </c>
      <c r="E2633" s="2" t="str">
        <f>"男"</f>
        <v>男</v>
      </c>
    </row>
    <row r="2634" spans="1:5" ht="14.4" x14ac:dyDescent="0.25">
      <c r="A2634" s="4">
        <v>2632</v>
      </c>
      <c r="B2634" s="2" t="str">
        <f>"3251202108111525117412"</f>
        <v>3251202108111525117412</v>
      </c>
      <c r="C2634" s="2" t="s">
        <v>41</v>
      </c>
      <c r="D2634" s="2" t="str">
        <f>"符传机"</f>
        <v>符传机</v>
      </c>
      <c r="E2634" s="2" t="str">
        <f>"男"</f>
        <v>男</v>
      </c>
    </row>
    <row r="2635" spans="1:5" ht="14.4" x14ac:dyDescent="0.25">
      <c r="A2635" s="4">
        <v>2633</v>
      </c>
      <c r="B2635" s="2" t="str">
        <f>"3251202108111709057604"</f>
        <v>3251202108111709057604</v>
      </c>
      <c r="C2635" s="2" t="s">
        <v>41</v>
      </c>
      <c r="D2635" s="2" t="str">
        <f>"谢秀梦"</f>
        <v>谢秀梦</v>
      </c>
      <c r="E2635" s="2" t="str">
        <f>"女"</f>
        <v>女</v>
      </c>
    </row>
    <row r="2636" spans="1:5" ht="14.4" x14ac:dyDescent="0.25">
      <c r="A2636" s="4">
        <v>2634</v>
      </c>
      <c r="B2636" s="2" t="str">
        <f>"3251202108111822547720"</f>
        <v>3251202108111822547720</v>
      </c>
      <c r="C2636" s="2" t="s">
        <v>41</v>
      </c>
      <c r="D2636" s="2" t="str">
        <f>"吴逸飞"</f>
        <v>吴逸飞</v>
      </c>
      <c r="E2636" s="2" t="str">
        <f>"男"</f>
        <v>男</v>
      </c>
    </row>
    <row r="2637" spans="1:5" ht="14.4" x14ac:dyDescent="0.25">
      <c r="A2637" s="4">
        <v>2635</v>
      </c>
      <c r="B2637" s="2" t="str">
        <f>"3251202108111824577722"</f>
        <v>3251202108111824577722</v>
      </c>
      <c r="C2637" s="2" t="s">
        <v>41</v>
      </c>
      <c r="D2637" s="2" t="str">
        <f>"王娇妹"</f>
        <v>王娇妹</v>
      </c>
      <c r="E2637" s="2" t="str">
        <f>"女"</f>
        <v>女</v>
      </c>
    </row>
    <row r="2638" spans="1:5" ht="14.4" x14ac:dyDescent="0.25">
      <c r="A2638" s="4">
        <v>2636</v>
      </c>
      <c r="B2638" s="2" t="str">
        <f>"3251202108111934427806"</f>
        <v>3251202108111934427806</v>
      </c>
      <c r="C2638" s="2" t="s">
        <v>41</v>
      </c>
      <c r="D2638" s="2" t="str">
        <f>"吴杰"</f>
        <v>吴杰</v>
      </c>
      <c r="E2638" s="2" t="str">
        <f>"男"</f>
        <v>男</v>
      </c>
    </row>
    <row r="2639" spans="1:5" ht="14.4" x14ac:dyDescent="0.25">
      <c r="A2639" s="4">
        <v>2637</v>
      </c>
      <c r="B2639" s="2" t="str">
        <f>"3251202108112004487844"</f>
        <v>3251202108112004487844</v>
      </c>
      <c r="C2639" s="2" t="s">
        <v>41</v>
      </c>
      <c r="D2639" s="2" t="str">
        <f>"符亮亮"</f>
        <v>符亮亮</v>
      </c>
      <c r="E2639" s="2" t="str">
        <f>"男"</f>
        <v>男</v>
      </c>
    </row>
    <row r="2640" spans="1:5" ht="14.4" x14ac:dyDescent="0.25">
      <c r="A2640" s="4">
        <v>2638</v>
      </c>
      <c r="B2640" s="2" t="str">
        <f>"3251202108112024177872"</f>
        <v>3251202108112024177872</v>
      </c>
      <c r="C2640" s="2" t="s">
        <v>41</v>
      </c>
      <c r="D2640" s="2" t="str">
        <f>"何小娜"</f>
        <v>何小娜</v>
      </c>
      <c r="E2640" s="2" t="str">
        <f>"女"</f>
        <v>女</v>
      </c>
    </row>
    <row r="2641" spans="1:5" ht="14.4" x14ac:dyDescent="0.25">
      <c r="A2641" s="4">
        <v>2639</v>
      </c>
      <c r="B2641" s="2" t="str">
        <f>"3251202108112042187898"</f>
        <v>3251202108112042187898</v>
      </c>
      <c r="C2641" s="2" t="s">
        <v>41</v>
      </c>
      <c r="D2641" s="2" t="str">
        <f>"文雲智"</f>
        <v>文雲智</v>
      </c>
      <c r="E2641" s="2" t="str">
        <f>"男"</f>
        <v>男</v>
      </c>
    </row>
    <row r="2642" spans="1:5" ht="14.4" x14ac:dyDescent="0.25">
      <c r="A2642" s="4">
        <v>2640</v>
      </c>
      <c r="B2642" s="2" t="str">
        <f>"3251202108112104527942"</f>
        <v>3251202108112104527942</v>
      </c>
      <c r="C2642" s="2" t="s">
        <v>41</v>
      </c>
      <c r="D2642" s="2" t="str">
        <f>"陶美洁"</f>
        <v>陶美洁</v>
      </c>
      <c r="E2642" s="2" t="str">
        <f>"女"</f>
        <v>女</v>
      </c>
    </row>
    <row r="2643" spans="1:5" ht="14.4" x14ac:dyDescent="0.25">
      <c r="A2643" s="4">
        <v>2641</v>
      </c>
      <c r="B2643" s="2" t="str">
        <f>"3251202108112210348035"</f>
        <v>3251202108112210348035</v>
      </c>
      <c r="C2643" s="2" t="s">
        <v>41</v>
      </c>
      <c r="D2643" s="2" t="str">
        <f>"钟纳"</f>
        <v>钟纳</v>
      </c>
      <c r="E2643" s="2" t="str">
        <f>"女"</f>
        <v>女</v>
      </c>
    </row>
    <row r="2644" spans="1:5" ht="14.4" x14ac:dyDescent="0.25">
      <c r="A2644" s="4">
        <v>2642</v>
      </c>
      <c r="B2644" s="2" t="str">
        <f>"3251202108112215588044"</f>
        <v>3251202108112215588044</v>
      </c>
      <c r="C2644" s="2" t="s">
        <v>41</v>
      </c>
      <c r="D2644" s="2" t="str">
        <f>"陈文锡"</f>
        <v>陈文锡</v>
      </c>
      <c r="E2644" s="2" t="str">
        <f>"男"</f>
        <v>男</v>
      </c>
    </row>
    <row r="2645" spans="1:5" ht="14.4" x14ac:dyDescent="0.25">
      <c r="A2645" s="4">
        <v>2643</v>
      </c>
      <c r="B2645" s="2" t="str">
        <f>"3251202108112222408056"</f>
        <v>3251202108112222408056</v>
      </c>
      <c r="C2645" s="2" t="s">
        <v>41</v>
      </c>
      <c r="D2645" s="2" t="str">
        <f>"梁建铭"</f>
        <v>梁建铭</v>
      </c>
      <c r="E2645" s="2" t="str">
        <f>"男"</f>
        <v>男</v>
      </c>
    </row>
    <row r="2646" spans="1:5" ht="14.4" x14ac:dyDescent="0.25">
      <c r="A2646" s="4">
        <v>2644</v>
      </c>
      <c r="B2646" s="2" t="str">
        <f>"3251202108112249538099"</f>
        <v>3251202108112249538099</v>
      </c>
      <c r="C2646" s="2" t="s">
        <v>41</v>
      </c>
      <c r="D2646" s="2" t="str">
        <f>"张生慧"</f>
        <v>张生慧</v>
      </c>
      <c r="E2646" s="2" t="str">
        <f>"女"</f>
        <v>女</v>
      </c>
    </row>
    <row r="2647" spans="1:5" ht="14.4" x14ac:dyDescent="0.25">
      <c r="A2647" s="4">
        <v>2645</v>
      </c>
      <c r="B2647" s="2" t="str">
        <f>"3251202108112349098145"</f>
        <v>3251202108112349098145</v>
      </c>
      <c r="C2647" s="2" t="s">
        <v>41</v>
      </c>
      <c r="D2647" s="2" t="str">
        <f>"曾定雨"</f>
        <v>曾定雨</v>
      </c>
      <c r="E2647" s="2" t="str">
        <f>"女"</f>
        <v>女</v>
      </c>
    </row>
    <row r="2648" spans="1:5" ht="14.4" x14ac:dyDescent="0.25">
      <c r="A2648" s="4">
        <v>2646</v>
      </c>
      <c r="B2648" s="2" t="str">
        <f>"3251202108120120538159"</f>
        <v>3251202108120120538159</v>
      </c>
      <c r="C2648" s="2" t="s">
        <v>41</v>
      </c>
      <c r="D2648" s="2" t="str">
        <f>"林方芳 "</f>
        <v xml:space="preserve">林方芳 </v>
      </c>
      <c r="E2648" s="2" t="str">
        <f>"女"</f>
        <v>女</v>
      </c>
    </row>
    <row r="2649" spans="1:5" ht="14.4" x14ac:dyDescent="0.25">
      <c r="A2649" s="4">
        <v>2647</v>
      </c>
      <c r="B2649" s="2" t="str">
        <f>"3251202108121013018434"</f>
        <v>3251202108121013018434</v>
      </c>
      <c r="C2649" s="2" t="s">
        <v>41</v>
      </c>
      <c r="D2649" s="2" t="str">
        <f>"卢菊芳"</f>
        <v>卢菊芳</v>
      </c>
      <c r="E2649" s="2" t="str">
        <f>"女"</f>
        <v>女</v>
      </c>
    </row>
    <row r="2650" spans="1:5" ht="14.4" x14ac:dyDescent="0.25">
      <c r="A2650" s="4">
        <v>2648</v>
      </c>
      <c r="B2650" s="2" t="str">
        <f>"3251202108121031018469"</f>
        <v>3251202108121031018469</v>
      </c>
      <c r="C2650" s="2" t="s">
        <v>41</v>
      </c>
      <c r="D2650" s="2" t="str">
        <f>"陈敏"</f>
        <v>陈敏</v>
      </c>
      <c r="E2650" s="2" t="str">
        <f>"男"</f>
        <v>男</v>
      </c>
    </row>
    <row r="2651" spans="1:5" ht="14.4" x14ac:dyDescent="0.25">
      <c r="A2651" s="4">
        <v>2649</v>
      </c>
      <c r="B2651" s="2" t="str">
        <f>"3251202108121113188555"</f>
        <v>3251202108121113188555</v>
      </c>
      <c r="C2651" s="2" t="s">
        <v>41</v>
      </c>
      <c r="D2651" s="2" t="str">
        <f>"卢运芳"</f>
        <v>卢运芳</v>
      </c>
      <c r="E2651" s="2" t="str">
        <f>"女"</f>
        <v>女</v>
      </c>
    </row>
    <row r="2652" spans="1:5" ht="14.4" x14ac:dyDescent="0.25">
      <c r="A2652" s="4">
        <v>2650</v>
      </c>
      <c r="B2652" s="2" t="str">
        <f>"3251202108121227398662"</f>
        <v>3251202108121227398662</v>
      </c>
      <c r="C2652" s="2" t="s">
        <v>41</v>
      </c>
      <c r="D2652" s="2" t="str">
        <f>"王青利"</f>
        <v>王青利</v>
      </c>
      <c r="E2652" s="2" t="str">
        <f>"女"</f>
        <v>女</v>
      </c>
    </row>
    <row r="2653" spans="1:5" ht="14.4" x14ac:dyDescent="0.25">
      <c r="A2653" s="4">
        <v>2651</v>
      </c>
      <c r="B2653" s="2" t="str">
        <f>"3251202108121446108821"</f>
        <v>3251202108121446108821</v>
      </c>
      <c r="C2653" s="2" t="s">
        <v>41</v>
      </c>
      <c r="D2653" s="2" t="str">
        <f>"王冬婷"</f>
        <v>王冬婷</v>
      </c>
      <c r="E2653" s="2" t="str">
        <f>"女"</f>
        <v>女</v>
      </c>
    </row>
    <row r="2654" spans="1:5" ht="14.4" x14ac:dyDescent="0.25">
      <c r="A2654" s="4">
        <v>2652</v>
      </c>
      <c r="B2654" s="2" t="str">
        <f>"3251202108121501088846"</f>
        <v>3251202108121501088846</v>
      </c>
      <c r="C2654" s="2" t="s">
        <v>41</v>
      </c>
      <c r="D2654" s="2" t="str">
        <f>"麦雯萍"</f>
        <v>麦雯萍</v>
      </c>
      <c r="E2654" s="2" t="str">
        <f>"女"</f>
        <v>女</v>
      </c>
    </row>
    <row r="2655" spans="1:5" ht="14.4" x14ac:dyDescent="0.25">
      <c r="A2655" s="4">
        <v>2653</v>
      </c>
      <c r="B2655" s="2" t="str">
        <f>"3251202108121650249046"</f>
        <v>3251202108121650249046</v>
      </c>
      <c r="C2655" s="2" t="s">
        <v>41</v>
      </c>
      <c r="D2655" s="2" t="str">
        <f>"李应甲"</f>
        <v>李应甲</v>
      </c>
      <c r="E2655" s="2" t="str">
        <f>"男"</f>
        <v>男</v>
      </c>
    </row>
    <row r="2656" spans="1:5" ht="14.4" x14ac:dyDescent="0.25">
      <c r="A2656" s="4">
        <v>2654</v>
      </c>
      <c r="B2656" s="2" t="str">
        <f>"3251202108121705389074"</f>
        <v>3251202108121705389074</v>
      </c>
      <c r="C2656" s="2" t="s">
        <v>41</v>
      </c>
      <c r="D2656" s="2" t="str">
        <f>"麦璐璐"</f>
        <v>麦璐璐</v>
      </c>
      <c r="E2656" s="2" t="str">
        <f>"女"</f>
        <v>女</v>
      </c>
    </row>
    <row r="2657" spans="1:5" ht="14.4" x14ac:dyDescent="0.25">
      <c r="A2657" s="4">
        <v>2655</v>
      </c>
      <c r="B2657" s="2" t="str">
        <f>"3251202108121708379078"</f>
        <v>3251202108121708379078</v>
      </c>
      <c r="C2657" s="2" t="s">
        <v>41</v>
      </c>
      <c r="D2657" s="2" t="str">
        <f>"黄丽婉"</f>
        <v>黄丽婉</v>
      </c>
      <c r="E2657" s="2" t="str">
        <f>"女"</f>
        <v>女</v>
      </c>
    </row>
    <row r="2658" spans="1:5" ht="14.4" x14ac:dyDescent="0.25">
      <c r="A2658" s="4">
        <v>2656</v>
      </c>
      <c r="B2658" s="2" t="str">
        <f>"3251202108121827339170"</f>
        <v>3251202108121827339170</v>
      </c>
      <c r="C2658" s="2" t="s">
        <v>41</v>
      </c>
      <c r="D2658" s="2" t="str">
        <f>"曾德健"</f>
        <v>曾德健</v>
      </c>
      <c r="E2658" s="2" t="str">
        <f>"男"</f>
        <v>男</v>
      </c>
    </row>
    <row r="2659" spans="1:5" ht="14.4" x14ac:dyDescent="0.25">
      <c r="A2659" s="4">
        <v>2657</v>
      </c>
      <c r="B2659" s="2" t="str">
        <f>"3251202108121836579180"</f>
        <v>3251202108121836579180</v>
      </c>
      <c r="C2659" s="2" t="s">
        <v>41</v>
      </c>
      <c r="D2659" s="2" t="str">
        <f>"陈起伟"</f>
        <v>陈起伟</v>
      </c>
      <c r="E2659" s="2" t="str">
        <f>"男"</f>
        <v>男</v>
      </c>
    </row>
    <row r="2660" spans="1:5" ht="14.4" x14ac:dyDescent="0.25">
      <c r="A2660" s="4">
        <v>2658</v>
      </c>
      <c r="B2660" s="2" t="str">
        <f>"3251202108121845569189"</f>
        <v>3251202108121845569189</v>
      </c>
      <c r="C2660" s="2" t="s">
        <v>41</v>
      </c>
      <c r="D2660" s="2" t="str">
        <f>"陈兴兰"</f>
        <v>陈兴兰</v>
      </c>
      <c r="E2660" s="2" t="str">
        <f>"女"</f>
        <v>女</v>
      </c>
    </row>
    <row r="2661" spans="1:5" ht="14.4" x14ac:dyDescent="0.25">
      <c r="A2661" s="4">
        <v>2659</v>
      </c>
      <c r="B2661" s="2" t="str">
        <f>"3251202108121947089242"</f>
        <v>3251202108121947089242</v>
      </c>
      <c r="C2661" s="2" t="s">
        <v>41</v>
      </c>
      <c r="D2661" s="2" t="str">
        <f>"李娟"</f>
        <v>李娟</v>
      </c>
      <c r="E2661" s="2" t="str">
        <f>"女"</f>
        <v>女</v>
      </c>
    </row>
    <row r="2662" spans="1:5" ht="14.4" x14ac:dyDescent="0.25">
      <c r="A2662" s="4">
        <v>2660</v>
      </c>
      <c r="B2662" s="2" t="str">
        <f>"3251202108121957159249"</f>
        <v>3251202108121957159249</v>
      </c>
      <c r="C2662" s="2" t="s">
        <v>41</v>
      </c>
      <c r="D2662" s="2" t="str">
        <f>"陈东升"</f>
        <v>陈东升</v>
      </c>
      <c r="E2662" s="2" t="str">
        <f>"男"</f>
        <v>男</v>
      </c>
    </row>
    <row r="2663" spans="1:5" ht="14.4" x14ac:dyDescent="0.25">
      <c r="A2663" s="4">
        <v>2661</v>
      </c>
      <c r="B2663" s="2" t="str">
        <f>"3251202108122039019285"</f>
        <v>3251202108122039019285</v>
      </c>
      <c r="C2663" s="2" t="s">
        <v>41</v>
      </c>
      <c r="D2663" s="2" t="str">
        <f>"陈奕利"</f>
        <v>陈奕利</v>
      </c>
      <c r="E2663" s="2" t="str">
        <f>"男"</f>
        <v>男</v>
      </c>
    </row>
    <row r="2664" spans="1:5" ht="14.4" x14ac:dyDescent="0.25">
      <c r="A2664" s="4">
        <v>2662</v>
      </c>
      <c r="B2664" s="2" t="str">
        <f>"3251202108122045389294"</f>
        <v>3251202108122045389294</v>
      </c>
      <c r="C2664" s="2" t="s">
        <v>41</v>
      </c>
      <c r="D2664" s="2" t="str">
        <f>"李垂枝"</f>
        <v>李垂枝</v>
      </c>
      <c r="E2664" s="2" t="str">
        <f>"女"</f>
        <v>女</v>
      </c>
    </row>
    <row r="2665" spans="1:5" ht="14.4" x14ac:dyDescent="0.25">
      <c r="A2665" s="4">
        <v>2663</v>
      </c>
      <c r="B2665" s="2" t="str">
        <f>"3251202108122121529335"</f>
        <v>3251202108122121529335</v>
      </c>
      <c r="C2665" s="2" t="s">
        <v>41</v>
      </c>
      <c r="D2665" s="2" t="str">
        <f>"蔡丽婷"</f>
        <v>蔡丽婷</v>
      </c>
      <c r="E2665" s="2" t="str">
        <f>"女"</f>
        <v>女</v>
      </c>
    </row>
    <row r="2666" spans="1:5" ht="14.4" x14ac:dyDescent="0.25">
      <c r="A2666" s="4">
        <v>2664</v>
      </c>
      <c r="B2666" s="2" t="str">
        <f>"3251202108122225189397"</f>
        <v>3251202108122225189397</v>
      </c>
      <c r="C2666" s="2" t="s">
        <v>41</v>
      </c>
      <c r="D2666" s="2" t="str">
        <f>"羊玉秋"</f>
        <v>羊玉秋</v>
      </c>
      <c r="E2666" s="2" t="str">
        <f>"女"</f>
        <v>女</v>
      </c>
    </row>
    <row r="2667" spans="1:5" ht="14.4" x14ac:dyDescent="0.25">
      <c r="A2667" s="4">
        <v>2665</v>
      </c>
      <c r="B2667" s="2" t="str">
        <f>"3251202108122306579435"</f>
        <v>3251202108122306579435</v>
      </c>
      <c r="C2667" s="2" t="s">
        <v>41</v>
      </c>
      <c r="D2667" s="2" t="str">
        <f>"陈小朝"</f>
        <v>陈小朝</v>
      </c>
      <c r="E2667" s="2" t="str">
        <f>"男"</f>
        <v>男</v>
      </c>
    </row>
    <row r="2668" spans="1:5" ht="14.4" x14ac:dyDescent="0.25">
      <c r="A2668" s="4">
        <v>2666</v>
      </c>
      <c r="B2668" s="2" t="str">
        <f>"3251202108130843579527"</f>
        <v>3251202108130843579527</v>
      </c>
      <c r="C2668" s="2" t="s">
        <v>41</v>
      </c>
      <c r="D2668" s="2" t="str">
        <f>"林丹曼"</f>
        <v>林丹曼</v>
      </c>
      <c r="E2668" s="2" t="str">
        <f>"女"</f>
        <v>女</v>
      </c>
    </row>
    <row r="2669" spans="1:5" ht="14.4" x14ac:dyDescent="0.25">
      <c r="A2669" s="4">
        <v>2667</v>
      </c>
      <c r="B2669" s="2" t="str">
        <f>"3251202108130858369537"</f>
        <v>3251202108130858369537</v>
      </c>
      <c r="C2669" s="2" t="s">
        <v>41</v>
      </c>
      <c r="D2669" s="2" t="str">
        <f>"韦冰冰"</f>
        <v>韦冰冰</v>
      </c>
      <c r="E2669" s="2" t="str">
        <f>"女"</f>
        <v>女</v>
      </c>
    </row>
    <row r="2670" spans="1:5" ht="14.4" x14ac:dyDescent="0.25">
      <c r="A2670" s="4">
        <v>2668</v>
      </c>
      <c r="B2670" s="2" t="str">
        <f>"3251202108130903079542"</f>
        <v>3251202108130903079542</v>
      </c>
      <c r="C2670" s="2" t="s">
        <v>41</v>
      </c>
      <c r="D2670" s="2" t="str">
        <f>"黄实旭"</f>
        <v>黄实旭</v>
      </c>
      <c r="E2670" s="2" t="str">
        <f>"男"</f>
        <v>男</v>
      </c>
    </row>
    <row r="2671" spans="1:5" ht="14.4" x14ac:dyDescent="0.25">
      <c r="A2671" s="4">
        <v>2669</v>
      </c>
      <c r="B2671" s="2" t="str">
        <f>"3251202108131028479654"</f>
        <v>3251202108131028479654</v>
      </c>
      <c r="C2671" s="2" t="s">
        <v>41</v>
      </c>
      <c r="D2671" s="2" t="str">
        <f>"陈思莹"</f>
        <v>陈思莹</v>
      </c>
      <c r="E2671" s="2" t="str">
        <f>"女"</f>
        <v>女</v>
      </c>
    </row>
    <row r="2672" spans="1:5" ht="14.4" x14ac:dyDescent="0.25">
      <c r="A2672" s="4">
        <v>2670</v>
      </c>
      <c r="B2672" s="2" t="str">
        <f>"3251202108131031419664"</f>
        <v>3251202108131031419664</v>
      </c>
      <c r="C2672" s="2" t="s">
        <v>41</v>
      </c>
      <c r="D2672" s="2" t="str">
        <f>"杨琳"</f>
        <v>杨琳</v>
      </c>
      <c r="E2672" s="2" t="str">
        <f>"女"</f>
        <v>女</v>
      </c>
    </row>
    <row r="2673" spans="1:5" ht="14.4" x14ac:dyDescent="0.25">
      <c r="A2673" s="4">
        <v>2671</v>
      </c>
      <c r="B2673" s="2" t="str">
        <f>"3251202108131103189709"</f>
        <v>3251202108131103189709</v>
      </c>
      <c r="C2673" s="2" t="s">
        <v>41</v>
      </c>
      <c r="D2673" s="2" t="str">
        <f>"曾凯平"</f>
        <v>曾凯平</v>
      </c>
      <c r="E2673" s="2" t="str">
        <f>"男"</f>
        <v>男</v>
      </c>
    </row>
    <row r="2674" spans="1:5" ht="14.4" x14ac:dyDescent="0.25">
      <c r="A2674" s="4">
        <v>2672</v>
      </c>
      <c r="B2674" s="2" t="str">
        <f>"3251202108131227389800"</f>
        <v>3251202108131227389800</v>
      </c>
      <c r="C2674" s="2" t="s">
        <v>41</v>
      </c>
      <c r="D2674" s="2" t="str">
        <f>"陈俊锦"</f>
        <v>陈俊锦</v>
      </c>
      <c r="E2674" s="2" t="str">
        <f>"男"</f>
        <v>男</v>
      </c>
    </row>
    <row r="2675" spans="1:5" ht="14.4" x14ac:dyDescent="0.25">
      <c r="A2675" s="4">
        <v>2673</v>
      </c>
      <c r="B2675" s="2" t="str">
        <f>"3251202108131443379892"</f>
        <v>3251202108131443379892</v>
      </c>
      <c r="C2675" s="2" t="s">
        <v>41</v>
      </c>
      <c r="D2675" s="2" t="str">
        <f>"王谋英"</f>
        <v>王谋英</v>
      </c>
      <c r="E2675" s="2" t="str">
        <f>"男"</f>
        <v>男</v>
      </c>
    </row>
    <row r="2676" spans="1:5" ht="14.4" x14ac:dyDescent="0.25">
      <c r="A2676" s="4">
        <v>2674</v>
      </c>
      <c r="B2676" s="2" t="str">
        <f>"32512021081317260710108"</f>
        <v>32512021081317260710108</v>
      </c>
      <c r="C2676" s="2" t="s">
        <v>41</v>
      </c>
      <c r="D2676" s="2" t="str">
        <f>"罗国琴"</f>
        <v>罗国琴</v>
      </c>
      <c r="E2676" s="2" t="str">
        <f>"女"</f>
        <v>女</v>
      </c>
    </row>
    <row r="2677" spans="1:5" ht="14.4" x14ac:dyDescent="0.25">
      <c r="A2677" s="4">
        <v>2675</v>
      </c>
      <c r="B2677" s="2" t="str">
        <f>"32512021081318292410160"</f>
        <v>32512021081318292410160</v>
      </c>
      <c r="C2677" s="2" t="s">
        <v>41</v>
      </c>
      <c r="D2677" s="2" t="str">
        <f>"陈俊材"</f>
        <v>陈俊材</v>
      </c>
      <c r="E2677" s="2" t="str">
        <f>"男"</f>
        <v>男</v>
      </c>
    </row>
    <row r="2678" spans="1:5" ht="14.4" x14ac:dyDescent="0.25">
      <c r="A2678" s="4">
        <v>2676</v>
      </c>
      <c r="B2678" s="2" t="str">
        <f>"32512021081320305110229"</f>
        <v>32512021081320305110229</v>
      </c>
      <c r="C2678" s="2" t="s">
        <v>41</v>
      </c>
      <c r="D2678" s="2" t="str">
        <f>"谭龙至"</f>
        <v>谭龙至</v>
      </c>
      <c r="E2678" s="2" t="str">
        <f>"男"</f>
        <v>男</v>
      </c>
    </row>
    <row r="2679" spans="1:5" ht="14.4" x14ac:dyDescent="0.25">
      <c r="A2679" s="4">
        <v>2677</v>
      </c>
      <c r="B2679" s="2" t="str">
        <f>"32512021081400211510351"</f>
        <v>32512021081400211510351</v>
      </c>
      <c r="C2679" s="2" t="s">
        <v>41</v>
      </c>
      <c r="D2679" s="2" t="str">
        <f>"郑远伟"</f>
        <v>郑远伟</v>
      </c>
      <c r="E2679" s="2" t="str">
        <f>"男"</f>
        <v>男</v>
      </c>
    </row>
    <row r="2680" spans="1:5" ht="14.4" x14ac:dyDescent="0.25">
      <c r="A2680" s="4">
        <v>2678</v>
      </c>
      <c r="B2680" s="2" t="str">
        <f>"32512021081407462710366"</f>
        <v>32512021081407462710366</v>
      </c>
      <c r="C2680" s="2" t="s">
        <v>41</v>
      </c>
      <c r="D2680" s="2" t="str">
        <f>"陈晓红"</f>
        <v>陈晓红</v>
      </c>
      <c r="E2680" s="2" t="str">
        <f>"女"</f>
        <v>女</v>
      </c>
    </row>
    <row r="2681" spans="1:5" ht="14.4" x14ac:dyDescent="0.25">
      <c r="A2681" s="4">
        <v>2679</v>
      </c>
      <c r="B2681" s="2" t="str">
        <f>"32512021081409464110420"</f>
        <v>32512021081409464110420</v>
      </c>
      <c r="C2681" s="2" t="s">
        <v>41</v>
      </c>
      <c r="D2681" s="2" t="str">
        <f>"周润"</f>
        <v>周润</v>
      </c>
      <c r="E2681" s="2" t="str">
        <f>"男"</f>
        <v>男</v>
      </c>
    </row>
    <row r="2682" spans="1:5" ht="14.4" x14ac:dyDescent="0.25">
      <c r="A2682" s="4">
        <v>2680</v>
      </c>
      <c r="B2682" s="2" t="str">
        <f>"32512021081409511410425"</f>
        <v>32512021081409511410425</v>
      </c>
      <c r="C2682" s="2" t="s">
        <v>41</v>
      </c>
      <c r="D2682" s="2" t="str">
        <f>"陈倩"</f>
        <v>陈倩</v>
      </c>
      <c r="E2682" s="2" t="str">
        <f>"女"</f>
        <v>女</v>
      </c>
    </row>
    <row r="2683" spans="1:5" ht="14.4" x14ac:dyDescent="0.25">
      <c r="A2683" s="4">
        <v>2681</v>
      </c>
      <c r="B2683" s="2" t="str">
        <f>"32512021081409545610427"</f>
        <v>32512021081409545610427</v>
      </c>
      <c r="C2683" s="2" t="s">
        <v>41</v>
      </c>
      <c r="D2683" s="2" t="str">
        <f>"何玲"</f>
        <v>何玲</v>
      </c>
      <c r="E2683" s="2" t="str">
        <f>"女"</f>
        <v>女</v>
      </c>
    </row>
    <row r="2684" spans="1:5" ht="14.4" x14ac:dyDescent="0.25">
      <c r="A2684" s="4">
        <v>2682</v>
      </c>
      <c r="B2684" s="2" t="str">
        <f>"32512021081411304510511"</f>
        <v>32512021081411304510511</v>
      </c>
      <c r="C2684" s="2" t="s">
        <v>41</v>
      </c>
      <c r="D2684" s="2" t="str">
        <f>"符新创"</f>
        <v>符新创</v>
      </c>
      <c r="E2684" s="2" t="str">
        <f>"男"</f>
        <v>男</v>
      </c>
    </row>
    <row r="2685" spans="1:5" ht="14.4" x14ac:dyDescent="0.25">
      <c r="A2685" s="4">
        <v>2683</v>
      </c>
      <c r="B2685" s="2" t="str">
        <f>"32512021081412194510533"</f>
        <v>32512021081412194510533</v>
      </c>
      <c r="C2685" s="2" t="s">
        <v>41</v>
      </c>
      <c r="D2685" s="2" t="str">
        <f>"刘颜"</f>
        <v>刘颜</v>
      </c>
      <c r="E2685" s="2" t="str">
        <f>"女"</f>
        <v>女</v>
      </c>
    </row>
    <row r="2686" spans="1:5" ht="14.4" x14ac:dyDescent="0.25">
      <c r="A2686" s="4">
        <v>2684</v>
      </c>
      <c r="B2686" s="2" t="str">
        <f>"32512021081415301710644"</f>
        <v>32512021081415301710644</v>
      </c>
      <c r="C2686" s="2" t="s">
        <v>41</v>
      </c>
      <c r="D2686" s="2" t="str">
        <f>"朱泳霏"</f>
        <v>朱泳霏</v>
      </c>
      <c r="E2686" s="2" t="str">
        <f>"女"</f>
        <v>女</v>
      </c>
    </row>
    <row r="2687" spans="1:5" ht="14.4" x14ac:dyDescent="0.25">
      <c r="A2687" s="4">
        <v>2685</v>
      </c>
      <c r="B2687" s="2" t="str">
        <f>"32512021081417215810732"</f>
        <v>32512021081417215810732</v>
      </c>
      <c r="C2687" s="2" t="s">
        <v>41</v>
      </c>
      <c r="D2687" s="2" t="str">
        <f>"郑秀贤"</f>
        <v>郑秀贤</v>
      </c>
      <c r="E2687" s="2" t="str">
        <f t="shared" ref="E2687:E2692" si="78">"男"</f>
        <v>男</v>
      </c>
    </row>
    <row r="2688" spans="1:5" ht="14.4" x14ac:dyDescent="0.25">
      <c r="A2688" s="4">
        <v>2686</v>
      </c>
      <c r="B2688" s="2" t="str">
        <f>"32512021081422540710885"</f>
        <v>32512021081422540710885</v>
      </c>
      <c r="C2688" s="2" t="s">
        <v>41</v>
      </c>
      <c r="D2688" s="2" t="str">
        <f>"王挺然"</f>
        <v>王挺然</v>
      </c>
      <c r="E2688" s="2" t="str">
        <f t="shared" si="78"/>
        <v>男</v>
      </c>
    </row>
    <row r="2689" spans="1:5" ht="14.4" x14ac:dyDescent="0.25">
      <c r="A2689" s="4">
        <v>2687</v>
      </c>
      <c r="B2689" s="2" t="str">
        <f>"32512021081423042010894"</f>
        <v>32512021081423042010894</v>
      </c>
      <c r="C2689" s="2" t="s">
        <v>41</v>
      </c>
      <c r="D2689" s="2" t="str">
        <f>"王国年"</f>
        <v>王国年</v>
      </c>
      <c r="E2689" s="2" t="str">
        <f t="shared" si="78"/>
        <v>男</v>
      </c>
    </row>
    <row r="2690" spans="1:5" ht="14.4" x14ac:dyDescent="0.25">
      <c r="A2690" s="4">
        <v>2688</v>
      </c>
      <c r="B2690" s="2" t="str">
        <f>"32512021081516455311262"</f>
        <v>32512021081516455311262</v>
      </c>
      <c r="C2690" s="2" t="s">
        <v>41</v>
      </c>
      <c r="D2690" s="2" t="str">
        <f>"张家勤"</f>
        <v>张家勤</v>
      </c>
      <c r="E2690" s="2" t="str">
        <f t="shared" si="78"/>
        <v>男</v>
      </c>
    </row>
    <row r="2691" spans="1:5" ht="14.4" x14ac:dyDescent="0.25">
      <c r="A2691" s="4">
        <v>2689</v>
      </c>
      <c r="B2691" s="2" t="str">
        <f>"32512021081518163011336"</f>
        <v>32512021081518163011336</v>
      </c>
      <c r="C2691" s="2" t="s">
        <v>41</v>
      </c>
      <c r="D2691" s="2" t="str">
        <f>"陈焕辉"</f>
        <v>陈焕辉</v>
      </c>
      <c r="E2691" s="2" t="str">
        <f t="shared" si="78"/>
        <v>男</v>
      </c>
    </row>
    <row r="2692" spans="1:5" ht="14.4" x14ac:dyDescent="0.25">
      <c r="A2692" s="4">
        <v>2690</v>
      </c>
      <c r="B2692" s="2" t="str">
        <f>"32512021081519092411376"</f>
        <v>32512021081519092411376</v>
      </c>
      <c r="C2692" s="2" t="s">
        <v>41</v>
      </c>
      <c r="D2692" s="2" t="str">
        <f>"何宣仪"</f>
        <v>何宣仪</v>
      </c>
      <c r="E2692" s="2" t="str">
        <f t="shared" si="78"/>
        <v>男</v>
      </c>
    </row>
    <row r="2693" spans="1:5" ht="14.4" x14ac:dyDescent="0.25">
      <c r="A2693" s="4">
        <v>2691</v>
      </c>
      <c r="B2693" s="2" t="str">
        <f>"32512021081519172411381"</f>
        <v>32512021081519172411381</v>
      </c>
      <c r="C2693" s="2" t="s">
        <v>41</v>
      </c>
      <c r="D2693" s="2" t="str">
        <f>"黄莹"</f>
        <v>黄莹</v>
      </c>
      <c r="E2693" s="2" t="str">
        <f>"女"</f>
        <v>女</v>
      </c>
    </row>
    <row r="2694" spans="1:5" ht="14.4" x14ac:dyDescent="0.25">
      <c r="A2694" s="4">
        <v>2692</v>
      </c>
      <c r="B2694" s="2" t="str">
        <f>"32512021081520464011465"</f>
        <v>32512021081520464011465</v>
      </c>
      <c r="C2694" s="2" t="s">
        <v>41</v>
      </c>
      <c r="D2694" s="2" t="str">
        <f>"王彩银"</f>
        <v>王彩银</v>
      </c>
      <c r="E2694" s="2" t="str">
        <f>"女"</f>
        <v>女</v>
      </c>
    </row>
    <row r="2695" spans="1:5" ht="14.4" x14ac:dyDescent="0.25">
      <c r="A2695" s="4">
        <v>2693</v>
      </c>
      <c r="B2695" s="2" t="str">
        <f>"32512021081521174611499"</f>
        <v>32512021081521174611499</v>
      </c>
      <c r="C2695" s="2" t="s">
        <v>41</v>
      </c>
      <c r="D2695" s="2" t="str">
        <f>"唐锡娜"</f>
        <v>唐锡娜</v>
      </c>
      <c r="E2695" s="2" t="str">
        <f>"女"</f>
        <v>女</v>
      </c>
    </row>
    <row r="2696" spans="1:5" ht="14.4" x14ac:dyDescent="0.25">
      <c r="A2696" s="4">
        <v>2694</v>
      </c>
      <c r="B2696" s="2" t="str">
        <f>"32512021081521380111515"</f>
        <v>32512021081521380111515</v>
      </c>
      <c r="C2696" s="2" t="s">
        <v>41</v>
      </c>
      <c r="D2696" s="2" t="str">
        <f>"陈乾涛"</f>
        <v>陈乾涛</v>
      </c>
      <c r="E2696" s="2" t="str">
        <f>"男"</f>
        <v>男</v>
      </c>
    </row>
    <row r="2697" spans="1:5" ht="14.4" x14ac:dyDescent="0.25">
      <c r="A2697" s="4">
        <v>2695</v>
      </c>
      <c r="B2697" s="2" t="str">
        <f>"32512021081522350411576"</f>
        <v>32512021081522350411576</v>
      </c>
      <c r="C2697" s="2" t="s">
        <v>41</v>
      </c>
      <c r="D2697" s="2" t="str">
        <f>"吴玉德"</f>
        <v>吴玉德</v>
      </c>
      <c r="E2697" s="2" t="str">
        <f>"男"</f>
        <v>男</v>
      </c>
    </row>
    <row r="2698" spans="1:5" ht="14.4" x14ac:dyDescent="0.25">
      <c r="A2698" s="4">
        <v>2696</v>
      </c>
      <c r="B2698" s="2" t="str">
        <f>"32512021081600173511640"</f>
        <v>32512021081600173511640</v>
      </c>
      <c r="C2698" s="2" t="s">
        <v>41</v>
      </c>
      <c r="D2698" s="2" t="str">
        <f>"吴忠琴"</f>
        <v>吴忠琴</v>
      </c>
      <c r="E2698" s="2" t="str">
        <f>"女"</f>
        <v>女</v>
      </c>
    </row>
    <row r="2699" spans="1:5" ht="14.4" x14ac:dyDescent="0.25">
      <c r="A2699" s="4">
        <v>2697</v>
      </c>
      <c r="B2699" s="2" t="str">
        <f>"32512021081607143711688"</f>
        <v>32512021081607143711688</v>
      </c>
      <c r="C2699" s="2" t="s">
        <v>41</v>
      </c>
      <c r="D2699" s="2" t="str">
        <f>"李岩妃"</f>
        <v>李岩妃</v>
      </c>
      <c r="E2699" s="2" t="str">
        <f>"女"</f>
        <v>女</v>
      </c>
    </row>
    <row r="2700" spans="1:5" ht="14.4" x14ac:dyDescent="0.25">
      <c r="A2700" s="4">
        <v>2698</v>
      </c>
      <c r="B2700" s="2" t="str">
        <f>"32512021081608074211707"</f>
        <v>32512021081608074211707</v>
      </c>
      <c r="C2700" s="2" t="s">
        <v>41</v>
      </c>
      <c r="D2700" s="2" t="str">
        <f>"程钰乔"</f>
        <v>程钰乔</v>
      </c>
      <c r="E2700" s="2" t="str">
        <f>"女"</f>
        <v>女</v>
      </c>
    </row>
    <row r="2701" spans="1:5" ht="14.4" x14ac:dyDescent="0.25">
      <c r="A2701" s="4">
        <v>2699</v>
      </c>
      <c r="B2701" s="2" t="str">
        <f>"32512021081608333411756"</f>
        <v>32512021081608333411756</v>
      </c>
      <c r="C2701" s="2" t="s">
        <v>41</v>
      </c>
      <c r="D2701" s="2" t="str">
        <f>"黄紫卉"</f>
        <v>黄紫卉</v>
      </c>
      <c r="E2701" s="2" t="str">
        <f>"女"</f>
        <v>女</v>
      </c>
    </row>
    <row r="2702" spans="1:5" ht="14.4" x14ac:dyDescent="0.25">
      <c r="A2702" s="4">
        <v>2700</v>
      </c>
      <c r="B2702" s="2" t="str">
        <f>"32512021081608414411770"</f>
        <v>32512021081608414411770</v>
      </c>
      <c r="C2702" s="2" t="s">
        <v>41</v>
      </c>
      <c r="D2702" s="2" t="str">
        <f>"张裕珩"</f>
        <v>张裕珩</v>
      </c>
      <c r="E2702" s="2" t="str">
        <f>"男"</f>
        <v>男</v>
      </c>
    </row>
    <row r="2703" spans="1:5" ht="14.4" x14ac:dyDescent="0.25">
      <c r="A2703" s="4">
        <v>2701</v>
      </c>
      <c r="B2703" s="2" t="str">
        <f>"32512021081609503312057"</f>
        <v>32512021081609503312057</v>
      </c>
      <c r="C2703" s="2" t="s">
        <v>41</v>
      </c>
      <c r="D2703" s="2" t="str">
        <f>"邢书恺"</f>
        <v>邢书恺</v>
      </c>
      <c r="E2703" s="2" t="str">
        <f>"男"</f>
        <v>男</v>
      </c>
    </row>
    <row r="2704" spans="1:5" ht="14.4" x14ac:dyDescent="0.25">
      <c r="A2704" s="4">
        <v>2702</v>
      </c>
      <c r="B2704" s="2" t="str">
        <f>"32512021081610270412257"</f>
        <v>32512021081610270412257</v>
      </c>
      <c r="C2704" s="2" t="s">
        <v>41</v>
      </c>
      <c r="D2704" s="2" t="str">
        <f>"王晓婷"</f>
        <v>王晓婷</v>
      </c>
      <c r="E2704" s="2" t="str">
        <f>"女"</f>
        <v>女</v>
      </c>
    </row>
    <row r="2705" spans="1:5" ht="14.4" x14ac:dyDescent="0.25">
      <c r="A2705" s="4">
        <v>2703</v>
      </c>
      <c r="B2705" s="2" t="str">
        <f>"32512021081610315812287"</f>
        <v>32512021081610315812287</v>
      </c>
      <c r="C2705" s="2" t="s">
        <v>41</v>
      </c>
      <c r="D2705" s="2" t="str">
        <f>"许世桃"</f>
        <v>许世桃</v>
      </c>
      <c r="E2705" s="2" t="str">
        <f>"女"</f>
        <v>女</v>
      </c>
    </row>
    <row r="2706" spans="1:5" ht="14.4" x14ac:dyDescent="0.25">
      <c r="A2706" s="4">
        <v>2704</v>
      </c>
      <c r="B2706" s="2" t="str">
        <f>"32512021081610364412311"</f>
        <v>32512021081610364412311</v>
      </c>
      <c r="C2706" s="2" t="s">
        <v>41</v>
      </c>
      <c r="D2706" s="2" t="str">
        <f>"陈菲菲"</f>
        <v>陈菲菲</v>
      </c>
      <c r="E2706" s="2" t="str">
        <f>"女"</f>
        <v>女</v>
      </c>
    </row>
    <row r="2707" spans="1:5" ht="14.4" x14ac:dyDescent="0.25">
      <c r="A2707" s="4">
        <v>2705</v>
      </c>
      <c r="B2707" s="2" t="str">
        <f>"32512021081611011412403"</f>
        <v>32512021081611011412403</v>
      </c>
      <c r="C2707" s="2" t="s">
        <v>41</v>
      </c>
      <c r="D2707" s="2" t="str">
        <f>"庞力力"</f>
        <v>庞力力</v>
      </c>
      <c r="E2707" s="2" t="str">
        <f>"男"</f>
        <v>男</v>
      </c>
    </row>
    <row r="2708" spans="1:5" ht="14.4" x14ac:dyDescent="0.25">
      <c r="A2708" s="4">
        <v>2706</v>
      </c>
      <c r="B2708" s="2" t="str">
        <f>"32512021081611525012616"</f>
        <v>32512021081611525012616</v>
      </c>
      <c r="C2708" s="2" t="s">
        <v>41</v>
      </c>
      <c r="D2708" s="2" t="str">
        <f>"伍理权"</f>
        <v>伍理权</v>
      </c>
      <c r="E2708" s="2" t="str">
        <f>"男"</f>
        <v>男</v>
      </c>
    </row>
    <row r="2709" spans="1:5" ht="14.4" x14ac:dyDescent="0.25">
      <c r="A2709" s="4">
        <v>2707</v>
      </c>
      <c r="B2709" s="2" t="str">
        <f>"32512021081611593712629"</f>
        <v>32512021081611593712629</v>
      </c>
      <c r="C2709" s="2" t="s">
        <v>41</v>
      </c>
      <c r="D2709" s="2" t="str">
        <f>"叶文熊"</f>
        <v>叶文熊</v>
      </c>
      <c r="E2709" s="2" t="str">
        <f>"男"</f>
        <v>男</v>
      </c>
    </row>
    <row r="2710" spans="1:5" ht="14.4" x14ac:dyDescent="0.25">
      <c r="A2710" s="4">
        <v>2708</v>
      </c>
      <c r="B2710" s="2" t="str">
        <f>"32512021081612252912694"</f>
        <v>32512021081612252912694</v>
      </c>
      <c r="C2710" s="2" t="s">
        <v>41</v>
      </c>
      <c r="D2710" s="2" t="str">
        <f>"冯照艳"</f>
        <v>冯照艳</v>
      </c>
      <c r="E2710" s="2" t="str">
        <f>"女"</f>
        <v>女</v>
      </c>
    </row>
    <row r="2711" spans="1:5" ht="14.4" x14ac:dyDescent="0.25">
      <c r="A2711" s="4">
        <v>2709</v>
      </c>
      <c r="B2711" s="2" t="str">
        <f>"32512021081612294312706"</f>
        <v>32512021081612294312706</v>
      </c>
      <c r="C2711" s="2" t="s">
        <v>41</v>
      </c>
      <c r="D2711" s="2" t="str">
        <f>"洪典安"</f>
        <v>洪典安</v>
      </c>
      <c r="E2711" s="2" t="str">
        <f>"男"</f>
        <v>男</v>
      </c>
    </row>
    <row r="2712" spans="1:5" ht="14.4" x14ac:dyDescent="0.25">
      <c r="A2712" s="4">
        <v>2710</v>
      </c>
      <c r="B2712" s="2" t="str">
        <f>"32512021081613493812867"</f>
        <v>32512021081613493812867</v>
      </c>
      <c r="C2712" s="2" t="s">
        <v>41</v>
      </c>
      <c r="D2712" s="2" t="str">
        <f>"王文禄"</f>
        <v>王文禄</v>
      </c>
      <c r="E2712" s="2" t="str">
        <f>"男"</f>
        <v>男</v>
      </c>
    </row>
    <row r="2713" spans="1:5" ht="14.4" x14ac:dyDescent="0.25">
      <c r="A2713" s="4">
        <v>2711</v>
      </c>
      <c r="B2713" s="2" t="str">
        <f>"3251202108100910043847"</f>
        <v>3251202108100910043847</v>
      </c>
      <c r="C2713" s="2" t="s">
        <v>42</v>
      </c>
      <c r="D2713" s="2" t="str">
        <f>"羊华"</f>
        <v>羊华</v>
      </c>
      <c r="E2713" s="2" t="str">
        <f>"女"</f>
        <v>女</v>
      </c>
    </row>
    <row r="2714" spans="1:5" ht="14.4" x14ac:dyDescent="0.25">
      <c r="A2714" s="4">
        <v>2712</v>
      </c>
      <c r="B2714" s="2" t="str">
        <f>"3251202108100911343863"</f>
        <v>3251202108100911343863</v>
      </c>
      <c r="C2714" s="2" t="s">
        <v>42</v>
      </c>
      <c r="D2714" s="2" t="str">
        <f>"王岳崇"</f>
        <v>王岳崇</v>
      </c>
      <c r="E2714" s="2" t="str">
        <f>"男"</f>
        <v>男</v>
      </c>
    </row>
    <row r="2715" spans="1:5" ht="14.4" x14ac:dyDescent="0.25">
      <c r="A2715" s="4">
        <v>2713</v>
      </c>
      <c r="B2715" s="2" t="str">
        <f>"3251202108100916103907"</f>
        <v>3251202108100916103907</v>
      </c>
      <c r="C2715" s="2" t="s">
        <v>42</v>
      </c>
      <c r="D2715" s="2" t="str">
        <f>"王雪营"</f>
        <v>王雪营</v>
      </c>
      <c r="E2715" s="2" t="str">
        <f>"女"</f>
        <v>女</v>
      </c>
    </row>
    <row r="2716" spans="1:5" ht="14.4" x14ac:dyDescent="0.25">
      <c r="A2716" s="4">
        <v>2714</v>
      </c>
      <c r="B2716" s="2" t="str">
        <f>"3251202108100942194103"</f>
        <v>3251202108100942194103</v>
      </c>
      <c r="C2716" s="2" t="s">
        <v>42</v>
      </c>
      <c r="D2716" s="2" t="str">
        <f>"梁慧"</f>
        <v>梁慧</v>
      </c>
      <c r="E2716" s="2" t="str">
        <f>"女"</f>
        <v>女</v>
      </c>
    </row>
    <row r="2717" spans="1:5" ht="14.4" x14ac:dyDescent="0.25">
      <c r="A2717" s="4">
        <v>2715</v>
      </c>
      <c r="B2717" s="2" t="str">
        <f>"3251202108100942564105"</f>
        <v>3251202108100942564105</v>
      </c>
      <c r="C2717" s="2" t="s">
        <v>42</v>
      </c>
      <c r="D2717" s="2" t="str">
        <f>"符玉霜"</f>
        <v>符玉霜</v>
      </c>
      <c r="E2717" s="2" t="str">
        <f>"女"</f>
        <v>女</v>
      </c>
    </row>
    <row r="2718" spans="1:5" ht="14.4" x14ac:dyDescent="0.25">
      <c r="A2718" s="4">
        <v>2716</v>
      </c>
      <c r="B2718" s="2" t="str">
        <f>"3251202108100944104112"</f>
        <v>3251202108100944104112</v>
      </c>
      <c r="C2718" s="2" t="s">
        <v>42</v>
      </c>
      <c r="D2718" s="2" t="str">
        <f>"许林静"</f>
        <v>许林静</v>
      </c>
      <c r="E2718" s="2" t="str">
        <f>"女"</f>
        <v>女</v>
      </c>
    </row>
    <row r="2719" spans="1:5" ht="14.4" x14ac:dyDescent="0.25">
      <c r="A2719" s="4">
        <v>2717</v>
      </c>
      <c r="B2719" s="2" t="str">
        <f>"3251202108101005354260"</f>
        <v>3251202108101005354260</v>
      </c>
      <c r="C2719" s="2" t="s">
        <v>42</v>
      </c>
      <c r="D2719" s="2" t="str">
        <f>"李孟津"</f>
        <v>李孟津</v>
      </c>
      <c r="E2719" s="2" t="str">
        <f>"男"</f>
        <v>男</v>
      </c>
    </row>
    <row r="2720" spans="1:5" ht="14.4" x14ac:dyDescent="0.25">
      <c r="A2720" s="4">
        <v>2718</v>
      </c>
      <c r="B2720" s="2" t="str">
        <f>"3251202108101030514398"</f>
        <v>3251202108101030514398</v>
      </c>
      <c r="C2720" s="2" t="s">
        <v>42</v>
      </c>
      <c r="D2720" s="2" t="str">
        <f>"符晓晶"</f>
        <v>符晓晶</v>
      </c>
      <c r="E2720" s="2" t="str">
        <f>"女"</f>
        <v>女</v>
      </c>
    </row>
    <row r="2721" spans="1:5" ht="14.4" x14ac:dyDescent="0.25">
      <c r="A2721" s="4">
        <v>2719</v>
      </c>
      <c r="B2721" s="2" t="str">
        <f>"3251202108101031414402"</f>
        <v>3251202108101031414402</v>
      </c>
      <c r="C2721" s="2" t="s">
        <v>42</v>
      </c>
      <c r="D2721" s="2" t="str">
        <f>"刘海翠"</f>
        <v>刘海翠</v>
      </c>
      <c r="E2721" s="2" t="str">
        <f>"女"</f>
        <v>女</v>
      </c>
    </row>
    <row r="2722" spans="1:5" ht="14.4" x14ac:dyDescent="0.25">
      <c r="A2722" s="4">
        <v>2720</v>
      </c>
      <c r="B2722" s="2" t="str">
        <f>"3251202108101047424476"</f>
        <v>3251202108101047424476</v>
      </c>
      <c r="C2722" s="2" t="s">
        <v>42</v>
      </c>
      <c r="D2722" s="2" t="str">
        <f>"符洪彪"</f>
        <v>符洪彪</v>
      </c>
      <c r="E2722" s="2" t="str">
        <f>"男"</f>
        <v>男</v>
      </c>
    </row>
    <row r="2723" spans="1:5" ht="14.4" x14ac:dyDescent="0.25">
      <c r="A2723" s="4">
        <v>2721</v>
      </c>
      <c r="B2723" s="2" t="str">
        <f>"3251202108101054004511"</f>
        <v>3251202108101054004511</v>
      </c>
      <c r="C2723" s="2" t="s">
        <v>42</v>
      </c>
      <c r="D2723" s="2" t="str">
        <f>"梁金弟"</f>
        <v>梁金弟</v>
      </c>
      <c r="E2723" s="2" t="str">
        <f>"男"</f>
        <v>男</v>
      </c>
    </row>
    <row r="2724" spans="1:5" ht="14.4" x14ac:dyDescent="0.25">
      <c r="A2724" s="4">
        <v>2722</v>
      </c>
      <c r="B2724" s="2" t="str">
        <f>"3251202108101103524562"</f>
        <v>3251202108101103524562</v>
      </c>
      <c r="C2724" s="2" t="s">
        <v>42</v>
      </c>
      <c r="D2724" s="2" t="str">
        <f>"符乐"</f>
        <v>符乐</v>
      </c>
      <c r="E2724" s="2" t="str">
        <f>"女"</f>
        <v>女</v>
      </c>
    </row>
    <row r="2725" spans="1:5" ht="14.4" x14ac:dyDescent="0.25">
      <c r="A2725" s="4">
        <v>2723</v>
      </c>
      <c r="B2725" s="2" t="str">
        <f>"3251202108101118484636"</f>
        <v>3251202108101118484636</v>
      </c>
      <c r="C2725" s="2" t="s">
        <v>42</v>
      </c>
      <c r="D2725" s="2" t="str">
        <f>"麦春娇"</f>
        <v>麦春娇</v>
      </c>
      <c r="E2725" s="2" t="str">
        <f>"女"</f>
        <v>女</v>
      </c>
    </row>
    <row r="2726" spans="1:5" ht="14.4" x14ac:dyDescent="0.25">
      <c r="A2726" s="4">
        <v>2724</v>
      </c>
      <c r="B2726" s="2" t="str">
        <f>"3251202108101142264756"</f>
        <v>3251202108101142264756</v>
      </c>
      <c r="C2726" s="2" t="s">
        <v>42</v>
      </c>
      <c r="D2726" s="2" t="str">
        <f>"潘在煌"</f>
        <v>潘在煌</v>
      </c>
      <c r="E2726" s="2" t="str">
        <f>"男"</f>
        <v>男</v>
      </c>
    </row>
    <row r="2727" spans="1:5" ht="14.4" x14ac:dyDescent="0.25">
      <c r="A2727" s="4">
        <v>2725</v>
      </c>
      <c r="B2727" s="2" t="str">
        <f>"3251202108101150104780"</f>
        <v>3251202108101150104780</v>
      </c>
      <c r="C2727" s="2" t="s">
        <v>42</v>
      </c>
      <c r="D2727" s="2" t="str">
        <f>"陈培格"</f>
        <v>陈培格</v>
      </c>
      <c r="E2727" s="2" t="str">
        <f>"女"</f>
        <v>女</v>
      </c>
    </row>
    <row r="2728" spans="1:5" ht="14.4" x14ac:dyDescent="0.25">
      <c r="A2728" s="4">
        <v>2726</v>
      </c>
      <c r="B2728" s="2" t="str">
        <f>"3251202108101232134912"</f>
        <v>3251202108101232134912</v>
      </c>
      <c r="C2728" s="2" t="s">
        <v>42</v>
      </c>
      <c r="D2728" s="2" t="str">
        <f>"符慧青"</f>
        <v>符慧青</v>
      </c>
      <c r="E2728" s="2" t="str">
        <f>"女"</f>
        <v>女</v>
      </c>
    </row>
    <row r="2729" spans="1:5" ht="14.4" x14ac:dyDescent="0.25">
      <c r="A2729" s="4">
        <v>2727</v>
      </c>
      <c r="B2729" s="2" t="str">
        <f>"3251202108101233044916"</f>
        <v>3251202108101233044916</v>
      </c>
      <c r="C2729" s="2" t="s">
        <v>42</v>
      </c>
      <c r="D2729" s="2" t="str">
        <f>"符绿谨"</f>
        <v>符绿谨</v>
      </c>
      <c r="E2729" s="2" t="str">
        <f>"女"</f>
        <v>女</v>
      </c>
    </row>
    <row r="2730" spans="1:5" ht="14.4" x14ac:dyDescent="0.25">
      <c r="A2730" s="4">
        <v>2728</v>
      </c>
      <c r="B2730" s="2" t="str">
        <f>"3251202108101246134952"</f>
        <v>3251202108101246134952</v>
      </c>
      <c r="C2730" s="2" t="s">
        <v>42</v>
      </c>
      <c r="D2730" s="2" t="str">
        <f>"王玲"</f>
        <v>王玲</v>
      </c>
      <c r="E2730" s="2" t="str">
        <f>"女"</f>
        <v>女</v>
      </c>
    </row>
    <row r="2731" spans="1:5" ht="14.4" x14ac:dyDescent="0.25">
      <c r="A2731" s="4">
        <v>2729</v>
      </c>
      <c r="B2731" s="2" t="str">
        <f>"3251202108101511305344"</f>
        <v>3251202108101511305344</v>
      </c>
      <c r="C2731" s="2" t="s">
        <v>42</v>
      </c>
      <c r="D2731" s="2" t="str">
        <f>"符帝宝"</f>
        <v>符帝宝</v>
      </c>
      <c r="E2731" s="2" t="str">
        <f>"男"</f>
        <v>男</v>
      </c>
    </row>
    <row r="2732" spans="1:5" ht="14.4" x14ac:dyDescent="0.25">
      <c r="A2732" s="4">
        <v>2730</v>
      </c>
      <c r="B2732" s="2" t="str">
        <f>"3251202108101534215419"</f>
        <v>3251202108101534215419</v>
      </c>
      <c r="C2732" s="2" t="s">
        <v>42</v>
      </c>
      <c r="D2732" s="2" t="str">
        <f>"符李丹"</f>
        <v>符李丹</v>
      </c>
      <c r="E2732" s="2" t="str">
        <f t="shared" ref="E2732:E2738" si="79">"女"</f>
        <v>女</v>
      </c>
    </row>
    <row r="2733" spans="1:5" ht="14.4" x14ac:dyDescent="0.25">
      <c r="A2733" s="4">
        <v>2731</v>
      </c>
      <c r="B2733" s="2" t="str">
        <f>"3251202108101604405521"</f>
        <v>3251202108101604405521</v>
      </c>
      <c r="C2733" s="2" t="s">
        <v>42</v>
      </c>
      <c r="D2733" s="2" t="str">
        <f>"符茹萍"</f>
        <v>符茹萍</v>
      </c>
      <c r="E2733" s="2" t="str">
        <f t="shared" si="79"/>
        <v>女</v>
      </c>
    </row>
    <row r="2734" spans="1:5" ht="14.4" x14ac:dyDescent="0.25">
      <c r="A2734" s="4">
        <v>2732</v>
      </c>
      <c r="B2734" s="2" t="str">
        <f>"3251202108101648235696"</f>
        <v>3251202108101648235696</v>
      </c>
      <c r="C2734" s="2" t="s">
        <v>42</v>
      </c>
      <c r="D2734" s="2" t="str">
        <f>"符慧婷"</f>
        <v>符慧婷</v>
      </c>
      <c r="E2734" s="2" t="str">
        <f t="shared" si="79"/>
        <v>女</v>
      </c>
    </row>
    <row r="2735" spans="1:5" ht="14.4" x14ac:dyDescent="0.25">
      <c r="A2735" s="4">
        <v>2733</v>
      </c>
      <c r="B2735" s="2" t="str">
        <f>"3251202108101718015803"</f>
        <v>3251202108101718015803</v>
      </c>
      <c r="C2735" s="2" t="s">
        <v>42</v>
      </c>
      <c r="D2735" s="2" t="str">
        <f>"刘欣琪"</f>
        <v>刘欣琪</v>
      </c>
      <c r="E2735" s="2" t="str">
        <f t="shared" si="79"/>
        <v>女</v>
      </c>
    </row>
    <row r="2736" spans="1:5" ht="14.4" x14ac:dyDescent="0.25">
      <c r="A2736" s="4">
        <v>2734</v>
      </c>
      <c r="B2736" s="2" t="str">
        <f>"3251202108102104596287"</f>
        <v>3251202108102104596287</v>
      </c>
      <c r="C2736" s="2" t="s">
        <v>42</v>
      </c>
      <c r="D2736" s="2" t="str">
        <f>"符淑婷"</f>
        <v>符淑婷</v>
      </c>
      <c r="E2736" s="2" t="str">
        <f t="shared" si="79"/>
        <v>女</v>
      </c>
    </row>
    <row r="2737" spans="1:5" ht="14.4" x14ac:dyDescent="0.25">
      <c r="A2737" s="4">
        <v>2735</v>
      </c>
      <c r="B2737" s="2" t="str">
        <f>"3251202108102113286309"</f>
        <v>3251202108102113286309</v>
      </c>
      <c r="C2737" s="2" t="s">
        <v>42</v>
      </c>
      <c r="D2737" s="2" t="str">
        <f>"刘妮颜"</f>
        <v>刘妮颜</v>
      </c>
      <c r="E2737" s="2" t="str">
        <f t="shared" si="79"/>
        <v>女</v>
      </c>
    </row>
    <row r="2738" spans="1:5" ht="14.4" x14ac:dyDescent="0.25">
      <c r="A2738" s="4">
        <v>2736</v>
      </c>
      <c r="B2738" s="2" t="str">
        <f>"3251202108110918326717"</f>
        <v>3251202108110918326717</v>
      </c>
      <c r="C2738" s="2" t="s">
        <v>42</v>
      </c>
      <c r="D2738" s="2" t="str">
        <f>"符丽娜"</f>
        <v>符丽娜</v>
      </c>
      <c r="E2738" s="2" t="str">
        <f t="shared" si="79"/>
        <v>女</v>
      </c>
    </row>
    <row r="2739" spans="1:5" ht="14.4" x14ac:dyDescent="0.25">
      <c r="A2739" s="4">
        <v>2737</v>
      </c>
      <c r="B2739" s="2" t="str">
        <f>"3251202108111219387158"</f>
        <v>3251202108111219387158</v>
      </c>
      <c r="C2739" s="2" t="s">
        <v>42</v>
      </c>
      <c r="D2739" s="2" t="str">
        <f>"王熙茂"</f>
        <v>王熙茂</v>
      </c>
      <c r="E2739" s="2" t="str">
        <f>"男"</f>
        <v>男</v>
      </c>
    </row>
    <row r="2740" spans="1:5" ht="14.4" x14ac:dyDescent="0.25">
      <c r="A2740" s="4">
        <v>2738</v>
      </c>
      <c r="B2740" s="2" t="str">
        <f>"3251202108111457497356"</f>
        <v>3251202108111457497356</v>
      </c>
      <c r="C2740" s="2" t="s">
        <v>42</v>
      </c>
      <c r="D2740" s="2" t="str">
        <f>"符晶晶"</f>
        <v>符晶晶</v>
      </c>
      <c r="E2740" s="2" t="str">
        <f>"女"</f>
        <v>女</v>
      </c>
    </row>
    <row r="2741" spans="1:5" ht="14.4" x14ac:dyDescent="0.25">
      <c r="A2741" s="4">
        <v>2739</v>
      </c>
      <c r="B2741" s="2" t="str">
        <f>"3251202108111614077515"</f>
        <v>3251202108111614077515</v>
      </c>
      <c r="C2741" s="2" t="s">
        <v>42</v>
      </c>
      <c r="D2741" s="2" t="str">
        <f>"王和平"</f>
        <v>王和平</v>
      </c>
      <c r="E2741" s="2" t="str">
        <f>"男"</f>
        <v>男</v>
      </c>
    </row>
    <row r="2742" spans="1:5" ht="14.4" x14ac:dyDescent="0.25">
      <c r="A2742" s="4">
        <v>2740</v>
      </c>
      <c r="B2742" s="2" t="str">
        <f>"3251202108111655117584"</f>
        <v>3251202108111655117584</v>
      </c>
      <c r="C2742" s="2" t="s">
        <v>42</v>
      </c>
      <c r="D2742" s="2" t="str">
        <f>"符照冰"</f>
        <v>符照冰</v>
      </c>
      <c r="E2742" s="2" t="str">
        <f>"女"</f>
        <v>女</v>
      </c>
    </row>
    <row r="2743" spans="1:5" ht="14.4" x14ac:dyDescent="0.25">
      <c r="A2743" s="4">
        <v>2741</v>
      </c>
      <c r="B2743" s="2" t="str">
        <f>"3251202108111659377590"</f>
        <v>3251202108111659377590</v>
      </c>
      <c r="C2743" s="2" t="s">
        <v>42</v>
      </c>
      <c r="D2743" s="2" t="str">
        <f>"符小菲"</f>
        <v>符小菲</v>
      </c>
      <c r="E2743" s="2" t="str">
        <f>"女"</f>
        <v>女</v>
      </c>
    </row>
    <row r="2744" spans="1:5" ht="14.4" x14ac:dyDescent="0.25">
      <c r="A2744" s="4">
        <v>2742</v>
      </c>
      <c r="B2744" s="2" t="str">
        <f>"3251202108111702417593"</f>
        <v>3251202108111702417593</v>
      </c>
      <c r="C2744" s="2" t="s">
        <v>42</v>
      </c>
      <c r="D2744" s="2" t="str">
        <f>"符昙欢"</f>
        <v>符昙欢</v>
      </c>
      <c r="E2744" s="2" t="str">
        <f>"女"</f>
        <v>女</v>
      </c>
    </row>
    <row r="2745" spans="1:5" ht="14.4" x14ac:dyDescent="0.25">
      <c r="A2745" s="4">
        <v>2743</v>
      </c>
      <c r="B2745" s="2" t="str">
        <f>"3251202108111806347694"</f>
        <v>3251202108111806347694</v>
      </c>
      <c r="C2745" s="2" t="s">
        <v>42</v>
      </c>
      <c r="D2745" s="2" t="str">
        <f>"张美虹"</f>
        <v>张美虹</v>
      </c>
      <c r="E2745" s="2" t="str">
        <f>"女"</f>
        <v>女</v>
      </c>
    </row>
    <row r="2746" spans="1:5" ht="14.4" x14ac:dyDescent="0.25">
      <c r="A2746" s="4">
        <v>2744</v>
      </c>
      <c r="B2746" s="2" t="str">
        <f>"3251202108111842007749"</f>
        <v>3251202108111842007749</v>
      </c>
      <c r="C2746" s="2" t="s">
        <v>42</v>
      </c>
      <c r="D2746" s="2" t="str">
        <f>"邓琪"</f>
        <v>邓琪</v>
      </c>
      <c r="E2746" s="2" t="str">
        <f>"男"</f>
        <v>男</v>
      </c>
    </row>
    <row r="2747" spans="1:5" ht="14.4" x14ac:dyDescent="0.25">
      <c r="A2747" s="4">
        <v>2745</v>
      </c>
      <c r="B2747" s="2" t="str">
        <f>"3251202108111842187752"</f>
        <v>3251202108111842187752</v>
      </c>
      <c r="C2747" s="2" t="s">
        <v>42</v>
      </c>
      <c r="D2747" s="2" t="str">
        <f>"梁宁权"</f>
        <v>梁宁权</v>
      </c>
      <c r="E2747" s="2" t="str">
        <f>"男"</f>
        <v>男</v>
      </c>
    </row>
    <row r="2748" spans="1:5" ht="14.4" x14ac:dyDescent="0.25">
      <c r="A2748" s="4">
        <v>2746</v>
      </c>
      <c r="B2748" s="2" t="str">
        <f>"3251202108111929167799"</f>
        <v>3251202108111929167799</v>
      </c>
      <c r="C2748" s="2" t="s">
        <v>42</v>
      </c>
      <c r="D2748" s="2" t="str">
        <f>"符晓菲"</f>
        <v>符晓菲</v>
      </c>
      <c r="E2748" s="2" t="str">
        <f>"女"</f>
        <v>女</v>
      </c>
    </row>
    <row r="2749" spans="1:5" ht="14.4" x14ac:dyDescent="0.25">
      <c r="A2749" s="4">
        <v>2747</v>
      </c>
      <c r="B2749" s="2" t="str">
        <f>"3251202108120015358152"</f>
        <v>3251202108120015358152</v>
      </c>
      <c r="C2749" s="2" t="s">
        <v>42</v>
      </c>
      <c r="D2749" s="2" t="str">
        <f>"王英怀"</f>
        <v>王英怀</v>
      </c>
      <c r="E2749" s="2" t="str">
        <f>"女"</f>
        <v>女</v>
      </c>
    </row>
    <row r="2750" spans="1:5" ht="14.4" x14ac:dyDescent="0.25">
      <c r="A2750" s="4">
        <v>2748</v>
      </c>
      <c r="B2750" s="2" t="str">
        <f>"3251202108120104478158"</f>
        <v>3251202108120104478158</v>
      </c>
      <c r="C2750" s="2" t="s">
        <v>42</v>
      </c>
      <c r="D2750" s="2" t="str">
        <f>"吕志君"</f>
        <v>吕志君</v>
      </c>
      <c r="E2750" s="2" t="str">
        <f>"男"</f>
        <v>男</v>
      </c>
    </row>
    <row r="2751" spans="1:5" ht="14.4" x14ac:dyDescent="0.25">
      <c r="A2751" s="4">
        <v>2749</v>
      </c>
      <c r="B2751" s="2" t="str">
        <f>"3251202108120812348179"</f>
        <v>3251202108120812348179</v>
      </c>
      <c r="C2751" s="2" t="s">
        <v>42</v>
      </c>
      <c r="D2751" s="2" t="str">
        <f>"符扬锋"</f>
        <v>符扬锋</v>
      </c>
      <c r="E2751" s="2" t="str">
        <f>"男"</f>
        <v>男</v>
      </c>
    </row>
    <row r="2752" spans="1:5" ht="14.4" x14ac:dyDescent="0.25">
      <c r="A2752" s="4">
        <v>2750</v>
      </c>
      <c r="B2752" s="2" t="str">
        <f>"3251202108120846328218"</f>
        <v>3251202108120846328218</v>
      </c>
      <c r="C2752" s="2" t="s">
        <v>42</v>
      </c>
      <c r="D2752" s="2" t="str">
        <f>"符巨龙"</f>
        <v>符巨龙</v>
      </c>
      <c r="E2752" s="2" t="str">
        <f>"男"</f>
        <v>男</v>
      </c>
    </row>
    <row r="2753" spans="1:5" ht="14.4" x14ac:dyDescent="0.25">
      <c r="A2753" s="4">
        <v>2751</v>
      </c>
      <c r="B2753" s="2" t="str">
        <f>"3251202108121023268455"</f>
        <v>3251202108121023268455</v>
      </c>
      <c r="C2753" s="2" t="s">
        <v>42</v>
      </c>
      <c r="D2753" s="2" t="str">
        <f>"王丽婵"</f>
        <v>王丽婵</v>
      </c>
      <c r="E2753" s="2" t="str">
        <f>"女"</f>
        <v>女</v>
      </c>
    </row>
    <row r="2754" spans="1:5" ht="14.4" x14ac:dyDescent="0.25">
      <c r="A2754" s="4">
        <v>2752</v>
      </c>
      <c r="B2754" s="2" t="str">
        <f>"3251202108121023318456"</f>
        <v>3251202108121023318456</v>
      </c>
      <c r="C2754" s="2" t="s">
        <v>42</v>
      </c>
      <c r="D2754" s="2" t="str">
        <f>"马宏就"</f>
        <v>马宏就</v>
      </c>
      <c r="E2754" s="2" t="str">
        <f>"女"</f>
        <v>女</v>
      </c>
    </row>
    <row r="2755" spans="1:5" ht="14.4" x14ac:dyDescent="0.25">
      <c r="A2755" s="4">
        <v>2753</v>
      </c>
      <c r="B2755" s="2" t="str">
        <f>"3251202108121042078494"</f>
        <v>3251202108121042078494</v>
      </c>
      <c r="C2755" s="2" t="s">
        <v>42</v>
      </c>
      <c r="D2755" s="2" t="str">
        <f>"王智冠"</f>
        <v>王智冠</v>
      </c>
      <c r="E2755" s="2" t="str">
        <f>"男"</f>
        <v>男</v>
      </c>
    </row>
    <row r="2756" spans="1:5" ht="14.4" x14ac:dyDescent="0.25">
      <c r="A2756" s="4">
        <v>2754</v>
      </c>
      <c r="B2756" s="2" t="str">
        <f>"3251202108121112448554"</f>
        <v>3251202108121112448554</v>
      </c>
      <c r="C2756" s="2" t="s">
        <v>42</v>
      </c>
      <c r="D2756" s="2" t="str">
        <f>"符夏梅"</f>
        <v>符夏梅</v>
      </c>
      <c r="E2756" s="2" t="str">
        <f>"女"</f>
        <v>女</v>
      </c>
    </row>
    <row r="2757" spans="1:5" ht="14.4" x14ac:dyDescent="0.25">
      <c r="A2757" s="4">
        <v>2755</v>
      </c>
      <c r="B2757" s="2" t="str">
        <f>"3251202108121122288575"</f>
        <v>3251202108121122288575</v>
      </c>
      <c r="C2757" s="2" t="s">
        <v>42</v>
      </c>
      <c r="D2757" s="2" t="str">
        <f>"符振东"</f>
        <v>符振东</v>
      </c>
      <c r="E2757" s="2" t="str">
        <f>"男"</f>
        <v>男</v>
      </c>
    </row>
    <row r="2758" spans="1:5" ht="14.4" x14ac:dyDescent="0.25">
      <c r="A2758" s="4">
        <v>2756</v>
      </c>
      <c r="B2758" s="2" t="str">
        <f>"3251202108121557188967"</f>
        <v>3251202108121557188967</v>
      </c>
      <c r="C2758" s="2" t="s">
        <v>42</v>
      </c>
      <c r="D2758" s="2" t="str">
        <f>"周丽清"</f>
        <v>周丽清</v>
      </c>
      <c r="E2758" s="2" t="str">
        <f>"女"</f>
        <v>女</v>
      </c>
    </row>
    <row r="2759" spans="1:5" ht="14.4" x14ac:dyDescent="0.25">
      <c r="A2759" s="4">
        <v>2757</v>
      </c>
      <c r="B2759" s="2" t="str">
        <f>"3251202108121618499003"</f>
        <v>3251202108121618499003</v>
      </c>
      <c r="C2759" s="2" t="s">
        <v>42</v>
      </c>
      <c r="D2759" s="2" t="str">
        <f>"符晓芹"</f>
        <v>符晓芹</v>
      </c>
      <c r="E2759" s="2" t="str">
        <f>"女"</f>
        <v>女</v>
      </c>
    </row>
    <row r="2760" spans="1:5" ht="14.4" x14ac:dyDescent="0.25">
      <c r="A2760" s="4">
        <v>2758</v>
      </c>
      <c r="B2760" s="2" t="str">
        <f>"3251202108122147579363"</f>
        <v>3251202108122147579363</v>
      </c>
      <c r="C2760" s="2" t="s">
        <v>42</v>
      </c>
      <c r="D2760" s="2" t="str">
        <f>"符小妹"</f>
        <v>符小妹</v>
      </c>
      <c r="E2760" s="2" t="str">
        <f>"女"</f>
        <v>女</v>
      </c>
    </row>
    <row r="2761" spans="1:5" ht="14.4" x14ac:dyDescent="0.25">
      <c r="A2761" s="4">
        <v>2759</v>
      </c>
      <c r="B2761" s="2" t="str">
        <f>"3251202108122208439378"</f>
        <v>3251202108122208439378</v>
      </c>
      <c r="C2761" s="2" t="s">
        <v>42</v>
      </c>
      <c r="D2761" s="2" t="str">
        <f>"黄华鸣"</f>
        <v>黄华鸣</v>
      </c>
      <c r="E2761" s="2" t="str">
        <f>"男"</f>
        <v>男</v>
      </c>
    </row>
    <row r="2762" spans="1:5" ht="14.4" x14ac:dyDescent="0.25">
      <c r="A2762" s="4">
        <v>2760</v>
      </c>
      <c r="B2762" s="2" t="str">
        <f>"3251202108122211159381"</f>
        <v>3251202108122211159381</v>
      </c>
      <c r="C2762" s="2" t="s">
        <v>42</v>
      </c>
      <c r="D2762" s="2" t="str">
        <f>"廖文博"</f>
        <v>廖文博</v>
      </c>
      <c r="E2762" s="2" t="str">
        <f>"男"</f>
        <v>男</v>
      </c>
    </row>
    <row r="2763" spans="1:5" ht="14.4" x14ac:dyDescent="0.25">
      <c r="A2763" s="4">
        <v>2761</v>
      </c>
      <c r="B2763" s="2" t="str">
        <f>"3251202108122313219439"</f>
        <v>3251202108122313219439</v>
      </c>
      <c r="C2763" s="2" t="s">
        <v>42</v>
      </c>
      <c r="D2763" s="2" t="str">
        <f>"符丽洁"</f>
        <v>符丽洁</v>
      </c>
      <c r="E2763" s="2" t="str">
        <f t="shared" ref="E2763:E2775" si="80">"女"</f>
        <v>女</v>
      </c>
    </row>
    <row r="2764" spans="1:5" ht="14.4" x14ac:dyDescent="0.25">
      <c r="A2764" s="4">
        <v>2762</v>
      </c>
      <c r="B2764" s="2" t="str">
        <f>"3251202108131050069690"</f>
        <v>3251202108131050069690</v>
      </c>
      <c r="C2764" s="2" t="s">
        <v>42</v>
      </c>
      <c r="D2764" s="2" t="str">
        <f>"符靖莹"</f>
        <v>符靖莹</v>
      </c>
      <c r="E2764" s="2" t="str">
        <f t="shared" si="80"/>
        <v>女</v>
      </c>
    </row>
    <row r="2765" spans="1:5" ht="14.4" x14ac:dyDescent="0.25">
      <c r="A2765" s="4">
        <v>2763</v>
      </c>
      <c r="B2765" s="2" t="str">
        <f>"3251202108131324209842"</f>
        <v>3251202108131324209842</v>
      </c>
      <c r="C2765" s="2" t="s">
        <v>42</v>
      </c>
      <c r="D2765" s="2" t="str">
        <f>"王秀玲"</f>
        <v>王秀玲</v>
      </c>
      <c r="E2765" s="2" t="str">
        <f t="shared" si="80"/>
        <v>女</v>
      </c>
    </row>
    <row r="2766" spans="1:5" ht="14.4" x14ac:dyDescent="0.25">
      <c r="A2766" s="4">
        <v>2764</v>
      </c>
      <c r="B2766" s="2" t="str">
        <f>"32512021081320384610235"</f>
        <v>32512021081320384610235</v>
      </c>
      <c r="C2766" s="2" t="s">
        <v>42</v>
      </c>
      <c r="D2766" s="2" t="str">
        <f>"符晓玉"</f>
        <v>符晓玉</v>
      </c>
      <c r="E2766" s="2" t="str">
        <f t="shared" si="80"/>
        <v>女</v>
      </c>
    </row>
    <row r="2767" spans="1:5" ht="14.4" x14ac:dyDescent="0.25">
      <c r="A2767" s="4">
        <v>2765</v>
      </c>
      <c r="B2767" s="2" t="str">
        <f>"32512021081401225510357"</f>
        <v>32512021081401225510357</v>
      </c>
      <c r="C2767" s="2" t="s">
        <v>42</v>
      </c>
      <c r="D2767" s="2" t="str">
        <f>"符婷"</f>
        <v>符婷</v>
      </c>
      <c r="E2767" s="2" t="str">
        <f t="shared" si="80"/>
        <v>女</v>
      </c>
    </row>
    <row r="2768" spans="1:5" ht="14.4" x14ac:dyDescent="0.25">
      <c r="A2768" s="4">
        <v>2766</v>
      </c>
      <c r="B2768" s="2" t="str">
        <f>"32512021081410331310458"</f>
        <v>32512021081410331310458</v>
      </c>
      <c r="C2768" s="2" t="s">
        <v>42</v>
      </c>
      <c r="D2768" s="2" t="str">
        <f>"王纯"</f>
        <v>王纯</v>
      </c>
      <c r="E2768" s="2" t="str">
        <f t="shared" si="80"/>
        <v>女</v>
      </c>
    </row>
    <row r="2769" spans="1:5" ht="14.4" x14ac:dyDescent="0.25">
      <c r="A2769" s="4">
        <v>2767</v>
      </c>
      <c r="B2769" s="2" t="str">
        <f>"32512021081410574910482"</f>
        <v>32512021081410574910482</v>
      </c>
      <c r="C2769" s="2" t="s">
        <v>42</v>
      </c>
      <c r="D2769" s="2" t="str">
        <f>"王朱红玉"</f>
        <v>王朱红玉</v>
      </c>
      <c r="E2769" s="2" t="str">
        <f t="shared" si="80"/>
        <v>女</v>
      </c>
    </row>
    <row r="2770" spans="1:5" ht="14.4" x14ac:dyDescent="0.25">
      <c r="A2770" s="4">
        <v>2768</v>
      </c>
      <c r="B2770" s="2" t="str">
        <f>"32512021081500190010909"</f>
        <v>32512021081500190010909</v>
      </c>
      <c r="C2770" s="2" t="s">
        <v>42</v>
      </c>
      <c r="D2770" s="2" t="str">
        <f>"苏丽溶"</f>
        <v>苏丽溶</v>
      </c>
      <c r="E2770" s="2" t="str">
        <f t="shared" si="80"/>
        <v>女</v>
      </c>
    </row>
    <row r="2771" spans="1:5" ht="14.4" x14ac:dyDescent="0.25">
      <c r="A2771" s="4">
        <v>2769</v>
      </c>
      <c r="B2771" s="2" t="str">
        <f>"32512021081510572711017"</f>
        <v>32512021081510572711017</v>
      </c>
      <c r="C2771" s="2" t="s">
        <v>42</v>
      </c>
      <c r="D2771" s="2" t="str">
        <f>"肖晶珊"</f>
        <v>肖晶珊</v>
      </c>
      <c r="E2771" s="2" t="str">
        <f t="shared" si="80"/>
        <v>女</v>
      </c>
    </row>
    <row r="2772" spans="1:5" ht="14.4" x14ac:dyDescent="0.25">
      <c r="A2772" s="4">
        <v>2770</v>
      </c>
      <c r="B2772" s="2" t="str">
        <f>"32512021081511053411024"</f>
        <v>32512021081511053411024</v>
      </c>
      <c r="C2772" s="2" t="s">
        <v>42</v>
      </c>
      <c r="D2772" s="2" t="str">
        <f>"符琼叉"</f>
        <v>符琼叉</v>
      </c>
      <c r="E2772" s="2" t="str">
        <f t="shared" si="80"/>
        <v>女</v>
      </c>
    </row>
    <row r="2773" spans="1:5" ht="14.4" x14ac:dyDescent="0.25">
      <c r="A2773" s="4">
        <v>2771</v>
      </c>
      <c r="B2773" s="2" t="str">
        <f>"32512021081511405011050"</f>
        <v>32512021081511405011050</v>
      </c>
      <c r="C2773" s="2" t="s">
        <v>42</v>
      </c>
      <c r="D2773" s="2" t="str">
        <f>"朱燕芳"</f>
        <v>朱燕芳</v>
      </c>
      <c r="E2773" s="2" t="str">
        <f t="shared" si="80"/>
        <v>女</v>
      </c>
    </row>
    <row r="2774" spans="1:5" ht="14.4" x14ac:dyDescent="0.25">
      <c r="A2774" s="4">
        <v>2772</v>
      </c>
      <c r="B2774" s="2" t="str">
        <f>"32512021081511531111057"</f>
        <v>32512021081511531111057</v>
      </c>
      <c r="C2774" s="2" t="s">
        <v>42</v>
      </c>
      <c r="D2774" s="2" t="str">
        <f>"王素江"</f>
        <v>王素江</v>
      </c>
      <c r="E2774" s="2" t="str">
        <f t="shared" si="80"/>
        <v>女</v>
      </c>
    </row>
    <row r="2775" spans="1:5" ht="14.4" x14ac:dyDescent="0.25">
      <c r="A2775" s="4">
        <v>2773</v>
      </c>
      <c r="B2775" s="2" t="str">
        <f>"32512021081512255511076"</f>
        <v>32512021081512255511076</v>
      </c>
      <c r="C2775" s="2" t="s">
        <v>42</v>
      </c>
      <c r="D2775" s="2" t="str">
        <f>"钟丽莎"</f>
        <v>钟丽莎</v>
      </c>
      <c r="E2775" s="2" t="str">
        <f t="shared" si="80"/>
        <v>女</v>
      </c>
    </row>
    <row r="2776" spans="1:5" ht="14.4" x14ac:dyDescent="0.25">
      <c r="A2776" s="4">
        <v>2774</v>
      </c>
      <c r="B2776" s="2" t="str">
        <f>"32512021081515240411204"</f>
        <v>32512021081515240411204</v>
      </c>
      <c r="C2776" s="2" t="s">
        <v>42</v>
      </c>
      <c r="D2776" s="2" t="str">
        <f>"符照飞"</f>
        <v>符照飞</v>
      </c>
      <c r="E2776" s="2" t="str">
        <f>"男"</f>
        <v>男</v>
      </c>
    </row>
    <row r="2777" spans="1:5" ht="14.4" x14ac:dyDescent="0.25">
      <c r="A2777" s="4">
        <v>2775</v>
      </c>
      <c r="B2777" s="2" t="str">
        <f>"32512021081516072411227"</f>
        <v>32512021081516072411227</v>
      </c>
      <c r="C2777" s="2" t="s">
        <v>42</v>
      </c>
      <c r="D2777" s="2" t="str">
        <f>"符晓康"</f>
        <v>符晓康</v>
      </c>
      <c r="E2777" s="2" t="str">
        <f>"男"</f>
        <v>男</v>
      </c>
    </row>
    <row r="2778" spans="1:5" ht="14.4" x14ac:dyDescent="0.25">
      <c r="A2778" s="4">
        <v>2776</v>
      </c>
      <c r="B2778" s="2" t="str">
        <f>"32512021081517393511315"</f>
        <v>32512021081517393511315</v>
      </c>
      <c r="C2778" s="2" t="s">
        <v>42</v>
      </c>
      <c r="D2778" s="2" t="str">
        <f>"符仕贤"</f>
        <v>符仕贤</v>
      </c>
      <c r="E2778" s="2" t="str">
        <f>"男"</f>
        <v>男</v>
      </c>
    </row>
    <row r="2779" spans="1:5" ht="14.4" x14ac:dyDescent="0.25">
      <c r="A2779" s="4">
        <v>2777</v>
      </c>
      <c r="B2779" s="2" t="str">
        <f>"32512021081522302911570"</f>
        <v>32512021081522302911570</v>
      </c>
      <c r="C2779" s="2" t="s">
        <v>42</v>
      </c>
      <c r="D2779" s="2" t="str">
        <f>"刘小祝"</f>
        <v>刘小祝</v>
      </c>
      <c r="E2779" s="2" t="str">
        <f>"女"</f>
        <v>女</v>
      </c>
    </row>
    <row r="2780" spans="1:5" ht="14.4" x14ac:dyDescent="0.25">
      <c r="A2780" s="4">
        <v>2778</v>
      </c>
      <c r="B2780" s="2" t="str">
        <f>"32512021081522485711593"</f>
        <v>32512021081522485711593</v>
      </c>
      <c r="C2780" s="2" t="s">
        <v>42</v>
      </c>
      <c r="D2780" s="2" t="str">
        <f>"高剑丰"</f>
        <v>高剑丰</v>
      </c>
      <c r="E2780" s="2" t="str">
        <f>"男"</f>
        <v>男</v>
      </c>
    </row>
    <row r="2781" spans="1:5" ht="14.4" x14ac:dyDescent="0.25">
      <c r="A2781" s="4">
        <v>2779</v>
      </c>
      <c r="B2781" s="2" t="str">
        <f>"32512021081608554211794"</f>
        <v>32512021081608554211794</v>
      </c>
      <c r="C2781" s="2" t="s">
        <v>42</v>
      </c>
      <c r="D2781" s="2" t="str">
        <f>"符琳"</f>
        <v>符琳</v>
      </c>
      <c r="E2781" s="2" t="str">
        <f>"男"</f>
        <v>男</v>
      </c>
    </row>
    <row r="2782" spans="1:5" ht="14.4" x14ac:dyDescent="0.25">
      <c r="A2782" s="4">
        <v>2780</v>
      </c>
      <c r="B2782" s="2" t="str">
        <f>"32512021081609152811906"</f>
        <v>32512021081609152811906</v>
      </c>
      <c r="C2782" s="2" t="s">
        <v>42</v>
      </c>
      <c r="D2782" s="2" t="str">
        <f>"孙春蓉"</f>
        <v>孙春蓉</v>
      </c>
      <c r="E2782" s="2" t="str">
        <f>"女"</f>
        <v>女</v>
      </c>
    </row>
    <row r="2783" spans="1:5" ht="14.4" x14ac:dyDescent="0.25">
      <c r="A2783" s="4">
        <v>2781</v>
      </c>
      <c r="B2783" s="2" t="str">
        <f>"32512021081615262813080"</f>
        <v>32512021081615262813080</v>
      </c>
      <c r="C2783" s="2" t="s">
        <v>42</v>
      </c>
      <c r="D2783" s="2" t="str">
        <f>"李诗娴"</f>
        <v>李诗娴</v>
      </c>
      <c r="E2783" s="2" t="str">
        <f>"女"</f>
        <v>女</v>
      </c>
    </row>
    <row r="2784" spans="1:5" ht="14.4" x14ac:dyDescent="0.25">
      <c r="A2784" s="4">
        <v>2782</v>
      </c>
      <c r="B2784" s="2" t="str">
        <f>"3251202108100907563819"</f>
        <v>3251202108100907563819</v>
      </c>
      <c r="C2784" s="2" t="s">
        <v>43</v>
      </c>
      <c r="D2784" s="2" t="str">
        <f>"李小雨"</f>
        <v>李小雨</v>
      </c>
      <c r="E2784" s="2" t="str">
        <f>"女"</f>
        <v>女</v>
      </c>
    </row>
    <row r="2785" spans="1:5" ht="14.4" x14ac:dyDescent="0.25">
      <c r="A2785" s="4">
        <v>2783</v>
      </c>
      <c r="B2785" s="2" t="str">
        <f>"3251202108100908283828"</f>
        <v>3251202108100908283828</v>
      </c>
      <c r="C2785" s="2" t="s">
        <v>43</v>
      </c>
      <c r="D2785" s="2" t="str">
        <f>"王彩妹"</f>
        <v>王彩妹</v>
      </c>
      <c r="E2785" s="2" t="str">
        <f>"女"</f>
        <v>女</v>
      </c>
    </row>
    <row r="2786" spans="1:5" ht="14.4" x14ac:dyDescent="0.25">
      <c r="A2786" s="4">
        <v>2784</v>
      </c>
      <c r="B2786" s="2" t="str">
        <f>"3251202108100919243931"</f>
        <v>3251202108100919243931</v>
      </c>
      <c r="C2786" s="2" t="s">
        <v>43</v>
      </c>
      <c r="D2786" s="2" t="str">
        <f>"朱丽秋"</f>
        <v>朱丽秋</v>
      </c>
      <c r="E2786" s="2" t="str">
        <f>"女"</f>
        <v>女</v>
      </c>
    </row>
    <row r="2787" spans="1:5" ht="14.4" x14ac:dyDescent="0.25">
      <c r="A2787" s="4">
        <v>2785</v>
      </c>
      <c r="B2787" s="2" t="str">
        <f>"3251202108100919453934"</f>
        <v>3251202108100919453934</v>
      </c>
      <c r="C2787" s="2" t="s">
        <v>43</v>
      </c>
      <c r="D2787" s="2" t="str">
        <f>"符颜颖"</f>
        <v>符颜颖</v>
      </c>
      <c r="E2787" s="2" t="str">
        <f>"男"</f>
        <v>男</v>
      </c>
    </row>
    <row r="2788" spans="1:5" ht="14.4" x14ac:dyDescent="0.25">
      <c r="A2788" s="4">
        <v>2786</v>
      </c>
      <c r="B2788" s="2" t="str">
        <f>"3251202108100923133967"</f>
        <v>3251202108100923133967</v>
      </c>
      <c r="C2788" s="2" t="s">
        <v>43</v>
      </c>
      <c r="D2788" s="2" t="str">
        <f>"符少莹"</f>
        <v>符少莹</v>
      </c>
      <c r="E2788" s="2" t="str">
        <f>"女"</f>
        <v>女</v>
      </c>
    </row>
    <row r="2789" spans="1:5" ht="14.4" x14ac:dyDescent="0.25">
      <c r="A2789" s="4">
        <v>2787</v>
      </c>
      <c r="B2789" s="2" t="str">
        <f>"3251202108100932134037"</f>
        <v>3251202108100932134037</v>
      </c>
      <c r="C2789" s="2" t="s">
        <v>43</v>
      </c>
      <c r="D2789" s="2" t="str">
        <f>"吴群"</f>
        <v>吴群</v>
      </c>
      <c r="E2789" s="2" t="str">
        <f>"女"</f>
        <v>女</v>
      </c>
    </row>
    <row r="2790" spans="1:5" ht="14.4" x14ac:dyDescent="0.25">
      <c r="A2790" s="4">
        <v>2788</v>
      </c>
      <c r="B2790" s="2" t="str">
        <f>"3251202108100948524147"</f>
        <v>3251202108100948524147</v>
      </c>
      <c r="C2790" s="2" t="s">
        <v>43</v>
      </c>
      <c r="D2790" s="2" t="str">
        <f>"王静"</f>
        <v>王静</v>
      </c>
      <c r="E2790" s="2" t="str">
        <f>"女"</f>
        <v>女</v>
      </c>
    </row>
    <row r="2791" spans="1:5" ht="14.4" x14ac:dyDescent="0.25">
      <c r="A2791" s="4">
        <v>2789</v>
      </c>
      <c r="B2791" s="2" t="str">
        <f>"3251202108100953214181"</f>
        <v>3251202108100953214181</v>
      </c>
      <c r="C2791" s="2" t="s">
        <v>43</v>
      </c>
      <c r="D2791" s="2" t="str">
        <f>"王钧"</f>
        <v>王钧</v>
      </c>
      <c r="E2791" s="2" t="str">
        <f>"男"</f>
        <v>男</v>
      </c>
    </row>
    <row r="2792" spans="1:5" ht="14.4" x14ac:dyDescent="0.25">
      <c r="A2792" s="4">
        <v>2790</v>
      </c>
      <c r="B2792" s="2" t="str">
        <f>"3251202108101010224283"</f>
        <v>3251202108101010224283</v>
      </c>
      <c r="C2792" s="2" t="s">
        <v>43</v>
      </c>
      <c r="D2792" s="2" t="str">
        <f>"吉玉祖"</f>
        <v>吉玉祖</v>
      </c>
      <c r="E2792" s="2" t="str">
        <f>"女"</f>
        <v>女</v>
      </c>
    </row>
    <row r="2793" spans="1:5" ht="14.4" x14ac:dyDescent="0.25">
      <c r="A2793" s="4">
        <v>2791</v>
      </c>
      <c r="B2793" s="2" t="str">
        <f>"3251202108101043344462"</f>
        <v>3251202108101043344462</v>
      </c>
      <c r="C2793" s="2" t="s">
        <v>43</v>
      </c>
      <c r="D2793" s="2" t="str">
        <f>"符世谢"</f>
        <v>符世谢</v>
      </c>
      <c r="E2793" s="2" t="str">
        <f>"女"</f>
        <v>女</v>
      </c>
    </row>
    <row r="2794" spans="1:5" ht="14.4" x14ac:dyDescent="0.25">
      <c r="A2794" s="4">
        <v>2792</v>
      </c>
      <c r="B2794" s="2" t="str">
        <f>"3251202108101046004470"</f>
        <v>3251202108101046004470</v>
      </c>
      <c r="C2794" s="2" t="s">
        <v>43</v>
      </c>
      <c r="D2794" s="2" t="str">
        <f>"符朝贤"</f>
        <v>符朝贤</v>
      </c>
      <c r="E2794" s="2" t="str">
        <f>"女"</f>
        <v>女</v>
      </c>
    </row>
    <row r="2795" spans="1:5" ht="14.4" x14ac:dyDescent="0.25">
      <c r="A2795" s="4">
        <v>2793</v>
      </c>
      <c r="B2795" s="2" t="str">
        <f>"3251202108101050594491"</f>
        <v>3251202108101050594491</v>
      </c>
      <c r="C2795" s="2" t="s">
        <v>43</v>
      </c>
      <c r="D2795" s="2" t="str">
        <f>"符智"</f>
        <v>符智</v>
      </c>
      <c r="E2795" s="2" t="str">
        <f>"男"</f>
        <v>男</v>
      </c>
    </row>
    <row r="2796" spans="1:5" ht="14.4" x14ac:dyDescent="0.25">
      <c r="A2796" s="4">
        <v>2794</v>
      </c>
      <c r="B2796" s="2" t="str">
        <f>"3251202108101058394526"</f>
        <v>3251202108101058394526</v>
      </c>
      <c r="C2796" s="2" t="s">
        <v>43</v>
      </c>
      <c r="D2796" s="2" t="str">
        <f>"王秋月"</f>
        <v>王秋月</v>
      </c>
      <c r="E2796" s="2" t="str">
        <f>"女"</f>
        <v>女</v>
      </c>
    </row>
    <row r="2797" spans="1:5" ht="14.4" x14ac:dyDescent="0.25">
      <c r="A2797" s="4">
        <v>2795</v>
      </c>
      <c r="B2797" s="2" t="str">
        <f>"3251202108101100544541"</f>
        <v>3251202108101100544541</v>
      </c>
      <c r="C2797" s="2" t="s">
        <v>43</v>
      </c>
      <c r="D2797" s="2" t="str">
        <f>"王冠"</f>
        <v>王冠</v>
      </c>
      <c r="E2797" s="2" t="str">
        <f>"男"</f>
        <v>男</v>
      </c>
    </row>
    <row r="2798" spans="1:5" ht="14.4" x14ac:dyDescent="0.25">
      <c r="A2798" s="4">
        <v>2796</v>
      </c>
      <c r="B2798" s="2" t="str">
        <f>"3251202108101156234790"</f>
        <v>3251202108101156234790</v>
      </c>
      <c r="C2798" s="2" t="s">
        <v>43</v>
      </c>
      <c r="D2798" s="2" t="str">
        <f>"王国铭"</f>
        <v>王国铭</v>
      </c>
      <c r="E2798" s="2" t="str">
        <f>"男"</f>
        <v>男</v>
      </c>
    </row>
    <row r="2799" spans="1:5" ht="14.4" x14ac:dyDescent="0.25">
      <c r="A2799" s="4">
        <v>2797</v>
      </c>
      <c r="B2799" s="2" t="str">
        <f>"3251202108101158474804"</f>
        <v>3251202108101158474804</v>
      </c>
      <c r="C2799" s="2" t="s">
        <v>43</v>
      </c>
      <c r="D2799" s="2" t="str">
        <f>"符琪林"</f>
        <v>符琪林</v>
      </c>
      <c r="E2799" s="2" t="str">
        <f>"女"</f>
        <v>女</v>
      </c>
    </row>
    <row r="2800" spans="1:5" ht="14.4" x14ac:dyDescent="0.25">
      <c r="A2800" s="4">
        <v>2798</v>
      </c>
      <c r="B2800" s="2" t="str">
        <f>"3251202108101221224873"</f>
        <v>3251202108101221224873</v>
      </c>
      <c r="C2800" s="2" t="s">
        <v>43</v>
      </c>
      <c r="D2800" s="2" t="str">
        <f>"廖小红"</f>
        <v>廖小红</v>
      </c>
      <c r="E2800" s="2" t="str">
        <f>"女"</f>
        <v>女</v>
      </c>
    </row>
    <row r="2801" spans="1:5" ht="14.4" x14ac:dyDescent="0.25">
      <c r="A2801" s="4">
        <v>2799</v>
      </c>
      <c r="B2801" s="2" t="str">
        <f>"3251202108101303404994"</f>
        <v>3251202108101303404994</v>
      </c>
      <c r="C2801" s="2" t="s">
        <v>43</v>
      </c>
      <c r="D2801" s="2" t="str">
        <f>"符碧莹"</f>
        <v>符碧莹</v>
      </c>
      <c r="E2801" s="2" t="str">
        <f>"女"</f>
        <v>女</v>
      </c>
    </row>
    <row r="2802" spans="1:5" ht="14.4" x14ac:dyDescent="0.25">
      <c r="A2802" s="4">
        <v>2800</v>
      </c>
      <c r="B2802" s="2" t="str">
        <f>"3251202108101441505226"</f>
        <v>3251202108101441505226</v>
      </c>
      <c r="C2802" s="2" t="s">
        <v>43</v>
      </c>
      <c r="D2802" s="2" t="str">
        <f>"符春颜"</f>
        <v>符春颜</v>
      </c>
      <c r="E2802" s="2" t="str">
        <f>"女"</f>
        <v>女</v>
      </c>
    </row>
    <row r="2803" spans="1:5" ht="14.4" x14ac:dyDescent="0.25">
      <c r="A2803" s="4">
        <v>2801</v>
      </c>
      <c r="B2803" s="2" t="str">
        <f>"3251202108101452345265"</f>
        <v>3251202108101452345265</v>
      </c>
      <c r="C2803" s="2" t="s">
        <v>43</v>
      </c>
      <c r="D2803" s="2" t="str">
        <f>"符琦艺"</f>
        <v>符琦艺</v>
      </c>
      <c r="E2803" s="2" t="str">
        <f>"女"</f>
        <v>女</v>
      </c>
    </row>
    <row r="2804" spans="1:5" ht="14.4" x14ac:dyDescent="0.25">
      <c r="A2804" s="4">
        <v>2802</v>
      </c>
      <c r="B2804" s="2" t="str">
        <f>"3251202108101456055275"</f>
        <v>3251202108101456055275</v>
      </c>
      <c r="C2804" s="2" t="s">
        <v>43</v>
      </c>
      <c r="D2804" s="2" t="str">
        <f>"王华兴"</f>
        <v>王华兴</v>
      </c>
      <c r="E2804" s="2" t="str">
        <f>"男"</f>
        <v>男</v>
      </c>
    </row>
    <row r="2805" spans="1:5" ht="14.4" x14ac:dyDescent="0.25">
      <c r="A2805" s="4">
        <v>2803</v>
      </c>
      <c r="B2805" s="2" t="str">
        <f>"3251202108101500225294"</f>
        <v>3251202108101500225294</v>
      </c>
      <c r="C2805" s="2" t="s">
        <v>43</v>
      </c>
      <c r="D2805" s="2" t="str">
        <f>"方佩玉"</f>
        <v>方佩玉</v>
      </c>
      <c r="E2805" s="2" t="str">
        <f>"女"</f>
        <v>女</v>
      </c>
    </row>
    <row r="2806" spans="1:5" ht="14.4" x14ac:dyDescent="0.25">
      <c r="A2806" s="4">
        <v>2804</v>
      </c>
      <c r="B2806" s="2" t="str">
        <f>"3251202108101503005307"</f>
        <v>3251202108101503005307</v>
      </c>
      <c r="C2806" s="2" t="s">
        <v>43</v>
      </c>
      <c r="D2806" s="2" t="str">
        <f>"王俊"</f>
        <v>王俊</v>
      </c>
      <c r="E2806" s="2" t="str">
        <f>"男"</f>
        <v>男</v>
      </c>
    </row>
    <row r="2807" spans="1:5" ht="14.4" x14ac:dyDescent="0.25">
      <c r="A2807" s="4">
        <v>2805</v>
      </c>
      <c r="B2807" s="2" t="str">
        <f>"3251202108101506055317"</f>
        <v>3251202108101506055317</v>
      </c>
      <c r="C2807" s="2" t="s">
        <v>43</v>
      </c>
      <c r="D2807" s="2" t="str">
        <f>"王佩"</f>
        <v>王佩</v>
      </c>
      <c r="E2807" s="2" t="str">
        <f t="shared" ref="E2807:E2818" si="81">"女"</f>
        <v>女</v>
      </c>
    </row>
    <row r="2808" spans="1:5" ht="14.4" x14ac:dyDescent="0.25">
      <c r="A2808" s="4">
        <v>2806</v>
      </c>
      <c r="B2808" s="2" t="str">
        <f>"3251202108101507295325"</f>
        <v>3251202108101507295325</v>
      </c>
      <c r="C2808" s="2" t="s">
        <v>43</v>
      </c>
      <c r="D2808" s="2" t="str">
        <f>"符洪柳"</f>
        <v>符洪柳</v>
      </c>
      <c r="E2808" s="2" t="str">
        <f t="shared" si="81"/>
        <v>女</v>
      </c>
    </row>
    <row r="2809" spans="1:5" ht="14.4" x14ac:dyDescent="0.25">
      <c r="A2809" s="4">
        <v>2807</v>
      </c>
      <c r="B2809" s="2" t="str">
        <f>"3251202108101533295415"</f>
        <v>3251202108101533295415</v>
      </c>
      <c r="C2809" s="2" t="s">
        <v>43</v>
      </c>
      <c r="D2809" s="2" t="str">
        <f>"裴梦婷"</f>
        <v>裴梦婷</v>
      </c>
      <c r="E2809" s="2" t="str">
        <f t="shared" si="81"/>
        <v>女</v>
      </c>
    </row>
    <row r="2810" spans="1:5" ht="14.4" x14ac:dyDescent="0.25">
      <c r="A2810" s="4">
        <v>2808</v>
      </c>
      <c r="B2810" s="2" t="str">
        <f>"3251202108101550205459"</f>
        <v>3251202108101550205459</v>
      </c>
      <c r="C2810" s="2" t="s">
        <v>43</v>
      </c>
      <c r="D2810" s="2" t="str">
        <f>"符安蓓"</f>
        <v>符安蓓</v>
      </c>
      <c r="E2810" s="2" t="str">
        <f t="shared" si="81"/>
        <v>女</v>
      </c>
    </row>
    <row r="2811" spans="1:5" ht="14.4" x14ac:dyDescent="0.25">
      <c r="A2811" s="4">
        <v>2809</v>
      </c>
      <c r="B2811" s="2" t="str">
        <f>"3251202108101601035504"</f>
        <v>3251202108101601035504</v>
      </c>
      <c r="C2811" s="2" t="s">
        <v>43</v>
      </c>
      <c r="D2811" s="2" t="str">
        <f>"王梅丽"</f>
        <v>王梅丽</v>
      </c>
      <c r="E2811" s="2" t="str">
        <f t="shared" si="81"/>
        <v>女</v>
      </c>
    </row>
    <row r="2812" spans="1:5" ht="14.4" x14ac:dyDescent="0.25">
      <c r="A2812" s="4">
        <v>2810</v>
      </c>
      <c r="B2812" s="2" t="str">
        <f>"3251202108101630385634"</f>
        <v>3251202108101630385634</v>
      </c>
      <c r="C2812" s="2" t="s">
        <v>43</v>
      </c>
      <c r="D2812" s="2" t="str">
        <f>"马素妹"</f>
        <v>马素妹</v>
      </c>
      <c r="E2812" s="2" t="str">
        <f t="shared" si="81"/>
        <v>女</v>
      </c>
    </row>
    <row r="2813" spans="1:5" ht="14.4" x14ac:dyDescent="0.25">
      <c r="A2813" s="4">
        <v>2811</v>
      </c>
      <c r="B2813" s="2" t="str">
        <f>"3251202108101642305665"</f>
        <v>3251202108101642305665</v>
      </c>
      <c r="C2813" s="2" t="s">
        <v>43</v>
      </c>
      <c r="D2813" s="2" t="str">
        <f>"符艳珊"</f>
        <v>符艳珊</v>
      </c>
      <c r="E2813" s="2" t="str">
        <f t="shared" si="81"/>
        <v>女</v>
      </c>
    </row>
    <row r="2814" spans="1:5" ht="14.4" x14ac:dyDescent="0.25">
      <c r="A2814" s="4">
        <v>2812</v>
      </c>
      <c r="B2814" s="2" t="str">
        <f>"3251202108101646515688"</f>
        <v>3251202108101646515688</v>
      </c>
      <c r="C2814" s="2" t="s">
        <v>43</v>
      </c>
      <c r="D2814" s="2" t="str">
        <f>"符政晰"</f>
        <v>符政晰</v>
      </c>
      <c r="E2814" s="2" t="str">
        <f t="shared" si="81"/>
        <v>女</v>
      </c>
    </row>
    <row r="2815" spans="1:5" ht="14.4" x14ac:dyDescent="0.25">
      <c r="A2815" s="4">
        <v>2813</v>
      </c>
      <c r="B2815" s="2" t="str">
        <f>"3251202108101758055901"</f>
        <v>3251202108101758055901</v>
      </c>
      <c r="C2815" s="2" t="s">
        <v>43</v>
      </c>
      <c r="D2815" s="2" t="str">
        <f>"符嘉丽"</f>
        <v>符嘉丽</v>
      </c>
      <c r="E2815" s="2" t="str">
        <f t="shared" si="81"/>
        <v>女</v>
      </c>
    </row>
    <row r="2816" spans="1:5" ht="14.4" x14ac:dyDescent="0.25">
      <c r="A2816" s="4">
        <v>2814</v>
      </c>
      <c r="B2816" s="2" t="str">
        <f>"3251202108101912016060"</f>
        <v>3251202108101912016060</v>
      </c>
      <c r="C2816" s="2" t="s">
        <v>43</v>
      </c>
      <c r="D2816" s="2" t="str">
        <f>"曾小梅"</f>
        <v>曾小梅</v>
      </c>
      <c r="E2816" s="2" t="str">
        <f t="shared" si="81"/>
        <v>女</v>
      </c>
    </row>
    <row r="2817" spans="1:5" ht="14.4" x14ac:dyDescent="0.25">
      <c r="A2817" s="4">
        <v>2815</v>
      </c>
      <c r="B2817" s="2" t="str">
        <f>"3251202108101953436149"</f>
        <v>3251202108101953436149</v>
      </c>
      <c r="C2817" s="2" t="s">
        <v>43</v>
      </c>
      <c r="D2817" s="2" t="str">
        <f>"符雪娥"</f>
        <v>符雪娥</v>
      </c>
      <c r="E2817" s="2" t="str">
        <f t="shared" si="81"/>
        <v>女</v>
      </c>
    </row>
    <row r="2818" spans="1:5" ht="14.4" x14ac:dyDescent="0.25">
      <c r="A2818" s="4">
        <v>2816</v>
      </c>
      <c r="B2818" s="2" t="str">
        <f>"3251202108102026436216"</f>
        <v>3251202108102026436216</v>
      </c>
      <c r="C2818" s="2" t="s">
        <v>43</v>
      </c>
      <c r="D2818" s="2" t="str">
        <f>"符智慧"</f>
        <v>符智慧</v>
      </c>
      <c r="E2818" s="2" t="str">
        <f t="shared" si="81"/>
        <v>女</v>
      </c>
    </row>
    <row r="2819" spans="1:5" ht="14.4" x14ac:dyDescent="0.25">
      <c r="A2819" s="4">
        <v>2817</v>
      </c>
      <c r="B2819" s="2" t="str">
        <f>"3251202108102107456296"</f>
        <v>3251202108102107456296</v>
      </c>
      <c r="C2819" s="2" t="s">
        <v>43</v>
      </c>
      <c r="D2819" s="2" t="str">
        <f>"符仕海"</f>
        <v>符仕海</v>
      </c>
      <c r="E2819" s="2" t="str">
        <f>"男"</f>
        <v>男</v>
      </c>
    </row>
    <row r="2820" spans="1:5" ht="14.4" x14ac:dyDescent="0.25">
      <c r="A2820" s="4">
        <v>2818</v>
      </c>
      <c r="B2820" s="2" t="str">
        <f>"3251202108102114596312"</f>
        <v>3251202108102114596312</v>
      </c>
      <c r="C2820" s="2" t="s">
        <v>43</v>
      </c>
      <c r="D2820" s="2" t="str">
        <f>"刘琦"</f>
        <v>刘琦</v>
      </c>
      <c r="E2820" s="2" t="str">
        <f t="shared" ref="E2820:E2826" si="82">"女"</f>
        <v>女</v>
      </c>
    </row>
    <row r="2821" spans="1:5" ht="14.4" x14ac:dyDescent="0.25">
      <c r="A2821" s="4">
        <v>2819</v>
      </c>
      <c r="B2821" s="2" t="str">
        <f>"3251202108102123136325"</f>
        <v>3251202108102123136325</v>
      </c>
      <c r="C2821" s="2" t="s">
        <v>43</v>
      </c>
      <c r="D2821" s="2" t="str">
        <f>"包青青"</f>
        <v>包青青</v>
      </c>
      <c r="E2821" s="2" t="str">
        <f t="shared" si="82"/>
        <v>女</v>
      </c>
    </row>
    <row r="2822" spans="1:5" ht="14.4" x14ac:dyDescent="0.25">
      <c r="A2822" s="4">
        <v>2820</v>
      </c>
      <c r="B2822" s="2" t="str">
        <f>"3251202108102144586362"</f>
        <v>3251202108102144586362</v>
      </c>
      <c r="C2822" s="2" t="s">
        <v>43</v>
      </c>
      <c r="D2822" s="2" t="str">
        <f>"唐文芳"</f>
        <v>唐文芳</v>
      </c>
      <c r="E2822" s="2" t="str">
        <f t="shared" si="82"/>
        <v>女</v>
      </c>
    </row>
    <row r="2823" spans="1:5" ht="14.4" x14ac:dyDescent="0.25">
      <c r="A2823" s="4">
        <v>2821</v>
      </c>
      <c r="B2823" s="2" t="str">
        <f>"3251202108102218056413"</f>
        <v>3251202108102218056413</v>
      </c>
      <c r="C2823" s="2" t="s">
        <v>43</v>
      </c>
      <c r="D2823" s="2" t="str">
        <f>"韦遥遥"</f>
        <v>韦遥遥</v>
      </c>
      <c r="E2823" s="2" t="str">
        <f t="shared" si="82"/>
        <v>女</v>
      </c>
    </row>
    <row r="2824" spans="1:5" ht="14.4" x14ac:dyDescent="0.25">
      <c r="A2824" s="4">
        <v>2822</v>
      </c>
      <c r="B2824" s="2" t="str">
        <f>"3251202108110007526536"</f>
        <v>3251202108110007526536</v>
      </c>
      <c r="C2824" s="2" t="s">
        <v>43</v>
      </c>
      <c r="D2824" s="2" t="str">
        <f>"符筱玥"</f>
        <v>符筱玥</v>
      </c>
      <c r="E2824" s="2" t="str">
        <f t="shared" si="82"/>
        <v>女</v>
      </c>
    </row>
    <row r="2825" spans="1:5" ht="14.4" x14ac:dyDescent="0.25">
      <c r="A2825" s="4">
        <v>2823</v>
      </c>
      <c r="B2825" s="2" t="str">
        <f>"3251202108110059216550"</f>
        <v>3251202108110059216550</v>
      </c>
      <c r="C2825" s="2" t="s">
        <v>43</v>
      </c>
      <c r="D2825" s="2" t="str">
        <f>"符梦幻"</f>
        <v>符梦幻</v>
      </c>
      <c r="E2825" s="2" t="str">
        <f t="shared" si="82"/>
        <v>女</v>
      </c>
    </row>
    <row r="2826" spans="1:5" ht="14.4" x14ac:dyDescent="0.25">
      <c r="A2826" s="4">
        <v>2824</v>
      </c>
      <c r="B2826" s="2" t="str">
        <f>"3251202108110852306654"</f>
        <v>3251202108110852306654</v>
      </c>
      <c r="C2826" s="2" t="s">
        <v>43</v>
      </c>
      <c r="D2826" s="2" t="str">
        <f>"何玉梦"</f>
        <v>何玉梦</v>
      </c>
      <c r="E2826" s="2" t="str">
        <f t="shared" si="82"/>
        <v>女</v>
      </c>
    </row>
    <row r="2827" spans="1:5" ht="14.4" x14ac:dyDescent="0.25">
      <c r="A2827" s="4">
        <v>2825</v>
      </c>
      <c r="B2827" s="2" t="str">
        <f>"3251202108110902566674"</f>
        <v>3251202108110902566674</v>
      </c>
      <c r="C2827" s="2" t="s">
        <v>43</v>
      </c>
      <c r="D2827" s="2" t="str">
        <f>"洪发"</f>
        <v>洪发</v>
      </c>
      <c r="E2827" s="2" t="str">
        <f>"男"</f>
        <v>男</v>
      </c>
    </row>
    <row r="2828" spans="1:5" ht="14.4" x14ac:dyDescent="0.25">
      <c r="A2828" s="4">
        <v>2826</v>
      </c>
      <c r="B2828" s="2" t="str">
        <f>"3251202108110919316721"</f>
        <v>3251202108110919316721</v>
      </c>
      <c r="C2828" s="2" t="s">
        <v>43</v>
      </c>
      <c r="D2828" s="2" t="str">
        <f>"羊佳宝"</f>
        <v>羊佳宝</v>
      </c>
      <c r="E2828" s="2" t="str">
        <f>"男"</f>
        <v>男</v>
      </c>
    </row>
    <row r="2829" spans="1:5" ht="14.4" x14ac:dyDescent="0.25">
      <c r="A2829" s="4">
        <v>2827</v>
      </c>
      <c r="B2829" s="2" t="str">
        <f>"3251202108110927146740"</f>
        <v>3251202108110927146740</v>
      </c>
      <c r="C2829" s="2" t="s">
        <v>43</v>
      </c>
      <c r="D2829" s="2" t="str">
        <f>"王学岚"</f>
        <v>王学岚</v>
      </c>
      <c r="E2829" s="2" t="str">
        <f>"女"</f>
        <v>女</v>
      </c>
    </row>
    <row r="2830" spans="1:5" ht="14.4" x14ac:dyDescent="0.25">
      <c r="A2830" s="4">
        <v>2828</v>
      </c>
      <c r="B2830" s="2" t="str">
        <f>"3251202108110941196783"</f>
        <v>3251202108110941196783</v>
      </c>
      <c r="C2830" s="2" t="s">
        <v>43</v>
      </c>
      <c r="D2830" s="2" t="str">
        <f>"符运玲"</f>
        <v>符运玲</v>
      </c>
      <c r="E2830" s="2" t="str">
        <f>"女"</f>
        <v>女</v>
      </c>
    </row>
    <row r="2831" spans="1:5" ht="14.4" x14ac:dyDescent="0.25">
      <c r="A2831" s="4">
        <v>2829</v>
      </c>
      <c r="B2831" s="2" t="str">
        <f>"3251202108111007436867"</f>
        <v>3251202108111007436867</v>
      </c>
      <c r="C2831" s="2" t="s">
        <v>43</v>
      </c>
      <c r="D2831" s="2" t="str">
        <f>"王升途"</f>
        <v>王升途</v>
      </c>
      <c r="E2831" s="2" t="str">
        <f>"男"</f>
        <v>男</v>
      </c>
    </row>
    <row r="2832" spans="1:5" ht="14.4" x14ac:dyDescent="0.25">
      <c r="A2832" s="4">
        <v>2830</v>
      </c>
      <c r="B2832" s="2" t="str">
        <f>"3251202108111040416949"</f>
        <v>3251202108111040416949</v>
      </c>
      <c r="C2832" s="2" t="s">
        <v>43</v>
      </c>
      <c r="D2832" s="2" t="str">
        <f>"符小丽"</f>
        <v>符小丽</v>
      </c>
      <c r="E2832" s="2" t="str">
        <f t="shared" ref="E2832:E2839" si="83">"女"</f>
        <v>女</v>
      </c>
    </row>
    <row r="2833" spans="1:5" ht="14.4" x14ac:dyDescent="0.25">
      <c r="A2833" s="4">
        <v>2831</v>
      </c>
      <c r="B2833" s="2" t="str">
        <f>"3251202108111103136996"</f>
        <v>3251202108111103136996</v>
      </c>
      <c r="C2833" s="2" t="s">
        <v>43</v>
      </c>
      <c r="D2833" s="2" t="str">
        <f>"符臻怡"</f>
        <v>符臻怡</v>
      </c>
      <c r="E2833" s="2" t="str">
        <f t="shared" si="83"/>
        <v>女</v>
      </c>
    </row>
    <row r="2834" spans="1:5" ht="14.4" x14ac:dyDescent="0.25">
      <c r="A2834" s="4">
        <v>2832</v>
      </c>
      <c r="B2834" s="2" t="str">
        <f>"3251202108111109427015"</f>
        <v>3251202108111109427015</v>
      </c>
      <c r="C2834" s="2" t="s">
        <v>43</v>
      </c>
      <c r="D2834" s="2" t="str">
        <f>"符海娜"</f>
        <v>符海娜</v>
      </c>
      <c r="E2834" s="2" t="str">
        <f t="shared" si="83"/>
        <v>女</v>
      </c>
    </row>
    <row r="2835" spans="1:5" ht="14.4" x14ac:dyDescent="0.25">
      <c r="A2835" s="4">
        <v>2833</v>
      </c>
      <c r="B2835" s="2" t="str">
        <f>"3251202108111116057035"</f>
        <v>3251202108111116057035</v>
      </c>
      <c r="C2835" s="2" t="s">
        <v>43</v>
      </c>
      <c r="D2835" s="2" t="str">
        <f>"羊恒"</f>
        <v>羊恒</v>
      </c>
      <c r="E2835" s="2" t="str">
        <f t="shared" si="83"/>
        <v>女</v>
      </c>
    </row>
    <row r="2836" spans="1:5" ht="14.4" x14ac:dyDescent="0.25">
      <c r="A2836" s="4">
        <v>2834</v>
      </c>
      <c r="B2836" s="2" t="str">
        <f>"3251202108111123117058"</f>
        <v>3251202108111123117058</v>
      </c>
      <c r="C2836" s="2" t="s">
        <v>43</v>
      </c>
      <c r="D2836" s="2" t="str">
        <f>"陈小娜"</f>
        <v>陈小娜</v>
      </c>
      <c r="E2836" s="2" t="str">
        <f t="shared" si="83"/>
        <v>女</v>
      </c>
    </row>
    <row r="2837" spans="1:5" ht="14.4" x14ac:dyDescent="0.25">
      <c r="A2837" s="4">
        <v>2835</v>
      </c>
      <c r="B2837" s="2" t="str">
        <f>"3251202108111140427100"</f>
        <v>3251202108111140427100</v>
      </c>
      <c r="C2837" s="2" t="s">
        <v>43</v>
      </c>
      <c r="D2837" s="2" t="str">
        <f>"符小梦"</f>
        <v>符小梦</v>
      </c>
      <c r="E2837" s="2" t="str">
        <f t="shared" si="83"/>
        <v>女</v>
      </c>
    </row>
    <row r="2838" spans="1:5" ht="14.4" x14ac:dyDescent="0.25">
      <c r="A2838" s="4">
        <v>2836</v>
      </c>
      <c r="B2838" s="2" t="str">
        <f>"3251202108111207127146"</f>
        <v>3251202108111207127146</v>
      </c>
      <c r="C2838" s="2" t="s">
        <v>43</v>
      </c>
      <c r="D2838" s="2" t="str">
        <f>"符小天"</f>
        <v>符小天</v>
      </c>
      <c r="E2838" s="2" t="str">
        <f t="shared" si="83"/>
        <v>女</v>
      </c>
    </row>
    <row r="2839" spans="1:5" ht="14.4" x14ac:dyDescent="0.25">
      <c r="A2839" s="4">
        <v>2837</v>
      </c>
      <c r="B2839" s="2" t="str">
        <f>"3251202108111229477171"</f>
        <v>3251202108111229477171</v>
      </c>
      <c r="C2839" s="2" t="s">
        <v>43</v>
      </c>
      <c r="D2839" s="2" t="str">
        <f>"符宇欣"</f>
        <v>符宇欣</v>
      </c>
      <c r="E2839" s="2" t="str">
        <f t="shared" si="83"/>
        <v>女</v>
      </c>
    </row>
    <row r="2840" spans="1:5" ht="14.4" x14ac:dyDescent="0.25">
      <c r="A2840" s="4">
        <v>2838</v>
      </c>
      <c r="B2840" s="2" t="str">
        <f>"3251202108111229487172"</f>
        <v>3251202108111229487172</v>
      </c>
      <c r="C2840" s="2" t="s">
        <v>43</v>
      </c>
      <c r="D2840" s="2" t="str">
        <f>"谭祖泉"</f>
        <v>谭祖泉</v>
      </c>
      <c r="E2840" s="2" t="str">
        <f>"男"</f>
        <v>男</v>
      </c>
    </row>
    <row r="2841" spans="1:5" ht="14.4" x14ac:dyDescent="0.25">
      <c r="A2841" s="4">
        <v>2839</v>
      </c>
      <c r="B2841" s="2" t="str">
        <f>"3251202108111340047243"</f>
        <v>3251202108111340047243</v>
      </c>
      <c r="C2841" s="2" t="s">
        <v>43</v>
      </c>
      <c r="D2841" s="2" t="str">
        <f>"符杰贤"</f>
        <v>符杰贤</v>
      </c>
      <c r="E2841" s="2" t="str">
        <f>"男"</f>
        <v>男</v>
      </c>
    </row>
    <row r="2842" spans="1:5" ht="14.4" x14ac:dyDescent="0.25">
      <c r="A2842" s="4">
        <v>2840</v>
      </c>
      <c r="B2842" s="2" t="str">
        <f>"3251202108111442257316"</f>
        <v>3251202108111442257316</v>
      </c>
      <c r="C2842" s="2" t="s">
        <v>43</v>
      </c>
      <c r="D2842" s="2" t="str">
        <f>"符铭航"</f>
        <v>符铭航</v>
      </c>
      <c r="E2842" s="2" t="str">
        <f>"男"</f>
        <v>男</v>
      </c>
    </row>
    <row r="2843" spans="1:5" ht="14.4" x14ac:dyDescent="0.25">
      <c r="A2843" s="4">
        <v>2841</v>
      </c>
      <c r="B2843" s="2" t="str">
        <f>"3251202108111445547325"</f>
        <v>3251202108111445547325</v>
      </c>
      <c r="C2843" s="2" t="s">
        <v>43</v>
      </c>
      <c r="D2843" s="2" t="str">
        <f>"符欣欣"</f>
        <v>符欣欣</v>
      </c>
      <c r="E2843" s="2" t="str">
        <f>"女"</f>
        <v>女</v>
      </c>
    </row>
    <row r="2844" spans="1:5" ht="14.4" x14ac:dyDescent="0.25">
      <c r="A2844" s="4">
        <v>2842</v>
      </c>
      <c r="B2844" s="2" t="str">
        <f>"3251202108111457397355"</f>
        <v>3251202108111457397355</v>
      </c>
      <c r="C2844" s="2" t="s">
        <v>43</v>
      </c>
      <c r="D2844" s="2" t="str">
        <f>"符金视"</f>
        <v>符金视</v>
      </c>
      <c r="E2844" s="2" t="str">
        <f>"女"</f>
        <v>女</v>
      </c>
    </row>
    <row r="2845" spans="1:5" ht="14.4" x14ac:dyDescent="0.25">
      <c r="A2845" s="4">
        <v>2843</v>
      </c>
      <c r="B2845" s="2" t="str">
        <f>"3251202108111509437376"</f>
        <v>3251202108111509437376</v>
      </c>
      <c r="C2845" s="2" t="s">
        <v>43</v>
      </c>
      <c r="D2845" s="2" t="str">
        <f>"王运洲"</f>
        <v>王运洲</v>
      </c>
      <c r="E2845" s="2" t="str">
        <f>"男"</f>
        <v>男</v>
      </c>
    </row>
    <row r="2846" spans="1:5" ht="14.4" x14ac:dyDescent="0.25">
      <c r="A2846" s="4">
        <v>2844</v>
      </c>
      <c r="B2846" s="2" t="str">
        <f>"3251202108111520217397"</f>
        <v>3251202108111520217397</v>
      </c>
      <c r="C2846" s="2" t="s">
        <v>43</v>
      </c>
      <c r="D2846" s="2" t="str">
        <f>"蔡亲贝"</f>
        <v>蔡亲贝</v>
      </c>
      <c r="E2846" s="2" t="str">
        <f>"女"</f>
        <v>女</v>
      </c>
    </row>
    <row r="2847" spans="1:5" ht="14.4" x14ac:dyDescent="0.25">
      <c r="A2847" s="4">
        <v>2845</v>
      </c>
      <c r="B2847" s="2" t="str">
        <f>"3251202108111546307464"</f>
        <v>3251202108111546307464</v>
      </c>
      <c r="C2847" s="2" t="s">
        <v>43</v>
      </c>
      <c r="D2847" s="2" t="str">
        <f>"张嫒"</f>
        <v>张嫒</v>
      </c>
      <c r="E2847" s="2" t="str">
        <f>"女"</f>
        <v>女</v>
      </c>
    </row>
    <row r="2848" spans="1:5" ht="14.4" x14ac:dyDescent="0.25">
      <c r="A2848" s="4">
        <v>2846</v>
      </c>
      <c r="B2848" s="2" t="str">
        <f>"3251202108111559487490"</f>
        <v>3251202108111559487490</v>
      </c>
      <c r="C2848" s="2" t="s">
        <v>43</v>
      </c>
      <c r="D2848" s="2" t="str">
        <f>"符君"</f>
        <v>符君</v>
      </c>
      <c r="E2848" s="2" t="str">
        <f>"女"</f>
        <v>女</v>
      </c>
    </row>
    <row r="2849" spans="1:5" ht="14.4" x14ac:dyDescent="0.25">
      <c r="A2849" s="4">
        <v>2847</v>
      </c>
      <c r="B2849" s="2" t="str">
        <f>"3251202108111653597583"</f>
        <v>3251202108111653597583</v>
      </c>
      <c r="C2849" s="2" t="s">
        <v>43</v>
      </c>
      <c r="D2849" s="2" t="str">
        <f>"刘玉娇"</f>
        <v>刘玉娇</v>
      </c>
      <c r="E2849" s="2" t="str">
        <f>"女"</f>
        <v>女</v>
      </c>
    </row>
    <row r="2850" spans="1:5" ht="14.4" x14ac:dyDescent="0.25">
      <c r="A2850" s="4">
        <v>2848</v>
      </c>
      <c r="B2850" s="2" t="str">
        <f>"3251202108111732497639"</f>
        <v>3251202108111732497639</v>
      </c>
      <c r="C2850" s="2" t="s">
        <v>43</v>
      </c>
      <c r="D2850" s="2" t="str">
        <f>"杨培城"</f>
        <v>杨培城</v>
      </c>
      <c r="E2850" s="2" t="str">
        <f>"男"</f>
        <v>男</v>
      </c>
    </row>
    <row r="2851" spans="1:5" ht="14.4" x14ac:dyDescent="0.25">
      <c r="A2851" s="4">
        <v>2849</v>
      </c>
      <c r="B2851" s="2" t="str">
        <f>"3251202108111831197735"</f>
        <v>3251202108111831197735</v>
      </c>
      <c r="C2851" s="2" t="s">
        <v>43</v>
      </c>
      <c r="D2851" s="2" t="str">
        <f>"王园园"</f>
        <v>王园园</v>
      </c>
      <c r="E2851" s="2" t="str">
        <f>"女"</f>
        <v>女</v>
      </c>
    </row>
    <row r="2852" spans="1:5" ht="14.4" x14ac:dyDescent="0.25">
      <c r="A2852" s="4">
        <v>2850</v>
      </c>
      <c r="B2852" s="2" t="str">
        <f>"3251202108112018077863"</f>
        <v>3251202108112018077863</v>
      </c>
      <c r="C2852" s="2" t="s">
        <v>43</v>
      </c>
      <c r="D2852" s="2" t="str">
        <f>"王家菱"</f>
        <v>王家菱</v>
      </c>
      <c r="E2852" s="2" t="str">
        <f>"女"</f>
        <v>女</v>
      </c>
    </row>
    <row r="2853" spans="1:5" ht="14.4" x14ac:dyDescent="0.25">
      <c r="A2853" s="4">
        <v>2851</v>
      </c>
      <c r="B2853" s="2" t="str">
        <f>"3251202108112126297978"</f>
        <v>3251202108112126297978</v>
      </c>
      <c r="C2853" s="2" t="s">
        <v>43</v>
      </c>
      <c r="D2853" s="2" t="str">
        <f>"符宁"</f>
        <v>符宁</v>
      </c>
      <c r="E2853" s="2" t="str">
        <f>"男"</f>
        <v>男</v>
      </c>
    </row>
    <row r="2854" spans="1:5" ht="14.4" x14ac:dyDescent="0.25">
      <c r="A2854" s="4">
        <v>2852</v>
      </c>
      <c r="B2854" s="2" t="str">
        <f>"3251202108112151188013"</f>
        <v>3251202108112151188013</v>
      </c>
      <c r="C2854" s="2" t="s">
        <v>43</v>
      </c>
      <c r="D2854" s="2" t="str">
        <f>"符秋娥"</f>
        <v>符秋娥</v>
      </c>
      <c r="E2854" s="2" t="str">
        <f>"女"</f>
        <v>女</v>
      </c>
    </row>
    <row r="2855" spans="1:5" ht="14.4" x14ac:dyDescent="0.25">
      <c r="A2855" s="4">
        <v>2853</v>
      </c>
      <c r="B2855" s="2" t="str">
        <f>"3251202108112219008047"</f>
        <v>3251202108112219008047</v>
      </c>
      <c r="C2855" s="2" t="s">
        <v>43</v>
      </c>
      <c r="D2855" s="2" t="str">
        <f>"林明秀"</f>
        <v>林明秀</v>
      </c>
      <c r="E2855" s="2" t="str">
        <f>"男"</f>
        <v>男</v>
      </c>
    </row>
    <row r="2856" spans="1:5" ht="14.4" x14ac:dyDescent="0.25">
      <c r="A2856" s="4">
        <v>2854</v>
      </c>
      <c r="B2856" s="2" t="str">
        <f>"3251202108112222568057"</f>
        <v>3251202108112222568057</v>
      </c>
      <c r="C2856" s="2" t="s">
        <v>43</v>
      </c>
      <c r="D2856" s="2" t="str">
        <f>"符月琳"</f>
        <v>符月琳</v>
      </c>
      <c r="E2856" s="2" t="str">
        <f>"女"</f>
        <v>女</v>
      </c>
    </row>
    <row r="2857" spans="1:5" ht="14.4" x14ac:dyDescent="0.25">
      <c r="A2857" s="4">
        <v>2855</v>
      </c>
      <c r="B2857" s="2" t="str">
        <f>"3251202108112227288062"</f>
        <v>3251202108112227288062</v>
      </c>
      <c r="C2857" s="2" t="s">
        <v>43</v>
      </c>
      <c r="D2857" s="2" t="str">
        <f>"符泽鸿"</f>
        <v>符泽鸿</v>
      </c>
      <c r="E2857" s="2" t="str">
        <f>"男"</f>
        <v>男</v>
      </c>
    </row>
    <row r="2858" spans="1:5" ht="14.4" x14ac:dyDescent="0.25">
      <c r="A2858" s="4">
        <v>2856</v>
      </c>
      <c r="B2858" s="2" t="str">
        <f>"3251202108112236428080"</f>
        <v>3251202108112236428080</v>
      </c>
      <c r="C2858" s="2" t="s">
        <v>43</v>
      </c>
      <c r="D2858" s="2" t="str">
        <f>"李景素"</f>
        <v>李景素</v>
      </c>
      <c r="E2858" s="2" t="str">
        <f>"女"</f>
        <v>女</v>
      </c>
    </row>
    <row r="2859" spans="1:5" ht="14.4" x14ac:dyDescent="0.25">
      <c r="A2859" s="4">
        <v>2857</v>
      </c>
      <c r="B2859" s="2" t="str">
        <f>"3251202108112237398085"</f>
        <v>3251202108112237398085</v>
      </c>
      <c r="C2859" s="2" t="s">
        <v>43</v>
      </c>
      <c r="D2859" s="2" t="str">
        <f>"王一棉"</f>
        <v>王一棉</v>
      </c>
      <c r="E2859" s="2" t="str">
        <f>"女"</f>
        <v>女</v>
      </c>
    </row>
    <row r="2860" spans="1:5" ht="14.4" x14ac:dyDescent="0.25">
      <c r="A2860" s="4">
        <v>2858</v>
      </c>
      <c r="B2860" s="2" t="str">
        <f>"3251202108112250478102"</f>
        <v>3251202108112250478102</v>
      </c>
      <c r="C2860" s="2" t="s">
        <v>43</v>
      </c>
      <c r="D2860" s="2" t="str">
        <f>"王丽娜"</f>
        <v>王丽娜</v>
      </c>
      <c r="E2860" s="2" t="str">
        <f>"女"</f>
        <v>女</v>
      </c>
    </row>
    <row r="2861" spans="1:5" ht="14.4" x14ac:dyDescent="0.25">
      <c r="A2861" s="4">
        <v>2859</v>
      </c>
      <c r="B2861" s="2" t="str">
        <f>"3251202108112334298139"</f>
        <v>3251202108112334298139</v>
      </c>
      <c r="C2861" s="2" t="s">
        <v>43</v>
      </c>
      <c r="D2861" s="2" t="str">
        <f>"马俊成"</f>
        <v>马俊成</v>
      </c>
      <c r="E2861" s="2" t="str">
        <f>"男"</f>
        <v>男</v>
      </c>
    </row>
    <row r="2862" spans="1:5" ht="14.4" x14ac:dyDescent="0.25">
      <c r="A2862" s="4">
        <v>2860</v>
      </c>
      <c r="B2862" s="2" t="str">
        <f>"3251202108120821168188"</f>
        <v>3251202108120821168188</v>
      </c>
      <c r="C2862" s="2" t="s">
        <v>43</v>
      </c>
      <c r="D2862" s="2" t="str">
        <f>"王皓"</f>
        <v>王皓</v>
      </c>
      <c r="E2862" s="2" t="str">
        <f>"男"</f>
        <v>男</v>
      </c>
    </row>
    <row r="2863" spans="1:5" ht="14.4" x14ac:dyDescent="0.25">
      <c r="A2863" s="4">
        <v>2861</v>
      </c>
      <c r="B2863" s="2" t="str">
        <f>"3251202108120825548196"</f>
        <v>3251202108120825548196</v>
      </c>
      <c r="C2863" s="2" t="s">
        <v>43</v>
      </c>
      <c r="D2863" s="2" t="str">
        <f>"符秋益"</f>
        <v>符秋益</v>
      </c>
      <c r="E2863" s="2" t="str">
        <f>"女"</f>
        <v>女</v>
      </c>
    </row>
    <row r="2864" spans="1:5" ht="14.4" x14ac:dyDescent="0.25">
      <c r="A2864" s="4">
        <v>2862</v>
      </c>
      <c r="B2864" s="2" t="str">
        <f>"3251202108120843058214"</f>
        <v>3251202108120843058214</v>
      </c>
      <c r="C2864" s="2" t="s">
        <v>43</v>
      </c>
      <c r="D2864" s="2" t="str">
        <f>"关逸华"</f>
        <v>关逸华</v>
      </c>
      <c r="E2864" s="2" t="str">
        <f>"男"</f>
        <v>男</v>
      </c>
    </row>
    <row r="2865" spans="1:5" ht="14.4" x14ac:dyDescent="0.25">
      <c r="A2865" s="4">
        <v>2863</v>
      </c>
      <c r="B2865" s="2" t="str">
        <f>"3251202108120843188215"</f>
        <v>3251202108120843188215</v>
      </c>
      <c r="C2865" s="2" t="s">
        <v>43</v>
      </c>
      <c r="D2865" s="2" t="str">
        <f>"符师"</f>
        <v>符师</v>
      </c>
      <c r="E2865" s="2" t="str">
        <f>"男"</f>
        <v>男</v>
      </c>
    </row>
    <row r="2866" spans="1:5" ht="14.4" x14ac:dyDescent="0.25">
      <c r="A2866" s="4">
        <v>2864</v>
      </c>
      <c r="B2866" s="2" t="str">
        <f>"3251202108120851028228"</f>
        <v>3251202108120851028228</v>
      </c>
      <c r="C2866" s="2" t="s">
        <v>43</v>
      </c>
      <c r="D2866" s="2" t="str">
        <f>"王青瑜"</f>
        <v>王青瑜</v>
      </c>
      <c r="E2866" s="2" t="str">
        <f>"女"</f>
        <v>女</v>
      </c>
    </row>
    <row r="2867" spans="1:5" ht="14.4" x14ac:dyDescent="0.25">
      <c r="A2867" s="4">
        <v>2865</v>
      </c>
      <c r="B2867" s="2" t="str">
        <f>"3251202108120916258294"</f>
        <v>3251202108120916258294</v>
      </c>
      <c r="C2867" s="2" t="s">
        <v>43</v>
      </c>
      <c r="D2867" s="2" t="str">
        <f>"周福森"</f>
        <v>周福森</v>
      </c>
      <c r="E2867" s="2" t="str">
        <f>"男"</f>
        <v>男</v>
      </c>
    </row>
    <row r="2868" spans="1:5" ht="14.4" x14ac:dyDescent="0.25">
      <c r="A2868" s="4">
        <v>2866</v>
      </c>
      <c r="B2868" s="2" t="str">
        <f>"3251202108120927478327"</f>
        <v>3251202108120927478327</v>
      </c>
      <c r="C2868" s="2" t="s">
        <v>43</v>
      </c>
      <c r="D2868" s="2" t="str">
        <f>"符小露"</f>
        <v>符小露</v>
      </c>
      <c r="E2868" s="2" t="str">
        <f>"女"</f>
        <v>女</v>
      </c>
    </row>
    <row r="2869" spans="1:5" ht="14.4" x14ac:dyDescent="0.25">
      <c r="A2869" s="4">
        <v>2867</v>
      </c>
      <c r="B2869" s="2" t="str">
        <f>"3251202108121009358424"</f>
        <v>3251202108121009358424</v>
      </c>
      <c r="C2869" s="2" t="s">
        <v>43</v>
      </c>
      <c r="D2869" s="2" t="str">
        <f>"符宋美"</f>
        <v>符宋美</v>
      </c>
      <c r="E2869" s="2" t="str">
        <f>"女"</f>
        <v>女</v>
      </c>
    </row>
    <row r="2870" spans="1:5" ht="14.4" x14ac:dyDescent="0.25">
      <c r="A2870" s="4">
        <v>2868</v>
      </c>
      <c r="B2870" s="2" t="str">
        <f>"3251202108121024048457"</f>
        <v>3251202108121024048457</v>
      </c>
      <c r="C2870" s="2" t="s">
        <v>43</v>
      </c>
      <c r="D2870" s="2" t="str">
        <f>"杨庆利"</f>
        <v>杨庆利</v>
      </c>
      <c r="E2870" s="2" t="str">
        <f>"男"</f>
        <v>男</v>
      </c>
    </row>
    <row r="2871" spans="1:5" ht="14.4" x14ac:dyDescent="0.25">
      <c r="A2871" s="4">
        <v>2869</v>
      </c>
      <c r="B2871" s="2" t="str">
        <f>"3251202108121123538577"</f>
        <v>3251202108121123538577</v>
      </c>
      <c r="C2871" s="2" t="s">
        <v>43</v>
      </c>
      <c r="D2871" s="2" t="str">
        <f>"符垚"</f>
        <v>符垚</v>
      </c>
      <c r="E2871" s="2" t="str">
        <f>"男"</f>
        <v>男</v>
      </c>
    </row>
    <row r="2872" spans="1:5" ht="14.4" x14ac:dyDescent="0.25">
      <c r="A2872" s="4">
        <v>2870</v>
      </c>
      <c r="B2872" s="2" t="str">
        <f>"3251202108121131578595"</f>
        <v>3251202108121131578595</v>
      </c>
      <c r="C2872" s="2" t="s">
        <v>43</v>
      </c>
      <c r="D2872" s="2" t="str">
        <f>"符子怡"</f>
        <v>符子怡</v>
      </c>
      <c r="E2872" s="2" t="str">
        <f>"女"</f>
        <v>女</v>
      </c>
    </row>
    <row r="2873" spans="1:5" ht="14.4" x14ac:dyDescent="0.25">
      <c r="A2873" s="4">
        <v>2871</v>
      </c>
      <c r="B2873" s="2" t="str">
        <f>"3251202108121346458747"</f>
        <v>3251202108121346458747</v>
      </c>
      <c r="C2873" s="2" t="s">
        <v>43</v>
      </c>
      <c r="D2873" s="2" t="str">
        <f>"黎钟荃"</f>
        <v>黎钟荃</v>
      </c>
      <c r="E2873" s="2" t="str">
        <f>"男"</f>
        <v>男</v>
      </c>
    </row>
    <row r="2874" spans="1:5" ht="14.4" x14ac:dyDescent="0.25">
      <c r="A2874" s="4">
        <v>2872</v>
      </c>
      <c r="B2874" s="2" t="str">
        <f>"3251202108121516438882"</f>
        <v>3251202108121516438882</v>
      </c>
      <c r="C2874" s="2" t="s">
        <v>43</v>
      </c>
      <c r="D2874" s="2" t="str">
        <f>"符才丹"</f>
        <v>符才丹</v>
      </c>
      <c r="E2874" s="2" t="str">
        <f t="shared" ref="E2874:E2879" si="84">"女"</f>
        <v>女</v>
      </c>
    </row>
    <row r="2875" spans="1:5" ht="14.4" x14ac:dyDescent="0.25">
      <c r="A2875" s="4">
        <v>2873</v>
      </c>
      <c r="B2875" s="2" t="str">
        <f>"3251202108121526048906"</f>
        <v>3251202108121526048906</v>
      </c>
      <c r="C2875" s="2" t="s">
        <v>43</v>
      </c>
      <c r="D2875" s="2" t="str">
        <f>"符小婷"</f>
        <v>符小婷</v>
      </c>
      <c r="E2875" s="2" t="str">
        <f t="shared" si="84"/>
        <v>女</v>
      </c>
    </row>
    <row r="2876" spans="1:5" ht="14.4" x14ac:dyDescent="0.25">
      <c r="A2876" s="4">
        <v>2874</v>
      </c>
      <c r="B2876" s="2" t="str">
        <f>"3251202108121529598912"</f>
        <v>3251202108121529598912</v>
      </c>
      <c r="C2876" s="2" t="s">
        <v>43</v>
      </c>
      <c r="D2876" s="2" t="str">
        <f>"符小飞"</f>
        <v>符小飞</v>
      </c>
      <c r="E2876" s="2" t="str">
        <f t="shared" si="84"/>
        <v>女</v>
      </c>
    </row>
    <row r="2877" spans="1:5" ht="14.4" x14ac:dyDescent="0.25">
      <c r="A2877" s="4">
        <v>2875</v>
      </c>
      <c r="B2877" s="2" t="str">
        <f>"3251202108121538118926"</f>
        <v>3251202108121538118926</v>
      </c>
      <c r="C2877" s="2" t="s">
        <v>43</v>
      </c>
      <c r="D2877" s="2" t="str">
        <f>"王紫静"</f>
        <v>王紫静</v>
      </c>
      <c r="E2877" s="2" t="str">
        <f t="shared" si="84"/>
        <v>女</v>
      </c>
    </row>
    <row r="2878" spans="1:5" ht="14.4" x14ac:dyDescent="0.25">
      <c r="A2878" s="4">
        <v>2876</v>
      </c>
      <c r="B2878" s="2" t="str">
        <f>"3251202108121549268949"</f>
        <v>3251202108121549268949</v>
      </c>
      <c r="C2878" s="2" t="s">
        <v>43</v>
      </c>
      <c r="D2878" s="2" t="str">
        <f>"羊洪滩"</f>
        <v>羊洪滩</v>
      </c>
      <c r="E2878" s="2" t="str">
        <f t="shared" si="84"/>
        <v>女</v>
      </c>
    </row>
    <row r="2879" spans="1:5" ht="14.4" x14ac:dyDescent="0.25">
      <c r="A2879" s="4">
        <v>2877</v>
      </c>
      <c r="B2879" s="2" t="str">
        <f>"3251202108121614168996"</f>
        <v>3251202108121614168996</v>
      </c>
      <c r="C2879" s="2" t="s">
        <v>43</v>
      </c>
      <c r="D2879" s="2" t="str">
        <f>"李文静"</f>
        <v>李文静</v>
      </c>
      <c r="E2879" s="2" t="str">
        <f t="shared" si="84"/>
        <v>女</v>
      </c>
    </row>
    <row r="2880" spans="1:5" ht="14.4" x14ac:dyDescent="0.25">
      <c r="A2880" s="4">
        <v>2878</v>
      </c>
      <c r="B2880" s="2" t="str">
        <f>"3251202108121625129016"</f>
        <v>3251202108121625129016</v>
      </c>
      <c r="C2880" s="2" t="s">
        <v>43</v>
      </c>
      <c r="D2880" s="2" t="str">
        <f>"王能丰"</f>
        <v>王能丰</v>
      </c>
      <c r="E2880" s="2" t="str">
        <f>"男"</f>
        <v>男</v>
      </c>
    </row>
    <row r="2881" spans="1:5" ht="14.4" x14ac:dyDescent="0.25">
      <c r="A2881" s="4">
        <v>2879</v>
      </c>
      <c r="B2881" s="2" t="str">
        <f>"3251202108121700029064"</f>
        <v>3251202108121700029064</v>
      </c>
      <c r="C2881" s="2" t="s">
        <v>43</v>
      </c>
      <c r="D2881" s="2" t="str">
        <f>"符靖"</f>
        <v>符靖</v>
      </c>
      <c r="E2881" s="2" t="str">
        <f>"男"</f>
        <v>男</v>
      </c>
    </row>
    <row r="2882" spans="1:5" ht="14.4" x14ac:dyDescent="0.25">
      <c r="A2882" s="4">
        <v>2880</v>
      </c>
      <c r="B2882" s="2" t="str">
        <f>"3251202108121715279089"</f>
        <v>3251202108121715279089</v>
      </c>
      <c r="C2882" s="2" t="s">
        <v>43</v>
      </c>
      <c r="D2882" s="2" t="str">
        <f>"符紫伊"</f>
        <v>符紫伊</v>
      </c>
      <c r="E2882" s="2" t="str">
        <f>"女"</f>
        <v>女</v>
      </c>
    </row>
    <row r="2883" spans="1:5" ht="14.4" x14ac:dyDescent="0.25">
      <c r="A2883" s="4">
        <v>2881</v>
      </c>
      <c r="B2883" s="2" t="str">
        <f>"3251202108121812099149"</f>
        <v>3251202108121812099149</v>
      </c>
      <c r="C2883" s="2" t="s">
        <v>43</v>
      </c>
      <c r="D2883" s="2" t="str">
        <f>"曾维莹"</f>
        <v>曾维莹</v>
      </c>
      <c r="E2883" s="2" t="str">
        <f>"女"</f>
        <v>女</v>
      </c>
    </row>
    <row r="2884" spans="1:5" ht="14.4" x14ac:dyDescent="0.25">
      <c r="A2884" s="4">
        <v>2882</v>
      </c>
      <c r="B2884" s="2" t="str">
        <f>"3251202108121855469196"</f>
        <v>3251202108121855469196</v>
      </c>
      <c r="C2884" s="2" t="s">
        <v>43</v>
      </c>
      <c r="D2884" s="2" t="str">
        <f>"符丹阳"</f>
        <v>符丹阳</v>
      </c>
      <c r="E2884" s="2" t="str">
        <f>"女"</f>
        <v>女</v>
      </c>
    </row>
    <row r="2885" spans="1:5" ht="14.4" x14ac:dyDescent="0.25">
      <c r="A2885" s="4">
        <v>2883</v>
      </c>
      <c r="B2885" s="2" t="str">
        <f>"3251202108121911139213"</f>
        <v>3251202108121911139213</v>
      </c>
      <c r="C2885" s="2" t="s">
        <v>43</v>
      </c>
      <c r="D2885" s="2" t="str">
        <f>"符小令"</f>
        <v>符小令</v>
      </c>
      <c r="E2885" s="2" t="str">
        <f>"女"</f>
        <v>女</v>
      </c>
    </row>
    <row r="2886" spans="1:5" ht="14.4" x14ac:dyDescent="0.25">
      <c r="A2886" s="4">
        <v>2884</v>
      </c>
      <c r="B2886" s="2" t="str">
        <f>"3251202108122013549261"</f>
        <v>3251202108122013549261</v>
      </c>
      <c r="C2886" s="2" t="s">
        <v>43</v>
      </c>
      <c r="D2886" s="2" t="str">
        <f>"符雨晨"</f>
        <v>符雨晨</v>
      </c>
      <c r="E2886" s="2" t="str">
        <f>"女"</f>
        <v>女</v>
      </c>
    </row>
    <row r="2887" spans="1:5" ht="14.4" x14ac:dyDescent="0.25">
      <c r="A2887" s="4">
        <v>2885</v>
      </c>
      <c r="B2887" s="2" t="str">
        <f>"3251202108122038399283"</f>
        <v>3251202108122038399283</v>
      </c>
      <c r="C2887" s="2" t="s">
        <v>43</v>
      </c>
      <c r="D2887" s="2" t="str">
        <f>"王思董"</f>
        <v>王思董</v>
      </c>
      <c r="E2887" s="2" t="str">
        <f>"男"</f>
        <v>男</v>
      </c>
    </row>
    <row r="2888" spans="1:5" ht="14.4" x14ac:dyDescent="0.25">
      <c r="A2888" s="4">
        <v>2886</v>
      </c>
      <c r="B2888" s="2" t="str">
        <f>"3251202108122047529296"</f>
        <v>3251202108122047529296</v>
      </c>
      <c r="C2888" s="2" t="s">
        <v>43</v>
      </c>
      <c r="D2888" s="2" t="str">
        <f>"符晓贵"</f>
        <v>符晓贵</v>
      </c>
      <c r="E2888" s="2" t="str">
        <f>"男"</f>
        <v>男</v>
      </c>
    </row>
    <row r="2889" spans="1:5" ht="14.4" x14ac:dyDescent="0.25">
      <c r="A2889" s="4">
        <v>2887</v>
      </c>
      <c r="B2889" s="2" t="str">
        <f>"3251202108122129589343"</f>
        <v>3251202108122129589343</v>
      </c>
      <c r="C2889" s="2" t="s">
        <v>43</v>
      </c>
      <c r="D2889" s="2" t="str">
        <f>"符夏"</f>
        <v>符夏</v>
      </c>
      <c r="E2889" s="2" t="str">
        <f>"女"</f>
        <v>女</v>
      </c>
    </row>
    <row r="2890" spans="1:5" ht="14.4" x14ac:dyDescent="0.25">
      <c r="A2890" s="4">
        <v>2888</v>
      </c>
      <c r="B2890" s="2" t="str">
        <f>"3251202108122218449390"</f>
        <v>3251202108122218449390</v>
      </c>
      <c r="C2890" s="2" t="s">
        <v>43</v>
      </c>
      <c r="D2890" s="2" t="str">
        <f>"刘仕杰"</f>
        <v>刘仕杰</v>
      </c>
      <c r="E2890" s="2" t="str">
        <f>"男"</f>
        <v>男</v>
      </c>
    </row>
    <row r="2891" spans="1:5" ht="14.4" x14ac:dyDescent="0.25">
      <c r="A2891" s="4">
        <v>2889</v>
      </c>
      <c r="B2891" s="2" t="str">
        <f>"3251202108130850479533"</f>
        <v>3251202108130850479533</v>
      </c>
      <c r="C2891" s="2" t="s">
        <v>43</v>
      </c>
      <c r="D2891" s="2" t="str">
        <f>"符舒瑾"</f>
        <v>符舒瑾</v>
      </c>
      <c r="E2891" s="2" t="str">
        <f>"女"</f>
        <v>女</v>
      </c>
    </row>
    <row r="2892" spans="1:5" ht="14.4" x14ac:dyDescent="0.25">
      <c r="A2892" s="4">
        <v>2890</v>
      </c>
      <c r="B2892" s="2" t="str">
        <f>"3251202108130913209559"</f>
        <v>3251202108130913209559</v>
      </c>
      <c r="C2892" s="2" t="s">
        <v>43</v>
      </c>
      <c r="D2892" s="2" t="str">
        <f>"符海旭"</f>
        <v>符海旭</v>
      </c>
      <c r="E2892" s="2" t="str">
        <f>"男"</f>
        <v>男</v>
      </c>
    </row>
    <row r="2893" spans="1:5" ht="14.4" x14ac:dyDescent="0.25">
      <c r="A2893" s="4">
        <v>2891</v>
      </c>
      <c r="B2893" s="2" t="str">
        <f>"3251202108131032379667"</f>
        <v>3251202108131032379667</v>
      </c>
      <c r="C2893" s="2" t="s">
        <v>43</v>
      </c>
      <c r="D2893" s="2" t="str">
        <f>"符萍"</f>
        <v>符萍</v>
      </c>
      <c r="E2893" s="2" t="str">
        <f>"女"</f>
        <v>女</v>
      </c>
    </row>
    <row r="2894" spans="1:5" ht="14.4" x14ac:dyDescent="0.25">
      <c r="A2894" s="4">
        <v>2892</v>
      </c>
      <c r="B2894" s="2" t="str">
        <f>"3251202108131108109717"</f>
        <v>3251202108131108109717</v>
      </c>
      <c r="C2894" s="2" t="s">
        <v>43</v>
      </c>
      <c r="D2894" s="2" t="str">
        <f>"马梦戈"</f>
        <v>马梦戈</v>
      </c>
      <c r="E2894" s="2" t="str">
        <f>"女"</f>
        <v>女</v>
      </c>
    </row>
    <row r="2895" spans="1:5" ht="14.4" x14ac:dyDescent="0.25">
      <c r="A2895" s="4">
        <v>2893</v>
      </c>
      <c r="B2895" s="2" t="str">
        <f>"3251202108131113429728"</f>
        <v>3251202108131113429728</v>
      </c>
      <c r="C2895" s="2" t="s">
        <v>43</v>
      </c>
      <c r="D2895" s="2" t="str">
        <f>"符婷婷"</f>
        <v>符婷婷</v>
      </c>
      <c r="E2895" s="2" t="str">
        <f>"女"</f>
        <v>女</v>
      </c>
    </row>
    <row r="2896" spans="1:5" ht="14.4" x14ac:dyDescent="0.25">
      <c r="A2896" s="4">
        <v>2894</v>
      </c>
      <c r="B2896" s="2" t="str">
        <f>"3251202108131348429857"</f>
        <v>3251202108131348429857</v>
      </c>
      <c r="C2896" s="2" t="s">
        <v>43</v>
      </c>
      <c r="D2896" s="2" t="str">
        <f>"王露东"</f>
        <v>王露东</v>
      </c>
      <c r="E2896" s="2" t="str">
        <f>"男"</f>
        <v>男</v>
      </c>
    </row>
    <row r="2897" spans="1:5" ht="14.4" x14ac:dyDescent="0.25">
      <c r="A2897" s="4">
        <v>2895</v>
      </c>
      <c r="B2897" s="2" t="str">
        <f>"3251202108131519329938"</f>
        <v>3251202108131519329938</v>
      </c>
      <c r="C2897" s="2" t="s">
        <v>43</v>
      </c>
      <c r="D2897" s="2" t="str">
        <f>"陈艳"</f>
        <v>陈艳</v>
      </c>
      <c r="E2897" s="2" t="str">
        <f>"女"</f>
        <v>女</v>
      </c>
    </row>
    <row r="2898" spans="1:5" ht="14.4" x14ac:dyDescent="0.25">
      <c r="A2898" s="4">
        <v>2896</v>
      </c>
      <c r="B2898" s="2" t="str">
        <f>"32512021081317141810094"</f>
        <v>32512021081317141810094</v>
      </c>
      <c r="C2898" s="2" t="s">
        <v>43</v>
      </c>
      <c r="D2898" s="2" t="str">
        <f>"王欢"</f>
        <v>王欢</v>
      </c>
      <c r="E2898" s="2" t="str">
        <f>"女"</f>
        <v>女</v>
      </c>
    </row>
    <row r="2899" spans="1:5" ht="14.4" x14ac:dyDescent="0.25">
      <c r="A2899" s="4">
        <v>2897</v>
      </c>
      <c r="B2899" s="2" t="str">
        <f>"32512021081317415410125"</f>
        <v>32512021081317415410125</v>
      </c>
      <c r="C2899" s="2" t="s">
        <v>43</v>
      </c>
      <c r="D2899" s="2" t="str">
        <f>"王扬妹"</f>
        <v>王扬妹</v>
      </c>
      <c r="E2899" s="2" t="str">
        <f>"女"</f>
        <v>女</v>
      </c>
    </row>
    <row r="2900" spans="1:5" ht="14.4" x14ac:dyDescent="0.25">
      <c r="A2900" s="4">
        <v>2898</v>
      </c>
      <c r="B2900" s="2" t="str">
        <f>"32512021081319441110206"</f>
        <v>32512021081319441110206</v>
      </c>
      <c r="C2900" s="2" t="s">
        <v>43</v>
      </c>
      <c r="D2900" s="2" t="str">
        <f>"李小静"</f>
        <v>李小静</v>
      </c>
      <c r="E2900" s="2" t="str">
        <f>"女"</f>
        <v>女</v>
      </c>
    </row>
    <row r="2901" spans="1:5" ht="14.4" x14ac:dyDescent="0.25">
      <c r="A2901" s="4">
        <v>2899</v>
      </c>
      <c r="B2901" s="2" t="str">
        <f>"32512021081320104210220"</f>
        <v>32512021081320104210220</v>
      </c>
      <c r="C2901" s="2" t="s">
        <v>43</v>
      </c>
      <c r="D2901" s="2" t="str">
        <f>"周威"</f>
        <v>周威</v>
      </c>
      <c r="E2901" s="2" t="str">
        <f>"男"</f>
        <v>男</v>
      </c>
    </row>
    <row r="2902" spans="1:5" ht="14.4" x14ac:dyDescent="0.25">
      <c r="A2902" s="4">
        <v>2900</v>
      </c>
      <c r="B2902" s="2" t="str">
        <f>"32512021081321551910281"</f>
        <v>32512021081321551910281</v>
      </c>
      <c r="C2902" s="2" t="s">
        <v>43</v>
      </c>
      <c r="D2902" s="2" t="str">
        <f>"符月凤"</f>
        <v>符月凤</v>
      </c>
      <c r="E2902" s="2" t="str">
        <f>"女"</f>
        <v>女</v>
      </c>
    </row>
    <row r="2903" spans="1:5" ht="14.4" x14ac:dyDescent="0.25">
      <c r="A2903" s="4">
        <v>2901</v>
      </c>
      <c r="B2903" s="2" t="str">
        <f>"32512021081409483110422"</f>
        <v>32512021081409483110422</v>
      </c>
      <c r="C2903" s="2" t="s">
        <v>43</v>
      </c>
      <c r="D2903" s="2" t="str">
        <f>"王国存"</f>
        <v>王国存</v>
      </c>
      <c r="E2903" s="2" t="str">
        <f>"男"</f>
        <v>男</v>
      </c>
    </row>
    <row r="2904" spans="1:5" ht="14.4" x14ac:dyDescent="0.25">
      <c r="A2904" s="4">
        <v>2902</v>
      </c>
      <c r="B2904" s="2" t="str">
        <f>"32512021081410534510477"</f>
        <v>32512021081410534510477</v>
      </c>
      <c r="C2904" s="2" t="s">
        <v>43</v>
      </c>
      <c r="D2904" s="2" t="str">
        <f>"兰温慧"</f>
        <v>兰温慧</v>
      </c>
      <c r="E2904" s="2" t="str">
        <f>"女"</f>
        <v>女</v>
      </c>
    </row>
    <row r="2905" spans="1:5" ht="14.4" x14ac:dyDescent="0.25">
      <c r="A2905" s="4">
        <v>2903</v>
      </c>
      <c r="B2905" s="2" t="str">
        <f>"32512021081411205310502"</f>
        <v>32512021081411205310502</v>
      </c>
      <c r="C2905" s="2" t="s">
        <v>43</v>
      </c>
      <c r="D2905" s="2" t="str">
        <f>"李畅贞"</f>
        <v>李畅贞</v>
      </c>
      <c r="E2905" s="2" t="str">
        <f>"女"</f>
        <v>女</v>
      </c>
    </row>
    <row r="2906" spans="1:5" ht="14.4" x14ac:dyDescent="0.25">
      <c r="A2906" s="4">
        <v>2904</v>
      </c>
      <c r="B2906" s="2" t="str">
        <f>"32512021081411442810520"</f>
        <v>32512021081411442810520</v>
      </c>
      <c r="C2906" s="2" t="s">
        <v>43</v>
      </c>
      <c r="D2906" s="2" t="str">
        <f>"符娇妹"</f>
        <v>符娇妹</v>
      </c>
      <c r="E2906" s="2" t="str">
        <f>"女"</f>
        <v>女</v>
      </c>
    </row>
    <row r="2907" spans="1:5" ht="14.4" x14ac:dyDescent="0.25">
      <c r="A2907" s="4">
        <v>2905</v>
      </c>
      <c r="B2907" s="2" t="str">
        <f>"32512021081413423910574"</f>
        <v>32512021081413423910574</v>
      </c>
      <c r="C2907" s="2" t="s">
        <v>43</v>
      </c>
      <c r="D2907" s="2" t="str">
        <f>"符晓祥"</f>
        <v>符晓祥</v>
      </c>
      <c r="E2907" s="2" t="str">
        <f>"男"</f>
        <v>男</v>
      </c>
    </row>
    <row r="2908" spans="1:5" ht="14.4" x14ac:dyDescent="0.25">
      <c r="A2908" s="4">
        <v>2906</v>
      </c>
      <c r="B2908" s="2" t="str">
        <f>"32512021081415372910654"</f>
        <v>32512021081415372910654</v>
      </c>
      <c r="C2908" s="2" t="s">
        <v>43</v>
      </c>
      <c r="D2908" s="2" t="str">
        <f>"严栋"</f>
        <v>严栋</v>
      </c>
      <c r="E2908" s="2" t="str">
        <f>"男"</f>
        <v>男</v>
      </c>
    </row>
    <row r="2909" spans="1:5" ht="14.4" x14ac:dyDescent="0.25">
      <c r="A2909" s="4">
        <v>2907</v>
      </c>
      <c r="B2909" s="2" t="str">
        <f>"32512021081416530010703"</f>
        <v>32512021081416530010703</v>
      </c>
      <c r="C2909" s="2" t="s">
        <v>43</v>
      </c>
      <c r="D2909" s="2" t="str">
        <f>"符润娥"</f>
        <v>符润娥</v>
      </c>
      <c r="E2909" s="2" t="str">
        <f t="shared" ref="E2909:E2916" si="85">"女"</f>
        <v>女</v>
      </c>
    </row>
    <row r="2910" spans="1:5" ht="14.4" x14ac:dyDescent="0.25">
      <c r="A2910" s="4">
        <v>2908</v>
      </c>
      <c r="B2910" s="2" t="str">
        <f>"32512021081511014811020"</f>
        <v>32512021081511014811020</v>
      </c>
      <c r="C2910" s="2" t="s">
        <v>43</v>
      </c>
      <c r="D2910" s="2" t="str">
        <f>"符淑梅"</f>
        <v>符淑梅</v>
      </c>
      <c r="E2910" s="2" t="str">
        <f t="shared" si="85"/>
        <v>女</v>
      </c>
    </row>
    <row r="2911" spans="1:5" ht="14.4" x14ac:dyDescent="0.25">
      <c r="A2911" s="4">
        <v>2909</v>
      </c>
      <c r="B2911" s="2" t="str">
        <f>"32512021081512105911066"</f>
        <v>32512021081512105911066</v>
      </c>
      <c r="C2911" s="2" t="s">
        <v>43</v>
      </c>
      <c r="D2911" s="2" t="str">
        <f>"陆玉春"</f>
        <v>陆玉春</v>
      </c>
      <c r="E2911" s="2" t="str">
        <f t="shared" si="85"/>
        <v>女</v>
      </c>
    </row>
    <row r="2912" spans="1:5" ht="14.4" x14ac:dyDescent="0.25">
      <c r="A2912" s="4">
        <v>2910</v>
      </c>
      <c r="B2912" s="2" t="str">
        <f>"32512021081514511111183"</f>
        <v>32512021081514511111183</v>
      </c>
      <c r="C2912" s="2" t="s">
        <v>43</v>
      </c>
      <c r="D2912" s="2" t="str">
        <f>"田虹扬"</f>
        <v>田虹扬</v>
      </c>
      <c r="E2912" s="2" t="str">
        <f t="shared" si="85"/>
        <v>女</v>
      </c>
    </row>
    <row r="2913" spans="1:5" ht="14.4" x14ac:dyDescent="0.25">
      <c r="A2913" s="4">
        <v>2911</v>
      </c>
      <c r="B2913" s="2" t="str">
        <f>"32512021081515143211198"</f>
        <v>32512021081515143211198</v>
      </c>
      <c r="C2913" s="2" t="s">
        <v>43</v>
      </c>
      <c r="D2913" s="2" t="str">
        <f>"王明萌"</f>
        <v>王明萌</v>
      </c>
      <c r="E2913" s="2" t="str">
        <f t="shared" si="85"/>
        <v>女</v>
      </c>
    </row>
    <row r="2914" spans="1:5" ht="14.4" x14ac:dyDescent="0.25">
      <c r="A2914" s="4">
        <v>2912</v>
      </c>
      <c r="B2914" s="2" t="str">
        <f>"32512021081515424411212"</f>
        <v>32512021081515424411212</v>
      </c>
      <c r="C2914" s="2" t="s">
        <v>43</v>
      </c>
      <c r="D2914" s="2" t="str">
        <f>"刘桂珍"</f>
        <v>刘桂珍</v>
      </c>
      <c r="E2914" s="2" t="str">
        <f t="shared" si="85"/>
        <v>女</v>
      </c>
    </row>
    <row r="2915" spans="1:5" ht="14.4" x14ac:dyDescent="0.25">
      <c r="A2915" s="4">
        <v>2913</v>
      </c>
      <c r="B2915" s="2" t="str">
        <f>"32512021081516343911251"</f>
        <v>32512021081516343911251</v>
      </c>
      <c r="C2915" s="2" t="s">
        <v>43</v>
      </c>
      <c r="D2915" s="2" t="str">
        <f>"曾喜华"</f>
        <v>曾喜华</v>
      </c>
      <c r="E2915" s="2" t="str">
        <f t="shared" si="85"/>
        <v>女</v>
      </c>
    </row>
    <row r="2916" spans="1:5" ht="14.4" x14ac:dyDescent="0.25">
      <c r="A2916" s="4">
        <v>2914</v>
      </c>
      <c r="B2916" s="2" t="str">
        <f>"32512021081518102611333"</f>
        <v>32512021081518102611333</v>
      </c>
      <c r="C2916" s="2" t="s">
        <v>43</v>
      </c>
      <c r="D2916" s="2" t="str">
        <f>"符小芳"</f>
        <v>符小芳</v>
      </c>
      <c r="E2916" s="2" t="str">
        <f t="shared" si="85"/>
        <v>女</v>
      </c>
    </row>
    <row r="2917" spans="1:5" ht="14.4" x14ac:dyDescent="0.25">
      <c r="A2917" s="4">
        <v>2915</v>
      </c>
      <c r="B2917" s="2" t="str">
        <f>"32512021081518202011342"</f>
        <v>32512021081518202011342</v>
      </c>
      <c r="C2917" s="2" t="s">
        <v>43</v>
      </c>
      <c r="D2917" s="2" t="str">
        <f>"王劲"</f>
        <v>王劲</v>
      </c>
      <c r="E2917" s="2" t="str">
        <f>"男"</f>
        <v>男</v>
      </c>
    </row>
    <row r="2918" spans="1:5" ht="14.4" x14ac:dyDescent="0.25">
      <c r="A2918" s="4">
        <v>2916</v>
      </c>
      <c r="B2918" s="2" t="str">
        <f>"32512021081519542811417"</f>
        <v>32512021081519542811417</v>
      </c>
      <c r="C2918" s="2" t="s">
        <v>43</v>
      </c>
      <c r="D2918" s="2" t="str">
        <f>"羊文耀"</f>
        <v>羊文耀</v>
      </c>
      <c r="E2918" s="2" t="str">
        <f>"男"</f>
        <v>男</v>
      </c>
    </row>
    <row r="2919" spans="1:5" ht="14.4" x14ac:dyDescent="0.25">
      <c r="A2919" s="4">
        <v>2917</v>
      </c>
      <c r="B2919" s="2" t="str">
        <f>"32512021081520293711445"</f>
        <v>32512021081520293711445</v>
      </c>
      <c r="C2919" s="2" t="s">
        <v>43</v>
      </c>
      <c r="D2919" s="2" t="str">
        <f>"符明哥"</f>
        <v>符明哥</v>
      </c>
      <c r="E2919" s="2" t="str">
        <f>"男"</f>
        <v>男</v>
      </c>
    </row>
    <row r="2920" spans="1:5" ht="14.4" x14ac:dyDescent="0.25">
      <c r="A2920" s="4">
        <v>2918</v>
      </c>
      <c r="B2920" s="2" t="str">
        <f>"32512021081522062311546"</f>
        <v>32512021081522062311546</v>
      </c>
      <c r="C2920" s="2" t="s">
        <v>43</v>
      </c>
      <c r="D2920" s="2" t="str">
        <f>"符明媚"</f>
        <v>符明媚</v>
      </c>
      <c r="E2920" s="2" t="str">
        <f>"女"</f>
        <v>女</v>
      </c>
    </row>
    <row r="2921" spans="1:5" ht="14.4" x14ac:dyDescent="0.25">
      <c r="A2921" s="4">
        <v>2919</v>
      </c>
      <c r="B2921" s="2" t="str">
        <f>"32512021081522274211566"</f>
        <v>32512021081522274211566</v>
      </c>
      <c r="C2921" s="2" t="s">
        <v>43</v>
      </c>
      <c r="D2921" s="2" t="str">
        <f>"符雪儿"</f>
        <v>符雪儿</v>
      </c>
      <c r="E2921" s="2" t="str">
        <f>"女"</f>
        <v>女</v>
      </c>
    </row>
    <row r="2922" spans="1:5" ht="14.4" x14ac:dyDescent="0.25">
      <c r="A2922" s="4">
        <v>2920</v>
      </c>
      <c r="B2922" s="2" t="str">
        <f>"32512021081522373411581"</f>
        <v>32512021081522373411581</v>
      </c>
      <c r="C2922" s="2" t="s">
        <v>43</v>
      </c>
      <c r="D2922" s="2" t="str">
        <f>"王倩倩"</f>
        <v>王倩倩</v>
      </c>
      <c r="E2922" s="2" t="str">
        <f>"女"</f>
        <v>女</v>
      </c>
    </row>
    <row r="2923" spans="1:5" ht="14.4" x14ac:dyDescent="0.25">
      <c r="A2923" s="4">
        <v>2921</v>
      </c>
      <c r="B2923" s="2" t="str">
        <f>"32512021081522401611584"</f>
        <v>32512021081522401611584</v>
      </c>
      <c r="C2923" s="2" t="s">
        <v>43</v>
      </c>
      <c r="D2923" s="2" t="str">
        <f>"林琦昆"</f>
        <v>林琦昆</v>
      </c>
      <c r="E2923" s="2" t="str">
        <f>"男"</f>
        <v>男</v>
      </c>
    </row>
    <row r="2924" spans="1:5" ht="14.4" x14ac:dyDescent="0.25">
      <c r="A2924" s="4">
        <v>2922</v>
      </c>
      <c r="B2924" s="2" t="str">
        <f>"32512021081523013911604"</f>
        <v>32512021081523013911604</v>
      </c>
      <c r="C2924" s="2" t="s">
        <v>43</v>
      </c>
      <c r="D2924" s="2" t="str">
        <f>"符悦"</f>
        <v>符悦</v>
      </c>
      <c r="E2924" s="2" t="str">
        <f>"女"</f>
        <v>女</v>
      </c>
    </row>
    <row r="2925" spans="1:5" ht="14.4" x14ac:dyDescent="0.25">
      <c r="A2925" s="4">
        <v>2923</v>
      </c>
      <c r="B2925" s="2" t="str">
        <f>"32512021081600444911656"</f>
        <v>32512021081600444911656</v>
      </c>
      <c r="C2925" s="2" t="s">
        <v>43</v>
      </c>
      <c r="D2925" s="2" t="str">
        <f>"符世季"</f>
        <v>符世季</v>
      </c>
      <c r="E2925" s="2" t="str">
        <f>"男"</f>
        <v>男</v>
      </c>
    </row>
    <row r="2926" spans="1:5" ht="14.4" x14ac:dyDescent="0.25">
      <c r="A2926" s="4">
        <v>2924</v>
      </c>
      <c r="B2926" s="2" t="str">
        <f>"32512021081602452511677"</f>
        <v>32512021081602452511677</v>
      </c>
      <c r="C2926" s="2" t="s">
        <v>43</v>
      </c>
      <c r="D2926" s="2" t="str">
        <f>"王瑞锦"</f>
        <v>王瑞锦</v>
      </c>
      <c r="E2926" s="2" t="str">
        <f>"女"</f>
        <v>女</v>
      </c>
    </row>
    <row r="2927" spans="1:5" ht="14.4" x14ac:dyDescent="0.25">
      <c r="A2927" s="4">
        <v>2925</v>
      </c>
      <c r="B2927" s="2" t="str">
        <f>"32512021081608170511724"</f>
        <v>32512021081608170511724</v>
      </c>
      <c r="C2927" s="2" t="s">
        <v>43</v>
      </c>
      <c r="D2927" s="2" t="str">
        <f>"符海霞"</f>
        <v>符海霞</v>
      </c>
      <c r="E2927" s="2" t="str">
        <f>"女"</f>
        <v>女</v>
      </c>
    </row>
    <row r="2928" spans="1:5" ht="14.4" x14ac:dyDescent="0.25">
      <c r="A2928" s="4">
        <v>2926</v>
      </c>
      <c r="B2928" s="2" t="str">
        <f>"32512021081608300511747"</f>
        <v>32512021081608300511747</v>
      </c>
      <c r="C2928" s="2" t="s">
        <v>43</v>
      </c>
      <c r="D2928" s="2" t="str">
        <f>"谭通"</f>
        <v>谭通</v>
      </c>
      <c r="E2928" s="2" t="str">
        <f>"男"</f>
        <v>男</v>
      </c>
    </row>
    <row r="2929" spans="1:5" ht="14.4" x14ac:dyDescent="0.25">
      <c r="A2929" s="4">
        <v>2927</v>
      </c>
      <c r="B2929" s="2" t="str">
        <f>"32512021081609521012063"</f>
        <v>32512021081609521012063</v>
      </c>
      <c r="C2929" s="2" t="s">
        <v>43</v>
      </c>
      <c r="D2929" s="2" t="str">
        <f>"王慧娥"</f>
        <v>王慧娥</v>
      </c>
      <c r="E2929" s="2" t="str">
        <f t="shared" ref="E2929:E2935" si="86">"女"</f>
        <v>女</v>
      </c>
    </row>
    <row r="2930" spans="1:5" ht="14.4" x14ac:dyDescent="0.25">
      <c r="A2930" s="4">
        <v>2928</v>
      </c>
      <c r="B2930" s="2" t="str">
        <f>"32512021081610032312124"</f>
        <v>32512021081610032312124</v>
      </c>
      <c r="C2930" s="2" t="s">
        <v>43</v>
      </c>
      <c r="D2930" s="2" t="str">
        <f>"黄茜"</f>
        <v>黄茜</v>
      </c>
      <c r="E2930" s="2" t="str">
        <f t="shared" si="86"/>
        <v>女</v>
      </c>
    </row>
    <row r="2931" spans="1:5" ht="14.4" x14ac:dyDescent="0.25">
      <c r="A2931" s="4">
        <v>2929</v>
      </c>
      <c r="B2931" s="2" t="str">
        <f>"32512021081612250812693"</f>
        <v>32512021081612250812693</v>
      </c>
      <c r="C2931" s="2" t="s">
        <v>43</v>
      </c>
      <c r="D2931" s="2" t="str">
        <f>"王悦"</f>
        <v>王悦</v>
      </c>
      <c r="E2931" s="2" t="str">
        <f t="shared" si="86"/>
        <v>女</v>
      </c>
    </row>
    <row r="2932" spans="1:5" ht="14.4" x14ac:dyDescent="0.25">
      <c r="A2932" s="4">
        <v>2930</v>
      </c>
      <c r="B2932" s="2" t="str">
        <f>"32512021081615020213019"</f>
        <v>32512021081615020213019</v>
      </c>
      <c r="C2932" s="2" t="s">
        <v>43</v>
      </c>
      <c r="D2932" s="2" t="str">
        <f>"符继红"</f>
        <v>符继红</v>
      </c>
      <c r="E2932" s="2" t="str">
        <f t="shared" si="86"/>
        <v>女</v>
      </c>
    </row>
    <row r="2933" spans="1:5" ht="14.4" x14ac:dyDescent="0.25">
      <c r="A2933" s="4">
        <v>2931</v>
      </c>
      <c r="B2933" s="2" t="str">
        <f>"3251202108100903073766"</f>
        <v>3251202108100903073766</v>
      </c>
      <c r="C2933" s="2" t="s">
        <v>44</v>
      </c>
      <c r="D2933" s="2" t="str">
        <f>"符佳善"</f>
        <v>符佳善</v>
      </c>
      <c r="E2933" s="2" t="str">
        <f t="shared" si="86"/>
        <v>女</v>
      </c>
    </row>
    <row r="2934" spans="1:5" ht="14.4" x14ac:dyDescent="0.25">
      <c r="A2934" s="4">
        <v>2932</v>
      </c>
      <c r="B2934" s="2" t="str">
        <f>"3251202108100936214064"</f>
        <v>3251202108100936214064</v>
      </c>
      <c r="C2934" s="2" t="s">
        <v>44</v>
      </c>
      <c r="D2934" s="2" t="str">
        <f>"符灵巧"</f>
        <v>符灵巧</v>
      </c>
      <c r="E2934" s="2" t="str">
        <f t="shared" si="86"/>
        <v>女</v>
      </c>
    </row>
    <row r="2935" spans="1:5" ht="14.4" x14ac:dyDescent="0.25">
      <c r="A2935" s="4">
        <v>2933</v>
      </c>
      <c r="B2935" s="2" t="str">
        <f>"3251202108100938484074"</f>
        <v>3251202108100938484074</v>
      </c>
      <c r="C2935" s="2" t="s">
        <v>44</v>
      </c>
      <c r="D2935" s="2" t="str">
        <f>"王晓荷"</f>
        <v>王晓荷</v>
      </c>
      <c r="E2935" s="2" t="str">
        <f t="shared" si="86"/>
        <v>女</v>
      </c>
    </row>
    <row r="2936" spans="1:5" ht="14.4" x14ac:dyDescent="0.25">
      <c r="A2936" s="4">
        <v>2934</v>
      </c>
      <c r="B2936" s="2" t="str">
        <f>"3251202108101035464421"</f>
        <v>3251202108101035464421</v>
      </c>
      <c r="C2936" s="2" t="s">
        <v>44</v>
      </c>
      <c r="D2936" s="2" t="str">
        <f>"王维思"</f>
        <v>王维思</v>
      </c>
      <c r="E2936" s="2" t="str">
        <f>"男"</f>
        <v>男</v>
      </c>
    </row>
    <row r="2937" spans="1:5" ht="14.4" x14ac:dyDescent="0.25">
      <c r="A2937" s="4">
        <v>2935</v>
      </c>
      <c r="B2937" s="2" t="str">
        <f>"3251202108101158244800"</f>
        <v>3251202108101158244800</v>
      </c>
      <c r="C2937" s="2" t="s">
        <v>44</v>
      </c>
      <c r="D2937" s="2" t="str">
        <f>"王卓霄"</f>
        <v>王卓霄</v>
      </c>
      <c r="E2937" s="2" t="str">
        <f>"男"</f>
        <v>男</v>
      </c>
    </row>
    <row r="2938" spans="1:5" ht="14.4" x14ac:dyDescent="0.25">
      <c r="A2938" s="4">
        <v>2936</v>
      </c>
      <c r="B2938" s="2" t="str">
        <f>"3251202108101234234920"</f>
        <v>3251202108101234234920</v>
      </c>
      <c r="C2938" s="2" t="s">
        <v>44</v>
      </c>
      <c r="D2938" s="2" t="str">
        <f>"符德广"</f>
        <v>符德广</v>
      </c>
      <c r="E2938" s="2" t="str">
        <f>"男"</f>
        <v>男</v>
      </c>
    </row>
    <row r="2939" spans="1:5" ht="14.4" x14ac:dyDescent="0.25">
      <c r="A2939" s="4">
        <v>2937</v>
      </c>
      <c r="B2939" s="2" t="str">
        <f>"3251202108101312595012"</f>
        <v>3251202108101312595012</v>
      </c>
      <c r="C2939" s="2" t="s">
        <v>44</v>
      </c>
      <c r="D2939" s="2" t="str">
        <f>"王赟"</f>
        <v>王赟</v>
      </c>
      <c r="E2939" s="2" t="str">
        <f>"男"</f>
        <v>男</v>
      </c>
    </row>
    <row r="2940" spans="1:5" ht="14.4" x14ac:dyDescent="0.25">
      <c r="A2940" s="4">
        <v>2938</v>
      </c>
      <c r="B2940" s="2" t="str">
        <f>"3251202108101844546001"</f>
        <v>3251202108101844546001</v>
      </c>
      <c r="C2940" s="2" t="s">
        <v>44</v>
      </c>
      <c r="D2940" s="2" t="str">
        <f>"符霓蕾"</f>
        <v>符霓蕾</v>
      </c>
      <c r="E2940" s="2" t="str">
        <f>"女"</f>
        <v>女</v>
      </c>
    </row>
    <row r="2941" spans="1:5" ht="14.4" x14ac:dyDescent="0.25">
      <c r="A2941" s="4">
        <v>2939</v>
      </c>
      <c r="B2941" s="2" t="str">
        <f>"3251202108111155277124"</f>
        <v>3251202108111155277124</v>
      </c>
      <c r="C2941" s="2" t="s">
        <v>44</v>
      </c>
      <c r="D2941" s="2" t="str">
        <f>"林青青"</f>
        <v>林青青</v>
      </c>
      <c r="E2941" s="2" t="str">
        <f>"女"</f>
        <v>女</v>
      </c>
    </row>
    <row r="2942" spans="1:5" ht="14.4" x14ac:dyDescent="0.25">
      <c r="A2942" s="4">
        <v>2940</v>
      </c>
      <c r="B2942" s="2" t="str">
        <f>"3251202108111527147417"</f>
        <v>3251202108111527147417</v>
      </c>
      <c r="C2942" s="2" t="s">
        <v>44</v>
      </c>
      <c r="D2942" s="2" t="str">
        <f>"符亚珠"</f>
        <v>符亚珠</v>
      </c>
      <c r="E2942" s="2" t="str">
        <f>"女"</f>
        <v>女</v>
      </c>
    </row>
    <row r="2943" spans="1:5" ht="14.4" x14ac:dyDescent="0.25">
      <c r="A2943" s="4">
        <v>2941</v>
      </c>
      <c r="B2943" s="2" t="str">
        <f>"3251202108120131518161"</f>
        <v>3251202108120131518161</v>
      </c>
      <c r="C2943" s="2" t="s">
        <v>44</v>
      </c>
      <c r="D2943" s="2" t="str">
        <f>"符缘怀"</f>
        <v>符缘怀</v>
      </c>
      <c r="E2943" s="2" t="str">
        <f>"男"</f>
        <v>男</v>
      </c>
    </row>
    <row r="2944" spans="1:5" ht="14.4" x14ac:dyDescent="0.25">
      <c r="A2944" s="4">
        <v>2942</v>
      </c>
      <c r="B2944" s="2" t="str">
        <f>"3251202108121454128832"</f>
        <v>3251202108121454128832</v>
      </c>
      <c r="C2944" s="2" t="s">
        <v>44</v>
      </c>
      <c r="D2944" s="2" t="str">
        <f>"符董宇"</f>
        <v>符董宇</v>
      </c>
      <c r="E2944" s="2" t="str">
        <f>"男"</f>
        <v>男</v>
      </c>
    </row>
    <row r="2945" spans="1:5" ht="14.4" x14ac:dyDescent="0.25">
      <c r="A2945" s="4">
        <v>2943</v>
      </c>
      <c r="B2945" s="2" t="str">
        <f>"3251202108131303189825"</f>
        <v>3251202108131303189825</v>
      </c>
      <c r="C2945" s="2" t="s">
        <v>44</v>
      </c>
      <c r="D2945" s="2" t="str">
        <f>"王丽茹"</f>
        <v>王丽茹</v>
      </c>
      <c r="E2945" s="2" t="str">
        <f>"女"</f>
        <v>女</v>
      </c>
    </row>
    <row r="2946" spans="1:5" ht="14.4" x14ac:dyDescent="0.25">
      <c r="A2946" s="4">
        <v>2944</v>
      </c>
      <c r="B2946" s="2" t="str">
        <f>"32512021081516452811261"</f>
        <v>32512021081516452811261</v>
      </c>
      <c r="C2946" s="2" t="s">
        <v>44</v>
      </c>
      <c r="D2946" s="2" t="str">
        <f>"刘姝馨"</f>
        <v>刘姝馨</v>
      </c>
      <c r="E2946" s="2" t="str">
        <f>"女"</f>
        <v>女</v>
      </c>
    </row>
    <row r="2947" spans="1:5" ht="14.4" x14ac:dyDescent="0.25">
      <c r="A2947" s="4">
        <v>2945</v>
      </c>
      <c r="B2947" s="2" t="str">
        <f>"32512021081603330111679"</f>
        <v>32512021081603330111679</v>
      </c>
      <c r="C2947" s="2" t="s">
        <v>44</v>
      </c>
      <c r="D2947" s="2" t="str">
        <f>"符秋烨"</f>
        <v>符秋烨</v>
      </c>
      <c r="E2947" s="2" t="str">
        <f>"女"</f>
        <v>女</v>
      </c>
    </row>
    <row r="2948" spans="1:5" ht="14.4" x14ac:dyDescent="0.25">
      <c r="A2948" s="4">
        <v>2946</v>
      </c>
      <c r="B2948" s="2" t="str">
        <f>"32512021081608160011721"</f>
        <v>32512021081608160011721</v>
      </c>
      <c r="C2948" s="2" t="s">
        <v>44</v>
      </c>
      <c r="D2948" s="2" t="str">
        <f>"符颖乐"</f>
        <v>符颖乐</v>
      </c>
      <c r="E2948" s="2" t="str">
        <f>"女"</f>
        <v>女</v>
      </c>
    </row>
    <row r="2949" spans="1:5" ht="14.4" x14ac:dyDescent="0.25">
      <c r="A2949" s="4">
        <v>2947</v>
      </c>
      <c r="B2949" s="2" t="str">
        <f>"3251202108100903263772"</f>
        <v>3251202108100903263772</v>
      </c>
      <c r="C2949" s="2" t="s">
        <v>45</v>
      </c>
      <c r="D2949" s="2" t="str">
        <f>"谭天宇"</f>
        <v>谭天宇</v>
      </c>
      <c r="E2949" s="2" t="str">
        <f>"男"</f>
        <v>男</v>
      </c>
    </row>
    <row r="2950" spans="1:5" ht="14.4" x14ac:dyDescent="0.25">
      <c r="A2950" s="4">
        <v>2948</v>
      </c>
      <c r="B2950" s="2" t="str">
        <f>"3251202108100903593780"</f>
        <v>3251202108100903593780</v>
      </c>
      <c r="C2950" s="2" t="s">
        <v>45</v>
      </c>
      <c r="D2950" s="2" t="str">
        <f>"符锦丹"</f>
        <v>符锦丹</v>
      </c>
      <c r="E2950" s="2" t="str">
        <f>"女"</f>
        <v>女</v>
      </c>
    </row>
    <row r="2951" spans="1:5" ht="14.4" x14ac:dyDescent="0.25">
      <c r="A2951" s="4">
        <v>2949</v>
      </c>
      <c r="B2951" s="2" t="str">
        <f>"3251202108100928014006"</f>
        <v>3251202108100928014006</v>
      </c>
      <c r="C2951" s="2" t="s">
        <v>45</v>
      </c>
      <c r="D2951" s="2" t="str">
        <f>"符彩媛"</f>
        <v>符彩媛</v>
      </c>
      <c r="E2951" s="2" t="str">
        <f>"女"</f>
        <v>女</v>
      </c>
    </row>
    <row r="2952" spans="1:5" ht="14.4" x14ac:dyDescent="0.25">
      <c r="A2952" s="4">
        <v>2950</v>
      </c>
      <c r="B2952" s="2" t="str">
        <f>"3251202108101128554686"</f>
        <v>3251202108101128554686</v>
      </c>
      <c r="C2952" s="2" t="s">
        <v>45</v>
      </c>
      <c r="D2952" s="2" t="str">
        <f>"董前如"</f>
        <v>董前如</v>
      </c>
      <c r="E2952" s="2" t="str">
        <f>"女"</f>
        <v>女</v>
      </c>
    </row>
    <row r="2953" spans="1:5" ht="14.4" x14ac:dyDescent="0.25">
      <c r="A2953" s="4">
        <v>2951</v>
      </c>
      <c r="B2953" s="2" t="str">
        <f>"3251202108101143444759"</f>
        <v>3251202108101143444759</v>
      </c>
      <c r="C2953" s="2" t="s">
        <v>45</v>
      </c>
      <c r="D2953" s="2" t="str">
        <f>"符振宇"</f>
        <v>符振宇</v>
      </c>
      <c r="E2953" s="2" t="str">
        <f>"男"</f>
        <v>男</v>
      </c>
    </row>
    <row r="2954" spans="1:5" ht="14.4" x14ac:dyDescent="0.25">
      <c r="A2954" s="4">
        <v>2952</v>
      </c>
      <c r="B2954" s="2" t="str">
        <f>"3251202108101525405393"</f>
        <v>3251202108101525405393</v>
      </c>
      <c r="C2954" s="2" t="s">
        <v>45</v>
      </c>
      <c r="D2954" s="2" t="str">
        <f>"羊思思"</f>
        <v>羊思思</v>
      </c>
      <c r="E2954" s="2" t="str">
        <f>"女"</f>
        <v>女</v>
      </c>
    </row>
    <row r="2955" spans="1:5" ht="14.4" x14ac:dyDescent="0.25">
      <c r="A2955" s="4">
        <v>2953</v>
      </c>
      <c r="B2955" s="2" t="str">
        <f>"3251202108102011526189"</f>
        <v>3251202108102011526189</v>
      </c>
      <c r="C2955" s="2" t="s">
        <v>45</v>
      </c>
      <c r="D2955" s="2" t="str">
        <f>"黎锴"</f>
        <v>黎锴</v>
      </c>
      <c r="E2955" s="2" t="str">
        <f>"男"</f>
        <v>男</v>
      </c>
    </row>
    <row r="2956" spans="1:5" ht="14.4" x14ac:dyDescent="0.25">
      <c r="A2956" s="4">
        <v>2954</v>
      </c>
      <c r="B2956" s="2" t="str">
        <f>"3251202108111951197829"</f>
        <v>3251202108111951197829</v>
      </c>
      <c r="C2956" s="2" t="s">
        <v>45</v>
      </c>
      <c r="D2956" s="2" t="str">
        <f>"陈显祥"</f>
        <v>陈显祥</v>
      </c>
      <c r="E2956" s="2" t="str">
        <f>"男"</f>
        <v>男</v>
      </c>
    </row>
    <row r="2957" spans="1:5" ht="14.4" x14ac:dyDescent="0.25">
      <c r="A2957" s="4">
        <v>2955</v>
      </c>
      <c r="B2957" s="2" t="str">
        <f>"3251202108112012577855"</f>
        <v>3251202108112012577855</v>
      </c>
      <c r="C2957" s="2" t="s">
        <v>45</v>
      </c>
      <c r="D2957" s="2" t="str">
        <f>"陈丽铮"</f>
        <v>陈丽铮</v>
      </c>
      <c r="E2957" s="2" t="str">
        <f t="shared" ref="E2957:E2963" si="87">"女"</f>
        <v>女</v>
      </c>
    </row>
    <row r="2958" spans="1:5" ht="14.4" x14ac:dyDescent="0.25">
      <c r="A2958" s="4">
        <v>2956</v>
      </c>
      <c r="B2958" s="2" t="str">
        <f>"3251202108120840178211"</f>
        <v>3251202108120840178211</v>
      </c>
      <c r="C2958" s="2" t="s">
        <v>45</v>
      </c>
      <c r="D2958" s="2" t="str">
        <f>"符雪贝"</f>
        <v>符雪贝</v>
      </c>
      <c r="E2958" s="2" t="str">
        <f t="shared" si="87"/>
        <v>女</v>
      </c>
    </row>
    <row r="2959" spans="1:5" ht="14.4" x14ac:dyDescent="0.25">
      <c r="A2959" s="4">
        <v>2957</v>
      </c>
      <c r="B2959" s="2" t="str">
        <f>"3251202108131052039692"</f>
        <v>3251202108131052039692</v>
      </c>
      <c r="C2959" s="2" t="s">
        <v>45</v>
      </c>
      <c r="D2959" s="2" t="str">
        <f>"吴小园"</f>
        <v>吴小园</v>
      </c>
      <c r="E2959" s="2" t="str">
        <f t="shared" si="87"/>
        <v>女</v>
      </c>
    </row>
    <row r="2960" spans="1:5" ht="14.4" x14ac:dyDescent="0.25">
      <c r="A2960" s="4">
        <v>2958</v>
      </c>
      <c r="B2960" s="2" t="str">
        <f>"3251202108131148029771"</f>
        <v>3251202108131148029771</v>
      </c>
      <c r="C2960" s="2" t="s">
        <v>45</v>
      </c>
      <c r="D2960" s="2" t="str">
        <f>"符丽媛"</f>
        <v>符丽媛</v>
      </c>
      <c r="E2960" s="2" t="str">
        <f t="shared" si="87"/>
        <v>女</v>
      </c>
    </row>
    <row r="2961" spans="1:5" ht="14.4" x14ac:dyDescent="0.25">
      <c r="A2961" s="4">
        <v>2959</v>
      </c>
      <c r="B2961" s="2" t="str">
        <f>"32512021081321310910265"</f>
        <v>32512021081321310910265</v>
      </c>
      <c r="C2961" s="2" t="s">
        <v>45</v>
      </c>
      <c r="D2961" s="2" t="str">
        <f>"符美媛"</f>
        <v>符美媛</v>
      </c>
      <c r="E2961" s="2" t="str">
        <f t="shared" si="87"/>
        <v>女</v>
      </c>
    </row>
    <row r="2962" spans="1:5" ht="14.4" x14ac:dyDescent="0.25">
      <c r="A2962" s="4">
        <v>2960</v>
      </c>
      <c r="B2962" s="2" t="str">
        <f>"32512021081519305511393"</f>
        <v>32512021081519305511393</v>
      </c>
      <c r="C2962" s="2" t="s">
        <v>45</v>
      </c>
      <c r="D2962" s="2" t="str">
        <f>"郑玉遂"</f>
        <v>郑玉遂</v>
      </c>
      <c r="E2962" s="2" t="str">
        <f t="shared" si="87"/>
        <v>女</v>
      </c>
    </row>
    <row r="2963" spans="1:5" ht="14.4" x14ac:dyDescent="0.25">
      <c r="A2963" s="4">
        <v>2961</v>
      </c>
      <c r="B2963" s="2" t="str">
        <f>"3251202108100910123849"</f>
        <v>3251202108100910123849</v>
      </c>
      <c r="C2963" s="2" t="s">
        <v>46</v>
      </c>
      <c r="D2963" s="2" t="str">
        <f>"羊瑞丽"</f>
        <v>羊瑞丽</v>
      </c>
      <c r="E2963" s="2" t="str">
        <f t="shared" si="87"/>
        <v>女</v>
      </c>
    </row>
    <row r="2964" spans="1:5" ht="14.4" x14ac:dyDescent="0.25">
      <c r="A2964" s="4">
        <v>2962</v>
      </c>
      <c r="B2964" s="2" t="str">
        <f>"3251202108101015594321"</f>
        <v>3251202108101015594321</v>
      </c>
      <c r="C2964" s="2" t="s">
        <v>46</v>
      </c>
      <c r="D2964" s="2" t="str">
        <f>"王群西"</f>
        <v>王群西</v>
      </c>
      <c r="E2964" s="2" t="str">
        <f>"男"</f>
        <v>男</v>
      </c>
    </row>
    <row r="2965" spans="1:5" ht="14.4" x14ac:dyDescent="0.25">
      <c r="A2965" s="4">
        <v>2963</v>
      </c>
      <c r="B2965" s="2" t="str">
        <f>"3251202108101027354380"</f>
        <v>3251202108101027354380</v>
      </c>
      <c r="C2965" s="2" t="s">
        <v>46</v>
      </c>
      <c r="D2965" s="2" t="str">
        <f>"谢朝奉"</f>
        <v>谢朝奉</v>
      </c>
      <c r="E2965" s="2" t="str">
        <f>"女"</f>
        <v>女</v>
      </c>
    </row>
    <row r="2966" spans="1:5" ht="14.4" x14ac:dyDescent="0.25">
      <c r="A2966" s="4">
        <v>2964</v>
      </c>
      <c r="B2966" s="2" t="str">
        <f>"3251202108101043024459"</f>
        <v>3251202108101043024459</v>
      </c>
      <c r="C2966" s="2" t="s">
        <v>46</v>
      </c>
      <c r="D2966" s="2" t="str">
        <f>"李召仁"</f>
        <v>李召仁</v>
      </c>
      <c r="E2966" s="2" t="str">
        <f>"男"</f>
        <v>男</v>
      </c>
    </row>
    <row r="2967" spans="1:5" ht="14.4" x14ac:dyDescent="0.25">
      <c r="A2967" s="4">
        <v>2965</v>
      </c>
      <c r="B2967" s="2" t="str">
        <f>"3251202108101316355021"</f>
        <v>3251202108101316355021</v>
      </c>
      <c r="C2967" s="2" t="s">
        <v>46</v>
      </c>
      <c r="D2967" s="2" t="str">
        <f>"陈步珍"</f>
        <v>陈步珍</v>
      </c>
      <c r="E2967" s="2" t="str">
        <f>"女"</f>
        <v>女</v>
      </c>
    </row>
    <row r="2968" spans="1:5" ht="14.4" x14ac:dyDescent="0.25">
      <c r="A2968" s="4">
        <v>2966</v>
      </c>
      <c r="B2968" s="2" t="str">
        <f>"3251202108101428345173"</f>
        <v>3251202108101428345173</v>
      </c>
      <c r="C2968" s="2" t="s">
        <v>46</v>
      </c>
      <c r="D2968" s="2" t="str">
        <f>"蔡亲政"</f>
        <v>蔡亲政</v>
      </c>
      <c r="E2968" s="2" t="str">
        <f>"男"</f>
        <v>男</v>
      </c>
    </row>
    <row r="2969" spans="1:5" ht="14.4" x14ac:dyDescent="0.25">
      <c r="A2969" s="4">
        <v>2967</v>
      </c>
      <c r="B2969" s="2" t="str">
        <f>"3251202108101523435388"</f>
        <v>3251202108101523435388</v>
      </c>
      <c r="C2969" s="2" t="s">
        <v>46</v>
      </c>
      <c r="D2969" s="2" t="str">
        <f>"龙明珠"</f>
        <v>龙明珠</v>
      </c>
      <c r="E2969" s="2" t="str">
        <f>"女"</f>
        <v>女</v>
      </c>
    </row>
    <row r="2970" spans="1:5" ht="14.4" x14ac:dyDescent="0.25">
      <c r="A2970" s="4">
        <v>2968</v>
      </c>
      <c r="B2970" s="2" t="str">
        <f>"3251202108101545265446"</f>
        <v>3251202108101545265446</v>
      </c>
      <c r="C2970" s="2" t="s">
        <v>46</v>
      </c>
      <c r="D2970" s="2" t="str">
        <f>"王书"</f>
        <v>王书</v>
      </c>
      <c r="E2970" s="2" t="str">
        <f>"男"</f>
        <v>男</v>
      </c>
    </row>
    <row r="2971" spans="1:5" ht="14.4" x14ac:dyDescent="0.25">
      <c r="A2971" s="4">
        <v>2969</v>
      </c>
      <c r="B2971" s="2" t="str">
        <f>"3251202108101859166040"</f>
        <v>3251202108101859166040</v>
      </c>
      <c r="C2971" s="2" t="s">
        <v>46</v>
      </c>
      <c r="D2971" s="2" t="str">
        <f>"黄立芳"</f>
        <v>黄立芳</v>
      </c>
      <c r="E2971" s="2" t="str">
        <f>"女"</f>
        <v>女</v>
      </c>
    </row>
    <row r="2972" spans="1:5" ht="14.4" x14ac:dyDescent="0.25">
      <c r="A2972" s="4">
        <v>2970</v>
      </c>
      <c r="B2972" s="2" t="str">
        <f>"3251202108102109126303"</f>
        <v>3251202108102109126303</v>
      </c>
      <c r="C2972" s="2" t="s">
        <v>46</v>
      </c>
      <c r="D2972" s="2" t="str">
        <f>"符日振"</f>
        <v>符日振</v>
      </c>
      <c r="E2972" s="2" t="str">
        <f>"女"</f>
        <v>女</v>
      </c>
    </row>
    <row r="2973" spans="1:5" ht="14.4" x14ac:dyDescent="0.25">
      <c r="A2973" s="4">
        <v>2971</v>
      </c>
      <c r="B2973" s="2" t="str">
        <f>"3251202108102218056414"</f>
        <v>3251202108102218056414</v>
      </c>
      <c r="C2973" s="2" t="s">
        <v>46</v>
      </c>
      <c r="D2973" s="2" t="str">
        <f>"罗丽华"</f>
        <v>罗丽华</v>
      </c>
      <c r="E2973" s="2" t="str">
        <f>"女"</f>
        <v>女</v>
      </c>
    </row>
    <row r="2974" spans="1:5" ht="14.4" x14ac:dyDescent="0.25">
      <c r="A2974" s="4">
        <v>2972</v>
      </c>
      <c r="B2974" s="2" t="str">
        <f>"3251202108102300456478"</f>
        <v>3251202108102300456478</v>
      </c>
      <c r="C2974" s="2" t="s">
        <v>46</v>
      </c>
      <c r="D2974" s="2" t="str">
        <f>"符练汉"</f>
        <v>符练汉</v>
      </c>
      <c r="E2974" s="2" t="str">
        <f>"男"</f>
        <v>男</v>
      </c>
    </row>
    <row r="2975" spans="1:5" ht="14.4" x14ac:dyDescent="0.25">
      <c r="A2975" s="4">
        <v>2973</v>
      </c>
      <c r="B2975" s="2" t="str">
        <f>"3251202108110856476661"</f>
        <v>3251202108110856476661</v>
      </c>
      <c r="C2975" s="2" t="s">
        <v>46</v>
      </c>
      <c r="D2975" s="2" t="str">
        <f>"李嘉嘉"</f>
        <v>李嘉嘉</v>
      </c>
      <c r="E2975" s="2" t="str">
        <f>"女"</f>
        <v>女</v>
      </c>
    </row>
    <row r="2976" spans="1:5" ht="14.4" x14ac:dyDescent="0.25">
      <c r="A2976" s="4">
        <v>2974</v>
      </c>
      <c r="B2976" s="2" t="str">
        <f>"3251202108111107367008"</f>
        <v>3251202108111107367008</v>
      </c>
      <c r="C2976" s="2" t="s">
        <v>46</v>
      </c>
      <c r="D2976" s="2" t="str">
        <f>"王林燕"</f>
        <v>王林燕</v>
      </c>
      <c r="E2976" s="2" t="str">
        <f>"女"</f>
        <v>女</v>
      </c>
    </row>
    <row r="2977" spans="1:5" ht="14.4" x14ac:dyDescent="0.25">
      <c r="A2977" s="4">
        <v>2975</v>
      </c>
      <c r="B2977" s="2" t="str">
        <f>"3251202108111144037104"</f>
        <v>3251202108111144037104</v>
      </c>
      <c r="C2977" s="2" t="s">
        <v>46</v>
      </c>
      <c r="D2977" s="2" t="str">
        <f>"陈本文"</f>
        <v>陈本文</v>
      </c>
      <c r="E2977" s="2" t="str">
        <f>"男"</f>
        <v>男</v>
      </c>
    </row>
    <row r="2978" spans="1:5" ht="14.4" x14ac:dyDescent="0.25">
      <c r="A2978" s="4">
        <v>2976</v>
      </c>
      <c r="B2978" s="2" t="str">
        <f>"3251202108112123277969"</f>
        <v>3251202108112123277969</v>
      </c>
      <c r="C2978" s="2" t="s">
        <v>46</v>
      </c>
      <c r="D2978" s="2" t="str">
        <f>"李玉锦"</f>
        <v>李玉锦</v>
      </c>
      <c r="E2978" s="2" t="str">
        <f>"女"</f>
        <v>女</v>
      </c>
    </row>
    <row r="2979" spans="1:5" ht="14.4" x14ac:dyDescent="0.25">
      <c r="A2979" s="4">
        <v>2977</v>
      </c>
      <c r="B2979" s="2" t="str">
        <f>"3251202108112201358025"</f>
        <v>3251202108112201358025</v>
      </c>
      <c r="C2979" s="2" t="s">
        <v>46</v>
      </c>
      <c r="D2979" s="2" t="str">
        <f>"崔亚炎"</f>
        <v>崔亚炎</v>
      </c>
      <c r="E2979" s="2" t="str">
        <f>"女"</f>
        <v>女</v>
      </c>
    </row>
    <row r="2980" spans="1:5" ht="14.4" x14ac:dyDescent="0.25">
      <c r="A2980" s="4">
        <v>2978</v>
      </c>
      <c r="B2980" s="2" t="str">
        <f>"3251202108112342118142"</f>
        <v>3251202108112342118142</v>
      </c>
      <c r="C2980" s="2" t="s">
        <v>46</v>
      </c>
      <c r="D2980" s="2" t="str">
        <f>"陈勋多"</f>
        <v>陈勋多</v>
      </c>
      <c r="E2980" s="2" t="str">
        <f>"男"</f>
        <v>男</v>
      </c>
    </row>
    <row r="2981" spans="1:5" ht="14.4" x14ac:dyDescent="0.25">
      <c r="A2981" s="4">
        <v>2979</v>
      </c>
      <c r="B2981" s="2" t="str">
        <f>"3251202108120741548172"</f>
        <v>3251202108120741548172</v>
      </c>
      <c r="C2981" s="2" t="s">
        <v>46</v>
      </c>
      <c r="D2981" s="2" t="str">
        <f>"王挺震"</f>
        <v>王挺震</v>
      </c>
      <c r="E2981" s="2" t="str">
        <f>"男"</f>
        <v>男</v>
      </c>
    </row>
    <row r="2982" spans="1:5" ht="14.4" x14ac:dyDescent="0.25">
      <c r="A2982" s="4">
        <v>2980</v>
      </c>
      <c r="B2982" s="2" t="str">
        <f>"3251202108121511018867"</f>
        <v>3251202108121511018867</v>
      </c>
      <c r="C2982" s="2" t="s">
        <v>46</v>
      </c>
      <c r="D2982" s="2" t="str">
        <f>"林冰"</f>
        <v>林冰</v>
      </c>
      <c r="E2982" s="2" t="str">
        <f>"女"</f>
        <v>女</v>
      </c>
    </row>
    <row r="2983" spans="1:5" ht="14.4" x14ac:dyDescent="0.25">
      <c r="A2983" s="4">
        <v>2981</v>
      </c>
      <c r="B2983" s="2" t="str">
        <f>"3251202108121642219038"</f>
        <v>3251202108121642219038</v>
      </c>
      <c r="C2983" s="2" t="s">
        <v>46</v>
      </c>
      <c r="D2983" s="2" t="str">
        <f>"符晓芬"</f>
        <v>符晓芬</v>
      </c>
      <c r="E2983" s="2" t="str">
        <f>"女"</f>
        <v>女</v>
      </c>
    </row>
    <row r="2984" spans="1:5" ht="14.4" x14ac:dyDescent="0.25">
      <c r="A2984" s="4">
        <v>2982</v>
      </c>
      <c r="B2984" s="2" t="str">
        <f>"3251202108121712589082"</f>
        <v>3251202108121712589082</v>
      </c>
      <c r="C2984" s="2" t="s">
        <v>46</v>
      </c>
      <c r="D2984" s="2" t="str">
        <f>"符立根"</f>
        <v>符立根</v>
      </c>
      <c r="E2984" s="2" t="str">
        <f>"男"</f>
        <v>男</v>
      </c>
    </row>
    <row r="2985" spans="1:5" ht="14.4" x14ac:dyDescent="0.25">
      <c r="A2985" s="4">
        <v>2983</v>
      </c>
      <c r="B2985" s="2" t="str">
        <f>"3251202108131123219737"</f>
        <v>3251202108131123219737</v>
      </c>
      <c r="C2985" s="2" t="s">
        <v>46</v>
      </c>
      <c r="D2985" s="2" t="str">
        <f>"陈太影"</f>
        <v>陈太影</v>
      </c>
      <c r="E2985" s="2" t="str">
        <f>"女"</f>
        <v>女</v>
      </c>
    </row>
    <row r="2986" spans="1:5" ht="14.4" x14ac:dyDescent="0.25">
      <c r="A2986" s="4">
        <v>2984</v>
      </c>
      <c r="B2986" s="2" t="str">
        <f>"32512021081319592110213"</f>
        <v>32512021081319592110213</v>
      </c>
      <c r="C2986" s="2" t="s">
        <v>46</v>
      </c>
      <c r="D2986" s="2" t="str">
        <f>"陈鹏升"</f>
        <v>陈鹏升</v>
      </c>
      <c r="E2986" s="2" t="str">
        <f>"男"</f>
        <v>男</v>
      </c>
    </row>
    <row r="2987" spans="1:5" ht="14.4" x14ac:dyDescent="0.25">
      <c r="A2987" s="4">
        <v>2985</v>
      </c>
      <c r="B2987" s="2" t="str">
        <f>"32512021081409235810405"</f>
        <v>32512021081409235810405</v>
      </c>
      <c r="C2987" s="2" t="s">
        <v>46</v>
      </c>
      <c r="D2987" s="2" t="str">
        <f>"邓嘉靖"</f>
        <v>邓嘉靖</v>
      </c>
      <c r="E2987" s="2" t="str">
        <f>"男"</f>
        <v>男</v>
      </c>
    </row>
    <row r="2988" spans="1:5" ht="14.4" x14ac:dyDescent="0.25">
      <c r="A2988" s="4">
        <v>2986</v>
      </c>
      <c r="B2988" s="2" t="str">
        <f>"32512021081413514010578"</f>
        <v>32512021081413514010578</v>
      </c>
      <c r="C2988" s="2" t="s">
        <v>46</v>
      </c>
      <c r="D2988" s="2" t="str">
        <f>"羊乃岳"</f>
        <v>羊乃岳</v>
      </c>
      <c r="E2988" s="2" t="str">
        <f>"男"</f>
        <v>男</v>
      </c>
    </row>
    <row r="2989" spans="1:5" ht="14.4" x14ac:dyDescent="0.25">
      <c r="A2989" s="4">
        <v>2987</v>
      </c>
      <c r="B2989" s="2" t="str">
        <f>"32512021081509514010971"</f>
        <v>32512021081509514010971</v>
      </c>
      <c r="C2989" s="2" t="s">
        <v>46</v>
      </c>
      <c r="D2989" s="2" t="str">
        <f>"许弘文"</f>
        <v>许弘文</v>
      </c>
      <c r="E2989" s="2" t="str">
        <f>"男"</f>
        <v>男</v>
      </c>
    </row>
    <row r="2990" spans="1:5" ht="14.4" x14ac:dyDescent="0.25">
      <c r="A2990" s="4">
        <v>2988</v>
      </c>
      <c r="B2990" s="2" t="str">
        <f>"32512021081510523611015"</f>
        <v>32512021081510523611015</v>
      </c>
      <c r="C2990" s="2" t="s">
        <v>46</v>
      </c>
      <c r="D2990" s="2" t="str">
        <f>"陈成"</f>
        <v>陈成</v>
      </c>
      <c r="E2990" s="2" t="str">
        <f>"男"</f>
        <v>男</v>
      </c>
    </row>
    <row r="2991" spans="1:5" ht="14.4" x14ac:dyDescent="0.25">
      <c r="A2991" s="4">
        <v>2989</v>
      </c>
      <c r="B2991" s="2" t="str">
        <f>"32512021081600481111658"</f>
        <v>32512021081600481111658</v>
      </c>
      <c r="C2991" s="2" t="s">
        <v>46</v>
      </c>
      <c r="D2991" s="2" t="str">
        <f>"王颖"</f>
        <v>王颖</v>
      </c>
      <c r="E2991" s="2" t="str">
        <f>"女"</f>
        <v>女</v>
      </c>
    </row>
    <row r="2992" spans="1:5" ht="14.4" x14ac:dyDescent="0.25">
      <c r="A2992" s="4">
        <v>2990</v>
      </c>
      <c r="B2992" s="2" t="str">
        <f>"32512021081612161612668"</f>
        <v>32512021081612161612668</v>
      </c>
      <c r="C2992" s="2" t="s">
        <v>46</v>
      </c>
      <c r="D2992" s="2" t="str">
        <f>"陈亚剑"</f>
        <v>陈亚剑</v>
      </c>
      <c r="E2992" s="2" t="str">
        <f>"男"</f>
        <v>男</v>
      </c>
    </row>
    <row r="2993" spans="1:5" ht="14.4" x14ac:dyDescent="0.25">
      <c r="A2993" s="4">
        <v>2991</v>
      </c>
      <c r="B2993" s="2" t="str">
        <f>"32512021081615045913027"</f>
        <v>32512021081615045913027</v>
      </c>
      <c r="C2993" s="2" t="s">
        <v>46</v>
      </c>
      <c r="D2993" s="2" t="str">
        <f>"吴学强"</f>
        <v>吴学强</v>
      </c>
      <c r="E2993" s="2" t="str">
        <f>"男"</f>
        <v>男</v>
      </c>
    </row>
    <row r="2994" spans="1:5" ht="14.4" x14ac:dyDescent="0.25">
      <c r="A2994" s="4">
        <v>2992</v>
      </c>
      <c r="B2994" s="2" t="str">
        <f>"32512021081615560313149"</f>
        <v>32512021081615560313149</v>
      </c>
      <c r="C2994" s="2" t="s">
        <v>46</v>
      </c>
      <c r="D2994" s="2" t="str">
        <f>"王式四"</f>
        <v>王式四</v>
      </c>
      <c r="E2994" s="2" t="str">
        <f>"女"</f>
        <v>女</v>
      </c>
    </row>
    <row r="2995" spans="1:5" ht="14.4" x14ac:dyDescent="0.25">
      <c r="A2995" s="4">
        <v>2993</v>
      </c>
      <c r="B2995" s="2" t="str">
        <f>"3251202108101033454415"</f>
        <v>3251202108101033454415</v>
      </c>
      <c r="C2995" s="2" t="s">
        <v>47</v>
      </c>
      <c r="D2995" s="2" t="str">
        <f>"高佳莹"</f>
        <v>高佳莹</v>
      </c>
      <c r="E2995" s="2" t="str">
        <f>"女"</f>
        <v>女</v>
      </c>
    </row>
    <row r="2996" spans="1:5" ht="14.4" x14ac:dyDescent="0.25">
      <c r="A2996" s="4">
        <v>2994</v>
      </c>
      <c r="B2996" s="2" t="str">
        <f>"3251202108101339525064"</f>
        <v>3251202108101339525064</v>
      </c>
      <c r="C2996" s="2" t="s">
        <v>47</v>
      </c>
      <c r="D2996" s="2" t="str">
        <f>"符鸿泽"</f>
        <v>符鸿泽</v>
      </c>
      <c r="E2996" s="2" t="str">
        <f>"男"</f>
        <v>男</v>
      </c>
    </row>
    <row r="2997" spans="1:5" ht="14.4" x14ac:dyDescent="0.25">
      <c r="A2997" s="4">
        <v>2995</v>
      </c>
      <c r="B2997" s="2" t="str">
        <f>"3251202108101835175975"</f>
        <v>3251202108101835175975</v>
      </c>
      <c r="C2997" s="2" t="s">
        <v>47</v>
      </c>
      <c r="D2997" s="2" t="str">
        <f>"陈晓婵"</f>
        <v>陈晓婵</v>
      </c>
      <c r="E2997" s="2" t="str">
        <f>"女"</f>
        <v>女</v>
      </c>
    </row>
    <row r="2998" spans="1:5" ht="14.4" x14ac:dyDescent="0.25">
      <c r="A2998" s="4">
        <v>2996</v>
      </c>
      <c r="B2998" s="2" t="str">
        <f>"3251202108111540057451"</f>
        <v>3251202108111540057451</v>
      </c>
      <c r="C2998" s="2" t="s">
        <v>47</v>
      </c>
      <c r="D2998" s="2" t="str">
        <f>"刘夏宇"</f>
        <v>刘夏宇</v>
      </c>
      <c r="E2998" s="2" t="str">
        <f>"男"</f>
        <v>男</v>
      </c>
    </row>
    <row r="2999" spans="1:5" ht="14.4" x14ac:dyDescent="0.25">
      <c r="A2999" s="4">
        <v>2997</v>
      </c>
      <c r="B2999" s="2" t="str">
        <f>"3251202108121322178726"</f>
        <v>3251202108121322178726</v>
      </c>
      <c r="C2999" s="2" t="s">
        <v>47</v>
      </c>
      <c r="D2999" s="2" t="str">
        <f>"杨莹"</f>
        <v>杨莹</v>
      </c>
      <c r="E2999" s="2" t="str">
        <f>"女"</f>
        <v>女</v>
      </c>
    </row>
    <row r="3000" spans="1:5" ht="14.4" x14ac:dyDescent="0.25">
      <c r="A3000" s="4">
        <v>2998</v>
      </c>
      <c r="B3000" s="2" t="str">
        <f>"32512021081522240711562"</f>
        <v>32512021081522240711562</v>
      </c>
      <c r="C3000" s="2" t="s">
        <v>47</v>
      </c>
      <c r="D3000" s="2" t="str">
        <f>"包秋艳"</f>
        <v>包秋艳</v>
      </c>
      <c r="E3000" s="2" t="str">
        <f>"女"</f>
        <v>女</v>
      </c>
    </row>
    <row r="3001" spans="1:5" ht="14.4" x14ac:dyDescent="0.25">
      <c r="A3001" s="4">
        <v>2999</v>
      </c>
      <c r="B3001" s="2" t="str">
        <f>"3251202108100902463761"</f>
        <v>3251202108100902463761</v>
      </c>
      <c r="C3001" s="2" t="s">
        <v>48</v>
      </c>
      <c r="D3001" s="2" t="str">
        <f>"王秀江"</f>
        <v>王秀江</v>
      </c>
      <c r="E3001" s="2" t="str">
        <f t="shared" ref="E3001:E3016" si="88">"男"</f>
        <v>男</v>
      </c>
    </row>
    <row r="3002" spans="1:5" ht="14.4" x14ac:dyDescent="0.25">
      <c r="A3002" s="4">
        <v>3000</v>
      </c>
      <c r="B3002" s="2" t="str">
        <f>"3251202108101149524778"</f>
        <v>3251202108101149524778</v>
      </c>
      <c r="C3002" s="2" t="s">
        <v>48</v>
      </c>
      <c r="D3002" s="2" t="str">
        <f>"王国奇"</f>
        <v>王国奇</v>
      </c>
      <c r="E3002" s="2" t="str">
        <f t="shared" si="88"/>
        <v>男</v>
      </c>
    </row>
    <row r="3003" spans="1:5" ht="14.4" x14ac:dyDescent="0.25">
      <c r="A3003" s="4">
        <v>3001</v>
      </c>
      <c r="B3003" s="2" t="str">
        <f>"3251202108101202154813"</f>
        <v>3251202108101202154813</v>
      </c>
      <c r="C3003" s="2" t="s">
        <v>48</v>
      </c>
      <c r="D3003" s="2" t="str">
        <f>"刘运华"</f>
        <v>刘运华</v>
      </c>
      <c r="E3003" s="2" t="str">
        <f t="shared" si="88"/>
        <v>男</v>
      </c>
    </row>
    <row r="3004" spans="1:5" ht="14.4" x14ac:dyDescent="0.25">
      <c r="A3004" s="4">
        <v>3002</v>
      </c>
      <c r="B3004" s="2" t="str">
        <f>"3251202108101402205107"</f>
        <v>3251202108101402205107</v>
      </c>
      <c r="C3004" s="2" t="s">
        <v>48</v>
      </c>
      <c r="D3004" s="2" t="str">
        <f>"郑惠新"</f>
        <v>郑惠新</v>
      </c>
      <c r="E3004" s="2" t="str">
        <f t="shared" si="88"/>
        <v>男</v>
      </c>
    </row>
    <row r="3005" spans="1:5" ht="14.4" x14ac:dyDescent="0.25">
      <c r="A3005" s="4">
        <v>3003</v>
      </c>
      <c r="B3005" s="2" t="str">
        <f>"3251202108101501245299"</f>
        <v>3251202108101501245299</v>
      </c>
      <c r="C3005" s="2" t="s">
        <v>48</v>
      </c>
      <c r="D3005" s="2" t="str">
        <f>"王兆凯"</f>
        <v>王兆凯</v>
      </c>
      <c r="E3005" s="2" t="str">
        <f t="shared" si="88"/>
        <v>男</v>
      </c>
    </row>
    <row r="3006" spans="1:5" ht="14.4" x14ac:dyDescent="0.25">
      <c r="A3006" s="4">
        <v>3004</v>
      </c>
      <c r="B3006" s="2" t="str">
        <f>"3251202108101542515439"</f>
        <v>3251202108101542515439</v>
      </c>
      <c r="C3006" s="2" t="s">
        <v>48</v>
      </c>
      <c r="D3006" s="2" t="str">
        <f>"谭辉静"</f>
        <v>谭辉静</v>
      </c>
      <c r="E3006" s="2" t="str">
        <f t="shared" si="88"/>
        <v>男</v>
      </c>
    </row>
    <row r="3007" spans="1:5" ht="14.4" x14ac:dyDescent="0.25">
      <c r="A3007" s="4">
        <v>3005</v>
      </c>
      <c r="B3007" s="2" t="str">
        <f>"3251202108101944106128"</f>
        <v>3251202108101944106128</v>
      </c>
      <c r="C3007" s="2" t="s">
        <v>48</v>
      </c>
      <c r="D3007" s="2" t="str">
        <f>"符小刚"</f>
        <v>符小刚</v>
      </c>
      <c r="E3007" s="2" t="str">
        <f t="shared" si="88"/>
        <v>男</v>
      </c>
    </row>
    <row r="3008" spans="1:5" ht="14.4" x14ac:dyDescent="0.25">
      <c r="A3008" s="4">
        <v>3006</v>
      </c>
      <c r="B3008" s="2" t="str">
        <f>"3251202108102011326188"</f>
        <v>3251202108102011326188</v>
      </c>
      <c r="C3008" s="2" t="s">
        <v>48</v>
      </c>
      <c r="D3008" s="2" t="str">
        <f>"王小将"</f>
        <v>王小将</v>
      </c>
      <c r="E3008" s="2" t="str">
        <f t="shared" si="88"/>
        <v>男</v>
      </c>
    </row>
    <row r="3009" spans="1:5" ht="14.4" x14ac:dyDescent="0.25">
      <c r="A3009" s="4">
        <v>3007</v>
      </c>
      <c r="B3009" s="2" t="str">
        <f>"3251202108102018056201"</f>
        <v>3251202108102018056201</v>
      </c>
      <c r="C3009" s="2" t="s">
        <v>48</v>
      </c>
      <c r="D3009" s="2" t="str">
        <f>"王巨司"</f>
        <v>王巨司</v>
      </c>
      <c r="E3009" s="2" t="str">
        <f t="shared" si="88"/>
        <v>男</v>
      </c>
    </row>
    <row r="3010" spans="1:5" ht="14.4" x14ac:dyDescent="0.25">
      <c r="A3010" s="4">
        <v>3008</v>
      </c>
      <c r="B3010" s="2" t="str">
        <f>"3251202108102243516456"</f>
        <v>3251202108102243516456</v>
      </c>
      <c r="C3010" s="2" t="s">
        <v>48</v>
      </c>
      <c r="D3010" s="2" t="str">
        <f>"符杰云"</f>
        <v>符杰云</v>
      </c>
      <c r="E3010" s="2" t="str">
        <f t="shared" si="88"/>
        <v>男</v>
      </c>
    </row>
    <row r="3011" spans="1:5" ht="14.4" x14ac:dyDescent="0.25">
      <c r="A3011" s="4">
        <v>3009</v>
      </c>
      <c r="B3011" s="2" t="str">
        <f>"3251202108110906326684"</f>
        <v>3251202108110906326684</v>
      </c>
      <c r="C3011" s="2" t="s">
        <v>48</v>
      </c>
      <c r="D3011" s="2" t="str">
        <f>"符慧民"</f>
        <v>符慧民</v>
      </c>
      <c r="E3011" s="2" t="str">
        <f t="shared" si="88"/>
        <v>男</v>
      </c>
    </row>
    <row r="3012" spans="1:5" ht="14.4" x14ac:dyDescent="0.25">
      <c r="A3012" s="4">
        <v>3010</v>
      </c>
      <c r="B3012" s="2" t="str">
        <f>"3251202108111129127078"</f>
        <v>3251202108111129127078</v>
      </c>
      <c r="C3012" s="2" t="s">
        <v>48</v>
      </c>
      <c r="D3012" s="2" t="str">
        <f>"谢吴帆"</f>
        <v>谢吴帆</v>
      </c>
      <c r="E3012" s="2" t="str">
        <f t="shared" si="88"/>
        <v>男</v>
      </c>
    </row>
    <row r="3013" spans="1:5" ht="14.4" x14ac:dyDescent="0.25">
      <c r="A3013" s="4">
        <v>3011</v>
      </c>
      <c r="B3013" s="2" t="str">
        <f>"3251202108111201497140"</f>
        <v>3251202108111201497140</v>
      </c>
      <c r="C3013" s="2" t="s">
        <v>48</v>
      </c>
      <c r="D3013" s="2" t="str">
        <f>"王进甜"</f>
        <v>王进甜</v>
      </c>
      <c r="E3013" s="2" t="str">
        <f t="shared" si="88"/>
        <v>男</v>
      </c>
    </row>
    <row r="3014" spans="1:5" ht="14.4" x14ac:dyDescent="0.25">
      <c r="A3014" s="4">
        <v>3012</v>
      </c>
      <c r="B3014" s="2" t="str">
        <f>"3251202108111610007506"</f>
        <v>3251202108111610007506</v>
      </c>
      <c r="C3014" s="2" t="s">
        <v>48</v>
      </c>
      <c r="D3014" s="2" t="str">
        <f>"王明聪"</f>
        <v>王明聪</v>
      </c>
      <c r="E3014" s="2" t="str">
        <f t="shared" si="88"/>
        <v>男</v>
      </c>
    </row>
    <row r="3015" spans="1:5" ht="14.4" x14ac:dyDescent="0.25">
      <c r="A3015" s="4">
        <v>3013</v>
      </c>
      <c r="B3015" s="2" t="str">
        <f>"3251202108112319188125"</f>
        <v>3251202108112319188125</v>
      </c>
      <c r="C3015" s="2" t="s">
        <v>48</v>
      </c>
      <c r="D3015" s="2" t="str">
        <f>"何家良"</f>
        <v>何家良</v>
      </c>
      <c r="E3015" s="2" t="str">
        <f t="shared" si="88"/>
        <v>男</v>
      </c>
    </row>
    <row r="3016" spans="1:5" ht="14.4" x14ac:dyDescent="0.25">
      <c r="A3016" s="4">
        <v>3014</v>
      </c>
      <c r="B3016" s="2" t="str">
        <f>"3251202108120908328269"</f>
        <v>3251202108120908328269</v>
      </c>
      <c r="C3016" s="2" t="s">
        <v>48</v>
      </c>
      <c r="D3016" s="2" t="str">
        <f>"符胜坤"</f>
        <v>符胜坤</v>
      </c>
      <c r="E3016" s="2" t="str">
        <f t="shared" si="88"/>
        <v>男</v>
      </c>
    </row>
    <row r="3017" spans="1:5" ht="14.4" x14ac:dyDescent="0.25">
      <c r="A3017" s="4">
        <v>3015</v>
      </c>
      <c r="B3017" s="2" t="str">
        <f>"3251202108121301328700"</f>
        <v>3251202108121301328700</v>
      </c>
      <c r="C3017" s="2" t="s">
        <v>48</v>
      </c>
      <c r="D3017" s="2" t="str">
        <f>"王妹"</f>
        <v>王妹</v>
      </c>
      <c r="E3017" s="2" t="str">
        <f>"女"</f>
        <v>女</v>
      </c>
    </row>
    <row r="3018" spans="1:5" ht="14.4" x14ac:dyDescent="0.25">
      <c r="A3018" s="4">
        <v>3016</v>
      </c>
      <c r="B3018" s="2" t="str">
        <f>"3251202108130954539617"</f>
        <v>3251202108130954539617</v>
      </c>
      <c r="C3018" s="2" t="s">
        <v>48</v>
      </c>
      <c r="D3018" s="2" t="str">
        <f>"孙智平"</f>
        <v>孙智平</v>
      </c>
      <c r="E3018" s="2" t="str">
        <f t="shared" ref="E3018:E3023" si="89">"男"</f>
        <v>男</v>
      </c>
    </row>
    <row r="3019" spans="1:5" ht="14.4" x14ac:dyDescent="0.25">
      <c r="A3019" s="4">
        <v>3017</v>
      </c>
      <c r="B3019" s="2" t="str">
        <f>"32512021081415392610657"</f>
        <v>32512021081415392610657</v>
      </c>
      <c r="C3019" s="2" t="s">
        <v>48</v>
      </c>
      <c r="D3019" s="2" t="str">
        <f>"王文俊"</f>
        <v>王文俊</v>
      </c>
      <c r="E3019" s="2" t="str">
        <f t="shared" si="89"/>
        <v>男</v>
      </c>
    </row>
    <row r="3020" spans="1:5" ht="14.4" x14ac:dyDescent="0.25">
      <c r="A3020" s="4">
        <v>3018</v>
      </c>
      <c r="B3020" s="2" t="str">
        <f>"32512021081421052910836"</f>
        <v>32512021081421052910836</v>
      </c>
      <c r="C3020" s="2" t="s">
        <v>48</v>
      </c>
      <c r="D3020" s="2" t="str">
        <f>"张玮"</f>
        <v>张玮</v>
      </c>
      <c r="E3020" s="2" t="str">
        <f t="shared" si="89"/>
        <v>男</v>
      </c>
    </row>
    <row r="3021" spans="1:5" ht="14.4" x14ac:dyDescent="0.25">
      <c r="A3021" s="4">
        <v>3019</v>
      </c>
      <c r="B3021" s="2" t="str">
        <f>"32512021081520263811442"</f>
        <v>32512021081520263811442</v>
      </c>
      <c r="C3021" s="2" t="s">
        <v>48</v>
      </c>
      <c r="D3021" s="2" t="str">
        <f>"王杰"</f>
        <v>王杰</v>
      </c>
      <c r="E3021" s="2" t="str">
        <f t="shared" si="89"/>
        <v>男</v>
      </c>
    </row>
    <row r="3022" spans="1:5" ht="14.4" x14ac:dyDescent="0.25">
      <c r="A3022" s="4">
        <v>3020</v>
      </c>
      <c r="B3022" s="2" t="str">
        <f>"32512021081609493812053"</f>
        <v>32512021081609493812053</v>
      </c>
      <c r="C3022" s="2" t="s">
        <v>48</v>
      </c>
      <c r="D3022" s="2" t="str">
        <f>"王文殿"</f>
        <v>王文殿</v>
      </c>
      <c r="E3022" s="2" t="str">
        <f t="shared" si="89"/>
        <v>男</v>
      </c>
    </row>
    <row r="3023" spans="1:5" ht="14.4" x14ac:dyDescent="0.25">
      <c r="A3023" s="4">
        <v>3021</v>
      </c>
      <c r="B3023" s="2" t="str">
        <f>"32512021081610424912340"</f>
        <v>32512021081610424912340</v>
      </c>
      <c r="C3023" s="2" t="s">
        <v>48</v>
      </c>
      <c r="D3023" s="2" t="str">
        <f>"王智"</f>
        <v>王智</v>
      </c>
      <c r="E3023" s="2" t="str">
        <f t="shared" si="89"/>
        <v>男</v>
      </c>
    </row>
    <row r="3024" spans="1:5" ht="14.4" x14ac:dyDescent="0.25">
      <c r="A3024" s="4">
        <v>3022</v>
      </c>
      <c r="B3024" s="2" t="str">
        <f>"3251202108100901233743"</f>
        <v>3251202108100901233743</v>
      </c>
      <c r="C3024" s="2" t="s">
        <v>49</v>
      </c>
      <c r="D3024" s="2" t="str">
        <f>"严玉珊"</f>
        <v>严玉珊</v>
      </c>
      <c r="E3024" s="2" t="str">
        <f>"女"</f>
        <v>女</v>
      </c>
    </row>
    <row r="3025" spans="1:5" ht="14.4" x14ac:dyDescent="0.25">
      <c r="A3025" s="4">
        <v>3023</v>
      </c>
      <c r="B3025" s="2" t="str">
        <f>"3251202108100902483762"</f>
        <v>3251202108100902483762</v>
      </c>
      <c r="C3025" s="2" t="s">
        <v>49</v>
      </c>
      <c r="D3025" s="2" t="str">
        <f>"符晓萍"</f>
        <v>符晓萍</v>
      </c>
      <c r="E3025" s="2" t="str">
        <f>"女"</f>
        <v>女</v>
      </c>
    </row>
    <row r="3026" spans="1:5" ht="14.4" x14ac:dyDescent="0.25">
      <c r="A3026" s="4">
        <v>3024</v>
      </c>
      <c r="B3026" s="2" t="str">
        <f>"3251202108100921463954"</f>
        <v>3251202108100921463954</v>
      </c>
      <c r="C3026" s="2" t="s">
        <v>49</v>
      </c>
      <c r="D3026" s="2" t="str">
        <f>"程涛"</f>
        <v>程涛</v>
      </c>
      <c r="E3026" s="2" t="str">
        <f>"男"</f>
        <v>男</v>
      </c>
    </row>
    <row r="3027" spans="1:5" ht="14.4" x14ac:dyDescent="0.25">
      <c r="A3027" s="4">
        <v>3025</v>
      </c>
      <c r="B3027" s="2" t="str">
        <f>"3251202108100937164068"</f>
        <v>3251202108100937164068</v>
      </c>
      <c r="C3027" s="2" t="s">
        <v>49</v>
      </c>
      <c r="D3027" s="2" t="str">
        <f>"王健鑫"</f>
        <v>王健鑫</v>
      </c>
      <c r="E3027" s="2" t="str">
        <f>"男"</f>
        <v>男</v>
      </c>
    </row>
    <row r="3028" spans="1:5" ht="14.4" x14ac:dyDescent="0.25">
      <c r="A3028" s="4">
        <v>3026</v>
      </c>
      <c r="B3028" s="2" t="str">
        <f>"3251202108100938254071"</f>
        <v>3251202108100938254071</v>
      </c>
      <c r="C3028" s="2" t="s">
        <v>49</v>
      </c>
      <c r="D3028" s="2" t="str">
        <f>"郭芬菲"</f>
        <v>郭芬菲</v>
      </c>
      <c r="E3028" s="2" t="str">
        <f>"女"</f>
        <v>女</v>
      </c>
    </row>
    <row r="3029" spans="1:5" ht="14.4" x14ac:dyDescent="0.25">
      <c r="A3029" s="4">
        <v>3027</v>
      </c>
      <c r="B3029" s="2" t="str">
        <f>"3251202108100948384144"</f>
        <v>3251202108100948384144</v>
      </c>
      <c r="C3029" s="2" t="s">
        <v>49</v>
      </c>
      <c r="D3029" s="2" t="str">
        <f>"钟奕瑜"</f>
        <v>钟奕瑜</v>
      </c>
      <c r="E3029" s="2" t="str">
        <f>"女"</f>
        <v>女</v>
      </c>
    </row>
    <row r="3030" spans="1:5" ht="14.4" x14ac:dyDescent="0.25">
      <c r="A3030" s="4">
        <v>3028</v>
      </c>
      <c r="B3030" s="2" t="str">
        <f>"3251202108101023354358"</f>
        <v>3251202108101023354358</v>
      </c>
      <c r="C3030" s="2" t="s">
        <v>49</v>
      </c>
      <c r="D3030" s="2" t="str">
        <f>"王雪青"</f>
        <v>王雪青</v>
      </c>
      <c r="E3030" s="2" t="str">
        <f>"女"</f>
        <v>女</v>
      </c>
    </row>
    <row r="3031" spans="1:5" ht="14.4" x14ac:dyDescent="0.25">
      <c r="A3031" s="4">
        <v>3029</v>
      </c>
      <c r="B3031" s="2" t="str">
        <f>"3251202108101049314484"</f>
        <v>3251202108101049314484</v>
      </c>
      <c r="C3031" s="2" t="s">
        <v>49</v>
      </c>
      <c r="D3031" s="2" t="str">
        <f>"刘运斌"</f>
        <v>刘运斌</v>
      </c>
      <c r="E3031" s="2" t="str">
        <f>"男"</f>
        <v>男</v>
      </c>
    </row>
    <row r="3032" spans="1:5" ht="14.4" x14ac:dyDescent="0.25">
      <c r="A3032" s="4">
        <v>3030</v>
      </c>
      <c r="B3032" s="2" t="str">
        <f>"3251202108101103264559"</f>
        <v>3251202108101103264559</v>
      </c>
      <c r="C3032" s="2" t="s">
        <v>49</v>
      </c>
      <c r="D3032" s="2" t="str">
        <f>"毛丹妮"</f>
        <v>毛丹妮</v>
      </c>
      <c r="E3032" s="2" t="str">
        <f>"女"</f>
        <v>女</v>
      </c>
    </row>
    <row r="3033" spans="1:5" ht="14.4" x14ac:dyDescent="0.25">
      <c r="A3033" s="4">
        <v>3031</v>
      </c>
      <c r="B3033" s="2" t="str">
        <f>"3251202108101158414803"</f>
        <v>3251202108101158414803</v>
      </c>
      <c r="C3033" s="2" t="s">
        <v>49</v>
      </c>
      <c r="D3033" s="2" t="str">
        <f>"张清秀"</f>
        <v>张清秀</v>
      </c>
      <c r="E3033" s="2" t="str">
        <f>"女"</f>
        <v>女</v>
      </c>
    </row>
    <row r="3034" spans="1:5" ht="14.4" x14ac:dyDescent="0.25">
      <c r="A3034" s="4">
        <v>3032</v>
      </c>
      <c r="B3034" s="2" t="str">
        <f>"3251202108101159154805"</f>
        <v>3251202108101159154805</v>
      </c>
      <c r="C3034" s="2" t="s">
        <v>49</v>
      </c>
      <c r="D3034" s="2" t="str">
        <f>"符丹娜"</f>
        <v>符丹娜</v>
      </c>
      <c r="E3034" s="2" t="str">
        <f>"女"</f>
        <v>女</v>
      </c>
    </row>
    <row r="3035" spans="1:5" ht="14.4" x14ac:dyDescent="0.25">
      <c r="A3035" s="4">
        <v>3033</v>
      </c>
      <c r="B3035" s="2" t="str">
        <f>"3251202108101208304825"</f>
        <v>3251202108101208304825</v>
      </c>
      <c r="C3035" s="2" t="s">
        <v>49</v>
      </c>
      <c r="D3035" s="2" t="str">
        <f>"符文君"</f>
        <v>符文君</v>
      </c>
      <c r="E3035" s="2" t="str">
        <f>"男"</f>
        <v>男</v>
      </c>
    </row>
    <row r="3036" spans="1:5" ht="14.4" x14ac:dyDescent="0.25">
      <c r="A3036" s="4">
        <v>3034</v>
      </c>
      <c r="B3036" s="2" t="str">
        <f>"3251202108101251464972"</f>
        <v>3251202108101251464972</v>
      </c>
      <c r="C3036" s="2" t="s">
        <v>49</v>
      </c>
      <c r="D3036" s="2" t="str">
        <f>"符东"</f>
        <v>符东</v>
      </c>
      <c r="E3036" s="2" t="str">
        <f>"男"</f>
        <v>男</v>
      </c>
    </row>
    <row r="3037" spans="1:5" ht="14.4" x14ac:dyDescent="0.25">
      <c r="A3037" s="4">
        <v>3035</v>
      </c>
      <c r="B3037" s="2" t="str">
        <f>"3251202108101252574977"</f>
        <v>3251202108101252574977</v>
      </c>
      <c r="C3037" s="2" t="s">
        <v>49</v>
      </c>
      <c r="D3037" s="2" t="str">
        <f>"吴小珍"</f>
        <v>吴小珍</v>
      </c>
      <c r="E3037" s="2" t="str">
        <f>"女"</f>
        <v>女</v>
      </c>
    </row>
    <row r="3038" spans="1:5" ht="14.4" x14ac:dyDescent="0.25">
      <c r="A3038" s="4">
        <v>3036</v>
      </c>
      <c r="B3038" s="2" t="str">
        <f>"3251202108101506225320"</f>
        <v>3251202108101506225320</v>
      </c>
      <c r="C3038" s="2" t="s">
        <v>49</v>
      </c>
      <c r="D3038" s="2" t="str">
        <f>"王琦栋"</f>
        <v>王琦栋</v>
      </c>
      <c r="E3038" s="2" t="str">
        <f>"男"</f>
        <v>男</v>
      </c>
    </row>
    <row r="3039" spans="1:5" ht="14.4" x14ac:dyDescent="0.25">
      <c r="A3039" s="4">
        <v>3037</v>
      </c>
      <c r="B3039" s="2" t="str">
        <f>"3251202108101552565464"</f>
        <v>3251202108101552565464</v>
      </c>
      <c r="C3039" s="2" t="s">
        <v>49</v>
      </c>
      <c r="D3039" s="2" t="str">
        <f>"黄雁玲"</f>
        <v>黄雁玲</v>
      </c>
      <c r="E3039" s="2" t="str">
        <f>"女"</f>
        <v>女</v>
      </c>
    </row>
    <row r="3040" spans="1:5" ht="14.4" x14ac:dyDescent="0.25">
      <c r="A3040" s="4">
        <v>3038</v>
      </c>
      <c r="B3040" s="2" t="str">
        <f>"3251202108101607265533"</f>
        <v>3251202108101607265533</v>
      </c>
      <c r="C3040" s="2" t="s">
        <v>49</v>
      </c>
      <c r="D3040" s="2" t="str">
        <f>"陈萍"</f>
        <v>陈萍</v>
      </c>
      <c r="E3040" s="2" t="str">
        <f>"女"</f>
        <v>女</v>
      </c>
    </row>
    <row r="3041" spans="1:5" ht="14.4" x14ac:dyDescent="0.25">
      <c r="A3041" s="4">
        <v>3039</v>
      </c>
      <c r="B3041" s="2" t="str">
        <f>"3251202108101614465561"</f>
        <v>3251202108101614465561</v>
      </c>
      <c r="C3041" s="2" t="s">
        <v>49</v>
      </c>
      <c r="D3041" s="2" t="str">
        <f>"韩宇"</f>
        <v>韩宇</v>
      </c>
      <c r="E3041" s="2" t="str">
        <f>"男"</f>
        <v>男</v>
      </c>
    </row>
    <row r="3042" spans="1:5" ht="14.4" x14ac:dyDescent="0.25">
      <c r="A3042" s="4">
        <v>3040</v>
      </c>
      <c r="B3042" s="2" t="str">
        <f>"3251202108101620535586"</f>
        <v>3251202108101620535586</v>
      </c>
      <c r="C3042" s="2" t="s">
        <v>49</v>
      </c>
      <c r="D3042" s="2" t="str">
        <f>"符丽芳"</f>
        <v>符丽芳</v>
      </c>
      <c r="E3042" s="2" t="str">
        <f>"女"</f>
        <v>女</v>
      </c>
    </row>
    <row r="3043" spans="1:5" ht="14.4" x14ac:dyDescent="0.25">
      <c r="A3043" s="4">
        <v>3041</v>
      </c>
      <c r="B3043" s="2" t="str">
        <f>"3251202108101730225833"</f>
        <v>3251202108101730225833</v>
      </c>
      <c r="C3043" s="2" t="s">
        <v>49</v>
      </c>
      <c r="D3043" s="2" t="str">
        <f>"李海英"</f>
        <v>李海英</v>
      </c>
      <c r="E3043" s="2" t="str">
        <f>"女"</f>
        <v>女</v>
      </c>
    </row>
    <row r="3044" spans="1:5" ht="14.4" x14ac:dyDescent="0.25">
      <c r="A3044" s="4">
        <v>3042</v>
      </c>
      <c r="B3044" s="2" t="str">
        <f>"3251202108101742295871"</f>
        <v>3251202108101742295871</v>
      </c>
      <c r="C3044" s="2" t="s">
        <v>49</v>
      </c>
      <c r="D3044" s="2" t="str">
        <f>"黄小妹"</f>
        <v>黄小妹</v>
      </c>
      <c r="E3044" s="2" t="str">
        <f>"女"</f>
        <v>女</v>
      </c>
    </row>
    <row r="3045" spans="1:5" ht="14.4" x14ac:dyDescent="0.25">
      <c r="A3045" s="4">
        <v>3043</v>
      </c>
      <c r="B3045" s="2" t="str">
        <f>"3251202108101744125877"</f>
        <v>3251202108101744125877</v>
      </c>
      <c r="C3045" s="2" t="s">
        <v>49</v>
      </c>
      <c r="D3045" s="2" t="str">
        <f>"黄金苗"</f>
        <v>黄金苗</v>
      </c>
      <c r="E3045" s="2" t="str">
        <f>"女"</f>
        <v>女</v>
      </c>
    </row>
    <row r="3046" spans="1:5" ht="14.4" x14ac:dyDescent="0.25">
      <c r="A3046" s="4">
        <v>3044</v>
      </c>
      <c r="B3046" s="2" t="str">
        <f>"3251202108101807105919"</f>
        <v>3251202108101807105919</v>
      </c>
      <c r="C3046" s="2" t="s">
        <v>49</v>
      </c>
      <c r="D3046" s="2" t="str">
        <f>"朱臣昆"</f>
        <v>朱臣昆</v>
      </c>
      <c r="E3046" s="2" t="str">
        <f>"男"</f>
        <v>男</v>
      </c>
    </row>
    <row r="3047" spans="1:5" ht="14.4" x14ac:dyDescent="0.25">
      <c r="A3047" s="4">
        <v>3045</v>
      </c>
      <c r="B3047" s="2" t="str">
        <f>"3251202108101815345939"</f>
        <v>3251202108101815345939</v>
      </c>
      <c r="C3047" s="2" t="s">
        <v>49</v>
      </c>
      <c r="D3047" s="2" t="str">
        <f>"符丽婷"</f>
        <v>符丽婷</v>
      </c>
      <c r="E3047" s="2" t="str">
        <f>"女"</f>
        <v>女</v>
      </c>
    </row>
    <row r="3048" spans="1:5" ht="14.4" x14ac:dyDescent="0.25">
      <c r="A3048" s="4">
        <v>3046</v>
      </c>
      <c r="B3048" s="2" t="str">
        <f>"3251202108101940296120"</f>
        <v>3251202108101940296120</v>
      </c>
      <c r="C3048" s="2" t="s">
        <v>49</v>
      </c>
      <c r="D3048" s="2" t="str">
        <f>"梁永睿"</f>
        <v>梁永睿</v>
      </c>
      <c r="E3048" s="2" t="str">
        <f>"男"</f>
        <v>男</v>
      </c>
    </row>
    <row r="3049" spans="1:5" ht="14.4" x14ac:dyDescent="0.25">
      <c r="A3049" s="4">
        <v>3047</v>
      </c>
      <c r="B3049" s="2" t="str">
        <f>"3251202108102021326208"</f>
        <v>3251202108102021326208</v>
      </c>
      <c r="C3049" s="2" t="s">
        <v>49</v>
      </c>
      <c r="D3049" s="2" t="str">
        <f>"莫少纬"</f>
        <v>莫少纬</v>
      </c>
      <c r="E3049" s="2" t="str">
        <f>"男"</f>
        <v>男</v>
      </c>
    </row>
    <row r="3050" spans="1:5" ht="14.4" x14ac:dyDescent="0.25">
      <c r="A3050" s="4">
        <v>3048</v>
      </c>
      <c r="B3050" s="2" t="str">
        <f>"3251202108102027426222"</f>
        <v>3251202108102027426222</v>
      </c>
      <c r="C3050" s="2" t="s">
        <v>49</v>
      </c>
      <c r="D3050" s="2" t="str">
        <f>"罗童心"</f>
        <v>罗童心</v>
      </c>
      <c r="E3050" s="2" t="str">
        <f>"女"</f>
        <v>女</v>
      </c>
    </row>
    <row r="3051" spans="1:5" ht="14.4" x14ac:dyDescent="0.25">
      <c r="A3051" s="4">
        <v>3049</v>
      </c>
      <c r="B3051" s="2" t="str">
        <f>"3251202108102045256250"</f>
        <v>3251202108102045256250</v>
      </c>
      <c r="C3051" s="2" t="s">
        <v>49</v>
      </c>
      <c r="D3051" s="2" t="str">
        <f>"成思慧"</f>
        <v>成思慧</v>
      </c>
      <c r="E3051" s="2" t="str">
        <f>"女"</f>
        <v>女</v>
      </c>
    </row>
    <row r="3052" spans="1:5" ht="14.4" x14ac:dyDescent="0.25">
      <c r="A3052" s="4">
        <v>3050</v>
      </c>
      <c r="B3052" s="2" t="str">
        <f>"3251202108102136266349"</f>
        <v>3251202108102136266349</v>
      </c>
      <c r="C3052" s="2" t="s">
        <v>49</v>
      </c>
      <c r="D3052" s="2" t="str">
        <f>"钟欢"</f>
        <v>钟欢</v>
      </c>
      <c r="E3052" s="2" t="str">
        <f>"女"</f>
        <v>女</v>
      </c>
    </row>
    <row r="3053" spans="1:5" ht="14.4" x14ac:dyDescent="0.25">
      <c r="A3053" s="4">
        <v>3051</v>
      </c>
      <c r="B3053" s="2" t="str">
        <f>"3251202108102214106404"</f>
        <v>3251202108102214106404</v>
      </c>
      <c r="C3053" s="2" t="s">
        <v>49</v>
      </c>
      <c r="D3053" s="2" t="str">
        <f>"唐冠治"</f>
        <v>唐冠治</v>
      </c>
      <c r="E3053" s="2" t="str">
        <f>"男"</f>
        <v>男</v>
      </c>
    </row>
    <row r="3054" spans="1:5" ht="14.4" x14ac:dyDescent="0.25">
      <c r="A3054" s="4">
        <v>3052</v>
      </c>
      <c r="B3054" s="2" t="str">
        <f>"3251202108102249466470"</f>
        <v>3251202108102249466470</v>
      </c>
      <c r="C3054" s="2" t="s">
        <v>49</v>
      </c>
      <c r="D3054" s="2" t="str">
        <f>"马琼"</f>
        <v>马琼</v>
      </c>
      <c r="E3054" s="2" t="str">
        <f>"男"</f>
        <v>男</v>
      </c>
    </row>
    <row r="3055" spans="1:5" ht="14.4" x14ac:dyDescent="0.25">
      <c r="A3055" s="4">
        <v>3053</v>
      </c>
      <c r="B3055" s="2" t="str">
        <f>"3251202108102352316527"</f>
        <v>3251202108102352316527</v>
      </c>
      <c r="C3055" s="2" t="s">
        <v>49</v>
      </c>
      <c r="D3055" s="2" t="str">
        <f>"吴廷发"</f>
        <v>吴廷发</v>
      </c>
      <c r="E3055" s="2" t="str">
        <f>"男"</f>
        <v>男</v>
      </c>
    </row>
    <row r="3056" spans="1:5" ht="14.4" x14ac:dyDescent="0.25">
      <c r="A3056" s="4">
        <v>3054</v>
      </c>
      <c r="B3056" s="2" t="str">
        <f>"3251202108110143416554"</f>
        <v>3251202108110143416554</v>
      </c>
      <c r="C3056" s="2" t="s">
        <v>49</v>
      </c>
      <c r="D3056" s="2" t="str">
        <f>"高瑞秋"</f>
        <v>高瑞秋</v>
      </c>
      <c r="E3056" s="2" t="str">
        <f>"女"</f>
        <v>女</v>
      </c>
    </row>
    <row r="3057" spans="1:5" ht="14.4" x14ac:dyDescent="0.25">
      <c r="A3057" s="4">
        <v>3055</v>
      </c>
      <c r="B3057" s="2" t="str">
        <f>"3251202108110821456592"</f>
        <v>3251202108110821456592</v>
      </c>
      <c r="C3057" s="2" t="s">
        <v>49</v>
      </c>
      <c r="D3057" s="2" t="str">
        <f>"彭丹"</f>
        <v>彭丹</v>
      </c>
      <c r="E3057" s="2" t="str">
        <f>"女"</f>
        <v>女</v>
      </c>
    </row>
    <row r="3058" spans="1:5" ht="14.4" x14ac:dyDescent="0.25">
      <c r="A3058" s="4">
        <v>3056</v>
      </c>
      <c r="B3058" s="2" t="str">
        <f>"3251202108110823166596"</f>
        <v>3251202108110823166596</v>
      </c>
      <c r="C3058" s="2" t="s">
        <v>49</v>
      </c>
      <c r="D3058" s="2" t="str">
        <f>"李经润"</f>
        <v>李经润</v>
      </c>
      <c r="E3058" s="2" t="str">
        <f>"男"</f>
        <v>男</v>
      </c>
    </row>
    <row r="3059" spans="1:5" ht="14.4" x14ac:dyDescent="0.25">
      <c r="A3059" s="4">
        <v>3057</v>
      </c>
      <c r="B3059" s="2" t="str">
        <f>"3251202108110839306625"</f>
        <v>3251202108110839306625</v>
      </c>
      <c r="C3059" s="2" t="s">
        <v>49</v>
      </c>
      <c r="D3059" s="2" t="str">
        <f>"李惠"</f>
        <v>李惠</v>
      </c>
      <c r="E3059" s="2" t="str">
        <f>"女"</f>
        <v>女</v>
      </c>
    </row>
    <row r="3060" spans="1:5" ht="14.4" x14ac:dyDescent="0.25">
      <c r="A3060" s="4">
        <v>3058</v>
      </c>
      <c r="B3060" s="2" t="str">
        <f>"3251202108110844426635"</f>
        <v>3251202108110844426635</v>
      </c>
      <c r="C3060" s="2" t="s">
        <v>49</v>
      </c>
      <c r="D3060" s="2" t="str">
        <f>"余秋鸿"</f>
        <v>余秋鸿</v>
      </c>
      <c r="E3060" s="2" t="str">
        <f>"女"</f>
        <v>女</v>
      </c>
    </row>
    <row r="3061" spans="1:5" ht="14.4" x14ac:dyDescent="0.25">
      <c r="A3061" s="4">
        <v>3059</v>
      </c>
      <c r="B3061" s="2" t="str">
        <f>"3251202108110902116670"</f>
        <v>3251202108110902116670</v>
      </c>
      <c r="C3061" s="2" t="s">
        <v>49</v>
      </c>
      <c r="D3061" s="2" t="str">
        <f>"卢晓虹"</f>
        <v>卢晓虹</v>
      </c>
      <c r="E3061" s="2" t="str">
        <f>"女"</f>
        <v>女</v>
      </c>
    </row>
    <row r="3062" spans="1:5" ht="14.4" x14ac:dyDescent="0.25">
      <c r="A3062" s="4">
        <v>3060</v>
      </c>
      <c r="B3062" s="2" t="str">
        <f>"3251202108110919546722"</f>
        <v>3251202108110919546722</v>
      </c>
      <c r="C3062" s="2" t="s">
        <v>49</v>
      </c>
      <c r="D3062" s="2" t="str">
        <f>"王惟校"</f>
        <v>王惟校</v>
      </c>
      <c r="E3062" s="2" t="str">
        <f>"男"</f>
        <v>男</v>
      </c>
    </row>
    <row r="3063" spans="1:5" ht="14.4" x14ac:dyDescent="0.25">
      <c r="A3063" s="4">
        <v>3061</v>
      </c>
      <c r="B3063" s="2" t="str">
        <f>"3251202108110926336738"</f>
        <v>3251202108110926336738</v>
      </c>
      <c r="C3063" s="2" t="s">
        <v>49</v>
      </c>
      <c r="D3063" s="2" t="str">
        <f>"梁郁剑"</f>
        <v>梁郁剑</v>
      </c>
      <c r="E3063" s="2" t="str">
        <f>"男"</f>
        <v>男</v>
      </c>
    </row>
    <row r="3064" spans="1:5" ht="14.4" x14ac:dyDescent="0.25">
      <c r="A3064" s="4">
        <v>3062</v>
      </c>
      <c r="B3064" s="2" t="str">
        <f>"3251202108110926356739"</f>
        <v>3251202108110926356739</v>
      </c>
      <c r="C3064" s="2" t="s">
        <v>49</v>
      </c>
      <c r="D3064" s="2" t="str">
        <f>"盛秋菊"</f>
        <v>盛秋菊</v>
      </c>
      <c r="E3064" s="2" t="str">
        <f>"女"</f>
        <v>女</v>
      </c>
    </row>
    <row r="3065" spans="1:5" ht="14.4" x14ac:dyDescent="0.25">
      <c r="A3065" s="4">
        <v>3063</v>
      </c>
      <c r="B3065" s="2" t="str">
        <f>"3251202108110938056776"</f>
        <v>3251202108110938056776</v>
      </c>
      <c r="C3065" s="2" t="s">
        <v>49</v>
      </c>
      <c r="D3065" s="2" t="str">
        <f>"麦汉冲"</f>
        <v>麦汉冲</v>
      </c>
      <c r="E3065" s="2" t="str">
        <f>"男"</f>
        <v>男</v>
      </c>
    </row>
    <row r="3066" spans="1:5" ht="14.4" x14ac:dyDescent="0.25">
      <c r="A3066" s="4">
        <v>3064</v>
      </c>
      <c r="B3066" s="2" t="str">
        <f>"3251202108110942156787"</f>
        <v>3251202108110942156787</v>
      </c>
      <c r="C3066" s="2" t="s">
        <v>49</v>
      </c>
      <c r="D3066" s="2" t="str">
        <f>"符叶青"</f>
        <v>符叶青</v>
      </c>
      <c r="E3066" s="2" t="str">
        <f>"女"</f>
        <v>女</v>
      </c>
    </row>
    <row r="3067" spans="1:5" ht="14.4" x14ac:dyDescent="0.25">
      <c r="A3067" s="4">
        <v>3065</v>
      </c>
      <c r="B3067" s="2" t="str">
        <f>"3251202108110952286821"</f>
        <v>3251202108110952286821</v>
      </c>
      <c r="C3067" s="2" t="s">
        <v>49</v>
      </c>
      <c r="D3067" s="2" t="str">
        <f>"王源源"</f>
        <v>王源源</v>
      </c>
      <c r="E3067" s="2" t="str">
        <f>"男"</f>
        <v>男</v>
      </c>
    </row>
    <row r="3068" spans="1:5" ht="14.4" x14ac:dyDescent="0.25">
      <c r="A3068" s="4">
        <v>3066</v>
      </c>
      <c r="B3068" s="2" t="str">
        <f>"3251202108111002076849"</f>
        <v>3251202108111002076849</v>
      </c>
      <c r="C3068" s="2" t="s">
        <v>49</v>
      </c>
      <c r="D3068" s="2" t="str">
        <f>"廖小燕"</f>
        <v>廖小燕</v>
      </c>
      <c r="E3068" s="2" t="str">
        <f>"女"</f>
        <v>女</v>
      </c>
    </row>
    <row r="3069" spans="1:5" ht="14.4" x14ac:dyDescent="0.25">
      <c r="A3069" s="4">
        <v>3067</v>
      </c>
      <c r="B3069" s="2" t="str">
        <f>"3251202108111059186988"</f>
        <v>3251202108111059186988</v>
      </c>
      <c r="C3069" s="2" t="s">
        <v>49</v>
      </c>
      <c r="D3069" s="2" t="str">
        <f>"郑海翔"</f>
        <v>郑海翔</v>
      </c>
      <c r="E3069" s="2" t="str">
        <f>"女"</f>
        <v>女</v>
      </c>
    </row>
    <row r="3070" spans="1:5" ht="14.4" x14ac:dyDescent="0.25">
      <c r="A3070" s="4">
        <v>3068</v>
      </c>
      <c r="B3070" s="2" t="str">
        <f>"3251202108111100376991"</f>
        <v>3251202108111100376991</v>
      </c>
      <c r="C3070" s="2" t="s">
        <v>49</v>
      </c>
      <c r="D3070" s="2" t="str">
        <f>"韦文广"</f>
        <v>韦文广</v>
      </c>
      <c r="E3070" s="2" t="str">
        <f>"男"</f>
        <v>男</v>
      </c>
    </row>
    <row r="3071" spans="1:5" ht="14.4" x14ac:dyDescent="0.25">
      <c r="A3071" s="4">
        <v>3069</v>
      </c>
      <c r="B3071" s="2" t="str">
        <f>"3251202108111128037074"</f>
        <v>3251202108111128037074</v>
      </c>
      <c r="C3071" s="2" t="s">
        <v>49</v>
      </c>
      <c r="D3071" s="2" t="str">
        <f>"曾维帝"</f>
        <v>曾维帝</v>
      </c>
      <c r="E3071" s="2" t="str">
        <f>"男"</f>
        <v>男</v>
      </c>
    </row>
    <row r="3072" spans="1:5" ht="14.4" x14ac:dyDescent="0.25">
      <c r="A3072" s="4">
        <v>3070</v>
      </c>
      <c r="B3072" s="2" t="str">
        <f>"3251202108111510067378"</f>
        <v>3251202108111510067378</v>
      </c>
      <c r="C3072" s="2" t="s">
        <v>49</v>
      </c>
      <c r="D3072" s="2" t="str">
        <f>"邱彩云"</f>
        <v>邱彩云</v>
      </c>
      <c r="E3072" s="2" t="str">
        <f>"女"</f>
        <v>女</v>
      </c>
    </row>
    <row r="3073" spans="1:5" ht="14.4" x14ac:dyDescent="0.25">
      <c r="A3073" s="4">
        <v>3071</v>
      </c>
      <c r="B3073" s="2" t="str">
        <f>"3251202108111519077395"</f>
        <v>3251202108111519077395</v>
      </c>
      <c r="C3073" s="2" t="s">
        <v>49</v>
      </c>
      <c r="D3073" s="2" t="str">
        <f>"符凤璠"</f>
        <v>符凤璠</v>
      </c>
      <c r="E3073" s="2" t="str">
        <f>"女"</f>
        <v>女</v>
      </c>
    </row>
    <row r="3074" spans="1:5" ht="14.4" x14ac:dyDescent="0.25">
      <c r="A3074" s="4">
        <v>3072</v>
      </c>
      <c r="B3074" s="2" t="str">
        <f>"3251202108111528207421"</f>
        <v>3251202108111528207421</v>
      </c>
      <c r="C3074" s="2" t="s">
        <v>49</v>
      </c>
      <c r="D3074" s="2" t="str">
        <f>"符丽莹"</f>
        <v>符丽莹</v>
      </c>
      <c r="E3074" s="2" t="str">
        <f>"女"</f>
        <v>女</v>
      </c>
    </row>
    <row r="3075" spans="1:5" ht="14.4" x14ac:dyDescent="0.25">
      <c r="A3075" s="4">
        <v>3073</v>
      </c>
      <c r="B3075" s="2" t="str">
        <f>"3251202108111628347540"</f>
        <v>3251202108111628347540</v>
      </c>
      <c r="C3075" s="2" t="s">
        <v>49</v>
      </c>
      <c r="D3075" s="2" t="str">
        <f>"梁文斌"</f>
        <v>梁文斌</v>
      </c>
      <c r="E3075" s="2" t="str">
        <f>"男"</f>
        <v>男</v>
      </c>
    </row>
    <row r="3076" spans="1:5" ht="14.4" x14ac:dyDescent="0.25">
      <c r="A3076" s="4">
        <v>3074</v>
      </c>
      <c r="B3076" s="2" t="str">
        <f>"3251202108111637227556"</f>
        <v>3251202108111637227556</v>
      </c>
      <c r="C3076" s="2" t="s">
        <v>49</v>
      </c>
      <c r="D3076" s="2" t="str">
        <f>"黎钟健"</f>
        <v>黎钟健</v>
      </c>
      <c r="E3076" s="2" t="str">
        <f>"男"</f>
        <v>男</v>
      </c>
    </row>
    <row r="3077" spans="1:5" ht="14.4" x14ac:dyDescent="0.25">
      <c r="A3077" s="4">
        <v>3075</v>
      </c>
      <c r="B3077" s="2" t="str">
        <f>"3251202108112016557861"</f>
        <v>3251202108112016557861</v>
      </c>
      <c r="C3077" s="2" t="s">
        <v>49</v>
      </c>
      <c r="D3077" s="2" t="str">
        <f>"谢梅青"</f>
        <v>谢梅青</v>
      </c>
      <c r="E3077" s="2" t="str">
        <f>"女"</f>
        <v>女</v>
      </c>
    </row>
    <row r="3078" spans="1:5" ht="14.4" x14ac:dyDescent="0.25">
      <c r="A3078" s="4">
        <v>3076</v>
      </c>
      <c r="B3078" s="2" t="str">
        <f>"3251202108112157578020"</f>
        <v>3251202108112157578020</v>
      </c>
      <c r="C3078" s="2" t="s">
        <v>49</v>
      </c>
      <c r="D3078" s="2" t="str">
        <f>"曾繁志"</f>
        <v>曾繁志</v>
      </c>
      <c r="E3078" s="2" t="str">
        <f>"男"</f>
        <v>男</v>
      </c>
    </row>
    <row r="3079" spans="1:5" ht="14.4" x14ac:dyDescent="0.25">
      <c r="A3079" s="4">
        <v>3077</v>
      </c>
      <c r="B3079" s="2" t="str">
        <f>"3251202108120909328274"</f>
        <v>3251202108120909328274</v>
      </c>
      <c r="C3079" s="2" t="s">
        <v>49</v>
      </c>
      <c r="D3079" s="2" t="str">
        <f>"王康斌"</f>
        <v>王康斌</v>
      </c>
      <c r="E3079" s="2" t="str">
        <f>"男"</f>
        <v>男</v>
      </c>
    </row>
    <row r="3080" spans="1:5" ht="14.4" x14ac:dyDescent="0.25">
      <c r="A3080" s="4">
        <v>3078</v>
      </c>
      <c r="B3080" s="2" t="str">
        <f>"3251202108120932198336"</f>
        <v>3251202108120932198336</v>
      </c>
      <c r="C3080" s="2" t="s">
        <v>49</v>
      </c>
      <c r="D3080" s="2" t="str">
        <f>"王向城"</f>
        <v>王向城</v>
      </c>
      <c r="E3080" s="2" t="str">
        <f>"女"</f>
        <v>女</v>
      </c>
    </row>
    <row r="3081" spans="1:5" ht="14.4" x14ac:dyDescent="0.25">
      <c r="A3081" s="4">
        <v>3079</v>
      </c>
      <c r="B3081" s="2" t="str">
        <f>"3251202108121039488487"</f>
        <v>3251202108121039488487</v>
      </c>
      <c r="C3081" s="2" t="s">
        <v>49</v>
      </c>
      <c r="D3081" s="2" t="str">
        <f>"麦华芳"</f>
        <v>麦华芳</v>
      </c>
      <c r="E3081" s="2" t="str">
        <f>"女"</f>
        <v>女</v>
      </c>
    </row>
    <row r="3082" spans="1:5" ht="14.4" x14ac:dyDescent="0.25">
      <c r="A3082" s="4">
        <v>3080</v>
      </c>
      <c r="B3082" s="2" t="str">
        <f>"3251202108121103408535"</f>
        <v>3251202108121103408535</v>
      </c>
      <c r="C3082" s="2" t="s">
        <v>49</v>
      </c>
      <c r="D3082" s="2" t="str">
        <f>"罗铭"</f>
        <v>罗铭</v>
      </c>
      <c r="E3082" s="2" t="str">
        <f>"男"</f>
        <v>男</v>
      </c>
    </row>
    <row r="3083" spans="1:5" ht="14.4" x14ac:dyDescent="0.25">
      <c r="A3083" s="4">
        <v>3081</v>
      </c>
      <c r="B3083" s="2" t="str">
        <f>"3251202108121349288751"</f>
        <v>3251202108121349288751</v>
      </c>
      <c r="C3083" s="2" t="s">
        <v>49</v>
      </c>
      <c r="D3083" s="2" t="str">
        <f>"张敏"</f>
        <v>张敏</v>
      </c>
      <c r="E3083" s="2" t="str">
        <f>"女"</f>
        <v>女</v>
      </c>
    </row>
    <row r="3084" spans="1:5" ht="14.4" x14ac:dyDescent="0.25">
      <c r="A3084" s="4">
        <v>3082</v>
      </c>
      <c r="B3084" s="2" t="str">
        <f>"3251202108121543368936"</f>
        <v>3251202108121543368936</v>
      </c>
      <c r="C3084" s="2" t="s">
        <v>49</v>
      </c>
      <c r="D3084" s="2" t="str">
        <f>"肖婷"</f>
        <v>肖婷</v>
      </c>
      <c r="E3084" s="2" t="str">
        <f>"女"</f>
        <v>女</v>
      </c>
    </row>
    <row r="3085" spans="1:5" ht="14.4" x14ac:dyDescent="0.25">
      <c r="A3085" s="4">
        <v>3083</v>
      </c>
      <c r="B3085" s="2" t="str">
        <f>"3251202108121655499055"</f>
        <v>3251202108121655499055</v>
      </c>
      <c r="C3085" s="2" t="s">
        <v>49</v>
      </c>
      <c r="D3085" s="2" t="str">
        <f>"周蕾"</f>
        <v>周蕾</v>
      </c>
      <c r="E3085" s="2" t="str">
        <f>"女"</f>
        <v>女</v>
      </c>
    </row>
    <row r="3086" spans="1:5" ht="14.4" x14ac:dyDescent="0.25">
      <c r="A3086" s="4">
        <v>3084</v>
      </c>
      <c r="B3086" s="2" t="str">
        <f>"3251202108121815379156"</f>
        <v>3251202108121815379156</v>
      </c>
      <c r="C3086" s="2" t="s">
        <v>49</v>
      </c>
      <c r="D3086" s="2" t="str">
        <f>"李可通"</f>
        <v>李可通</v>
      </c>
      <c r="E3086" s="2" t="str">
        <f>"男"</f>
        <v>男</v>
      </c>
    </row>
    <row r="3087" spans="1:5" ht="14.4" x14ac:dyDescent="0.25">
      <c r="A3087" s="4">
        <v>3085</v>
      </c>
      <c r="B3087" s="2" t="str">
        <f>"3251202108122143149357"</f>
        <v>3251202108122143149357</v>
      </c>
      <c r="C3087" s="2" t="s">
        <v>49</v>
      </c>
      <c r="D3087" s="2" t="str">
        <f>"伍彩艳"</f>
        <v>伍彩艳</v>
      </c>
      <c r="E3087" s="2" t="str">
        <f>"女"</f>
        <v>女</v>
      </c>
    </row>
    <row r="3088" spans="1:5" ht="14.4" x14ac:dyDescent="0.25">
      <c r="A3088" s="4">
        <v>3086</v>
      </c>
      <c r="B3088" s="2" t="str">
        <f>"3251202108122201399367"</f>
        <v>3251202108122201399367</v>
      </c>
      <c r="C3088" s="2" t="s">
        <v>49</v>
      </c>
      <c r="D3088" s="2" t="str">
        <f>"符家帆"</f>
        <v>符家帆</v>
      </c>
      <c r="E3088" s="2" t="str">
        <f>"男"</f>
        <v>男</v>
      </c>
    </row>
    <row r="3089" spans="1:5" ht="14.4" x14ac:dyDescent="0.25">
      <c r="A3089" s="4">
        <v>3087</v>
      </c>
      <c r="B3089" s="2" t="str">
        <f>"3251202108122318139444"</f>
        <v>3251202108122318139444</v>
      </c>
      <c r="C3089" s="2" t="s">
        <v>49</v>
      </c>
      <c r="D3089" s="2" t="str">
        <f>"陈实"</f>
        <v>陈实</v>
      </c>
      <c r="E3089" s="2" t="str">
        <f>"男"</f>
        <v>男</v>
      </c>
    </row>
    <row r="3090" spans="1:5" ht="14.4" x14ac:dyDescent="0.25">
      <c r="A3090" s="4">
        <v>3088</v>
      </c>
      <c r="B3090" s="2" t="str">
        <f>"3251202108130103309477"</f>
        <v>3251202108130103309477</v>
      </c>
      <c r="C3090" s="2" t="s">
        <v>49</v>
      </c>
      <c r="D3090" s="2" t="str">
        <f>"高瑞"</f>
        <v>高瑞</v>
      </c>
      <c r="E3090" s="2" t="str">
        <f>"男"</f>
        <v>男</v>
      </c>
    </row>
    <row r="3091" spans="1:5" ht="14.4" x14ac:dyDescent="0.25">
      <c r="A3091" s="4">
        <v>3089</v>
      </c>
      <c r="B3091" s="2" t="str">
        <f>"3251202108130754579499"</f>
        <v>3251202108130754579499</v>
      </c>
      <c r="C3091" s="2" t="s">
        <v>49</v>
      </c>
      <c r="D3091" s="2" t="str">
        <f>"梁裕"</f>
        <v>梁裕</v>
      </c>
      <c r="E3091" s="2" t="str">
        <f>"男"</f>
        <v>男</v>
      </c>
    </row>
    <row r="3092" spans="1:5" ht="14.4" x14ac:dyDescent="0.25">
      <c r="A3092" s="4">
        <v>3090</v>
      </c>
      <c r="B3092" s="2" t="str">
        <f>"3251202108130833029515"</f>
        <v>3251202108130833029515</v>
      </c>
      <c r="C3092" s="2" t="s">
        <v>49</v>
      </c>
      <c r="D3092" s="2" t="str">
        <f>"杨晶颖"</f>
        <v>杨晶颖</v>
      </c>
      <c r="E3092" s="2" t="str">
        <f>"女"</f>
        <v>女</v>
      </c>
    </row>
    <row r="3093" spans="1:5" ht="14.4" x14ac:dyDescent="0.25">
      <c r="A3093" s="4">
        <v>3091</v>
      </c>
      <c r="B3093" s="2" t="str">
        <f>"3251202108130901519541"</f>
        <v>3251202108130901519541</v>
      </c>
      <c r="C3093" s="2" t="s">
        <v>49</v>
      </c>
      <c r="D3093" s="2" t="str">
        <f>"卢春晓"</f>
        <v>卢春晓</v>
      </c>
      <c r="E3093" s="2" t="str">
        <f>"女"</f>
        <v>女</v>
      </c>
    </row>
    <row r="3094" spans="1:5" ht="14.4" x14ac:dyDescent="0.25">
      <c r="A3094" s="4">
        <v>3092</v>
      </c>
      <c r="B3094" s="2" t="str">
        <f>"3251202108131135029755"</f>
        <v>3251202108131135029755</v>
      </c>
      <c r="C3094" s="2" t="s">
        <v>49</v>
      </c>
      <c r="D3094" s="2" t="str">
        <f>"叶如婷"</f>
        <v>叶如婷</v>
      </c>
      <c r="E3094" s="2" t="str">
        <f>"女"</f>
        <v>女</v>
      </c>
    </row>
    <row r="3095" spans="1:5" ht="14.4" x14ac:dyDescent="0.25">
      <c r="A3095" s="4">
        <v>3093</v>
      </c>
      <c r="B3095" s="2" t="str">
        <f>"3251202108131232179802"</f>
        <v>3251202108131232179802</v>
      </c>
      <c r="C3095" s="2" t="s">
        <v>49</v>
      </c>
      <c r="D3095" s="2" t="str">
        <f>"谢婉馨"</f>
        <v>谢婉馨</v>
      </c>
      <c r="E3095" s="2" t="str">
        <f>"女"</f>
        <v>女</v>
      </c>
    </row>
    <row r="3096" spans="1:5" ht="14.4" x14ac:dyDescent="0.25">
      <c r="A3096" s="4">
        <v>3094</v>
      </c>
      <c r="B3096" s="2" t="str">
        <f>"3251202108131416279875"</f>
        <v>3251202108131416279875</v>
      </c>
      <c r="C3096" s="2" t="s">
        <v>49</v>
      </c>
      <c r="D3096" s="2" t="str">
        <f>"林芬"</f>
        <v>林芬</v>
      </c>
      <c r="E3096" s="2" t="str">
        <f>"女"</f>
        <v>女</v>
      </c>
    </row>
    <row r="3097" spans="1:5" ht="14.4" x14ac:dyDescent="0.25">
      <c r="A3097" s="4">
        <v>3095</v>
      </c>
      <c r="B3097" s="2" t="str">
        <f>"32512021081317065210080"</f>
        <v>32512021081317065210080</v>
      </c>
      <c r="C3097" s="2" t="s">
        <v>49</v>
      </c>
      <c r="D3097" s="2" t="str">
        <f>"林成峰"</f>
        <v>林成峰</v>
      </c>
      <c r="E3097" s="2" t="str">
        <f>"男"</f>
        <v>男</v>
      </c>
    </row>
    <row r="3098" spans="1:5" ht="14.4" x14ac:dyDescent="0.25">
      <c r="A3098" s="4">
        <v>3096</v>
      </c>
      <c r="B3098" s="2" t="str">
        <f>"32512021081318091110148"</f>
        <v>32512021081318091110148</v>
      </c>
      <c r="C3098" s="2" t="s">
        <v>49</v>
      </c>
      <c r="D3098" s="2" t="str">
        <f>"王运鹏"</f>
        <v>王运鹏</v>
      </c>
      <c r="E3098" s="2" t="str">
        <f>"男"</f>
        <v>男</v>
      </c>
    </row>
    <row r="3099" spans="1:5" ht="14.4" x14ac:dyDescent="0.25">
      <c r="A3099" s="4">
        <v>3097</v>
      </c>
      <c r="B3099" s="2" t="str">
        <f>"32512021081318554210178"</f>
        <v>32512021081318554210178</v>
      </c>
      <c r="C3099" s="2" t="s">
        <v>49</v>
      </c>
      <c r="D3099" s="2" t="str">
        <f>"许建华"</f>
        <v>许建华</v>
      </c>
      <c r="E3099" s="2" t="str">
        <f>"男"</f>
        <v>男</v>
      </c>
    </row>
    <row r="3100" spans="1:5" ht="14.4" x14ac:dyDescent="0.25">
      <c r="A3100" s="4">
        <v>3098</v>
      </c>
      <c r="B3100" s="2" t="str">
        <f>"32512021081320385610236"</f>
        <v>32512021081320385610236</v>
      </c>
      <c r="C3100" s="2" t="s">
        <v>49</v>
      </c>
      <c r="D3100" s="2" t="str">
        <f>"符菁菁"</f>
        <v>符菁菁</v>
      </c>
      <c r="E3100" s="2" t="str">
        <f>"女"</f>
        <v>女</v>
      </c>
    </row>
    <row r="3101" spans="1:5" ht="14.4" x14ac:dyDescent="0.25">
      <c r="A3101" s="4">
        <v>3099</v>
      </c>
      <c r="B3101" s="2" t="str">
        <f>"32512021081321334510270"</f>
        <v>32512021081321334510270</v>
      </c>
      <c r="C3101" s="2" t="s">
        <v>49</v>
      </c>
      <c r="D3101" s="2" t="str">
        <f>"何新"</f>
        <v>何新</v>
      </c>
      <c r="E3101" s="2" t="str">
        <f>"男"</f>
        <v>男</v>
      </c>
    </row>
    <row r="3102" spans="1:5" ht="14.4" x14ac:dyDescent="0.25">
      <c r="A3102" s="4">
        <v>3100</v>
      </c>
      <c r="B3102" s="2" t="str">
        <f>"32512021081417451810749"</f>
        <v>32512021081417451810749</v>
      </c>
      <c r="C3102" s="2" t="s">
        <v>49</v>
      </c>
      <c r="D3102" s="2" t="str">
        <f>"李海生"</f>
        <v>李海生</v>
      </c>
      <c r="E3102" s="2" t="str">
        <f>"男"</f>
        <v>男</v>
      </c>
    </row>
    <row r="3103" spans="1:5" ht="14.4" x14ac:dyDescent="0.25">
      <c r="A3103" s="4">
        <v>3101</v>
      </c>
      <c r="B3103" s="2" t="str">
        <f>"32512021081418290910765"</f>
        <v>32512021081418290910765</v>
      </c>
      <c r="C3103" s="2" t="s">
        <v>49</v>
      </c>
      <c r="D3103" s="2" t="str">
        <f>"许军"</f>
        <v>许军</v>
      </c>
      <c r="E3103" s="2" t="str">
        <f>"男"</f>
        <v>男</v>
      </c>
    </row>
    <row r="3104" spans="1:5" ht="14.4" x14ac:dyDescent="0.25">
      <c r="A3104" s="4">
        <v>3102</v>
      </c>
      <c r="B3104" s="2" t="str">
        <f>"32512021081500581710916"</f>
        <v>32512021081500581710916</v>
      </c>
      <c r="C3104" s="2" t="s">
        <v>49</v>
      </c>
      <c r="D3104" s="2" t="str">
        <f>"黄任晓"</f>
        <v>黄任晓</v>
      </c>
      <c r="E3104" s="2" t="str">
        <f>"女"</f>
        <v>女</v>
      </c>
    </row>
    <row r="3105" spans="1:5" ht="14.4" x14ac:dyDescent="0.25">
      <c r="A3105" s="4">
        <v>3103</v>
      </c>
      <c r="B3105" s="2" t="str">
        <f>"32512021081510110010985"</f>
        <v>32512021081510110010985</v>
      </c>
      <c r="C3105" s="2" t="s">
        <v>49</v>
      </c>
      <c r="D3105" s="2" t="str">
        <f>"彭寿"</f>
        <v>彭寿</v>
      </c>
      <c r="E3105" s="2" t="str">
        <f>"男"</f>
        <v>男</v>
      </c>
    </row>
    <row r="3106" spans="1:5" ht="14.4" x14ac:dyDescent="0.25">
      <c r="A3106" s="4">
        <v>3104</v>
      </c>
      <c r="B3106" s="2" t="str">
        <f>"32512021081511050411023"</f>
        <v>32512021081511050411023</v>
      </c>
      <c r="C3106" s="2" t="s">
        <v>49</v>
      </c>
      <c r="D3106" s="2" t="str">
        <f>"符美云"</f>
        <v>符美云</v>
      </c>
      <c r="E3106" s="2" t="str">
        <f>"女"</f>
        <v>女</v>
      </c>
    </row>
    <row r="3107" spans="1:5" ht="14.4" x14ac:dyDescent="0.25">
      <c r="A3107" s="4">
        <v>3105</v>
      </c>
      <c r="B3107" s="2" t="str">
        <f>"32512021081511191811036"</f>
        <v>32512021081511191811036</v>
      </c>
      <c r="C3107" s="2" t="s">
        <v>49</v>
      </c>
      <c r="D3107" s="2" t="str">
        <f>"李观胜"</f>
        <v>李观胜</v>
      </c>
      <c r="E3107" s="2" t="str">
        <f>"男"</f>
        <v>男</v>
      </c>
    </row>
    <row r="3108" spans="1:5" ht="14.4" x14ac:dyDescent="0.25">
      <c r="A3108" s="4">
        <v>3106</v>
      </c>
      <c r="B3108" s="2" t="str">
        <f>"32512021081513015811093"</f>
        <v>32512021081513015811093</v>
      </c>
      <c r="C3108" s="2" t="s">
        <v>49</v>
      </c>
      <c r="D3108" s="2" t="str">
        <f>"王国柱"</f>
        <v>王国柱</v>
      </c>
      <c r="E3108" s="2" t="str">
        <f>"男"</f>
        <v>男</v>
      </c>
    </row>
    <row r="3109" spans="1:5" ht="14.4" x14ac:dyDescent="0.25">
      <c r="A3109" s="4">
        <v>3107</v>
      </c>
      <c r="B3109" s="2" t="str">
        <f>"32512021081513030811096"</f>
        <v>32512021081513030811096</v>
      </c>
      <c r="C3109" s="2" t="s">
        <v>49</v>
      </c>
      <c r="D3109" s="2" t="str">
        <f>"韦嘉海"</f>
        <v>韦嘉海</v>
      </c>
      <c r="E3109" s="2" t="str">
        <f>"男"</f>
        <v>男</v>
      </c>
    </row>
    <row r="3110" spans="1:5" ht="14.4" x14ac:dyDescent="0.25">
      <c r="A3110" s="4">
        <v>3108</v>
      </c>
      <c r="B3110" s="2" t="str">
        <f>"32512021081513503011126"</f>
        <v>32512021081513503011126</v>
      </c>
      <c r="C3110" s="2" t="s">
        <v>49</v>
      </c>
      <c r="D3110" s="2" t="str">
        <f>"林志鹏"</f>
        <v>林志鹏</v>
      </c>
      <c r="E3110" s="2" t="str">
        <f>"男"</f>
        <v>男</v>
      </c>
    </row>
    <row r="3111" spans="1:5" ht="14.4" x14ac:dyDescent="0.25">
      <c r="A3111" s="4">
        <v>3109</v>
      </c>
      <c r="B3111" s="2" t="str">
        <f>"32512021081517273811304"</f>
        <v>32512021081517273811304</v>
      </c>
      <c r="C3111" s="2" t="s">
        <v>49</v>
      </c>
      <c r="D3111" s="2" t="str">
        <f>"黄柳兴"</f>
        <v>黄柳兴</v>
      </c>
      <c r="E3111" s="2" t="str">
        <f>"女"</f>
        <v>女</v>
      </c>
    </row>
    <row r="3112" spans="1:5" ht="14.4" x14ac:dyDescent="0.25">
      <c r="A3112" s="4">
        <v>3110</v>
      </c>
      <c r="B3112" s="2" t="str">
        <f>"32512021081518492511363"</f>
        <v>32512021081518492511363</v>
      </c>
      <c r="C3112" s="2" t="s">
        <v>49</v>
      </c>
      <c r="D3112" s="2" t="str">
        <f>"王灏鑫"</f>
        <v>王灏鑫</v>
      </c>
      <c r="E3112" s="2" t="str">
        <f>"男"</f>
        <v>男</v>
      </c>
    </row>
    <row r="3113" spans="1:5" ht="14.4" x14ac:dyDescent="0.25">
      <c r="A3113" s="4">
        <v>3111</v>
      </c>
      <c r="B3113" s="2" t="str">
        <f>"32512021081519503511411"</f>
        <v>32512021081519503511411</v>
      </c>
      <c r="C3113" s="2" t="s">
        <v>49</v>
      </c>
      <c r="D3113" s="2" t="str">
        <f>"杨海彬"</f>
        <v>杨海彬</v>
      </c>
      <c r="E3113" s="2" t="str">
        <f>"男"</f>
        <v>男</v>
      </c>
    </row>
    <row r="3114" spans="1:5" ht="14.4" x14ac:dyDescent="0.25">
      <c r="A3114" s="4">
        <v>3112</v>
      </c>
      <c r="B3114" s="2" t="str">
        <f>"32512021081521134511492"</f>
        <v>32512021081521134511492</v>
      </c>
      <c r="C3114" s="2" t="s">
        <v>49</v>
      </c>
      <c r="D3114" s="2" t="str">
        <f>"麦光旭"</f>
        <v>麦光旭</v>
      </c>
      <c r="E3114" s="2" t="str">
        <f>"男"</f>
        <v>男</v>
      </c>
    </row>
    <row r="3115" spans="1:5" ht="14.4" x14ac:dyDescent="0.25">
      <c r="A3115" s="4">
        <v>3113</v>
      </c>
      <c r="B3115" s="2" t="str">
        <f>"32512021081610524012374"</f>
        <v>32512021081610524012374</v>
      </c>
      <c r="C3115" s="2" t="s">
        <v>49</v>
      </c>
      <c r="D3115" s="2" t="str">
        <f>"陈蕊"</f>
        <v>陈蕊</v>
      </c>
      <c r="E3115" s="2" t="str">
        <f>"女"</f>
        <v>女</v>
      </c>
    </row>
    <row r="3116" spans="1:5" ht="14.4" x14ac:dyDescent="0.25">
      <c r="A3116" s="4">
        <v>3114</v>
      </c>
      <c r="B3116" s="2" t="str">
        <f>"32512021081611444612589"</f>
        <v>32512021081611444612589</v>
      </c>
      <c r="C3116" s="2" t="s">
        <v>49</v>
      </c>
      <c r="D3116" s="2" t="str">
        <f>"陈林"</f>
        <v>陈林</v>
      </c>
      <c r="E3116" s="2" t="str">
        <f>"女"</f>
        <v>女</v>
      </c>
    </row>
    <row r="3117" spans="1:5" ht="14.4" x14ac:dyDescent="0.25">
      <c r="A3117" s="4">
        <v>3115</v>
      </c>
      <c r="B3117" s="2" t="str">
        <f>"32512021081613013212773"</f>
        <v>32512021081613013212773</v>
      </c>
      <c r="C3117" s="2" t="s">
        <v>49</v>
      </c>
      <c r="D3117" s="2" t="str">
        <f>"冯常瑛"</f>
        <v>冯常瑛</v>
      </c>
      <c r="E3117" s="2" t="str">
        <f>"女"</f>
        <v>女</v>
      </c>
    </row>
    <row r="3118" spans="1:5" ht="14.4" x14ac:dyDescent="0.25">
      <c r="A3118" s="4">
        <v>3116</v>
      </c>
      <c r="B3118" s="2" t="str">
        <f>"32512021081613131412802"</f>
        <v>32512021081613131412802</v>
      </c>
      <c r="C3118" s="2" t="s">
        <v>49</v>
      </c>
      <c r="D3118" s="2" t="str">
        <f>"邢玉雯"</f>
        <v>邢玉雯</v>
      </c>
      <c r="E3118" s="2" t="str">
        <f>"女"</f>
        <v>女</v>
      </c>
    </row>
    <row r="3119" spans="1:5" ht="14.4" x14ac:dyDescent="0.25">
      <c r="A3119" s="4">
        <v>3117</v>
      </c>
      <c r="B3119" s="2" t="str">
        <f>"32512021081614425412968"</f>
        <v>32512021081614425412968</v>
      </c>
      <c r="C3119" s="2" t="s">
        <v>49</v>
      </c>
      <c r="D3119" s="2" t="str">
        <f>"熊曦"</f>
        <v>熊曦</v>
      </c>
      <c r="E3119" s="2" t="str">
        <f>"男"</f>
        <v>男</v>
      </c>
    </row>
    <row r="3120" spans="1:5" ht="14.4" x14ac:dyDescent="0.25">
      <c r="A3120" s="4">
        <v>3118</v>
      </c>
      <c r="B3120" s="2" t="str">
        <f>"3251202108100911313862"</f>
        <v>3251202108100911313862</v>
      </c>
      <c r="C3120" s="2" t="s">
        <v>50</v>
      </c>
      <c r="D3120" s="2" t="str">
        <f>"郑桂宁"</f>
        <v>郑桂宁</v>
      </c>
      <c r="E3120" s="2" t="str">
        <f>"男"</f>
        <v>男</v>
      </c>
    </row>
    <row r="3121" spans="1:5" ht="14.4" x14ac:dyDescent="0.25">
      <c r="A3121" s="4">
        <v>3119</v>
      </c>
      <c r="B3121" s="2" t="str">
        <f>"3251202108101113334614"</f>
        <v>3251202108101113334614</v>
      </c>
      <c r="C3121" s="2" t="s">
        <v>50</v>
      </c>
      <c r="D3121" s="2" t="str">
        <f>"符炳玮"</f>
        <v>符炳玮</v>
      </c>
      <c r="E3121" s="2" t="str">
        <f>"男"</f>
        <v>男</v>
      </c>
    </row>
    <row r="3122" spans="1:5" ht="14.4" x14ac:dyDescent="0.25">
      <c r="A3122" s="4">
        <v>3120</v>
      </c>
      <c r="B3122" s="2" t="str">
        <f>"3251202108101433495196"</f>
        <v>3251202108101433495196</v>
      </c>
      <c r="C3122" s="2" t="s">
        <v>50</v>
      </c>
      <c r="D3122" s="2" t="str">
        <f>"吴阳丽"</f>
        <v>吴阳丽</v>
      </c>
      <c r="E3122" s="2" t="str">
        <f>"女"</f>
        <v>女</v>
      </c>
    </row>
    <row r="3123" spans="1:5" ht="14.4" x14ac:dyDescent="0.25">
      <c r="A3123" s="4">
        <v>3121</v>
      </c>
      <c r="B3123" s="2" t="str">
        <f>"3251202108101519365373"</f>
        <v>3251202108101519365373</v>
      </c>
      <c r="C3123" s="2" t="s">
        <v>50</v>
      </c>
      <c r="D3123" s="2" t="str">
        <f>"符春慧"</f>
        <v>符春慧</v>
      </c>
      <c r="E3123" s="2" t="str">
        <f>"女"</f>
        <v>女</v>
      </c>
    </row>
    <row r="3124" spans="1:5" ht="14.4" x14ac:dyDescent="0.25">
      <c r="A3124" s="4">
        <v>3122</v>
      </c>
      <c r="B3124" s="2" t="str">
        <f>"3251202108101706145755"</f>
        <v>3251202108101706145755</v>
      </c>
      <c r="C3124" s="2" t="s">
        <v>50</v>
      </c>
      <c r="D3124" s="2" t="str">
        <f>"羊冠华"</f>
        <v>羊冠华</v>
      </c>
      <c r="E3124" s="2" t="str">
        <f>"男"</f>
        <v>男</v>
      </c>
    </row>
    <row r="3125" spans="1:5" ht="14.4" x14ac:dyDescent="0.25">
      <c r="A3125" s="4">
        <v>3123</v>
      </c>
      <c r="B3125" s="2" t="str">
        <f>"3251202108101744395879"</f>
        <v>3251202108101744395879</v>
      </c>
      <c r="C3125" s="2" t="s">
        <v>50</v>
      </c>
      <c r="D3125" s="2" t="str">
        <f>"符晓忠"</f>
        <v>符晓忠</v>
      </c>
      <c r="E3125" s="2" t="str">
        <f>"男"</f>
        <v>男</v>
      </c>
    </row>
    <row r="3126" spans="1:5" ht="14.4" x14ac:dyDescent="0.25">
      <c r="A3126" s="4">
        <v>3124</v>
      </c>
      <c r="B3126" s="2" t="str">
        <f>"3251202108101946476136"</f>
        <v>3251202108101946476136</v>
      </c>
      <c r="C3126" s="2" t="s">
        <v>50</v>
      </c>
      <c r="D3126" s="2" t="str">
        <f>"符家美"</f>
        <v>符家美</v>
      </c>
      <c r="E3126" s="2" t="str">
        <f>"女"</f>
        <v>女</v>
      </c>
    </row>
    <row r="3127" spans="1:5" ht="14.4" x14ac:dyDescent="0.25">
      <c r="A3127" s="4">
        <v>3125</v>
      </c>
      <c r="B3127" s="2" t="str">
        <f>"3251202108102112386307"</f>
        <v>3251202108102112386307</v>
      </c>
      <c r="C3127" s="2" t="s">
        <v>50</v>
      </c>
      <c r="D3127" s="2" t="str">
        <f>"曾小钻"</f>
        <v>曾小钻</v>
      </c>
      <c r="E3127" s="2" t="str">
        <f>"女"</f>
        <v>女</v>
      </c>
    </row>
    <row r="3128" spans="1:5" ht="14.4" x14ac:dyDescent="0.25">
      <c r="A3128" s="4">
        <v>3126</v>
      </c>
      <c r="B3128" s="2" t="str">
        <f>"3251202108111003046855"</f>
        <v>3251202108111003046855</v>
      </c>
      <c r="C3128" s="2" t="s">
        <v>50</v>
      </c>
      <c r="D3128" s="2" t="str">
        <f>"符晓达"</f>
        <v>符晓达</v>
      </c>
      <c r="E3128" s="2" t="str">
        <f>"男"</f>
        <v>男</v>
      </c>
    </row>
    <row r="3129" spans="1:5" ht="14.4" x14ac:dyDescent="0.25">
      <c r="A3129" s="4">
        <v>3127</v>
      </c>
      <c r="B3129" s="2" t="str">
        <f>"3251202108111250317199"</f>
        <v>3251202108111250317199</v>
      </c>
      <c r="C3129" s="2" t="s">
        <v>50</v>
      </c>
      <c r="D3129" s="2" t="str">
        <f>"李良"</f>
        <v>李良</v>
      </c>
      <c r="E3129" s="2" t="str">
        <f>"男"</f>
        <v>男</v>
      </c>
    </row>
    <row r="3130" spans="1:5" ht="14.4" x14ac:dyDescent="0.25">
      <c r="A3130" s="4">
        <v>3128</v>
      </c>
      <c r="B3130" s="2" t="str">
        <f>"3251202108111518177394"</f>
        <v>3251202108111518177394</v>
      </c>
      <c r="C3130" s="2" t="s">
        <v>50</v>
      </c>
      <c r="D3130" s="2" t="str">
        <f>"董玉梅"</f>
        <v>董玉梅</v>
      </c>
      <c r="E3130" s="2" t="str">
        <f>"女"</f>
        <v>女</v>
      </c>
    </row>
    <row r="3131" spans="1:5" ht="14.4" x14ac:dyDescent="0.25">
      <c r="A3131" s="4">
        <v>3129</v>
      </c>
      <c r="B3131" s="2" t="str">
        <f>"3251202108112013587857"</f>
        <v>3251202108112013587857</v>
      </c>
      <c r="C3131" s="2" t="s">
        <v>50</v>
      </c>
      <c r="D3131" s="2" t="str">
        <f>"叶运飞"</f>
        <v>叶运飞</v>
      </c>
      <c r="E3131" s="2" t="str">
        <f>"男"</f>
        <v>男</v>
      </c>
    </row>
    <row r="3132" spans="1:5" ht="14.4" x14ac:dyDescent="0.25">
      <c r="A3132" s="4">
        <v>3130</v>
      </c>
      <c r="B3132" s="2" t="str">
        <f>"3251202108120820348186"</f>
        <v>3251202108120820348186</v>
      </c>
      <c r="C3132" s="2" t="s">
        <v>50</v>
      </c>
      <c r="D3132" s="2" t="str">
        <f>"符丹青"</f>
        <v>符丹青</v>
      </c>
      <c r="E3132" s="2" t="str">
        <f>"男"</f>
        <v>男</v>
      </c>
    </row>
    <row r="3133" spans="1:5" ht="14.4" x14ac:dyDescent="0.25">
      <c r="A3133" s="4">
        <v>3131</v>
      </c>
      <c r="B3133" s="2" t="str">
        <f>"3251202108121501448848"</f>
        <v>3251202108121501448848</v>
      </c>
      <c r="C3133" s="2" t="s">
        <v>50</v>
      </c>
      <c r="D3133" s="2" t="str">
        <f>"刘泽棉"</f>
        <v>刘泽棉</v>
      </c>
      <c r="E3133" s="2" t="str">
        <f>"男"</f>
        <v>男</v>
      </c>
    </row>
    <row r="3134" spans="1:5" ht="14.4" x14ac:dyDescent="0.25">
      <c r="A3134" s="4">
        <v>3132</v>
      </c>
      <c r="B3134" s="2" t="str">
        <f>"3251202108130827249510"</f>
        <v>3251202108130827249510</v>
      </c>
      <c r="C3134" s="2" t="s">
        <v>50</v>
      </c>
      <c r="D3134" s="2" t="str">
        <f>"符思思"</f>
        <v>符思思</v>
      </c>
      <c r="E3134" s="2" t="str">
        <f>"女"</f>
        <v>女</v>
      </c>
    </row>
    <row r="3135" spans="1:5" ht="14.4" x14ac:dyDescent="0.25">
      <c r="A3135" s="4">
        <v>3133</v>
      </c>
      <c r="B3135" s="2" t="str">
        <f>"3251202108131002119624"</f>
        <v>3251202108131002119624</v>
      </c>
      <c r="C3135" s="2" t="s">
        <v>50</v>
      </c>
      <c r="D3135" s="2" t="str">
        <f>"王明勋"</f>
        <v>王明勋</v>
      </c>
      <c r="E3135" s="2" t="str">
        <f>"男"</f>
        <v>男</v>
      </c>
    </row>
    <row r="3136" spans="1:5" ht="14.4" x14ac:dyDescent="0.25">
      <c r="A3136" s="4">
        <v>3134</v>
      </c>
      <c r="B3136" s="2" t="str">
        <f>"3251202108131007109627"</f>
        <v>3251202108131007109627</v>
      </c>
      <c r="C3136" s="2" t="s">
        <v>50</v>
      </c>
      <c r="D3136" s="2" t="str">
        <f>"符师"</f>
        <v>符师</v>
      </c>
      <c r="E3136" s="2" t="str">
        <f>"男"</f>
        <v>男</v>
      </c>
    </row>
    <row r="3137" spans="1:5" ht="14.4" x14ac:dyDescent="0.25">
      <c r="A3137" s="4">
        <v>3135</v>
      </c>
      <c r="B3137" s="2" t="str">
        <f>"3251202108131150569775"</f>
        <v>3251202108131150569775</v>
      </c>
      <c r="C3137" s="2" t="s">
        <v>50</v>
      </c>
      <c r="D3137" s="2" t="str">
        <f>"符梦兰"</f>
        <v>符梦兰</v>
      </c>
      <c r="E3137" s="2" t="str">
        <f>"女"</f>
        <v>女</v>
      </c>
    </row>
    <row r="3138" spans="1:5" ht="14.4" x14ac:dyDescent="0.25">
      <c r="A3138" s="4">
        <v>3136</v>
      </c>
      <c r="B3138" s="2" t="str">
        <f>"3251202108131547359979"</f>
        <v>3251202108131547359979</v>
      </c>
      <c r="C3138" s="2" t="s">
        <v>50</v>
      </c>
      <c r="D3138" s="2" t="str">
        <f>"韦微"</f>
        <v>韦微</v>
      </c>
      <c r="E3138" s="2" t="str">
        <f>"女"</f>
        <v>女</v>
      </c>
    </row>
    <row r="3139" spans="1:5" ht="14.4" x14ac:dyDescent="0.25">
      <c r="A3139" s="4">
        <v>3137</v>
      </c>
      <c r="B3139" s="2" t="str">
        <f>"32512021081317190810100"</f>
        <v>32512021081317190810100</v>
      </c>
      <c r="C3139" s="2" t="s">
        <v>50</v>
      </c>
      <c r="D3139" s="2" t="str">
        <f>"符智槟"</f>
        <v>符智槟</v>
      </c>
      <c r="E3139" s="2" t="str">
        <f>"男"</f>
        <v>男</v>
      </c>
    </row>
    <row r="3140" spans="1:5" ht="14.4" x14ac:dyDescent="0.25">
      <c r="A3140" s="4">
        <v>3138</v>
      </c>
      <c r="B3140" s="2" t="str">
        <f>"32512021081421072810838"</f>
        <v>32512021081421072810838</v>
      </c>
      <c r="C3140" s="2" t="s">
        <v>50</v>
      </c>
      <c r="D3140" s="2" t="str">
        <f>"卢镇玉"</f>
        <v>卢镇玉</v>
      </c>
      <c r="E3140" s="2" t="str">
        <f t="shared" ref="E3140:E3145" si="90">"女"</f>
        <v>女</v>
      </c>
    </row>
    <row r="3141" spans="1:5" ht="14.4" x14ac:dyDescent="0.25">
      <c r="A3141" s="4">
        <v>3139</v>
      </c>
      <c r="B3141" s="2" t="str">
        <f>"32512021081516511211270"</f>
        <v>32512021081516511211270</v>
      </c>
      <c r="C3141" s="2" t="s">
        <v>50</v>
      </c>
      <c r="D3141" s="2" t="str">
        <f>"符淑婷"</f>
        <v>符淑婷</v>
      </c>
      <c r="E3141" s="2" t="str">
        <f t="shared" si="90"/>
        <v>女</v>
      </c>
    </row>
    <row r="3142" spans="1:5" ht="14.4" x14ac:dyDescent="0.25">
      <c r="A3142" s="4">
        <v>3140</v>
      </c>
      <c r="B3142" s="2" t="str">
        <f>"32512021081610414312333"</f>
        <v>32512021081610414312333</v>
      </c>
      <c r="C3142" s="2" t="s">
        <v>50</v>
      </c>
      <c r="D3142" s="2" t="str">
        <f>"符海燕"</f>
        <v>符海燕</v>
      </c>
      <c r="E3142" s="2" t="str">
        <f t="shared" si="90"/>
        <v>女</v>
      </c>
    </row>
    <row r="3143" spans="1:5" ht="14.4" x14ac:dyDescent="0.25">
      <c r="A3143" s="4">
        <v>3141</v>
      </c>
      <c r="B3143" s="2" t="str">
        <f>"32512021081610440512347"</f>
        <v>32512021081610440512347</v>
      </c>
      <c r="C3143" s="2" t="s">
        <v>50</v>
      </c>
      <c r="D3143" s="2" t="str">
        <f>"王杏"</f>
        <v>王杏</v>
      </c>
      <c r="E3143" s="2" t="str">
        <f t="shared" si="90"/>
        <v>女</v>
      </c>
    </row>
    <row r="3144" spans="1:5" ht="14.4" x14ac:dyDescent="0.25">
      <c r="A3144" s="4">
        <v>3142</v>
      </c>
      <c r="B3144" s="2" t="str">
        <f>"32512021081613372612849"</f>
        <v>32512021081613372612849</v>
      </c>
      <c r="C3144" s="2" t="s">
        <v>50</v>
      </c>
      <c r="D3144" s="2" t="str">
        <f>"王柳纳"</f>
        <v>王柳纳</v>
      </c>
      <c r="E3144" s="2" t="str">
        <f t="shared" si="90"/>
        <v>女</v>
      </c>
    </row>
    <row r="3145" spans="1:5" ht="14.4" x14ac:dyDescent="0.25">
      <c r="A3145" s="4">
        <v>3143</v>
      </c>
      <c r="B3145" s="2" t="str">
        <f>"3251202108101117264633"</f>
        <v>3251202108101117264633</v>
      </c>
      <c r="C3145" s="2" t="s">
        <v>51</v>
      </c>
      <c r="D3145" s="2" t="str">
        <f>"黄晨"</f>
        <v>黄晨</v>
      </c>
      <c r="E3145" s="2" t="str">
        <f t="shared" si="90"/>
        <v>女</v>
      </c>
    </row>
    <row r="3146" spans="1:5" ht="14.4" x14ac:dyDescent="0.25">
      <c r="A3146" s="4">
        <v>3144</v>
      </c>
      <c r="B3146" s="2" t="str">
        <f>"3251202108130940069598"</f>
        <v>3251202108130940069598</v>
      </c>
      <c r="C3146" s="2" t="s">
        <v>51</v>
      </c>
      <c r="D3146" s="2" t="str">
        <f>"欧阳文凯"</f>
        <v>欧阳文凯</v>
      </c>
      <c r="E3146" s="2" t="str">
        <f>"男"</f>
        <v>男</v>
      </c>
    </row>
    <row r="3147" spans="1:5" ht="14.4" x14ac:dyDescent="0.25">
      <c r="A3147" s="4">
        <v>3145</v>
      </c>
      <c r="B3147" s="2" t="str">
        <f>"3251202108100909543842"</f>
        <v>3251202108100909543842</v>
      </c>
      <c r="C3147" s="2" t="s">
        <v>52</v>
      </c>
      <c r="D3147" s="2" t="str">
        <f>"刘青"</f>
        <v>刘青</v>
      </c>
      <c r="E3147" s="2" t="str">
        <f>"女"</f>
        <v>女</v>
      </c>
    </row>
    <row r="3148" spans="1:5" ht="14.4" x14ac:dyDescent="0.25">
      <c r="A3148" s="4">
        <v>3146</v>
      </c>
      <c r="B3148" s="2" t="str">
        <f>"3251202108100913523883"</f>
        <v>3251202108100913523883</v>
      </c>
      <c r="C3148" s="2" t="s">
        <v>52</v>
      </c>
      <c r="D3148" s="2" t="str">
        <f>"吴世宁"</f>
        <v>吴世宁</v>
      </c>
      <c r="E3148" s="2" t="str">
        <f>"男"</f>
        <v>男</v>
      </c>
    </row>
    <row r="3149" spans="1:5" ht="14.4" x14ac:dyDescent="0.25">
      <c r="A3149" s="4">
        <v>3147</v>
      </c>
      <c r="B3149" s="2" t="str">
        <f>"3251202108100916083905"</f>
        <v>3251202108100916083905</v>
      </c>
      <c r="C3149" s="2" t="s">
        <v>52</v>
      </c>
      <c r="D3149" s="2" t="str">
        <f>"高晓芹"</f>
        <v>高晓芹</v>
      </c>
      <c r="E3149" s="2" t="str">
        <f>"女"</f>
        <v>女</v>
      </c>
    </row>
    <row r="3150" spans="1:5" ht="14.4" x14ac:dyDescent="0.25">
      <c r="A3150" s="4">
        <v>3148</v>
      </c>
      <c r="B3150" s="2" t="str">
        <f>"3251202108100944064111"</f>
        <v>3251202108100944064111</v>
      </c>
      <c r="C3150" s="2" t="s">
        <v>52</v>
      </c>
      <c r="D3150" s="2" t="str">
        <f>"符臣锋"</f>
        <v>符臣锋</v>
      </c>
      <c r="E3150" s="2" t="str">
        <f>"男"</f>
        <v>男</v>
      </c>
    </row>
    <row r="3151" spans="1:5" ht="14.4" x14ac:dyDescent="0.25">
      <c r="A3151" s="4">
        <v>3149</v>
      </c>
      <c r="B3151" s="2" t="str">
        <f>"3251202108101013154305"</f>
        <v>3251202108101013154305</v>
      </c>
      <c r="C3151" s="2" t="s">
        <v>52</v>
      </c>
      <c r="D3151" s="2" t="str">
        <f>"王海燕"</f>
        <v>王海燕</v>
      </c>
      <c r="E3151" s="2" t="str">
        <f>"女"</f>
        <v>女</v>
      </c>
    </row>
    <row r="3152" spans="1:5" ht="14.4" x14ac:dyDescent="0.25">
      <c r="A3152" s="4">
        <v>3150</v>
      </c>
      <c r="B3152" s="2" t="str">
        <f>"3251202108101033264413"</f>
        <v>3251202108101033264413</v>
      </c>
      <c r="C3152" s="2" t="s">
        <v>52</v>
      </c>
      <c r="D3152" s="2" t="str">
        <f>"符俊清"</f>
        <v>符俊清</v>
      </c>
      <c r="E3152" s="2" t="str">
        <f>"男"</f>
        <v>男</v>
      </c>
    </row>
    <row r="3153" spans="1:5" ht="14.4" x14ac:dyDescent="0.25">
      <c r="A3153" s="4">
        <v>3151</v>
      </c>
      <c r="B3153" s="2" t="str">
        <f>"3251202108101121324650"</f>
        <v>3251202108101121324650</v>
      </c>
      <c r="C3153" s="2" t="s">
        <v>52</v>
      </c>
      <c r="D3153" s="2" t="str">
        <f>"符慧娇"</f>
        <v>符慧娇</v>
      </c>
      <c r="E3153" s="2" t="str">
        <f>"女"</f>
        <v>女</v>
      </c>
    </row>
    <row r="3154" spans="1:5" ht="14.4" x14ac:dyDescent="0.25">
      <c r="A3154" s="4">
        <v>3152</v>
      </c>
      <c r="B3154" s="2" t="str">
        <f>"3251202108101138494737"</f>
        <v>3251202108101138494737</v>
      </c>
      <c r="C3154" s="2" t="s">
        <v>52</v>
      </c>
      <c r="D3154" s="2" t="str">
        <f>"刘佳佳"</f>
        <v>刘佳佳</v>
      </c>
      <c r="E3154" s="2" t="str">
        <f>"女"</f>
        <v>女</v>
      </c>
    </row>
    <row r="3155" spans="1:5" ht="14.4" x14ac:dyDescent="0.25">
      <c r="A3155" s="4">
        <v>3153</v>
      </c>
      <c r="B3155" s="2" t="str">
        <f>"3251202108101422545161"</f>
        <v>3251202108101422545161</v>
      </c>
      <c r="C3155" s="2" t="s">
        <v>52</v>
      </c>
      <c r="D3155" s="2" t="str">
        <f>"符良民"</f>
        <v>符良民</v>
      </c>
      <c r="E3155" s="2" t="str">
        <f>"男"</f>
        <v>男</v>
      </c>
    </row>
    <row r="3156" spans="1:5" ht="14.4" x14ac:dyDescent="0.25">
      <c r="A3156" s="4">
        <v>3154</v>
      </c>
      <c r="B3156" s="2" t="str">
        <f>"3251202108101443505234"</f>
        <v>3251202108101443505234</v>
      </c>
      <c r="C3156" s="2" t="s">
        <v>52</v>
      </c>
      <c r="D3156" s="2" t="str">
        <f>"何智宏"</f>
        <v>何智宏</v>
      </c>
      <c r="E3156" s="2" t="str">
        <f>"男"</f>
        <v>男</v>
      </c>
    </row>
    <row r="3157" spans="1:5" ht="14.4" x14ac:dyDescent="0.25">
      <c r="A3157" s="4">
        <v>3155</v>
      </c>
      <c r="B3157" s="2" t="str">
        <f>"3251202108101538445428"</f>
        <v>3251202108101538445428</v>
      </c>
      <c r="C3157" s="2" t="s">
        <v>52</v>
      </c>
      <c r="D3157" s="2" t="str">
        <f>"符舒"</f>
        <v>符舒</v>
      </c>
      <c r="E3157" s="2" t="str">
        <f>"女"</f>
        <v>女</v>
      </c>
    </row>
    <row r="3158" spans="1:5" ht="14.4" x14ac:dyDescent="0.25">
      <c r="A3158" s="4">
        <v>3156</v>
      </c>
      <c r="B3158" s="2" t="str">
        <f>"3251202108101556445484"</f>
        <v>3251202108101556445484</v>
      </c>
      <c r="C3158" s="2" t="s">
        <v>52</v>
      </c>
      <c r="D3158" s="2" t="str">
        <f>"曾秋大"</f>
        <v>曾秋大</v>
      </c>
      <c r="E3158" s="2" t="str">
        <f>"男"</f>
        <v>男</v>
      </c>
    </row>
    <row r="3159" spans="1:5" ht="14.4" x14ac:dyDescent="0.25">
      <c r="A3159" s="4">
        <v>3157</v>
      </c>
      <c r="B3159" s="2" t="str">
        <f>"3251202108101641495659"</f>
        <v>3251202108101641495659</v>
      </c>
      <c r="C3159" s="2" t="s">
        <v>52</v>
      </c>
      <c r="D3159" s="2" t="str">
        <f>"陈海玉"</f>
        <v>陈海玉</v>
      </c>
      <c r="E3159" s="2" t="str">
        <f>"女"</f>
        <v>女</v>
      </c>
    </row>
    <row r="3160" spans="1:5" ht="14.4" x14ac:dyDescent="0.25">
      <c r="A3160" s="4">
        <v>3158</v>
      </c>
      <c r="B3160" s="2" t="str">
        <f>"3251202108101642455666"</f>
        <v>3251202108101642455666</v>
      </c>
      <c r="C3160" s="2" t="s">
        <v>52</v>
      </c>
      <c r="D3160" s="2" t="str">
        <f>"刘晓欢"</f>
        <v>刘晓欢</v>
      </c>
      <c r="E3160" s="2" t="str">
        <f>"女"</f>
        <v>女</v>
      </c>
    </row>
    <row r="3161" spans="1:5" ht="14.4" x14ac:dyDescent="0.25">
      <c r="A3161" s="4">
        <v>3159</v>
      </c>
      <c r="B3161" s="2" t="str">
        <f>"3251202108101654375707"</f>
        <v>3251202108101654375707</v>
      </c>
      <c r="C3161" s="2" t="s">
        <v>52</v>
      </c>
      <c r="D3161" s="2" t="str">
        <f>"甘艳婷"</f>
        <v>甘艳婷</v>
      </c>
      <c r="E3161" s="2" t="str">
        <f>"女"</f>
        <v>女</v>
      </c>
    </row>
    <row r="3162" spans="1:5" ht="14.4" x14ac:dyDescent="0.25">
      <c r="A3162" s="4">
        <v>3160</v>
      </c>
      <c r="B3162" s="2" t="str">
        <f>"3251202108101654385708"</f>
        <v>3251202108101654385708</v>
      </c>
      <c r="C3162" s="2" t="s">
        <v>52</v>
      </c>
      <c r="D3162" s="2" t="str">
        <f>"林思源"</f>
        <v>林思源</v>
      </c>
      <c r="E3162" s="2" t="str">
        <f>"男"</f>
        <v>男</v>
      </c>
    </row>
    <row r="3163" spans="1:5" ht="14.4" x14ac:dyDescent="0.25">
      <c r="A3163" s="4">
        <v>3161</v>
      </c>
      <c r="B3163" s="2" t="str">
        <f>"3251202108101734225843"</f>
        <v>3251202108101734225843</v>
      </c>
      <c r="C3163" s="2" t="s">
        <v>52</v>
      </c>
      <c r="D3163" s="2" t="str">
        <f>"符玉爽"</f>
        <v>符玉爽</v>
      </c>
      <c r="E3163" s="2" t="str">
        <f>"女"</f>
        <v>女</v>
      </c>
    </row>
    <row r="3164" spans="1:5" ht="14.4" x14ac:dyDescent="0.25">
      <c r="A3164" s="4">
        <v>3162</v>
      </c>
      <c r="B3164" s="2" t="str">
        <f>"3251202108101837505980"</f>
        <v>3251202108101837505980</v>
      </c>
      <c r="C3164" s="2" t="s">
        <v>52</v>
      </c>
      <c r="D3164" s="2" t="str">
        <f>"符建君"</f>
        <v>符建君</v>
      </c>
      <c r="E3164" s="2" t="str">
        <f>"男"</f>
        <v>男</v>
      </c>
    </row>
    <row r="3165" spans="1:5" ht="14.4" x14ac:dyDescent="0.25">
      <c r="A3165" s="4">
        <v>3163</v>
      </c>
      <c r="B3165" s="2" t="str">
        <f>"3251202108102022336209"</f>
        <v>3251202108102022336209</v>
      </c>
      <c r="C3165" s="2" t="s">
        <v>52</v>
      </c>
      <c r="D3165" s="2" t="str">
        <f>"符家月"</f>
        <v>符家月</v>
      </c>
      <c r="E3165" s="2" t="str">
        <f>"女"</f>
        <v>女</v>
      </c>
    </row>
    <row r="3166" spans="1:5" ht="14.4" x14ac:dyDescent="0.25">
      <c r="A3166" s="4">
        <v>3164</v>
      </c>
      <c r="B3166" s="2" t="str">
        <f>"3251202108110805026578"</f>
        <v>3251202108110805026578</v>
      </c>
      <c r="C3166" s="2" t="s">
        <v>52</v>
      </c>
      <c r="D3166" s="2" t="str">
        <f>"刘文理"</f>
        <v>刘文理</v>
      </c>
      <c r="E3166" s="2" t="str">
        <f>"男"</f>
        <v>男</v>
      </c>
    </row>
    <row r="3167" spans="1:5" ht="14.4" x14ac:dyDescent="0.25">
      <c r="A3167" s="4">
        <v>3165</v>
      </c>
      <c r="B3167" s="2" t="str">
        <f>"3251202108111018226892"</f>
        <v>3251202108111018226892</v>
      </c>
      <c r="C3167" s="2" t="s">
        <v>52</v>
      </c>
      <c r="D3167" s="2" t="str">
        <f>"符土园"</f>
        <v>符土园</v>
      </c>
      <c r="E3167" s="2" t="str">
        <f>"女"</f>
        <v>女</v>
      </c>
    </row>
    <row r="3168" spans="1:5" ht="14.4" x14ac:dyDescent="0.25">
      <c r="A3168" s="4">
        <v>3166</v>
      </c>
      <c r="B3168" s="2" t="str">
        <f>"3251202108111539437450"</f>
        <v>3251202108111539437450</v>
      </c>
      <c r="C3168" s="2" t="s">
        <v>52</v>
      </c>
      <c r="D3168" s="2" t="str">
        <f>"张嘉雯"</f>
        <v>张嘉雯</v>
      </c>
      <c r="E3168" s="2" t="str">
        <f>"女"</f>
        <v>女</v>
      </c>
    </row>
    <row r="3169" spans="1:5" ht="14.4" x14ac:dyDescent="0.25">
      <c r="A3169" s="4">
        <v>3167</v>
      </c>
      <c r="B3169" s="2" t="str">
        <f>"3251202108111752117677"</f>
        <v>3251202108111752117677</v>
      </c>
      <c r="C3169" s="2" t="s">
        <v>52</v>
      </c>
      <c r="D3169" s="2" t="str">
        <f>"符永良"</f>
        <v>符永良</v>
      </c>
      <c r="E3169" s="2" t="str">
        <f>"男"</f>
        <v>男</v>
      </c>
    </row>
    <row r="3170" spans="1:5" ht="14.4" x14ac:dyDescent="0.25">
      <c r="A3170" s="4">
        <v>3168</v>
      </c>
      <c r="B3170" s="2" t="str">
        <f>"3251202108111843067755"</f>
        <v>3251202108111843067755</v>
      </c>
      <c r="C3170" s="2" t="s">
        <v>52</v>
      </c>
      <c r="D3170" s="2" t="str">
        <f>"符明件"</f>
        <v>符明件</v>
      </c>
      <c r="E3170" s="2" t="str">
        <f>"男"</f>
        <v>男</v>
      </c>
    </row>
    <row r="3171" spans="1:5" ht="14.4" x14ac:dyDescent="0.25">
      <c r="A3171" s="4">
        <v>3169</v>
      </c>
      <c r="B3171" s="2" t="str">
        <f>"3251202108111944287820"</f>
        <v>3251202108111944287820</v>
      </c>
      <c r="C3171" s="2" t="s">
        <v>52</v>
      </c>
      <c r="D3171" s="2" t="str">
        <f>"符叔芬"</f>
        <v>符叔芬</v>
      </c>
      <c r="E3171" s="2" t="str">
        <f>"女"</f>
        <v>女</v>
      </c>
    </row>
    <row r="3172" spans="1:5" ht="14.4" x14ac:dyDescent="0.25">
      <c r="A3172" s="4">
        <v>3170</v>
      </c>
      <c r="B3172" s="2" t="str">
        <f>"3251202108112158338021"</f>
        <v>3251202108112158338021</v>
      </c>
      <c r="C3172" s="2" t="s">
        <v>52</v>
      </c>
      <c r="D3172" s="2" t="str">
        <f>"陈艳婷"</f>
        <v>陈艳婷</v>
      </c>
      <c r="E3172" s="2" t="str">
        <f>"女"</f>
        <v>女</v>
      </c>
    </row>
    <row r="3173" spans="1:5" ht="14.4" x14ac:dyDescent="0.25">
      <c r="A3173" s="4">
        <v>3171</v>
      </c>
      <c r="B3173" s="2" t="str">
        <f>"3251202108112221198053"</f>
        <v>3251202108112221198053</v>
      </c>
      <c r="C3173" s="2" t="s">
        <v>52</v>
      </c>
      <c r="D3173" s="2" t="str">
        <f>"符明"</f>
        <v>符明</v>
      </c>
      <c r="E3173" s="2" t="str">
        <f>"男"</f>
        <v>男</v>
      </c>
    </row>
    <row r="3174" spans="1:5" ht="14.4" x14ac:dyDescent="0.25">
      <c r="A3174" s="4">
        <v>3172</v>
      </c>
      <c r="B3174" s="2" t="str">
        <f>"3251202108120032338156"</f>
        <v>3251202108120032338156</v>
      </c>
      <c r="C3174" s="2" t="s">
        <v>52</v>
      </c>
      <c r="D3174" s="2" t="str">
        <f>"王宏妍"</f>
        <v>王宏妍</v>
      </c>
      <c r="E3174" s="2" t="str">
        <f>"女"</f>
        <v>女</v>
      </c>
    </row>
    <row r="3175" spans="1:5" ht="14.4" x14ac:dyDescent="0.25">
      <c r="A3175" s="4">
        <v>3173</v>
      </c>
      <c r="B3175" s="2" t="str">
        <f>"3251202108121048238511"</f>
        <v>3251202108121048238511</v>
      </c>
      <c r="C3175" s="2" t="s">
        <v>52</v>
      </c>
      <c r="D3175" s="2" t="str">
        <f>"符伊伊"</f>
        <v>符伊伊</v>
      </c>
      <c r="E3175" s="2" t="str">
        <f>"女"</f>
        <v>女</v>
      </c>
    </row>
    <row r="3176" spans="1:5" ht="14.4" x14ac:dyDescent="0.25">
      <c r="A3176" s="4">
        <v>3174</v>
      </c>
      <c r="B3176" s="2" t="str">
        <f>"3251202108121146518619"</f>
        <v>3251202108121146518619</v>
      </c>
      <c r="C3176" s="2" t="s">
        <v>52</v>
      </c>
      <c r="D3176" s="2" t="str">
        <f>"符德友"</f>
        <v>符德友</v>
      </c>
      <c r="E3176" s="2" t="str">
        <f>"男"</f>
        <v>男</v>
      </c>
    </row>
    <row r="3177" spans="1:5" ht="14.4" x14ac:dyDescent="0.25">
      <c r="A3177" s="4">
        <v>3175</v>
      </c>
      <c r="B3177" s="2" t="str">
        <f>"3251202108121222018656"</f>
        <v>3251202108121222018656</v>
      </c>
      <c r="C3177" s="2" t="s">
        <v>52</v>
      </c>
      <c r="D3177" s="2" t="str">
        <f>"符丽佩"</f>
        <v>符丽佩</v>
      </c>
      <c r="E3177" s="2" t="str">
        <f>"女"</f>
        <v>女</v>
      </c>
    </row>
    <row r="3178" spans="1:5" ht="14.4" x14ac:dyDescent="0.25">
      <c r="A3178" s="4">
        <v>3176</v>
      </c>
      <c r="B3178" s="2" t="str">
        <f>"3251202108121314228714"</f>
        <v>3251202108121314228714</v>
      </c>
      <c r="C3178" s="2" t="s">
        <v>52</v>
      </c>
      <c r="D3178" s="2" t="str">
        <f>"周丽虹"</f>
        <v>周丽虹</v>
      </c>
      <c r="E3178" s="2" t="str">
        <f>"女"</f>
        <v>女</v>
      </c>
    </row>
    <row r="3179" spans="1:5" ht="14.4" x14ac:dyDescent="0.25">
      <c r="A3179" s="4">
        <v>3177</v>
      </c>
      <c r="B3179" s="2" t="str">
        <f>"3251202108121616589001"</f>
        <v>3251202108121616589001</v>
      </c>
      <c r="C3179" s="2" t="s">
        <v>52</v>
      </c>
      <c r="D3179" s="2" t="str">
        <f>"符峻挺"</f>
        <v>符峻挺</v>
      </c>
      <c r="E3179" s="2" t="str">
        <f>"男"</f>
        <v>男</v>
      </c>
    </row>
    <row r="3180" spans="1:5" ht="14.4" x14ac:dyDescent="0.25">
      <c r="A3180" s="4">
        <v>3178</v>
      </c>
      <c r="B3180" s="2" t="str">
        <f>"3251202108121813419154"</f>
        <v>3251202108121813419154</v>
      </c>
      <c r="C3180" s="2" t="s">
        <v>52</v>
      </c>
      <c r="D3180" s="2" t="str">
        <f>"林华君"</f>
        <v>林华君</v>
      </c>
      <c r="E3180" s="2" t="str">
        <f>"男"</f>
        <v>男</v>
      </c>
    </row>
    <row r="3181" spans="1:5" ht="14.4" x14ac:dyDescent="0.25">
      <c r="A3181" s="4">
        <v>3179</v>
      </c>
      <c r="B3181" s="2" t="str">
        <f>"3251202108122350329460"</f>
        <v>3251202108122350329460</v>
      </c>
      <c r="C3181" s="2" t="s">
        <v>52</v>
      </c>
      <c r="D3181" s="2" t="str">
        <f>"符淑云"</f>
        <v>符淑云</v>
      </c>
      <c r="E3181" s="2" t="str">
        <f>"女"</f>
        <v>女</v>
      </c>
    </row>
    <row r="3182" spans="1:5" ht="14.4" x14ac:dyDescent="0.25">
      <c r="A3182" s="4">
        <v>3180</v>
      </c>
      <c r="B3182" s="2" t="str">
        <f>"3251202108131028319653"</f>
        <v>3251202108131028319653</v>
      </c>
      <c r="C3182" s="2" t="s">
        <v>52</v>
      </c>
      <c r="D3182" s="2" t="str">
        <f>"刘晓蝶"</f>
        <v>刘晓蝶</v>
      </c>
      <c r="E3182" s="2" t="str">
        <f>"女"</f>
        <v>女</v>
      </c>
    </row>
    <row r="3183" spans="1:5" ht="14.4" x14ac:dyDescent="0.25">
      <c r="A3183" s="4">
        <v>3181</v>
      </c>
      <c r="B3183" s="2" t="str">
        <f>"32512021081317472910130"</f>
        <v>32512021081317472910130</v>
      </c>
      <c r="C3183" s="2" t="s">
        <v>52</v>
      </c>
      <c r="D3183" s="2" t="str">
        <f>"符慧严"</f>
        <v>符慧严</v>
      </c>
      <c r="E3183" s="2" t="str">
        <f>"女"</f>
        <v>女</v>
      </c>
    </row>
    <row r="3184" spans="1:5" ht="14.4" x14ac:dyDescent="0.25">
      <c r="A3184" s="4">
        <v>3182</v>
      </c>
      <c r="B3184" s="2" t="str">
        <f>"32512021081318543710175"</f>
        <v>32512021081318543710175</v>
      </c>
      <c r="C3184" s="2" t="s">
        <v>52</v>
      </c>
      <c r="D3184" s="2" t="str">
        <f>"庞宇声"</f>
        <v>庞宇声</v>
      </c>
      <c r="E3184" s="2" t="str">
        <f>"男"</f>
        <v>男</v>
      </c>
    </row>
    <row r="3185" spans="1:5" ht="14.4" x14ac:dyDescent="0.25">
      <c r="A3185" s="4">
        <v>3183</v>
      </c>
      <c r="B3185" s="2" t="str">
        <f>"32512021081410262410451"</f>
        <v>32512021081410262410451</v>
      </c>
      <c r="C3185" s="2" t="s">
        <v>52</v>
      </c>
      <c r="D3185" s="2" t="str">
        <f>"符敏"</f>
        <v>符敏</v>
      </c>
      <c r="E3185" s="2" t="str">
        <f>"女"</f>
        <v>女</v>
      </c>
    </row>
    <row r="3186" spans="1:5" ht="14.4" x14ac:dyDescent="0.25">
      <c r="A3186" s="4">
        <v>3184</v>
      </c>
      <c r="B3186" s="2" t="str">
        <f>"32512021081412300010537"</f>
        <v>32512021081412300010537</v>
      </c>
      <c r="C3186" s="2" t="s">
        <v>52</v>
      </c>
      <c r="D3186" s="2" t="str">
        <f>"符伟峻"</f>
        <v>符伟峻</v>
      </c>
      <c r="E3186" s="2" t="str">
        <f>"男"</f>
        <v>男</v>
      </c>
    </row>
    <row r="3187" spans="1:5" ht="14.4" x14ac:dyDescent="0.25">
      <c r="A3187" s="4">
        <v>3185</v>
      </c>
      <c r="B3187" s="2" t="str">
        <f>"32512021081415352910649"</f>
        <v>32512021081415352910649</v>
      </c>
      <c r="C3187" s="2" t="s">
        <v>52</v>
      </c>
      <c r="D3187" s="2" t="str">
        <f>"杜菁菁"</f>
        <v>杜菁菁</v>
      </c>
      <c r="E3187" s="2" t="str">
        <f t="shared" ref="E3187:E3192" si="91">"女"</f>
        <v>女</v>
      </c>
    </row>
    <row r="3188" spans="1:5" ht="14.4" x14ac:dyDescent="0.25">
      <c r="A3188" s="4">
        <v>3186</v>
      </c>
      <c r="B3188" s="2" t="str">
        <f>"32512021081608353511759"</f>
        <v>32512021081608353511759</v>
      </c>
      <c r="C3188" s="2" t="s">
        <v>52</v>
      </c>
      <c r="D3188" s="2" t="str">
        <f>"刘佳"</f>
        <v>刘佳</v>
      </c>
      <c r="E3188" s="2" t="str">
        <f t="shared" si="91"/>
        <v>女</v>
      </c>
    </row>
    <row r="3189" spans="1:5" ht="14.4" x14ac:dyDescent="0.25">
      <c r="A3189" s="4">
        <v>3187</v>
      </c>
      <c r="B3189" s="2" t="str">
        <f>"32512021081612555012764"</f>
        <v>32512021081612555012764</v>
      </c>
      <c r="C3189" s="2" t="s">
        <v>52</v>
      </c>
      <c r="D3189" s="2" t="str">
        <f>"符虹怡"</f>
        <v>符虹怡</v>
      </c>
      <c r="E3189" s="2" t="str">
        <f t="shared" si="91"/>
        <v>女</v>
      </c>
    </row>
    <row r="3190" spans="1:5" ht="14.4" x14ac:dyDescent="0.25">
      <c r="A3190" s="4">
        <v>3188</v>
      </c>
      <c r="B3190" s="2" t="str">
        <f>"3251202108101010134282"</f>
        <v>3251202108101010134282</v>
      </c>
      <c r="C3190" s="2" t="s">
        <v>53</v>
      </c>
      <c r="D3190" s="2" t="str">
        <f>"谭碧瑜"</f>
        <v>谭碧瑜</v>
      </c>
      <c r="E3190" s="2" t="str">
        <f t="shared" si="91"/>
        <v>女</v>
      </c>
    </row>
    <row r="3191" spans="1:5" ht="14.4" x14ac:dyDescent="0.25">
      <c r="A3191" s="4">
        <v>3189</v>
      </c>
      <c r="B3191" s="2" t="str">
        <f>"3251202108101029164389"</f>
        <v>3251202108101029164389</v>
      </c>
      <c r="C3191" s="2" t="s">
        <v>53</v>
      </c>
      <c r="D3191" s="2" t="str">
        <f>"符晓芸"</f>
        <v>符晓芸</v>
      </c>
      <c r="E3191" s="2" t="str">
        <f t="shared" si="91"/>
        <v>女</v>
      </c>
    </row>
    <row r="3192" spans="1:5" ht="14.4" x14ac:dyDescent="0.25">
      <c r="A3192" s="4">
        <v>3190</v>
      </c>
      <c r="B3192" s="2" t="str">
        <f>"3251202108111617547519"</f>
        <v>3251202108111617547519</v>
      </c>
      <c r="C3192" s="2" t="s">
        <v>53</v>
      </c>
      <c r="D3192" s="2" t="str">
        <f>"羊小芝"</f>
        <v>羊小芝</v>
      </c>
      <c r="E3192" s="2" t="str">
        <f t="shared" si="91"/>
        <v>女</v>
      </c>
    </row>
    <row r="3193" spans="1:5" ht="14.4" x14ac:dyDescent="0.25">
      <c r="A3193" s="4">
        <v>3191</v>
      </c>
      <c r="B3193" s="2" t="str">
        <f>"3251202108111926407797"</f>
        <v>3251202108111926407797</v>
      </c>
      <c r="C3193" s="2" t="s">
        <v>53</v>
      </c>
      <c r="D3193" s="2" t="str">
        <f>"叶陈伟"</f>
        <v>叶陈伟</v>
      </c>
      <c r="E3193" s="2" t="str">
        <f>"男"</f>
        <v>男</v>
      </c>
    </row>
    <row r="3194" spans="1:5" ht="14.4" x14ac:dyDescent="0.25">
      <c r="A3194" s="4">
        <v>3192</v>
      </c>
      <c r="B3194" s="2" t="str">
        <f>"3251202108112056387926"</f>
        <v>3251202108112056387926</v>
      </c>
      <c r="C3194" s="2" t="s">
        <v>53</v>
      </c>
      <c r="D3194" s="2" t="str">
        <f>"谭玉娇"</f>
        <v>谭玉娇</v>
      </c>
      <c r="E3194" s="2" t="str">
        <f>"女"</f>
        <v>女</v>
      </c>
    </row>
    <row r="3195" spans="1:5" ht="14.4" x14ac:dyDescent="0.25">
      <c r="A3195" s="4">
        <v>3193</v>
      </c>
      <c r="B3195" s="2" t="str">
        <f>"32512021081317401710122"</f>
        <v>32512021081317401710122</v>
      </c>
      <c r="C3195" s="2" t="s">
        <v>53</v>
      </c>
      <c r="D3195" s="2" t="str">
        <f>"符小怡"</f>
        <v>符小怡</v>
      </c>
      <c r="E3195" s="2" t="str">
        <f>"女"</f>
        <v>女</v>
      </c>
    </row>
    <row r="3196" spans="1:5" ht="14.4" x14ac:dyDescent="0.25">
      <c r="A3196" s="4">
        <v>3194</v>
      </c>
      <c r="B3196" s="2" t="str">
        <f>"3251202108100905383792"</f>
        <v>3251202108100905383792</v>
      </c>
      <c r="C3196" s="2" t="s">
        <v>54</v>
      </c>
      <c r="D3196" s="2" t="str">
        <f>"王源"</f>
        <v>王源</v>
      </c>
      <c r="E3196" s="2" t="str">
        <f>"男"</f>
        <v>男</v>
      </c>
    </row>
    <row r="3197" spans="1:5" ht="14.4" x14ac:dyDescent="0.25">
      <c r="A3197" s="4">
        <v>3195</v>
      </c>
      <c r="B3197" s="2" t="str">
        <f>"3251202108100906073799"</f>
        <v>3251202108100906073799</v>
      </c>
      <c r="C3197" s="2" t="s">
        <v>54</v>
      </c>
      <c r="D3197" s="2" t="str">
        <f>"吕志强"</f>
        <v>吕志强</v>
      </c>
      <c r="E3197" s="2" t="str">
        <f>"男"</f>
        <v>男</v>
      </c>
    </row>
    <row r="3198" spans="1:5" ht="14.4" x14ac:dyDescent="0.25">
      <c r="A3198" s="4">
        <v>3196</v>
      </c>
      <c r="B3198" s="2" t="str">
        <f>"3251202108100937514070"</f>
        <v>3251202108100937514070</v>
      </c>
      <c r="C3198" s="2" t="s">
        <v>54</v>
      </c>
      <c r="D3198" s="2" t="str">
        <f>"符欣"</f>
        <v>符欣</v>
      </c>
      <c r="E3198" s="2" t="str">
        <f>"女"</f>
        <v>女</v>
      </c>
    </row>
    <row r="3199" spans="1:5" ht="14.4" x14ac:dyDescent="0.25">
      <c r="A3199" s="4">
        <v>3197</v>
      </c>
      <c r="B3199" s="2" t="str">
        <f>"3251202108100944464114"</f>
        <v>3251202108100944464114</v>
      </c>
      <c r="C3199" s="2" t="s">
        <v>54</v>
      </c>
      <c r="D3199" s="2" t="str">
        <f>"刘小温"</f>
        <v>刘小温</v>
      </c>
      <c r="E3199" s="2" t="str">
        <f>"女"</f>
        <v>女</v>
      </c>
    </row>
    <row r="3200" spans="1:5" ht="14.4" x14ac:dyDescent="0.25">
      <c r="A3200" s="4">
        <v>3198</v>
      </c>
      <c r="B3200" s="2" t="str">
        <f>"3251202108100954524191"</f>
        <v>3251202108100954524191</v>
      </c>
      <c r="C3200" s="2" t="s">
        <v>54</v>
      </c>
      <c r="D3200" s="2" t="str">
        <f>"符长再"</f>
        <v>符长再</v>
      </c>
      <c r="E3200" s="2" t="str">
        <f>"男"</f>
        <v>男</v>
      </c>
    </row>
    <row r="3201" spans="1:5" ht="14.4" x14ac:dyDescent="0.25">
      <c r="A3201" s="4">
        <v>3199</v>
      </c>
      <c r="B3201" s="2" t="str">
        <f>"3251202108101027454383"</f>
        <v>3251202108101027454383</v>
      </c>
      <c r="C3201" s="2" t="s">
        <v>54</v>
      </c>
      <c r="D3201" s="2" t="str">
        <f>"符才全"</f>
        <v>符才全</v>
      </c>
      <c r="E3201" s="2" t="str">
        <f>"男"</f>
        <v>男</v>
      </c>
    </row>
    <row r="3202" spans="1:5" ht="14.4" x14ac:dyDescent="0.25">
      <c r="A3202" s="4">
        <v>3200</v>
      </c>
      <c r="B3202" s="2" t="str">
        <f>"3251202108101031034399"</f>
        <v>3251202108101031034399</v>
      </c>
      <c r="C3202" s="2" t="s">
        <v>54</v>
      </c>
      <c r="D3202" s="2" t="str">
        <f>"符禄庭"</f>
        <v>符禄庭</v>
      </c>
      <c r="E3202" s="2" t="str">
        <f>"女"</f>
        <v>女</v>
      </c>
    </row>
    <row r="3203" spans="1:5" ht="14.4" x14ac:dyDescent="0.25">
      <c r="A3203" s="4">
        <v>3201</v>
      </c>
      <c r="B3203" s="2" t="str">
        <f>"3251202108101043404463"</f>
        <v>3251202108101043404463</v>
      </c>
      <c r="C3203" s="2" t="s">
        <v>54</v>
      </c>
      <c r="D3203" s="2" t="str">
        <f>"符怡飘"</f>
        <v>符怡飘</v>
      </c>
      <c r="E3203" s="2" t="str">
        <f>"女"</f>
        <v>女</v>
      </c>
    </row>
    <row r="3204" spans="1:5" ht="14.4" x14ac:dyDescent="0.25">
      <c r="A3204" s="4">
        <v>3202</v>
      </c>
      <c r="B3204" s="2" t="str">
        <f>"3251202108101103044556"</f>
        <v>3251202108101103044556</v>
      </c>
      <c r="C3204" s="2" t="s">
        <v>54</v>
      </c>
      <c r="D3204" s="2" t="str">
        <f>"符和琪"</f>
        <v>符和琪</v>
      </c>
      <c r="E3204" s="2" t="str">
        <f>"女"</f>
        <v>女</v>
      </c>
    </row>
    <row r="3205" spans="1:5" ht="14.4" x14ac:dyDescent="0.25">
      <c r="A3205" s="4">
        <v>3203</v>
      </c>
      <c r="B3205" s="2" t="str">
        <f>"3251202108101111494606"</f>
        <v>3251202108101111494606</v>
      </c>
      <c r="C3205" s="2" t="s">
        <v>54</v>
      </c>
      <c r="D3205" s="2" t="str">
        <f>"董文伟"</f>
        <v>董文伟</v>
      </c>
      <c r="E3205" s="2" t="str">
        <f>"男"</f>
        <v>男</v>
      </c>
    </row>
    <row r="3206" spans="1:5" ht="14.4" x14ac:dyDescent="0.25">
      <c r="A3206" s="4">
        <v>3204</v>
      </c>
      <c r="B3206" s="2" t="str">
        <f>"3251202108101128484685"</f>
        <v>3251202108101128484685</v>
      </c>
      <c r="C3206" s="2" t="s">
        <v>54</v>
      </c>
      <c r="D3206" s="2" t="str">
        <f>"张媛善"</f>
        <v>张媛善</v>
      </c>
      <c r="E3206" s="2" t="str">
        <f>"女"</f>
        <v>女</v>
      </c>
    </row>
    <row r="3207" spans="1:5" ht="14.4" x14ac:dyDescent="0.25">
      <c r="A3207" s="4">
        <v>3205</v>
      </c>
      <c r="B3207" s="2" t="str">
        <f>"3251202108101135564726"</f>
        <v>3251202108101135564726</v>
      </c>
      <c r="C3207" s="2" t="s">
        <v>54</v>
      </c>
      <c r="D3207" s="2" t="str">
        <f>"陈青娥"</f>
        <v>陈青娥</v>
      </c>
      <c r="E3207" s="2" t="str">
        <f>"女"</f>
        <v>女</v>
      </c>
    </row>
    <row r="3208" spans="1:5" ht="14.4" x14ac:dyDescent="0.25">
      <c r="A3208" s="4">
        <v>3206</v>
      </c>
      <c r="B3208" s="2" t="str">
        <f>"3251202108101137144729"</f>
        <v>3251202108101137144729</v>
      </c>
      <c r="C3208" s="2" t="s">
        <v>54</v>
      </c>
      <c r="D3208" s="2" t="str">
        <f>"唐海婷"</f>
        <v>唐海婷</v>
      </c>
      <c r="E3208" s="2" t="str">
        <f>"女"</f>
        <v>女</v>
      </c>
    </row>
    <row r="3209" spans="1:5" ht="14.4" x14ac:dyDescent="0.25">
      <c r="A3209" s="4">
        <v>3207</v>
      </c>
      <c r="B3209" s="2" t="str">
        <f>"3251202108101240544943"</f>
        <v>3251202108101240544943</v>
      </c>
      <c r="C3209" s="2" t="s">
        <v>54</v>
      </c>
      <c r="D3209" s="2" t="str">
        <f>"符翠容"</f>
        <v>符翠容</v>
      </c>
      <c r="E3209" s="2" t="str">
        <f>"女"</f>
        <v>女</v>
      </c>
    </row>
    <row r="3210" spans="1:5" ht="14.4" x14ac:dyDescent="0.25">
      <c r="A3210" s="4">
        <v>3208</v>
      </c>
      <c r="B3210" s="2" t="str">
        <f>"3251202108102118566319"</f>
        <v>3251202108102118566319</v>
      </c>
      <c r="C3210" s="2" t="s">
        <v>54</v>
      </c>
      <c r="D3210" s="2" t="str">
        <f>"何坚"</f>
        <v>何坚</v>
      </c>
      <c r="E3210" s="2" t="str">
        <f>"男"</f>
        <v>男</v>
      </c>
    </row>
    <row r="3211" spans="1:5" ht="14.4" x14ac:dyDescent="0.25">
      <c r="A3211" s="4">
        <v>3209</v>
      </c>
      <c r="B3211" s="2" t="str">
        <f>"3251202108102143156361"</f>
        <v>3251202108102143156361</v>
      </c>
      <c r="C3211" s="2" t="s">
        <v>54</v>
      </c>
      <c r="D3211" s="2" t="str">
        <f>"任国铭"</f>
        <v>任国铭</v>
      </c>
      <c r="E3211" s="2" t="str">
        <f>"男"</f>
        <v>男</v>
      </c>
    </row>
    <row r="3212" spans="1:5" ht="14.4" x14ac:dyDescent="0.25">
      <c r="A3212" s="4">
        <v>3210</v>
      </c>
      <c r="B3212" s="2" t="str">
        <f>"3251202108102157316374"</f>
        <v>3251202108102157316374</v>
      </c>
      <c r="C3212" s="2" t="s">
        <v>54</v>
      </c>
      <c r="D3212" s="2" t="str">
        <f>"符仙莲"</f>
        <v>符仙莲</v>
      </c>
      <c r="E3212" s="2" t="str">
        <f>"女"</f>
        <v>女</v>
      </c>
    </row>
    <row r="3213" spans="1:5" ht="14.4" x14ac:dyDescent="0.25">
      <c r="A3213" s="4">
        <v>3211</v>
      </c>
      <c r="B3213" s="2" t="str">
        <f>"3251202108102254436475"</f>
        <v>3251202108102254436475</v>
      </c>
      <c r="C3213" s="2" t="s">
        <v>54</v>
      </c>
      <c r="D3213" s="2" t="str">
        <f>"符帝鹊"</f>
        <v>符帝鹊</v>
      </c>
      <c r="E3213" s="2" t="str">
        <f>"男"</f>
        <v>男</v>
      </c>
    </row>
    <row r="3214" spans="1:5" ht="14.4" x14ac:dyDescent="0.25">
      <c r="A3214" s="4">
        <v>3212</v>
      </c>
      <c r="B3214" s="2" t="str">
        <f>"3251202108110901086668"</f>
        <v>3251202108110901086668</v>
      </c>
      <c r="C3214" s="2" t="s">
        <v>54</v>
      </c>
      <c r="D3214" s="2" t="str">
        <f>"刘双双"</f>
        <v>刘双双</v>
      </c>
      <c r="E3214" s="2" t="str">
        <f>"女"</f>
        <v>女</v>
      </c>
    </row>
    <row r="3215" spans="1:5" ht="14.4" x14ac:dyDescent="0.25">
      <c r="A3215" s="4">
        <v>3213</v>
      </c>
      <c r="B3215" s="2" t="str">
        <f>"3251202108111157237130"</f>
        <v>3251202108111157237130</v>
      </c>
      <c r="C3215" s="2" t="s">
        <v>54</v>
      </c>
      <c r="D3215" s="2" t="str">
        <f>"陈雪勇"</f>
        <v>陈雪勇</v>
      </c>
      <c r="E3215" s="2" t="str">
        <f>"男"</f>
        <v>男</v>
      </c>
    </row>
    <row r="3216" spans="1:5" ht="14.4" x14ac:dyDescent="0.25">
      <c r="A3216" s="4">
        <v>3214</v>
      </c>
      <c r="B3216" s="2" t="str">
        <f>"3251202108111501127360"</f>
        <v>3251202108111501127360</v>
      </c>
      <c r="C3216" s="2" t="s">
        <v>54</v>
      </c>
      <c r="D3216" s="2" t="str">
        <f>"符彩娜"</f>
        <v>符彩娜</v>
      </c>
      <c r="E3216" s="2" t="str">
        <f t="shared" ref="E3216:E3224" si="92">"女"</f>
        <v>女</v>
      </c>
    </row>
    <row r="3217" spans="1:5" ht="14.4" x14ac:dyDescent="0.25">
      <c r="A3217" s="4">
        <v>3215</v>
      </c>
      <c r="B3217" s="2" t="str">
        <f>"3251202108111622267528"</f>
        <v>3251202108111622267528</v>
      </c>
      <c r="C3217" s="2" t="s">
        <v>54</v>
      </c>
      <c r="D3217" s="2" t="str">
        <f>"陈小梅"</f>
        <v>陈小梅</v>
      </c>
      <c r="E3217" s="2" t="str">
        <f t="shared" si="92"/>
        <v>女</v>
      </c>
    </row>
    <row r="3218" spans="1:5" ht="14.4" x14ac:dyDescent="0.25">
      <c r="A3218" s="4">
        <v>3216</v>
      </c>
      <c r="B3218" s="2" t="str">
        <f>"3251202108112235448078"</f>
        <v>3251202108112235448078</v>
      </c>
      <c r="C3218" s="2" t="s">
        <v>54</v>
      </c>
      <c r="D3218" s="2" t="str">
        <f>"莫颖萍"</f>
        <v>莫颖萍</v>
      </c>
      <c r="E3218" s="2" t="str">
        <f t="shared" si="92"/>
        <v>女</v>
      </c>
    </row>
    <row r="3219" spans="1:5" ht="14.4" x14ac:dyDescent="0.25">
      <c r="A3219" s="4">
        <v>3217</v>
      </c>
      <c r="B3219" s="2" t="str">
        <f>"3251202108112321408127"</f>
        <v>3251202108112321408127</v>
      </c>
      <c r="C3219" s="2" t="s">
        <v>54</v>
      </c>
      <c r="D3219" s="2" t="str">
        <f>"张慧清"</f>
        <v>张慧清</v>
      </c>
      <c r="E3219" s="2" t="str">
        <f t="shared" si="92"/>
        <v>女</v>
      </c>
    </row>
    <row r="3220" spans="1:5" ht="14.4" x14ac:dyDescent="0.25">
      <c r="A3220" s="4">
        <v>3218</v>
      </c>
      <c r="B3220" s="2" t="str">
        <f>"3251202108120828448197"</f>
        <v>3251202108120828448197</v>
      </c>
      <c r="C3220" s="2" t="s">
        <v>54</v>
      </c>
      <c r="D3220" s="2" t="str">
        <f>"符琼娜"</f>
        <v>符琼娜</v>
      </c>
      <c r="E3220" s="2" t="str">
        <f t="shared" si="92"/>
        <v>女</v>
      </c>
    </row>
    <row r="3221" spans="1:5" ht="14.4" x14ac:dyDescent="0.25">
      <c r="A3221" s="4">
        <v>3219</v>
      </c>
      <c r="B3221" s="2" t="str">
        <f>"3251202108120943488373"</f>
        <v>3251202108120943488373</v>
      </c>
      <c r="C3221" s="2" t="s">
        <v>54</v>
      </c>
      <c r="D3221" s="2" t="str">
        <f>"羊茵茵"</f>
        <v>羊茵茵</v>
      </c>
      <c r="E3221" s="2" t="str">
        <f t="shared" si="92"/>
        <v>女</v>
      </c>
    </row>
    <row r="3222" spans="1:5" ht="14.4" x14ac:dyDescent="0.25">
      <c r="A3222" s="4">
        <v>3220</v>
      </c>
      <c r="B3222" s="2" t="str">
        <f>"3251202108121037308482"</f>
        <v>3251202108121037308482</v>
      </c>
      <c r="C3222" s="2" t="s">
        <v>54</v>
      </c>
      <c r="D3222" s="2" t="str">
        <f>"林诗梦"</f>
        <v>林诗梦</v>
      </c>
      <c r="E3222" s="2" t="str">
        <f t="shared" si="92"/>
        <v>女</v>
      </c>
    </row>
    <row r="3223" spans="1:5" ht="14.4" x14ac:dyDescent="0.25">
      <c r="A3223" s="4">
        <v>3221</v>
      </c>
      <c r="B3223" s="2" t="str">
        <f>"3251202108121108178544"</f>
        <v>3251202108121108178544</v>
      </c>
      <c r="C3223" s="2" t="s">
        <v>54</v>
      </c>
      <c r="D3223" s="2" t="str">
        <f>"符倩莹"</f>
        <v>符倩莹</v>
      </c>
      <c r="E3223" s="2" t="str">
        <f t="shared" si="92"/>
        <v>女</v>
      </c>
    </row>
    <row r="3224" spans="1:5" ht="14.4" x14ac:dyDescent="0.25">
      <c r="A3224" s="4">
        <v>3222</v>
      </c>
      <c r="B3224" s="2" t="str">
        <f>"3251202108121119328568"</f>
        <v>3251202108121119328568</v>
      </c>
      <c r="C3224" s="2" t="s">
        <v>54</v>
      </c>
      <c r="D3224" s="2" t="str">
        <f>"陈艳寒"</f>
        <v>陈艳寒</v>
      </c>
      <c r="E3224" s="2" t="str">
        <f t="shared" si="92"/>
        <v>女</v>
      </c>
    </row>
    <row r="3225" spans="1:5" ht="14.4" x14ac:dyDescent="0.25">
      <c r="A3225" s="4">
        <v>3223</v>
      </c>
      <c r="B3225" s="2" t="str">
        <f>"3251202108121136158602"</f>
        <v>3251202108121136158602</v>
      </c>
      <c r="C3225" s="2" t="s">
        <v>54</v>
      </c>
      <c r="D3225" s="2" t="str">
        <f>"符诚国"</f>
        <v>符诚国</v>
      </c>
      <c r="E3225" s="2" t="str">
        <f>"男"</f>
        <v>男</v>
      </c>
    </row>
    <row r="3226" spans="1:5" ht="14.4" x14ac:dyDescent="0.25">
      <c r="A3226" s="4">
        <v>3224</v>
      </c>
      <c r="B3226" s="2" t="str">
        <f>"3251202108121245538684"</f>
        <v>3251202108121245538684</v>
      </c>
      <c r="C3226" s="2" t="s">
        <v>54</v>
      </c>
      <c r="D3226" s="2" t="str">
        <f>"杨婷"</f>
        <v>杨婷</v>
      </c>
      <c r="E3226" s="2" t="str">
        <f>"女"</f>
        <v>女</v>
      </c>
    </row>
    <row r="3227" spans="1:5" ht="14.4" x14ac:dyDescent="0.25">
      <c r="A3227" s="4">
        <v>3225</v>
      </c>
      <c r="B3227" s="2" t="str">
        <f>"3251202108121539058929"</f>
        <v>3251202108121539058929</v>
      </c>
      <c r="C3227" s="2" t="s">
        <v>54</v>
      </c>
      <c r="D3227" s="2" t="str">
        <f>"符仕琦"</f>
        <v>符仕琦</v>
      </c>
      <c r="E3227" s="2" t="str">
        <f>"女"</f>
        <v>女</v>
      </c>
    </row>
    <row r="3228" spans="1:5" ht="14.4" x14ac:dyDescent="0.25">
      <c r="A3228" s="4">
        <v>3226</v>
      </c>
      <c r="B3228" s="2" t="str">
        <f>"3251202108121539448931"</f>
        <v>3251202108121539448931</v>
      </c>
      <c r="C3228" s="2" t="s">
        <v>54</v>
      </c>
      <c r="D3228" s="2" t="str">
        <f>"邢王坤"</f>
        <v>邢王坤</v>
      </c>
      <c r="E3228" s="2" t="str">
        <f>"男"</f>
        <v>男</v>
      </c>
    </row>
    <row r="3229" spans="1:5" ht="14.4" x14ac:dyDescent="0.25">
      <c r="A3229" s="4">
        <v>3227</v>
      </c>
      <c r="B3229" s="2" t="str">
        <f>"3251202108130818339504"</f>
        <v>3251202108130818339504</v>
      </c>
      <c r="C3229" s="2" t="s">
        <v>54</v>
      </c>
      <c r="D3229" s="2" t="str">
        <f>"王振捷"</f>
        <v>王振捷</v>
      </c>
      <c r="E3229" s="2" t="str">
        <f>"男"</f>
        <v>男</v>
      </c>
    </row>
    <row r="3230" spans="1:5" ht="14.4" x14ac:dyDescent="0.25">
      <c r="A3230" s="4">
        <v>3228</v>
      </c>
      <c r="B3230" s="2" t="str">
        <f>"3251202108130958189621"</f>
        <v>3251202108130958189621</v>
      </c>
      <c r="C3230" s="2" t="s">
        <v>54</v>
      </c>
      <c r="D3230" s="2" t="str">
        <f>"叶剑奔"</f>
        <v>叶剑奔</v>
      </c>
      <c r="E3230" s="2" t="str">
        <f>"男"</f>
        <v>男</v>
      </c>
    </row>
    <row r="3231" spans="1:5" ht="14.4" x14ac:dyDescent="0.25">
      <c r="A3231" s="4">
        <v>3229</v>
      </c>
      <c r="B3231" s="2" t="str">
        <f>"32512021081410130410441"</f>
        <v>32512021081410130410441</v>
      </c>
      <c r="C3231" s="2" t="s">
        <v>54</v>
      </c>
      <c r="D3231" s="2" t="str">
        <f>"符建光"</f>
        <v>符建光</v>
      </c>
      <c r="E3231" s="2" t="str">
        <f>"男"</f>
        <v>男</v>
      </c>
    </row>
    <row r="3232" spans="1:5" ht="14.4" x14ac:dyDescent="0.25">
      <c r="A3232" s="4">
        <v>3230</v>
      </c>
      <c r="B3232" s="2" t="str">
        <f>"32512021081416244810687"</f>
        <v>32512021081416244810687</v>
      </c>
      <c r="C3232" s="2" t="s">
        <v>54</v>
      </c>
      <c r="D3232" s="2" t="str">
        <f>"符彩欣"</f>
        <v>符彩欣</v>
      </c>
      <c r="E3232" s="2" t="str">
        <f>"女"</f>
        <v>女</v>
      </c>
    </row>
    <row r="3233" spans="1:5" ht="14.4" x14ac:dyDescent="0.25">
      <c r="A3233" s="4">
        <v>3231</v>
      </c>
      <c r="B3233" s="2" t="str">
        <f>"32512021081502491710923"</f>
        <v>32512021081502491710923</v>
      </c>
      <c r="C3233" s="2" t="s">
        <v>54</v>
      </c>
      <c r="D3233" s="2" t="str">
        <f>"符浩武"</f>
        <v>符浩武</v>
      </c>
      <c r="E3233" s="2" t="str">
        <f>"男"</f>
        <v>男</v>
      </c>
    </row>
    <row r="3234" spans="1:5" ht="14.4" x14ac:dyDescent="0.25">
      <c r="A3234" s="4">
        <v>3232</v>
      </c>
      <c r="B3234" s="2" t="str">
        <f>"32512021081511581611059"</f>
        <v>32512021081511581611059</v>
      </c>
      <c r="C3234" s="2" t="s">
        <v>54</v>
      </c>
      <c r="D3234" s="2" t="str">
        <f>"董志强"</f>
        <v>董志强</v>
      </c>
      <c r="E3234" s="2" t="str">
        <f>"男"</f>
        <v>男</v>
      </c>
    </row>
    <row r="3235" spans="1:5" ht="14.4" x14ac:dyDescent="0.25">
      <c r="A3235" s="4">
        <v>3233</v>
      </c>
      <c r="B3235" s="2" t="str">
        <f>"32512021081615441413122"</f>
        <v>32512021081615441413122</v>
      </c>
      <c r="C3235" s="2" t="s">
        <v>54</v>
      </c>
      <c r="D3235" s="2" t="str">
        <f>"陈谢"</f>
        <v>陈谢</v>
      </c>
      <c r="E3235" s="2" t="str">
        <f>"女"</f>
        <v>女</v>
      </c>
    </row>
    <row r="3236" spans="1:5" ht="14.4" x14ac:dyDescent="0.25">
      <c r="A3236" s="4">
        <v>3234</v>
      </c>
      <c r="B3236" s="2" t="str">
        <f>"3251202108100908293830"</f>
        <v>3251202108100908293830</v>
      </c>
      <c r="C3236" s="2" t="s">
        <v>55</v>
      </c>
      <c r="D3236" s="2" t="str">
        <f>"麦建祥"</f>
        <v>麦建祥</v>
      </c>
      <c r="E3236" s="2" t="str">
        <f>"男"</f>
        <v>男</v>
      </c>
    </row>
    <row r="3237" spans="1:5" ht="14.4" x14ac:dyDescent="0.25">
      <c r="A3237" s="4">
        <v>3235</v>
      </c>
      <c r="B3237" s="2" t="str">
        <f>"3251202108100918033922"</f>
        <v>3251202108100918033922</v>
      </c>
      <c r="C3237" s="2" t="s">
        <v>55</v>
      </c>
      <c r="D3237" s="2" t="str">
        <f>"邹剑波"</f>
        <v>邹剑波</v>
      </c>
      <c r="E3237" s="2" t="str">
        <f>"男"</f>
        <v>男</v>
      </c>
    </row>
    <row r="3238" spans="1:5" ht="14.4" x14ac:dyDescent="0.25">
      <c r="A3238" s="4">
        <v>3236</v>
      </c>
      <c r="B3238" s="2" t="str">
        <f>"3251202108100925443987"</f>
        <v>3251202108100925443987</v>
      </c>
      <c r="C3238" s="2" t="s">
        <v>55</v>
      </c>
      <c r="D3238" s="2" t="str">
        <f>"尹智强"</f>
        <v>尹智强</v>
      </c>
      <c r="E3238" s="2" t="str">
        <f>"男"</f>
        <v>男</v>
      </c>
    </row>
    <row r="3239" spans="1:5" ht="14.4" x14ac:dyDescent="0.25">
      <c r="A3239" s="4">
        <v>3237</v>
      </c>
      <c r="B3239" s="2" t="str">
        <f>"3251202108100932054036"</f>
        <v>3251202108100932054036</v>
      </c>
      <c r="C3239" s="2" t="s">
        <v>55</v>
      </c>
      <c r="D3239" s="2" t="str">
        <f>"曾小慧"</f>
        <v>曾小慧</v>
      </c>
      <c r="E3239" s="2" t="str">
        <f>"女"</f>
        <v>女</v>
      </c>
    </row>
    <row r="3240" spans="1:5" ht="14.4" x14ac:dyDescent="0.25">
      <c r="A3240" s="4">
        <v>3238</v>
      </c>
      <c r="B3240" s="2" t="str">
        <f>"3251202108100934114052"</f>
        <v>3251202108100934114052</v>
      </c>
      <c r="C3240" s="2" t="s">
        <v>55</v>
      </c>
      <c r="D3240" s="2" t="str">
        <f>"符传东"</f>
        <v>符传东</v>
      </c>
      <c r="E3240" s="2" t="str">
        <f>"男"</f>
        <v>男</v>
      </c>
    </row>
    <row r="3241" spans="1:5" ht="14.4" x14ac:dyDescent="0.25">
      <c r="A3241" s="4">
        <v>3239</v>
      </c>
      <c r="B3241" s="2" t="str">
        <f>"3251202108100940314086"</f>
        <v>3251202108100940314086</v>
      </c>
      <c r="C3241" s="2" t="s">
        <v>55</v>
      </c>
      <c r="D3241" s="2" t="str">
        <f>"符永吉"</f>
        <v>符永吉</v>
      </c>
      <c r="E3241" s="2" t="str">
        <f>"男"</f>
        <v>男</v>
      </c>
    </row>
    <row r="3242" spans="1:5" ht="14.4" x14ac:dyDescent="0.25">
      <c r="A3242" s="4">
        <v>3240</v>
      </c>
      <c r="B3242" s="2" t="str">
        <f>"3251202108100949114153"</f>
        <v>3251202108100949114153</v>
      </c>
      <c r="C3242" s="2" t="s">
        <v>55</v>
      </c>
      <c r="D3242" s="2" t="str">
        <f>"张秀梅"</f>
        <v>张秀梅</v>
      </c>
      <c r="E3242" s="2" t="str">
        <f>"女"</f>
        <v>女</v>
      </c>
    </row>
    <row r="3243" spans="1:5" ht="14.4" x14ac:dyDescent="0.25">
      <c r="A3243" s="4">
        <v>3241</v>
      </c>
      <c r="B3243" s="2" t="str">
        <f>"3251202108100953394184"</f>
        <v>3251202108100953394184</v>
      </c>
      <c r="C3243" s="2" t="s">
        <v>55</v>
      </c>
      <c r="D3243" s="2" t="str">
        <f>"王梅"</f>
        <v>王梅</v>
      </c>
      <c r="E3243" s="2" t="str">
        <f>"女"</f>
        <v>女</v>
      </c>
    </row>
    <row r="3244" spans="1:5" ht="14.4" x14ac:dyDescent="0.25">
      <c r="A3244" s="4">
        <v>3242</v>
      </c>
      <c r="B3244" s="2" t="str">
        <f>"3251202108101044114467"</f>
        <v>3251202108101044114467</v>
      </c>
      <c r="C3244" s="2" t="s">
        <v>55</v>
      </c>
      <c r="D3244" s="2" t="str">
        <f>"黄诗婷"</f>
        <v>黄诗婷</v>
      </c>
      <c r="E3244" s="2" t="str">
        <f>"女"</f>
        <v>女</v>
      </c>
    </row>
    <row r="3245" spans="1:5" ht="14.4" x14ac:dyDescent="0.25">
      <c r="A3245" s="4">
        <v>3243</v>
      </c>
      <c r="B3245" s="2" t="str">
        <f>"3251202108101049354485"</f>
        <v>3251202108101049354485</v>
      </c>
      <c r="C3245" s="2" t="s">
        <v>55</v>
      </c>
      <c r="D3245" s="2" t="str">
        <f>"韦小寒"</f>
        <v>韦小寒</v>
      </c>
      <c r="E3245" s="2" t="str">
        <f>"女"</f>
        <v>女</v>
      </c>
    </row>
    <row r="3246" spans="1:5" ht="14.4" x14ac:dyDescent="0.25">
      <c r="A3246" s="4">
        <v>3244</v>
      </c>
      <c r="B3246" s="2" t="str">
        <f>"3251202108101109464590"</f>
        <v>3251202108101109464590</v>
      </c>
      <c r="C3246" s="2" t="s">
        <v>55</v>
      </c>
      <c r="D3246" s="2" t="str">
        <f>"吴梦玉"</f>
        <v>吴梦玉</v>
      </c>
      <c r="E3246" s="2" t="str">
        <f>"女"</f>
        <v>女</v>
      </c>
    </row>
    <row r="3247" spans="1:5" ht="14.4" x14ac:dyDescent="0.25">
      <c r="A3247" s="4">
        <v>3245</v>
      </c>
      <c r="B3247" s="2" t="str">
        <f>"3251202108101147404773"</f>
        <v>3251202108101147404773</v>
      </c>
      <c r="C3247" s="2" t="s">
        <v>55</v>
      </c>
      <c r="D3247" s="2" t="str">
        <f>"符文熙"</f>
        <v>符文熙</v>
      </c>
      <c r="E3247" s="2" t="str">
        <f>"男"</f>
        <v>男</v>
      </c>
    </row>
    <row r="3248" spans="1:5" ht="14.4" x14ac:dyDescent="0.25">
      <c r="A3248" s="4">
        <v>3246</v>
      </c>
      <c r="B3248" s="2" t="str">
        <f>"3251202108101241584945"</f>
        <v>3251202108101241584945</v>
      </c>
      <c r="C3248" s="2" t="s">
        <v>55</v>
      </c>
      <c r="D3248" s="2" t="str">
        <f>"何廉斌"</f>
        <v>何廉斌</v>
      </c>
      <c r="E3248" s="2" t="str">
        <f>"男"</f>
        <v>男</v>
      </c>
    </row>
    <row r="3249" spans="1:5" ht="14.4" x14ac:dyDescent="0.25">
      <c r="A3249" s="4">
        <v>3247</v>
      </c>
      <c r="B3249" s="2" t="str">
        <f>"3251202108101309285006"</f>
        <v>3251202108101309285006</v>
      </c>
      <c r="C3249" s="2" t="s">
        <v>55</v>
      </c>
      <c r="D3249" s="2" t="str">
        <f>"孙春连"</f>
        <v>孙春连</v>
      </c>
      <c r="E3249" s="2" t="str">
        <f>"女"</f>
        <v>女</v>
      </c>
    </row>
    <row r="3250" spans="1:5" ht="14.4" x14ac:dyDescent="0.25">
      <c r="A3250" s="4">
        <v>3248</v>
      </c>
      <c r="B3250" s="2" t="str">
        <f>"3251202108101448195251"</f>
        <v>3251202108101448195251</v>
      </c>
      <c r="C3250" s="2" t="s">
        <v>55</v>
      </c>
      <c r="D3250" s="2" t="str">
        <f>"吴丹卉"</f>
        <v>吴丹卉</v>
      </c>
      <c r="E3250" s="2" t="str">
        <f>"女"</f>
        <v>女</v>
      </c>
    </row>
    <row r="3251" spans="1:5" ht="14.4" x14ac:dyDescent="0.25">
      <c r="A3251" s="4">
        <v>3249</v>
      </c>
      <c r="B3251" s="2" t="str">
        <f>"3251202108101530415406"</f>
        <v>3251202108101530415406</v>
      </c>
      <c r="C3251" s="2" t="s">
        <v>55</v>
      </c>
      <c r="D3251" s="2" t="str">
        <f>"李帆"</f>
        <v>李帆</v>
      </c>
      <c r="E3251" s="2" t="str">
        <f>"男"</f>
        <v>男</v>
      </c>
    </row>
    <row r="3252" spans="1:5" ht="14.4" x14ac:dyDescent="0.25">
      <c r="A3252" s="4">
        <v>3250</v>
      </c>
      <c r="B3252" s="2" t="str">
        <f>"3251202108101602405511"</f>
        <v>3251202108101602405511</v>
      </c>
      <c r="C3252" s="2" t="s">
        <v>55</v>
      </c>
      <c r="D3252" s="2" t="str">
        <f>"黄秋煜"</f>
        <v>黄秋煜</v>
      </c>
      <c r="E3252" s="2" t="str">
        <f>"女"</f>
        <v>女</v>
      </c>
    </row>
    <row r="3253" spans="1:5" ht="14.4" x14ac:dyDescent="0.25">
      <c r="A3253" s="4">
        <v>3251</v>
      </c>
      <c r="B3253" s="2" t="str">
        <f>"3251202108101755425900"</f>
        <v>3251202108101755425900</v>
      </c>
      <c r="C3253" s="2" t="s">
        <v>55</v>
      </c>
      <c r="D3253" s="2" t="str">
        <f>"梁恩雪"</f>
        <v>梁恩雪</v>
      </c>
      <c r="E3253" s="2" t="str">
        <f>"女"</f>
        <v>女</v>
      </c>
    </row>
    <row r="3254" spans="1:5" ht="14.4" x14ac:dyDescent="0.25">
      <c r="A3254" s="4">
        <v>3252</v>
      </c>
      <c r="B3254" s="2" t="str">
        <f>"3251202108102027166219"</f>
        <v>3251202108102027166219</v>
      </c>
      <c r="C3254" s="2" t="s">
        <v>55</v>
      </c>
      <c r="D3254" s="2" t="str">
        <f>"邝丹丹"</f>
        <v>邝丹丹</v>
      </c>
      <c r="E3254" s="2" t="str">
        <f>"女"</f>
        <v>女</v>
      </c>
    </row>
    <row r="3255" spans="1:5" ht="14.4" x14ac:dyDescent="0.25">
      <c r="A3255" s="4">
        <v>3253</v>
      </c>
      <c r="B3255" s="2" t="str">
        <f>"3251202108102215446409"</f>
        <v>3251202108102215446409</v>
      </c>
      <c r="C3255" s="2" t="s">
        <v>55</v>
      </c>
      <c r="D3255" s="2" t="str">
        <f>"包莹莹"</f>
        <v>包莹莹</v>
      </c>
      <c r="E3255" s="2" t="str">
        <f>"女"</f>
        <v>女</v>
      </c>
    </row>
    <row r="3256" spans="1:5" ht="14.4" x14ac:dyDescent="0.25">
      <c r="A3256" s="4">
        <v>3254</v>
      </c>
      <c r="B3256" s="2" t="str">
        <f>"3251202108102232226437"</f>
        <v>3251202108102232226437</v>
      </c>
      <c r="C3256" s="2" t="s">
        <v>55</v>
      </c>
      <c r="D3256" s="2" t="str">
        <f>"成光梁"</f>
        <v>成光梁</v>
      </c>
      <c r="E3256" s="2" t="str">
        <f>"男"</f>
        <v>男</v>
      </c>
    </row>
    <row r="3257" spans="1:5" ht="14.4" x14ac:dyDescent="0.25">
      <c r="A3257" s="4">
        <v>3255</v>
      </c>
      <c r="B3257" s="2" t="str">
        <f>"3251202108110909476697"</f>
        <v>3251202108110909476697</v>
      </c>
      <c r="C3257" s="2" t="s">
        <v>55</v>
      </c>
      <c r="D3257" s="2" t="str">
        <f>"朱文惠"</f>
        <v>朱文惠</v>
      </c>
      <c r="E3257" s="2" t="str">
        <f>"女"</f>
        <v>女</v>
      </c>
    </row>
    <row r="3258" spans="1:5" ht="14.4" x14ac:dyDescent="0.25">
      <c r="A3258" s="4">
        <v>3256</v>
      </c>
      <c r="B3258" s="2" t="str">
        <f>"3251202108110921526727"</f>
        <v>3251202108110921526727</v>
      </c>
      <c r="C3258" s="2" t="s">
        <v>55</v>
      </c>
      <c r="D3258" s="2" t="str">
        <f>"陈慧"</f>
        <v>陈慧</v>
      </c>
      <c r="E3258" s="2" t="str">
        <f>"女"</f>
        <v>女</v>
      </c>
    </row>
    <row r="3259" spans="1:5" ht="14.4" x14ac:dyDescent="0.25">
      <c r="A3259" s="4">
        <v>3257</v>
      </c>
      <c r="B3259" s="2" t="str">
        <f>"3251202108111003256856"</f>
        <v>3251202108111003256856</v>
      </c>
      <c r="C3259" s="2" t="s">
        <v>55</v>
      </c>
      <c r="D3259" s="2" t="str">
        <f>"杨来泽"</f>
        <v>杨来泽</v>
      </c>
      <c r="E3259" s="2" t="str">
        <f>"男"</f>
        <v>男</v>
      </c>
    </row>
    <row r="3260" spans="1:5" ht="14.4" x14ac:dyDescent="0.25">
      <c r="A3260" s="4">
        <v>3258</v>
      </c>
      <c r="B3260" s="2" t="str">
        <f>"3251202108111028346917"</f>
        <v>3251202108111028346917</v>
      </c>
      <c r="C3260" s="2" t="s">
        <v>55</v>
      </c>
      <c r="D3260" s="2" t="str">
        <f>"苏红丹"</f>
        <v>苏红丹</v>
      </c>
      <c r="E3260" s="2" t="str">
        <f>"女"</f>
        <v>女</v>
      </c>
    </row>
    <row r="3261" spans="1:5" ht="14.4" x14ac:dyDescent="0.25">
      <c r="A3261" s="4">
        <v>3259</v>
      </c>
      <c r="B3261" s="2" t="str">
        <f>"3251202108111144257105"</f>
        <v>3251202108111144257105</v>
      </c>
      <c r="C3261" s="2" t="s">
        <v>55</v>
      </c>
      <c r="D3261" s="2" t="str">
        <f>"麦皓"</f>
        <v>麦皓</v>
      </c>
      <c r="E3261" s="2" t="str">
        <f>"男"</f>
        <v>男</v>
      </c>
    </row>
    <row r="3262" spans="1:5" ht="14.4" x14ac:dyDescent="0.25">
      <c r="A3262" s="4">
        <v>3260</v>
      </c>
      <c r="B3262" s="2" t="str">
        <f>"3251202108111532007429"</f>
        <v>3251202108111532007429</v>
      </c>
      <c r="C3262" s="2" t="s">
        <v>55</v>
      </c>
      <c r="D3262" s="2" t="str">
        <f>"谢芳园"</f>
        <v>谢芳园</v>
      </c>
      <c r="E3262" s="2" t="str">
        <f>"女"</f>
        <v>女</v>
      </c>
    </row>
    <row r="3263" spans="1:5" ht="14.4" x14ac:dyDescent="0.25">
      <c r="A3263" s="4">
        <v>3261</v>
      </c>
      <c r="B3263" s="2" t="str">
        <f>"3251202108111540387452"</f>
        <v>3251202108111540387452</v>
      </c>
      <c r="C3263" s="2" t="s">
        <v>55</v>
      </c>
      <c r="D3263" s="2" t="str">
        <f>"吴蕾"</f>
        <v>吴蕾</v>
      </c>
      <c r="E3263" s="2" t="str">
        <f>"女"</f>
        <v>女</v>
      </c>
    </row>
    <row r="3264" spans="1:5" ht="14.4" x14ac:dyDescent="0.25">
      <c r="A3264" s="4">
        <v>3262</v>
      </c>
      <c r="B3264" s="2" t="str">
        <f>"3251202108112102127933"</f>
        <v>3251202108112102127933</v>
      </c>
      <c r="C3264" s="2" t="s">
        <v>55</v>
      </c>
      <c r="D3264" s="2" t="str">
        <f>"谢茂忠"</f>
        <v>谢茂忠</v>
      </c>
      <c r="E3264" s="2" t="str">
        <f>"男"</f>
        <v>男</v>
      </c>
    </row>
    <row r="3265" spans="1:5" ht="14.4" x14ac:dyDescent="0.25">
      <c r="A3265" s="4">
        <v>3263</v>
      </c>
      <c r="B3265" s="2" t="str">
        <f>"3251202108120856498235"</f>
        <v>3251202108120856498235</v>
      </c>
      <c r="C3265" s="2" t="s">
        <v>55</v>
      </c>
      <c r="D3265" s="2" t="str">
        <f>"曾乙栩"</f>
        <v>曾乙栩</v>
      </c>
      <c r="E3265" s="2" t="str">
        <f>"男"</f>
        <v>男</v>
      </c>
    </row>
    <row r="3266" spans="1:5" ht="14.4" x14ac:dyDescent="0.25">
      <c r="A3266" s="4">
        <v>3264</v>
      </c>
      <c r="B3266" s="2" t="str">
        <f>"3251202108120917048295"</f>
        <v>3251202108120917048295</v>
      </c>
      <c r="C3266" s="2" t="s">
        <v>55</v>
      </c>
      <c r="D3266" s="2" t="str">
        <f>"毛存龙"</f>
        <v>毛存龙</v>
      </c>
      <c r="E3266" s="2" t="str">
        <f>"男"</f>
        <v>男</v>
      </c>
    </row>
    <row r="3267" spans="1:5" ht="14.4" x14ac:dyDescent="0.25">
      <c r="A3267" s="4">
        <v>3265</v>
      </c>
      <c r="B3267" s="2" t="str">
        <f>"3251202108121013248436"</f>
        <v>3251202108121013248436</v>
      </c>
      <c r="C3267" s="2" t="s">
        <v>55</v>
      </c>
      <c r="D3267" s="2" t="str">
        <f>"冯富强"</f>
        <v>冯富强</v>
      </c>
      <c r="E3267" s="2" t="str">
        <f>"男"</f>
        <v>男</v>
      </c>
    </row>
    <row r="3268" spans="1:5" ht="14.4" x14ac:dyDescent="0.25">
      <c r="A3268" s="4">
        <v>3266</v>
      </c>
      <c r="B3268" s="2" t="str">
        <f>"3251202108121153038626"</f>
        <v>3251202108121153038626</v>
      </c>
      <c r="C3268" s="2" t="s">
        <v>55</v>
      </c>
      <c r="D3268" s="2" t="str">
        <f>"黄春梅"</f>
        <v>黄春梅</v>
      </c>
      <c r="E3268" s="2" t="str">
        <f>"女"</f>
        <v>女</v>
      </c>
    </row>
    <row r="3269" spans="1:5" ht="14.4" x14ac:dyDescent="0.25">
      <c r="A3269" s="4">
        <v>3267</v>
      </c>
      <c r="B3269" s="2" t="str">
        <f>"3251202108121157418631"</f>
        <v>3251202108121157418631</v>
      </c>
      <c r="C3269" s="2" t="s">
        <v>55</v>
      </c>
      <c r="D3269" s="2" t="str">
        <f>"吴乾威"</f>
        <v>吴乾威</v>
      </c>
      <c r="E3269" s="2" t="str">
        <f>"男"</f>
        <v>男</v>
      </c>
    </row>
    <row r="3270" spans="1:5" ht="14.4" x14ac:dyDescent="0.25">
      <c r="A3270" s="4">
        <v>3268</v>
      </c>
      <c r="B3270" s="2" t="str">
        <f>"3251202108122129159341"</f>
        <v>3251202108122129159341</v>
      </c>
      <c r="C3270" s="2" t="s">
        <v>55</v>
      </c>
      <c r="D3270" s="2" t="str">
        <f>"陈萍"</f>
        <v>陈萍</v>
      </c>
      <c r="E3270" s="2" t="str">
        <f>"女"</f>
        <v>女</v>
      </c>
    </row>
    <row r="3271" spans="1:5" ht="14.4" x14ac:dyDescent="0.25">
      <c r="A3271" s="4">
        <v>3269</v>
      </c>
      <c r="B3271" s="2" t="str">
        <f>"3251202108130932569585"</f>
        <v>3251202108130932569585</v>
      </c>
      <c r="C3271" s="2" t="s">
        <v>55</v>
      </c>
      <c r="D3271" s="2" t="str">
        <f>"陆珊"</f>
        <v>陆珊</v>
      </c>
      <c r="E3271" s="2" t="str">
        <f>"女"</f>
        <v>女</v>
      </c>
    </row>
    <row r="3272" spans="1:5" ht="14.4" x14ac:dyDescent="0.25">
      <c r="A3272" s="4">
        <v>3270</v>
      </c>
      <c r="B3272" s="2" t="str">
        <f>"32512021081318505210173"</f>
        <v>32512021081318505210173</v>
      </c>
      <c r="C3272" s="2" t="s">
        <v>55</v>
      </c>
      <c r="D3272" s="2" t="str">
        <f>"梁晓霞"</f>
        <v>梁晓霞</v>
      </c>
      <c r="E3272" s="2" t="str">
        <f>"女"</f>
        <v>女</v>
      </c>
    </row>
    <row r="3273" spans="1:5" ht="14.4" x14ac:dyDescent="0.25">
      <c r="A3273" s="4">
        <v>3271</v>
      </c>
      <c r="B3273" s="2" t="str">
        <f>"32512021081321485110279"</f>
        <v>32512021081321485110279</v>
      </c>
      <c r="C3273" s="2" t="s">
        <v>55</v>
      </c>
      <c r="D3273" s="2" t="str">
        <f>"林师阳"</f>
        <v>林师阳</v>
      </c>
      <c r="E3273" s="2" t="str">
        <f>"男"</f>
        <v>男</v>
      </c>
    </row>
    <row r="3274" spans="1:5" ht="14.4" x14ac:dyDescent="0.25">
      <c r="A3274" s="4">
        <v>3272</v>
      </c>
      <c r="B3274" s="2" t="str">
        <f>"32512021081322453710312"</f>
        <v>32512021081322453710312</v>
      </c>
      <c r="C3274" s="2" t="s">
        <v>55</v>
      </c>
      <c r="D3274" s="2" t="str">
        <f>"顾兴林"</f>
        <v>顾兴林</v>
      </c>
      <c r="E3274" s="2" t="str">
        <f>"男"</f>
        <v>男</v>
      </c>
    </row>
    <row r="3275" spans="1:5" ht="14.4" x14ac:dyDescent="0.25">
      <c r="A3275" s="4">
        <v>3273</v>
      </c>
      <c r="B3275" s="2" t="str">
        <f>"32512021081403383010362"</f>
        <v>32512021081403383010362</v>
      </c>
      <c r="C3275" s="2" t="s">
        <v>55</v>
      </c>
      <c r="D3275" s="2" t="str">
        <f>"张玉霖"</f>
        <v>张玉霖</v>
      </c>
      <c r="E3275" s="2" t="str">
        <f>"女"</f>
        <v>女</v>
      </c>
    </row>
    <row r="3276" spans="1:5" ht="14.4" x14ac:dyDescent="0.25">
      <c r="A3276" s="4">
        <v>3274</v>
      </c>
      <c r="B3276" s="2" t="str">
        <f>"32512021081412175010532"</f>
        <v>32512021081412175010532</v>
      </c>
      <c r="C3276" s="2" t="s">
        <v>55</v>
      </c>
      <c r="D3276" s="2" t="str">
        <f>"黎明"</f>
        <v>黎明</v>
      </c>
      <c r="E3276" s="2" t="str">
        <f>"男"</f>
        <v>男</v>
      </c>
    </row>
    <row r="3277" spans="1:5" ht="14.4" x14ac:dyDescent="0.25">
      <c r="A3277" s="4">
        <v>3275</v>
      </c>
      <c r="B3277" s="2" t="str">
        <f>"32512021081419392510799"</f>
        <v>32512021081419392510799</v>
      </c>
      <c r="C3277" s="2" t="s">
        <v>55</v>
      </c>
      <c r="D3277" s="2" t="str">
        <f>"冼格格"</f>
        <v>冼格格</v>
      </c>
      <c r="E3277" s="2" t="str">
        <f>"女"</f>
        <v>女</v>
      </c>
    </row>
    <row r="3278" spans="1:5" ht="14.4" x14ac:dyDescent="0.25">
      <c r="A3278" s="4">
        <v>3276</v>
      </c>
      <c r="B3278" s="2" t="str">
        <f>"32512021081511025411021"</f>
        <v>32512021081511025411021</v>
      </c>
      <c r="C3278" s="2" t="s">
        <v>55</v>
      </c>
      <c r="D3278" s="2" t="str">
        <f>"林庚学"</f>
        <v>林庚学</v>
      </c>
      <c r="E3278" s="2" t="str">
        <f>"男"</f>
        <v>男</v>
      </c>
    </row>
    <row r="3279" spans="1:5" ht="14.4" x14ac:dyDescent="0.25">
      <c r="A3279" s="4">
        <v>3277</v>
      </c>
      <c r="B3279" s="2" t="str">
        <f>"32512021081512053511062"</f>
        <v>32512021081512053511062</v>
      </c>
      <c r="C3279" s="2" t="s">
        <v>55</v>
      </c>
      <c r="D3279" s="2" t="str">
        <f>"李达洲"</f>
        <v>李达洲</v>
      </c>
      <c r="E3279" s="2" t="str">
        <f>"男"</f>
        <v>男</v>
      </c>
    </row>
    <row r="3280" spans="1:5" ht="14.4" x14ac:dyDescent="0.25">
      <c r="A3280" s="4">
        <v>3278</v>
      </c>
      <c r="B3280" s="2" t="str">
        <f>"32512021081516214211240"</f>
        <v>32512021081516214211240</v>
      </c>
      <c r="C3280" s="2" t="s">
        <v>55</v>
      </c>
      <c r="D3280" s="2" t="str">
        <f>"黄祉丹"</f>
        <v>黄祉丹</v>
      </c>
      <c r="E3280" s="2" t="str">
        <f>"女"</f>
        <v>女</v>
      </c>
    </row>
    <row r="3281" spans="1:5" ht="14.4" x14ac:dyDescent="0.25">
      <c r="A3281" s="4">
        <v>3279</v>
      </c>
      <c r="B3281" s="2" t="str">
        <f>"32512021081600264111647"</f>
        <v>32512021081600264111647</v>
      </c>
      <c r="C3281" s="2" t="s">
        <v>55</v>
      </c>
      <c r="D3281" s="2" t="str">
        <f>"冯华强"</f>
        <v>冯华强</v>
      </c>
      <c r="E3281" s="2" t="str">
        <f>"男"</f>
        <v>男</v>
      </c>
    </row>
    <row r="3282" spans="1:5" ht="14.4" x14ac:dyDescent="0.25">
      <c r="A3282" s="4">
        <v>3280</v>
      </c>
      <c r="B3282" s="2" t="str">
        <f>"32512021081608294311746"</f>
        <v>32512021081608294311746</v>
      </c>
      <c r="C3282" s="2" t="s">
        <v>55</v>
      </c>
      <c r="D3282" s="2" t="str">
        <f>"巫仙群"</f>
        <v>巫仙群</v>
      </c>
      <c r="E3282" s="2" t="str">
        <f t="shared" ref="E3282:E3288" si="93">"女"</f>
        <v>女</v>
      </c>
    </row>
    <row r="3283" spans="1:5" ht="14.4" x14ac:dyDescent="0.25">
      <c r="A3283" s="4">
        <v>3281</v>
      </c>
      <c r="B3283" s="2" t="str">
        <f>"32512021081609064811860"</f>
        <v>32512021081609064811860</v>
      </c>
      <c r="C3283" s="2" t="s">
        <v>55</v>
      </c>
      <c r="D3283" s="2" t="str">
        <f>"黄静仪"</f>
        <v>黄静仪</v>
      </c>
      <c r="E3283" s="2" t="str">
        <f t="shared" si="93"/>
        <v>女</v>
      </c>
    </row>
    <row r="3284" spans="1:5" ht="14.4" x14ac:dyDescent="0.25">
      <c r="A3284" s="4">
        <v>3282</v>
      </c>
      <c r="B3284" s="2" t="str">
        <f>"32512021081609222211946"</f>
        <v>32512021081609222211946</v>
      </c>
      <c r="C3284" s="2" t="s">
        <v>55</v>
      </c>
      <c r="D3284" s="2" t="str">
        <f>"麦丽云"</f>
        <v>麦丽云</v>
      </c>
      <c r="E3284" s="2" t="str">
        <f t="shared" si="93"/>
        <v>女</v>
      </c>
    </row>
    <row r="3285" spans="1:5" ht="14.4" x14ac:dyDescent="0.25">
      <c r="A3285" s="4">
        <v>3283</v>
      </c>
      <c r="B3285" s="2" t="str">
        <f>"32512021081610571312391"</f>
        <v>32512021081610571312391</v>
      </c>
      <c r="C3285" s="2" t="s">
        <v>55</v>
      </c>
      <c r="D3285" s="2" t="str">
        <f>"刘洁"</f>
        <v>刘洁</v>
      </c>
      <c r="E3285" s="2" t="str">
        <f t="shared" si="93"/>
        <v>女</v>
      </c>
    </row>
    <row r="3286" spans="1:5" ht="14.4" x14ac:dyDescent="0.25">
      <c r="A3286" s="4">
        <v>3284</v>
      </c>
      <c r="B3286" s="2" t="str">
        <f>"32512021081611402712575"</f>
        <v>32512021081611402712575</v>
      </c>
      <c r="C3286" s="2" t="s">
        <v>55</v>
      </c>
      <c r="D3286" s="2" t="str">
        <f>"陈飞雁"</f>
        <v>陈飞雁</v>
      </c>
      <c r="E3286" s="2" t="str">
        <f t="shared" si="93"/>
        <v>女</v>
      </c>
    </row>
    <row r="3287" spans="1:5" ht="14.4" x14ac:dyDescent="0.25">
      <c r="A3287" s="4">
        <v>3285</v>
      </c>
      <c r="B3287" s="2" t="str">
        <f>"3251202108100904303783"</f>
        <v>3251202108100904303783</v>
      </c>
      <c r="C3287" s="2" t="s">
        <v>56</v>
      </c>
      <c r="D3287" s="2" t="str">
        <f>"吴盈影"</f>
        <v>吴盈影</v>
      </c>
      <c r="E3287" s="2" t="str">
        <f t="shared" si="93"/>
        <v>女</v>
      </c>
    </row>
    <row r="3288" spans="1:5" ht="14.4" x14ac:dyDescent="0.25">
      <c r="A3288" s="4">
        <v>3286</v>
      </c>
      <c r="B3288" s="2" t="str">
        <f>"3251202108100916093906"</f>
        <v>3251202108100916093906</v>
      </c>
      <c r="C3288" s="2" t="s">
        <v>56</v>
      </c>
      <c r="D3288" s="2" t="str">
        <f>"王佩红"</f>
        <v>王佩红</v>
      </c>
      <c r="E3288" s="2" t="str">
        <f t="shared" si="93"/>
        <v>女</v>
      </c>
    </row>
    <row r="3289" spans="1:5" ht="14.4" x14ac:dyDescent="0.25">
      <c r="A3289" s="4">
        <v>3287</v>
      </c>
      <c r="B3289" s="2" t="str">
        <f>"3251202108101051564500"</f>
        <v>3251202108101051564500</v>
      </c>
      <c r="C3289" s="2" t="s">
        <v>56</v>
      </c>
      <c r="D3289" s="2" t="str">
        <f>"裴洪智"</f>
        <v>裴洪智</v>
      </c>
      <c r="E3289" s="2" t="str">
        <f>"男"</f>
        <v>男</v>
      </c>
    </row>
    <row r="3290" spans="1:5" ht="14.4" x14ac:dyDescent="0.25">
      <c r="A3290" s="4">
        <v>3288</v>
      </c>
      <c r="B3290" s="2" t="str">
        <f>"3251202108101059414531"</f>
        <v>3251202108101059414531</v>
      </c>
      <c r="C3290" s="2" t="s">
        <v>56</v>
      </c>
      <c r="D3290" s="2" t="str">
        <f>"刘统康"</f>
        <v>刘统康</v>
      </c>
      <c r="E3290" s="2" t="str">
        <f>"男"</f>
        <v>男</v>
      </c>
    </row>
    <row r="3291" spans="1:5" ht="14.4" x14ac:dyDescent="0.25">
      <c r="A3291" s="4">
        <v>3289</v>
      </c>
      <c r="B3291" s="2" t="str">
        <f>"3251202108101144054763"</f>
        <v>3251202108101144054763</v>
      </c>
      <c r="C3291" s="2" t="s">
        <v>56</v>
      </c>
      <c r="D3291" s="2" t="str">
        <f>"王子婷"</f>
        <v>王子婷</v>
      </c>
      <c r="E3291" s="2" t="str">
        <f>"女"</f>
        <v>女</v>
      </c>
    </row>
    <row r="3292" spans="1:5" ht="14.4" x14ac:dyDescent="0.25">
      <c r="A3292" s="4">
        <v>3290</v>
      </c>
      <c r="B3292" s="2" t="str">
        <f>"3251202108101446125244"</f>
        <v>3251202108101446125244</v>
      </c>
      <c r="C3292" s="2" t="s">
        <v>56</v>
      </c>
      <c r="D3292" s="2" t="str">
        <f>"杨宇婷"</f>
        <v>杨宇婷</v>
      </c>
      <c r="E3292" s="2" t="str">
        <f>"女"</f>
        <v>女</v>
      </c>
    </row>
    <row r="3293" spans="1:5" ht="14.4" x14ac:dyDescent="0.25">
      <c r="A3293" s="4">
        <v>3291</v>
      </c>
      <c r="B3293" s="2" t="str">
        <f>"3251202108101520415378"</f>
        <v>3251202108101520415378</v>
      </c>
      <c r="C3293" s="2" t="s">
        <v>56</v>
      </c>
      <c r="D3293" s="2" t="str">
        <f>"符祥"</f>
        <v>符祥</v>
      </c>
      <c r="E3293" s="2" t="str">
        <f>"男"</f>
        <v>男</v>
      </c>
    </row>
    <row r="3294" spans="1:5" ht="14.4" x14ac:dyDescent="0.25">
      <c r="A3294" s="4">
        <v>3292</v>
      </c>
      <c r="B3294" s="2" t="str">
        <f>"3251202108101715415792"</f>
        <v>3251202108101715415792</v>
      </c>
      <c r="C3294" s="2" t="s">
        <v>56</v>
      </c>
      <c r="D3294" s="2" t="str">
        <f>"刘燕仪"</f>
        <v>刘燕仪</v>
      </c>
      <c r="E3294" s="2" t="str">
        <f>"女"</f>
        <v>女</v>
      </c>
    </row>
    <row r="3295" spans="1:5" ht="14.4" x14ac:dyDescent="0.25">
      <c r="A3295" s="4">
        <v>3293</v>
      </c>
      <c r="B3295" s="2" t="str">
        <f>"3251202108102011206187"</f>
        <v>3251202108102011206187</v>
      </c>
      <c r="C3295" s="2" t="s">
        <v>56</v>
      </c>
      <c r="D3295" s="2" t="str">
        <f>"王朝"</f>
        <v>王朝</v>
      </c>
      <c r="E3295" s="2" t="str">
        <f>"男"</f>
        <v>男</v>
      </c>
    </row>
    <row r="3296" spans="1:5" ht="14.4" x14ac:dyDescent="0.25">
      <c r="A3296" s="4">
        <v>3294</v>
      </c>
      <c r="B3296" s="2" t="str">
        <f>"3251202108102328226511"</f>
        <v>3251202108102328226511</v>
      </c>
      <c r="C3296" s="2" t="s">
        <v>56</v>
      </c>
      <c r="D3296" s="2" t="str">
        <f>"王玉叶"</f>
        <v>王玉叶</v>
      </c>
      <c r="E3296" s="2" t="str">
        <f>"女"</f>
        <v>女</v>
      </c>
    </row>
    <row r="3297" spans="1:5" ht="14.4" x14ac:dyDescent="0.25">
      <c r="A3297" s="4">
        <v>3295</v>
      </c>
      <c r="B3297" s="2" t="str">
        <f>"3251202108110846206642"</f>
        <v>3251202108110846206642</v>
      </c>
      <c r="C3297" s="2" t="s">
        <v>56</v>
      </c>
      <c r="D3297" s="2" t="str">
        <f>"朱康"</f>
        <v>朱康</v>
      </c>
      <c r="E3297" s="2" t="str">
        <f>"男"</f>
        <v>男</v>
      </c>
    </row>
    <row r="3298" spans="1:5" ht="14.4" x14ac:dyDescent="0.25">
      <c r="A3298" s="4">
        <v>3296</v>
      </c>
      <c r="B3298" s="2" t="str">
        <f>"3251202108110913096708"</f>
        <v>3251202108110913096708</v>
      </c>
      <c r="C3298" s="2" t="s">
        <v>56</v>
      </c>
      <c r="D3298" s="2" t="str">
        <f>"秦小丽"</f>
        <v>秦小丽</v>
      </c>
      <c r="E3298" s="2" t="str">
        <f>"女"</f>
        <v>女</v>
      </c>
    </row>
    <row r="3299" spans="1:5" ht="14.4" x14ac:dyDescent="0.25">
      <c r="A3299" s="4">
        <v>3297</v>
      </c>
      <c r="B3299" s="2" t="str">
        <f>"3251202108110946536800"</f>
        <v>3251202108110946536800</v>
      </c>
      <c r="C3299" s="2" t="s">
        <v>56</v>
      </c>
      <c r="D3299" s="2" t="str">
        <f>"卓雯欣"</f>
        <v>卓雯欣</v>
      </c>
      <c r="E3299" s="2" t="str">
        <f>"女"</f>
        <v>女</v>
      </c>
    </row>
    <row r="3300" spans="1:5" ht="14.4" x14ac:dyDescent="0.25">
      <c r="A3300" s="4">
        <v>3298</v>
      </c>
      <c r="B3300" s="2" t="str">
        <f>"3251202108110948476803"</f>
        <v>3251202108110948476803</v>
      </c>
      <c r="C3300" s="2" t="s">
        <v>56</v>
      </c>
      <c r="D3300" s="2" t="str">
        <f>"孙春慧"</f>
        <v>孙春慧</v>
      </c>
      <c r="E3300" s="2" t="str">
        <f>"女"</f>
        <v>女</v>
      </c>
    </row>
    <row r="3301" spans="1:5" ht="14.4" x14ac:dyDescent="0.25">
      <c r="A3301" s="4">
        <v>3299</v>
      </c>
      <c r="B3301" s="2" t="str">
        <f>"3251202108111111547021"</f>
        <v>3251202108111111547021</v>
      </c>
      <c r="C3301" s="2" t="s">
        <v>56</v>
      </c>
      <c r="D3301" s="2" t="str">
        <f>"符峥"</f>
        <v>符峥</v>
      </c>
      <c r="E3301" s="2" t="str">
        <f>"男"</f>
        <v>男</v>
      </c>
    </row>
    <row r="3302" spans="1:5" ht="14.4" x14ac:dyDescent="0.25">
      <c r="A3302" s="4">
        <v>3300</v>
      </c>
      <c r="B3302" s="2" t="str">
        <f>"3251202108111132157084"</f>
        <v>3251202108111132157084</v>
      </c>
      <c r="C3302" s="2" t="s">
        <v>56</v>
      </c>
      <c r="D3302" s="2" t="str">
        <f>"李晓婷"</f>
        <v>李晓婷</v>
      </c>
      <c r="E3302" s="2" t="str">
        <f>"女"</f>
        <v>女</v>
      </c>
    </row>
    <row r="3303" spans="1:5" ht="14.4" x14ac:dyDescent="0.25">
      <c r="A3303" s="4">
        <v>3301</v>
      </c>
      <c r="B3303" s="2" t="str">
        <f>"3251202108111255557211"</f>
        <v>3251202108111255557211</v>
      </c>
      <c r="C3303" s="2" t="s">
        <v>56</v>
      </c>
      <c r="D3303" s="2" t="str">
        <f>"符小弟"</f>
        <v>符小弟</v>
      </c>
      <c r="E3303" s="2" t="str">
        <f>"男"</f>
        <v>男</v>
      </c>
    </row>
    <row r="3304" spans="1:5" ht="14.4" x14ac:dyDescent="0.25">
      <c r="A3304" s="4">
        <v>3302</v>
      </c>
      <c r="B3304" s="2" t="str">
        <f>"3251202108111354187258"</f>
        <v>3251202108111354187258</v>
      </c>
      <c r="C3304" s="2" t="s">
        <v>56</v>
      </c>
      <c r="D3304" s="2" t="str">
        <f>"王凯梅"</f>
        <v>王凯梅</v>
      </c>
      <c r="E3304" s="2" t="str">
        <f>"女"</f>
        <v>女</v>
      </c>
    </row>
    <row r="3305" spans="1:5" ht="14.4" x14ac:dyDescent="0.25">
      <c r="A3305" s="4">
        <v>3303</v>
      </c>
      <c r="B3305" s="2" t="str">
        <f>"3251202108111551447470"</f>
        <v>3251202108111551447470</v>
      </c>
      <c r="C3305" s="2" t="s">
        <v>56</v>
      </c>
      <c r="D3305" s="2" t="str">
        <f>"陈晓弘"</f>
        <v>陈晓弘</v>
      </c>
      <c r="E3305" s="2" t="str">
        <f>"女"</f>
        <v>女</v>
      </c>
    </row>
    <row r="3306" spans="1:5" ht="14.4" x14ac:dyDescent="0.25">
      <c r="A3306" s="4">
        <v>3304</v>
      </c>
      <c r="B3306" s="2" t="str">
        <f>"3251202108112221348054"</f>
        <v>3251202108112221348054</v>
      </c>
      <c r="C3306" s="2" t="s">
        <v>56</v>
      </c>
      <c r="D3306" s="2" t="str">
        <f>"孙娜"</f>
        <v>孙娜</v>
      </c>
      <c r="E3306" s="2" t="str">
        <f>"女"</f>
        <v>女</v>
      </c>
    </row>
    <row r="3307" spans="1:5" ht="14.4" x14ac:dyDescent="0.25">
      <c r="A3307" s="4">
        <v>3305</v>
      </c>
      <c r="B3307" s="2" t="str">
        <f>"3251202108120920328308"</f>
        <v>3251202108120920328308</v>
      </c>
      <c r="C3307" s="2" t="s">
        <v>56</v>
      </c>
      <c r="D3307" s="2" t="str">
        <f>"王娇梅"</f>
        <v>王娇梅</v>
      </c>
      <c r="E3307" s="2" t="str">
        <f>"女"</f>
        <v>女</v>
      </c>
    </row>
    <row r="3308" spans="1:5" ht="14.4" x14ac:dyDescent="0.25">
      <c r="A3308" s="4">
        <v>3306</v>
      </c>
      <c r="B3308" s="2" t="str">
        <f>"3251202108121142068613"</f>
        <v>3251202108121142068613</v>
      </c>
      <c r="C3308" s="2" t="s">
        <v>56</v>
      </c>
      <c r="D3308" s="2" t="str">
        <f>"张帅帅"</f>
        <v>张帅帅</v>
      </c>
      <c r="E3308" s="2" t="str">
        <f>"男"</f>
        <v>男</v>
      </c>
    </row>
    <row r="3309" spans="1:5" ht="14.4" x14ac:dyDescent="0.25">
      <c r="A3309" s="4">
        <v>3307</v>
      </c>
      <c r="B3309" s="2" t="str">
        <f>"3251202108121639499036"</f>
        <v>3251202108121639499036</v>
      </c>
      <c r="C3309" s="2" t="s">
        <v>56</v>
      </c>
      <c r="D3309" s="2" t="str">
        <f>"符振楠"</f>
        <v>符振楠</v>
      </c>
      <c r="E3309" s="2" t="str">
        <f>"男"</f>
        <v>男</v>
      </c>
    </row>
    <row r="3310" spans="1:5" ht="14.4" x14ac:dyDescent="0.25">
      <c r="A3310" s="4">
        <v>3308</v>
      </c>
      <c r="B3310" s="2" t="str">
        <f>"3251202108121755089134"</f>
        <v>3251202108121755089134</v>
      </c>
      <c r="C3310" s="2" t="s">
        <v>56</v>
      </c>
      <c r="D3310" s="2" t="str">
        <f>"李扬颜"</f>
        <v>李扬颜</v>
      </c>
      <c r="E3310" s="2" t="str">
        <f>"女"</f>
        <v>女</v>
      </c>
    </row>
    <row r="3311" spans="1:5" ht="14.4" x14ac:dyDescent="0.25">
      <c r="A3311" s="4">
        <v>3309</v>
      </c>
      <c r="B3311" s="2" t="str">
        <f>"3251202108130837429522"</f>
        <v>3251202108130837429522</v>
      </c>
      <c r="C3311" s="2" t="s">
        <v>56</v>
      </c>
      <c r="D3311" s="2" t="str">
        <f>"王明扬"</f>
        <v>王明扬</v>
      </c>
      <c r="E3311" s="2" t="str">
        <f>"男"</f>
        <v>男</v>
      </c>
    </row>
    <row r="3312" spans="1:5" ht="14.4" x14ac:dyDescent="0.25">
      <c r="A3312" s="4">
        <v>3310</v>
      </c>
      <c r="B3312" s="2" t="str">
        <f>"3251202108131053349694"</f>
        <v>3251202108131053349694</v>
      </c>
      <c r="C3312" s="2" t="s">
        <v>56</v>
      </c>
      <c r="D3312" s="2" t="str">
        <f>"符家鸿"</f>
        <v>符家鸿</v>
      </c>
      <c r="E3312" s="2" t="str">
        <f>"男"</f>
        <v>男</v>
      </c>
    </row>
    <row r="3313" spans="1:5" ht="14.4" x14ac:dyDescent="0.25">
      <c r="A3313" s="4">
        <v>3311</v>
      </c>
      <c r="B3313" s="2" t="str">
        <f>"3251202108131302249824"</f>
        <v>3251202108131302249824</v>
      </c>
      <c r="C3313" s="2" t="s">
        <v>56</v>
      </c>
      <c r="D3313" s="2" t="str">
        <f>"李和苗"</f>
        <v>李和苗</v>
      </c>
      <c r="E3313" s="2" t="str">
        <f>"男"</f>
        <v>男</v>
      </c>
    </row>
    <row r="3314" spans="1:5" ht="14.4" x14ac:dyDescent="0.25">
      <c r="A3314" s="4">
        <v>3312</v>
      </c>
      <c r="B3314" s="2" t="str">
        <f>"32512021081318281810158"</f>
        <v>32512021081318281810158</v>
      </c>
      <c r="C3314" s="2" t="s">
        <v>56</v>
      </c>
      <c r="D3314" s="2" t="str">
        <f>"周莹"</f>
        <v>周莹</v>
      </c>
      <c r="E3314" s="2" t="str">
        <f>"女"</f>
        <v>女</v>
      </c>
    </row>
    <row r="3315" spans="1:5" ht="14.4" x14ac:dyDescent="0.25">
      <c r="A3315" s="4">
        <v>3313</v>
      </c>
      <c r="B3315" s="2" t="str">
        <f>"32512021081417044510714"</f>
        <v>32512021081417044510714</v>
      </c>
      <c r="C3315" s="2" t="s">
        <v>56</v>
      </c>
      <c r="D3315" s="2" t="str">
        <f>"黄耀敏"</f>
        <v>黄耀敏</v>
      </c>
      <c r="E3315" s="2" t="str">
        <f>"女"</f>
        <v>女</v>
      </c>
    </row>
    <row r="3316" spans="1:5" ht="14.4" x14ac:dyDescent="0.25">
      <c r="A3316" s="4">
        <v>3314</v>
      </c>
      <c r="B3316" s="2" t="str">
        <f>"32512021081512071011063"</f>
        <v>32512021081512071011063</v>
      </c>
      <c r="C3316" s="2" t="s">
        <v>56</v>
      </c>
      <c r="D3316" s="2" t="str">
        <f>"李雪婷"</f>
        <v>李雪婷</v>
      </c>
      <c r="E3316" s="2" t="str">
        <f>"女"</f>
        <v>女</v>
      </c>
    </row>
    <row r="3317" spans="1:5" ht="14.4" x14ac:dyDescent="0.25">
      <c r="A3317" s="4">
        <v>3315</v>
      </c>
      <c r="B3317" s="2" t="str">
        <f>"32512021081514113611146"</f>
        <v>32512021081514113611146</v>
      </c>
      <c r="C3317" s="2" t="s">
        <v>56</v>
      </c>
      <c r="D3317" s="2" t="str">
        <f>"李莹"</f>
        <v>李莹</v>
      </c>
      <c r="E3317" s="2" t="str">
        <f>"女"</f>
        <v>女</v>
      </c>
    </row>
    <row r="3318" spans="1:5" ht="14.4" x14ac:dyDescent="0.25">
      <c r="A3318" s="4">
        <v>3316</v>
      </c>
      <c r="B3318" s="2" t="str">
        <f>"32512021081522331711574"</f>
        <v>32512021081522331711574</v>
      </c>
      <c r="C3318" s="2" t="s">
        <v>56</v>
      </c>
      <c r="D3318" s="2" t="str">
        <f>"符炳坤"</f>
        <v>符炳坤</v>
      </c>
      <c r="E3318" s="2" t="str">
        <f>"男"</f>
        <v>男</v>
      </c>
    </row>
    <row r="3319" spans="1:5" ht="14.4" x14ac:dyDescent="0.25">
      <c r="A3319" s="4">
        <v>3317</v>
      </c>
      <c r="B3319" s="2" t="str">
        <f>"32512021081609535012072"</f>
        <v>32512021081609535012072</v>
      </c>
      <c r="C3319" s="2" t="s">
        <v>56</v>
      </c>
      <c r="D3319" s="2" t="str">
        <f>"符春婷"</f>
        <v>符春婷</v>
      </c>
      <c r="E3319" s="2" t="str">
        <f>"女"</f>
        <v>女</v>
      </c>
    </row>
    <row r="3320" spans="1:5" ht="14.4" x14ac:dyDescent="0.25">
      <c r="A3320" s="4">
        <v>3318</v>
      </c>
      <c r="B3320" s="2" t="str">
        <f>"32512021081611374612567"</f>
        <v>32512021081611374612567</v>
      </c>
      <c r="C3320" s="2" t="s">
        <v>56</v>
      </c>
      <c r="D3320" s="2" t="str">
        <f>"王道伟"</f>
        <v>王道伟</v>
      </c>
      <c r="E3320" s="2" t="str">
        <f>"男"</f>
        <v>男</v>
      </c>
    </row>
    <row r="3321" spans="1:5" ht="14.4" x14ac:dyDescent="0.25">
      <c r="A3321" s="4">
        <v>3319</v>
      </c>
      <c r="B3321" s="2" t="str">
        <f>"3251202108111510437382"</f>
        <v>3251202108111510437382</v>
      </c>
      <c r="C3321" s="2" t="s">
        <v>57</v>
      </c>
      <c r="D3321" s="2" t="str">
        <f>"李武胜"</f>
        <v>李武胜</v>
      </c>
      <c r="E3321" s="2" t="str">
        <f>"男"</f>
        <v>男</v>
      </c>
    </row>
    <row r="3322" spans="1:5" ht="14.4" x14ac:dyDescent="0.25">
      <c r="A3322" s="4">
        <v>3320</v>
      </c>
      <c r="B3322" s="2" t="str">
        <f>"3251202108122204459371"</f>
        <v>3251202108122204459371</v>
      </c>
      <c r="C3322" s="2" t="s">
        <v>57</v>
      </c>
      <c r="D3322" s="2" t="str">
        <f>"刘家鑫"</f>
        <v>刘家鑫</v>
      </c>
      <c r="E3322" s="2" t="str">
        <f>"男"</f>
        <v>男</v>
      </c>
    </row>
    <row r="3323" spans="1:5" ht="14.4" x14ac:dyDescent="0.25">
      <c r="A3323" s="4">
        <v>3321</v>
      </c>
      <c r="B3323" s="2" t="str">
        <f>"3251202108130016099468"</f>
        <v>3251202108130016099468</v>
      </c>
      <c r="C3323" s="2" t="s">
        <v>57</v>
      </c>
      <c r="D3323" s="2" t="str">
        <f>"王娇樱"</f>
        <v>王娇樱</v>
      </c>
      <c r="E3323" s="2" t="str">
        <f t="shared" ref="E3323:E3328" si="94">"女"</f>
        <v>女</v>
      </c>
    </row>
    <row r="3324" spans="1:5" ht="14.4" x14ac:dyDescent="0.25">
      <c r="A3324" s="4">
        <v>3322</v>
      </c>
      <c r="B3324" s="2" t="str">
        <f>"3251202108100919233930"</f>
        <v>3251202108100919233930</v>
      </c>
      <c r="C3324" s="2" t="s">
        <v>58</v>
      </c>
      <c r="D3324" s="2" t="str">
        <f>"林思颖"</f>
        <v>林思颖</v>
      </c>
      <c r="E3324" s="2" t="str">
        <f t="shared" si="94"/>
        <v>女</v>
      </c>
    </row>
    <row r="3325" spans="1:5" ht="14.4" x14ac:dyDescent="0.25">
      <c r="A3325" s="4">
        <v>3323</v>
      </c>
      <c r="B3325" s="2" t="str">
        <f>"3251202108100931324030"</f>
        <v>3251202108100931324030</v>
      </c>
      <c r="C3325" s="2" t="s">
        <v>58</v>
      </c>
      <c r="D3325" s="2" t="str">
        <f>"陈小静"</f>
        <v>陈小静</v>
      </c>
      <c r="E3325" s="2" t="str">
        <f t="shared" si="94"/>
        <v>女</v>
      </c>
    </row>
    <row r="3326" spans="1:5" ht="14.4" x14ac:dyDescent="0.25">
      <c r="A3326" s="4">
        <v>3324</v>
      </c>
      <c r="B3326" s="2" t="str">
        <f>"3251202108100935454061"</f>
        <v>3251202108100935454061</v>
      </c>
      <c r="C3326" s="2" t="s">
        <v>58</v>
      </c>
      <c r="D3326" s="2" t="str">
        <f>"董小妹"</f>
        <v>董小妹</v>
      </c>
      <c r="E3326" s="2" t="str">
        <f t="shared" si="94"/>
        <v>女</v>
      </c>
    </row>
    <row r="3327" spans="1:5" ht="14.4" x14ac:dyDescent="0.25">
      <c r="A3327" s="4">
        <v>3325</v>
      </c>
      <c r="B3327" s="2" t="str">
        <f>"3251202108100938544075"</f>
        <v>3251202108100938544075</v>
      </c>
      <c r="C3327" s="2" t="s">
        <v>58</v>
      </c>
      <c r="D3327" s="2" t="str">
        <f>"符警"</f>
        <v>符警</v>
      </c>
      <c r="E3327" s="2" t="str">
        <f t="shared" si="94"/>
        <v>女</v>
      </c>
    </row>
    <row r="3328" spans="1:5" ht="14.4" x14ac:dyDescent="0.25">
      <c r="A3328" s="4">
        <v>3326</v>
      </c>
      <c r="B3328" s="2" t="str">
        <f>"3251202108100947354137"</f>
        <v>3251202108100947354137</v>
      </c>
      <c r="C3328" s="2" t="s">
        <v>58</v>
      </c>
      <c r="D3328" s="2" t="str">
        <f>"李妹丽"</f>
        <v>李妹丽</v>
      </c>
      <c r="E3328" s="2" t="str">
        <f t="shared" si="94"/>
        <v>女</v>
      </c>
    </row>
    <row r="3329" spans="1:5" ht="14.4" x14ac:dyDescent="0.25">
      <c r="A3329" s="4">
        <v>3327</v>
      </c>
      <c r="B3329" s="2" t="str">
        <f>"3251202108101023094357"</f>
        <v>3251202108101023094357</v>
      </c>
      <c r="C3329" s="2" t="s">
        <v>58</v>
      </c>
      <c r="D3329" s="2" t="str">
        <f>"陈海西"</f>
        <v>陈海西</v>
      </c>
      <c r="E3329" s="2" t="str">
        <f>"男"</f>
        <v>男</v>
      </c>
    </row>
    <row r="3330" spans="1:5" ht="14.4" x14ac:dyDescent="0.25">
      <c r="A3330" s="4">
        <v>3328</v>
      </c>
      <c r="B3330" s="2" t="str">
        <f>"3251202108101040044439"</f>
        <v>3251202108101040044439</v>
      </c>
      <c r="C3330" s="2" t="s">
        <v>58</v>
      </c>
      <c r="D3330" s="2" t="str">
        <f>"张丽娜"</f>
        <v>张丽娜</v>
      </c>
      <c r="E3330" s="2" t="str">
        <f>"女"</f>
        <v>女</v>
      </c>
    </row>
    <row r="3331" spans="1:5" ht="14.4" x14ac:dyDescent="0.25">
      <c r="A3331" s="4">
        <v>3329</v>
      </c>
      <c r="B3331" s="2" t="str">
        <f>"3251202108101112214610"</f>
        <v>3251202108101112214610</v>
      </c>
      <c r="C3331" s="2" t="s">
        <v>58</v>
      </c>
      <c r="D3331" s="2" t="str">
        <f>"符政贝"</f>
        <v>符政贝</v>
      </c>
      <c r="E3331" s="2" t="str">
        <f>"女"</f>
        <v>女</v>
      </c>
    </row>
    <row r="3332" spans="1:5" ht="14.4" x14ac:dyDescent="0.25">
      <c r="A3332" s="4">
        <v>3330</v>
      </c>
      <c r="B3332" s="2" t="str">
        <f>"3251202108101112594613"</f>
        <v>3251202108101112594613</v>
      </c>
      <c r="C3332" s="2" t="s">
        <v>58</v>
      </c>
      <c r="D3332" s="2" t="str">
        <f>"符丽菲"</f>
        <v>符丽菲</v>
      </c>
      <c r="E3332" s="2" t="str">
        <f>"女"</f>
        <v>女</v>
      </c>
    </row>
    <row r="3333" spans="1:5" ht="14.4" x14ac:dyDescent="0.25">
      <c r="A3333" s="4">
        <v>3331</v>
      </c>
      <c r="B3333" s="2" t="str">
        <f>"3251202108101139124739"</f>
        <v>3251202108101139124739</v>
      </c>
      <c r="C3333" s="2" t="s">
        <v>58</v>
      </c>
      <c r="D3333" s="2" t="str">
        <f>"周小练"</f>
        <v>周小练</v>
      </c>
      <c r="E3333" s="2" t="str">
        <f>"女"</f>
        <v>女</v>
      </c>
    </row>
    <row r="3334" spans="1:5" ht="14.4" x14ac:dyDescent="0.25">
      <c r="A3334" s="4">
        <v>3332</v>
      </c>
      <c r="B3334" s="2" t="str">
        <f>"3251202108101232284914"</f>
        <v>3251202108101232284914</v>
      </c>
      <c r="C3334" s="2" t="s">
        <v>58</v>
      </c>
      <c r="D3334" s="2" t="str">
        <f>"刘振国"</f>
        <v>刘振国</v>
      </c>
      <c r="E3334" s="2" t="str">
        <f>"男"</f>
        <v>男</v>
      </c>
    </row>
    <row r="3335" spans="1:5" ht="14.4" x14ac:dyDescent="0.25">
      <c r="A3335" s="4">
        <v>3333</v>
      </c>
      <c r="B3335" s="2" t="str">
        <f>"3251202108101719145809"</f>
        <v>3251202108101719145809</v>
      </c>
      <c r="C3335" s="2" t="s">
        <v>58</v>
      </c>
      <c r="D3335" s="2" t="str">
        <f>"符越"</f>
        <v>符越</v>
      </c>
      <c r="E3335" s="2" t="str">
        <f>"男"</f>
        <v>男</v>
      </c>
    </row>
    <row r="3336" spans="1:5" ht="14.4" x14ac:dyDescent="0.25">
      <c r="A3336" s="4">
        <v>3334</v>
      </c>
      <c r="B3336" s="2" t="str">
        <f>"3251202108102035386236"</f>
        <v>3251202108102035386236</v>
      </c>
      <c r="C3336" s="2" t="s">
        <v>58</v>
      </c>
      <c r="D3336" s="2" t="str">
        <f>"江信泉"</f>
        <v>江信泉</v>
      </c>
      <c r="E3336" s="2" t="str">
        <f>"男"</f>
        <v>男</v>
      </c>
    </row>
    <row r="3337" spans="1:5" ht="14.4" x14ac:dyDescent="0.25">
      <c r="A3337" s="4">
        <v>3335</v>
      </c>
      <c r="B3337" s="2" t="str">
        <f>"3251202108102046216253"</f>
        <v>3251202108102046216253</v>
      </c>
      <c r="C3337" s="2" t="s">
        <v>58</v>
      </c>
      <c r="D3337" s="2" t="str">
        <f>"招淑兰"</f>
        <v>招淑兰</v>
      </c>
      <c r="E3337" s="2" t="str">
        <f>"女"</f>
        <v>女</v>
      </c>
    </row>
    <row r="3338" spans="1:5" ht="14.4" x14ac:dyDescent="0.25">
      <c r="A3338" s="4">
        <v>3336</v>
      </c>
      <c r="B3338" s="2" t="str">
        <f>"3251202108102109096302"</f>
        <v>3251202108102109096302</v>
      </c>
      <c r="C3338" s="2" t="s">
        <v>58</v>
      </c>
      <c r="D3338" s="2" t="str">
        <f>"刘志伟"</f>
        <v>刘志伟</v>
      </c>
      <c r="E3338" s="2" t="str">
        <f>"男"</f>
        <v>男</v>
      </c>
    </row>
    <row r="3339" spans="1:5" ht="14.4" x14ac:dyDescent="0.25">
      <c r="A3339" s="4">
        <v>3337</v>
      </c>
      <c r="B3339" s="2" t="str">
        <f>"3251202108102329356512"</f>
        <v>3251202108102329356512</v>
      </c>
      <c r="C3339" s="2" t="s">
        <v>58</v>
      </c>
      <c r="D3339" s="2" t="str">
        <f>"符成飞"</f>
        <v>符成飞</v>
      </c>
      <c r="E3339" s="2" t="str">
        <f>"男"</f>
        <v>男</v>
      </c>
    </row>
    <row r="3340" spans="1:5" ht="14.4" x14ac:dyDescent="0.25">
      <c r="A3340" s="4">
        <v>3338</v>
      </c>
      <c r="B3340" s="2" t="str">
        <f>"3251202108110850496652"</f>
        <v>3251202108110850496652</v>
      </c>
      <c r="C3340" s="2" t="s">
        <v>58</v>
      </c>
      <c r="D3340" s="2" t="str">
        <f>"刘颜"</f>
        <v>刘颜</v>
      </c>
      <c r="E3340" s="2" t="str">
        <f>"女"</f>
        <v>女</v>
      </c>
    </row>
    <row r="3341" spans="1:5" ht="14.4" x14ac:dyDescent="0.25">
      <c r="A3341" s="4">
        <v>3339</v>
      </c>
      <c r="B3341" s="2" t="str">
        <f>"3251202108110923546734"</f>
        <v>3251202108110923546734</v>
      </c>
      <c r="C3341" s="2" t="s">
        <v>58</v>
      </c>
      <c r="D3341" s="2" t="str">
        <f>"符耀肆"</f>
        <v>符耀肆</v>
      </c>
      <c r="E3341" s="2" t="str">
        <f>"男"</f>
        <v>男</v>
      </c>
    </row>
    <row r="3342" spans="1:5" ht="14.4" x14ac:dyDescent="0.25">
      <c r="A3342" s="4">
        <v>3340</v>
      </c>
      <c r="B3342" s="2" t="str">
        <f>"3251202108110956596833"</f>
        <v>3251202108110956596833</v>
      </c>
      <c r="C3342" s="2" t="s">
        <v>58</v>
      </c>
      <c r="D3342" s="2" t="str">
        <f>"韦玉珍"</f>
        <v>韦玉珍</v>
      </c>
      <c r="E3342" s="2" t="str">
        <f>"女"</f>
        <v>女</v>
      </c>
    </row>
    <row r="3343" spans="1:5" ht="14.4" x14ac:dyDescent="0.25">
      <c r="A3343" s="4">
        <v>3341</v>
      </c>
      <c r="B3343" s="2" t="str">
        <f>"3251202108111007336866"</f>
        <v>3251202108111007336866</v>
      </c>
      <c r="C3343" s="2" t="s">
        <v>58</v>
      </c>
      <c r="D3343" s="2" t="str">
        <f>"王婷"</f>
        <v>王婷</v>
      </c>
      <c r="E3343" s="2" t="str">
        <f>"女"</f>
        <v>女</v>
      </c>
    </row>
    <row r="3344" spans="1:5" ht="14.4" x14ac:dyDescent="0.25">
      <c r="A3344" s="4">
        <v>3342</v>
      </c>
      <c r="B3344" s="2" t="str">
        <f>"3251202108111159267133"</f>
        <v>3251202108111159267133</v>
      </c>
      <c r="C3344" s="2" t="s">
        <v>58</v>
      </c>
      <c r="D3344" s="2" t="str">
        <f>"符志良"</f>
        <v>符志良</v>
      </c>
      <c r="E3344" s="2" t="str">
        <f>"男"</f>
        <v>男</v>
      </c>
    </row>
    <row r="3345" spans="1:5" ht="14.4" x14ac:dyDescent="0.25">
      <c r="A3345" s="4">
        <v>3343</v>
      </c>
      <c r="B3345" s="2" t="str">
        <f>"3251202108111457257354"</f>
        <v>3251202108111457257354</v>
      </c>
      <c r="C3345" s="2" t="s">
        <v>58</v>
      </c>
      <c r="D3345" s="2" t="str">
        <f>"古泽清"</f>
        <v>古泽清</v>
      </c>
      <c r="E3345" s="2" t="str">
        <f>"男"</f>
        <v>男</v>
      </c>
    </row>
    <row r="3346" spans="1:5" ht="14.4" x14ac:dyDescent="0.25">
      <c r="A3346" s="4">
        <v>3344</v>
      </c>
      <c r="B3346" s="2" t="str">
        <f>"3251202108111529177424"</f>
        <v>3251202108111529177424</v>
      </c>
      <c r="C3346" s="2" t="s">
        <v>58</v>
      </c>
      <c r="D3346" s="2" t="str">
        <f>"陈述"</f>
        <v>陈述</v>
      </c>
      <c r="E3346" s="2" t="str">
        <f>"男"</f>
        <v>男</v>
      </c>
    </row>
    <row r="3347" spans="1:5" ht="14.4" x14ac:dyDescent="0.25">
      <c r="A3347" s="4">
        <v>3345</v>
      </c>
      <c r="B3347" s="2" t="str">
        <f>"3251202108112150578012"</f>
        <v>3251202108112150578012</v>
      </c>
      <c r="C3347" s="2" t="s">
        <v>58</v>
      </c>
      <c r="D3347" s="2" t="str">
        <f>"吴淑婕"</f>
        <v>吴淑婕</v>
      </c>
      <c r="E3347" s="2" t="str">
        <f>"女"</f>
        <v>女</v>
      </c>
    </row>
    <row r="3348" spans="1:5" ht="14.4" x14ac:dyDescent="0.25">
      <c r="A3348" s="4">
        <v>3346</v>
      </c>
      <c r="B3348" s="2" t="str">
        <f>"3251202108112243448091"</f>
        <v>3251202108112243448091</v>
      </c>
      <c r="C3348" s="2" t="s">
        <v>58</v>
      </c>
      <c r="D3348" s="2" t="str">
        <f>"符珑璐"</f>
        <v>符珑璐</v>
      </c>
      <c r="E3348" s="2" t="str">
        <f>"女"</f>
        <v>女</v>
      </c>
    </row>
    <row r="3349" spans="1:5" ht="14.4" x14ac:dyDescent="0.25">
      <c r="A3349" s="4">
        <v>3347</v>
      </c>
      <c r="B3349" s="2" t="str">
        <f>"3251202108121210398646"</f>
        <v>3251202108121210398646</v>
      </c>
      <c r="C3349" s="2" t="s">
        <v>58</v>
      </c>
      <c r="D3349" s="2" t="str">
        <f>"王进序"</f>
        <v>王进序</v>
      </c>
      <c r="E3349" s="2" t="str">
        <f>"男"</f>
        <v>男</v>
      </c>
    </row>
    <row r="3350" spans="1:5" ht="14.4" x14ac:dyDescent="0.25">
      <c r="A3350" s="4">
        <v>3348</v>
      </c>
      <c r="B3350" s="2" t="str">
        <f>"3251202108122212079383"</f>
        <v>3251202108122212079383</v>
      </c>
      <c r="C3350" s="2" t="s">
        <v>58</v>
      </c>
      <c r="D3350" s="2" t="str">
        <f>"符江红"</f>
        <v>符江红</v>
      </c>
      <c r="E3350" s="2" t="str">
        <f>"女"</f>
        <v>女</v>
      </c>
    </row>
    <row r="3351" spans="1:5" ht="14.4" x14ac:dyDescent="0.25">
      <c r="A3351" s="4">
        <v>3349</v>
      </c>
      <c r="B3351" s="2" t="str">
        <f>"3251202108131010019628"</f>
        <v>3251202108131010019628</v>
      </c>
      <c r="C3351" s="2" t="s">
        <v>58</v>
      </c>
      <c r="D3351" s="2" t="str">
        <f>"林涛"</f>
        <v>林涛</v>
      </c>
      <c r="E3351" s="2" t="str">
        <f>"男"</f>
        <v>男</v>
      </c>
    </row>
    <row r="3352" spans="1:5" ht="14.4" x14ac:dyDescent="0.25">
      <c r="A3352" s="4">
        <v>3350</v>
      </c>
      <c r="B3352" s="2" t="str">
        <f>"3251202108131027459652"</f>
        <v>3251202108131027459652</v>
      </c>
      <c r="C3352" s="2" t="s">
        <v>58</v>
      </c>
      <c r="D3352" s="2" t="str">
        <f>"符玉洪"</f>
        <v>符玉洪</v>
      </c>
      <c r="E3352" s="2" t="str">
        <f>"女"</f>
        <v>女</v>
      </c>
    </row>
    <row r="3353" spans="1:5" ht="14.4" x14ac:dyDescent="0.25">
      <c r="A3353" s="4">
        <v>3351</v>
      </c>
      <c r="B3353" s="2" t="str">
        <f>"3251202108131059509706"</f>
        <v>3251202108131059509706</v>
      </c>
      <c r="C3353" s="2" t="s">
        <v>58</v>
      </c>
      <c r="D3353" s="2" t="str">
        <f>"符海芬"</f>
        <v>符海芬</v>
      </c>
      <c r="E3353" s="2" t="str">
        <f>"女"</f>
        <v>女</v>
      </c>
    </row>
    <row r="3354" spans="1:5" ht="14.4" x14ac:dyDescent="0.25">
      <c r="A3354" s="4">
        <v>3352</v>
      </c>
      <c r="B3354" s="2" t="str">
        <f>"3251202108131121389735"</f>
        <v>3251202108131121389735</v>
      </c>
      <c r="C3354" s="2" t="s">
        <v>58</v>
      </c>
      <c r="D3354" s="2" t="str">
        <f>"韦美娇"</f>
        <v>韦美娇</v>
      </c>
      <c r="E3354" s="2" t="str">
        <f>"女"</f>
        <v>女</v>
      </c>
    </row>
    <row r="3355" spans="1:5" ht="14.4" x14ac:dyDescent="0.25">
      <c r="A3355" s="4">
        <v>3353</v>
      </c>
      <c r="B3355" s="2" t="str">
        <f>"3251202108131207249791"</f>
        <v>3251202108131207249791</v>
      </c>
      <c r="C3355" s="2" t="s">
        <v>58</v>
      </c>
      <c r="D3355" s="2" t="str">
        <f>"高穆英"</f>
        <v>高穆英</v>
      </c>
      <c r="E3355" s="2" t="str">
        <f>"女"</f>
        <v>女</v>
      </c>
    </row>
    <row r="3356" spans="1:5" ht="14.4" x14ac:dyDescent="0.25">
      <c r="A3356" s="4">
        <v>3354</v>
      </c>
      <c r="B3356" s="2" t="str">
        <f>"3251202108131218379797"</f>
        <v>3251202108131218379797</v>
      </c>
      <c r="C3356" s="2" t="s">
        <v>58</v>
      </c>
      <c r="D3356" s="2" t="str">
        <f>"符国章"</f>
        <v>符国章</v>
      </c>
      <c r="E3356" s="2" t="str">
        <f>"男"</f>
        <v>男</v>
      </c>
    </row>
    <row r="3357" spans="1:5" ht="14.4" x14ac:dyDescent="0.25">
      <c r="A3357" s="4">
        <v>3355</v>
      </c>
      <c r="B3357" s="2" t="str">
        <f>"32512021081422025710863"</f>
        <v>32512021081422025710863</v>
      </c>
      <c r="C3357" s="2" t="s">
        <v>58</v>
      </c>
      <c r="D3357" s="2" t="str">
        <f>"王也"</f>
        <v>王也</v>
      </c>
      <c r="E3357" s="2" t="str">
        <f>"男"</f>
        <v>男</v>
      </c>
    </row>
    <row r="3358" spans="1:5" ht="14.4" x14ac:dyDescent="0.25">
      <c r="A3358" s="4">
        <v>3356</v>
      </c>
      <c r="B3358" s="2" t="str">
        <f>"32512021081509412310964"</f>
        <v>32512021081509412310964</v>
      </c>
      <c r="C3358" s="2" t="s">
        <v>58</v>
      </c>
      <c r="D3358" s="2" t="str">
        <f>"蒋慧倩"</f>
        <v>蒋慧倩</v>
      </c>
      <c r="E3358" s="2" t="str">
        <f>"女"</f>
        <v>女</v>
      </c>
    </row>
    <row r="3359" spans="1:5" ht="14.4" x14ac:dyDescent="0.25">
      <c r="A3359" s="4">
        <v>3357</v>
      </c>
      <c r="B3359" s="2" t="str">
        <f>"32512021081513284011114"</f>
        <v>32512021081513284011114</v>
      </c>
      <c r="C3359" s="2" t="s">
        <v>58</v>
      </c>
      <c r="D3359" s="2" t="str">
        <f>"符仕献"</f>
        <v>符仕献</v>
      </c>
      <c r="E3359" s="2" t="str">
        <f>"男"</f>
        <v>男</v>
      </c>
    </row>
    <row r="3360" spans="1:5" ht="14.4" x14ac:dyDescent="0.25">
      <c r="A3360" s="4">
        <v>3358</v>
      </c>
      <c r="B3360" s="2" t="str">
        <f>"32512021081514430611175"</f>
        <v>32512021081514430611175</v>
      </c>
      <c r="C3360" s="2" t="s">
        <v>58</v>
      </c>
      <c r="D3360" s="2" t="str">
        <f>"符耀鹏"</f>
        <v>符耀鹏</v>
      </c>
      <c r="E3360" s="2" t="str">
        <f>"男"</f>
        <v>男</v>
      </c>
    </row>
    <row r="3361" spans="1:5" ht="14.4" x14ac:dyDescent="0.25">
      <c r="A3361" s="4">
        <v>3359</v>
      </c>
      <c r="B3361" s="2" t="str">
        <f>"32512021081520405811459"</f>
        <v>32512021081520405811459</v>
      </c>
      <c r="C3361" s="2" t="s">
        <v>58</v>
      </c>
      <c r="D3361" s="2" t="str">
        <f>"林华磊"</f>
        <v>林华磊</v>
      </c>
      <c r="E3361" s="2" t="str">
        <f>"女"</f>
        <v>女</v>
      </c>
    </row>
    <row r="3362" spans="1:5" ht="14.4" x14ac:dyDescent="0.25">
      <c r="A3362" s="4">
        <v>3360</v>
      </c>
      <c r="B3362" s="2" t="str">
        <f>"32512021081522154711554"</f>
        <v>32512021081522154711554</v>
      </c>
      <c r="C3362" s="2" t="s">
        <v>58</v>
      </c>
      <c r="D3362" s="2" t="str">
        <f>"周宇"</f>
        <v>周宇</v>
      </c>
      <c r="E3362" s="2" t="str">
        <f>"男"</f>
        <v>男</v>
      </c>
    </row>
    <row r="3363" spans="1:5" ht="14.4" x14ac:dyDescent="0.25">
      <c r="A3363" s="4">
        <v>3361</v>
      </c>
      <c r="B3363" s="2" t="str">
        <f>"32512021081608331611753"</f>
        <v>32512021081608331611753</v>
      </c>
      <c r="C3363" s="2" t="s">
        <v>58</v>
      </c>
      <c r="D3363" s="2" t="str">
        <f>"孙冠首"</f>
        <v>孙冠首</v>
      </c>
      <c r="E3363" s="2" t="str">
        <f>"男"</f>
        <v>男</v>
      </c>
    </row>
    <row r="3364" spans="1:5" ht="14.4" x14ac:dyDescent="0.25">
      <c r="A3364" s="4">
        <v>3362</v>
      </c>
      <c r="B3364" s="2" t="str">
        <f>"32512021081613383412853"</f>
        <v>32512021081613383412853</v>
      </c>
      <c r="C3364" s="2" t="s">
        <v>58</v>
      </c>
      <c r="D3364" s="2" t="str">
        <f>"符德强"</f>
        <v>符德强</v>
      </c>
      <c r="E3364" s="2" t="str">
        <f>"男"</f>
        <v>男</v>
      </c>
    </row>
    <row r="3365" spans="1:5" ht="14.4" x14ac:dyDescent="0.25">
      <c r="A3365" s="4">
        <v>3363</v>
      </c>
      <c r="B3365" s="2" t="str">
        <f>"32512021081613394912856"</f>
        <v>32512021081613394912856</v>
      </c>
      <c r="C3365" s="2" t="s">
        <v>58</v>
      </c>
      <c r="D3365" s="2" t="str">
        <f>"符成士"</f>
        <v>符成士</v>
      </c>
      <c r="E3365" s="2" t="str">
        <f>"男"</f>
        <v>男</v>
      </c>
    </row>
    <row r="3366" spans="1:5" ht="14.4" x14ac:dyDescent="0.25">
      <c r="A3366" s="4">
        <v>3364</v>
      </c>
      <c r="B3366" s="2" t="str">
        <f>"3251202108100920113939"</f>
        <v>3251202108100920113939</v>
      </c>
      <c r="C3366" s="2" t="s">
        <v>59</v>
      </c>
      <c r="D3366" s="2" t="str">
        <f>"曾维欢"</f>
        <v>曾维欢</v>
      </c>
      <c r="E3366" s="2" t="str">
        <f>"男"</f>
        <v>男</v>
      </c>
    </row>
    <row r="3367" spans="1:5" ht="14.4" x14ac:dyDescent="0.25">
      <c r="A3367" s="4">
        <v>3365</v>
      </c>
      <c r="B3367" s="2" t="str">
        <f>"3251202108101004464255"</f>
        <v>3251202108101004464255</v>
      </c>
      <c r="C3367" s="2" t="s">
        <v>59</v>
      </c>
      <c r="D3367" s="2" t="str">
        <f>"周萱"</f>
        <v>周萱</v>
      </c>
      <c r="E3367" s="2" t="str">
        <f>"女"</f>
        <v>女</v>
      </c>
    </row>
    <row r="3368" spans="1:5" ht="14.4" x14ac:dyDescent="0.25">
      <c r="A3368" s="4">
        <v>3366</v>
      </c>
      <c r="B3368" s="2" t="str">
        <f>"3251202108101217034854"</f>
        <v>3251202108101217034854</v>
      </c>
      <c r="C3368" s="2" t="s">
        <v>59</v>
      </c>
      <c r="D3368" s="2" t="str">
        <f>"谭紫藤"</f>
        <v>谭紫藤</v>
      </c>
      <c r="E3368" s="2" t="str">
        <f>"女"</f>
        <v>女</v>
      </c>
    </row>
    <row r="3369" spans="1:5" ht="14.4" x14ac:dyDescent="0.25">
      <c r="A3369" s="4">
        <v>3367</v>
      </c>
      <c r="B3369" s="2" t="str">
        <f>"3251202108101840175990"</f>
        <v>3251202108101840175990</v>
      </c>
      <c r="C3369" s="2" t="s">
        <v>59</v>
      </c>
      <c r="D3369" s="2" t="str">
        <f>"符神刚"</f>
        <v>符神刚</v>
      </c>
      <c r="E3369" s="2" t="str">
        <f>"男"</f>
        <v>男</v>
      </c>
    </row>
    <row r="3370" spans="1:5" ht="14.4" x14ac:dyDescent="0.25">
      <c r="A3370" s="4">
        <v>3368</v>
      </c>
      <c r="B3370" s="2" t="str">
        <f>"3251202108111336297238"</f>
        <v>3251202108111336297238</v>
      </c>
      <c r="C3370" s="2" t="s">
        <v>59</v>
      </c>
      <c r="D3370" s="2" t="str">
        <f>"黄小玉"</f>
        <v>黄小玉</v>
      </c>
      <c r="E3370" s="2" t="str">
        <f>"女"</f>
        <v>女</v>
      </c>
    </row>
    <row r="3371" spans="1:5" ht="14.4" x14ac:dyDescent="0.25">
      <c r="A3371" s="4">
        <v>3369</v>
      </c>
      <c r="B3371" s="2" t="str">
        <f>"3251202108112052407922"</f>
        <v>3251202108112052407922</v>
      </c>
      <c r="C3371" s="2" t="s">
        <v>59</v>
      </c>
      <c r="D3371" s="2" t="str">
        <f>"符嬉嬉"</f>
        <v>符嬉嬉</v>
      </c>
      <c r="E3371" s="2" t="str">
        <f>"女"</f>
        <v>女</v>
      </c>
    </row>
    <row r="3372" spans="1:5" ht="14.4" x14ac:dyDescent="0.25">
      <c r="A3372" s="4">
        <v>3370</v>
      </c>
      <c r="B3372" s="2" t="str">
        <f>"32512021081318391010165"</f>
        <v>32512021081318391010165</v>
      </c>
      <c r="C3372" s="2" t="s">
        <v>59</v>
      </c>
      <c r="D3372" s="2" t="str">
        <f>"林思宁"</f>
        <v>林思宁</v>
      </c>
      <c r="E3372" s="2" t="str">
        <f>"男"</f>
        <v>男</v>
      </c>
    </row>
    <row r="3373" spans="1:5" ht="14.4" x14ac:dyDescent="0.25">
      <c r="A3373" s="4">
        <v>3371</v>
      </c>
      <c r="B3373" s="2" t="str">
        <f>"32512021081511341211047"</f>
        <v>32512021081511341211047</v>
      </c>
      <c r="C3373" s="2" t="s">
        <v>59</v>
      </c>
      <c r="D3373" s="2" t="str">
        <f>"符嘉荣"</f>
        <v>符嘉荣</v>
      </c>
      <c r="E3373" s="2" t="str">
        <f>"女"</f>
        <v>女</v>
      </c>
    </row>
    <row r="3374" spans="1:5" ht="14.4" x14ac:dyDescent="0.25">
      <c r="A3374" s="4">
        <v>3372</v>
      </c>
      <c r="B3374" s="2" t="str">
        <f>"3251202108100902373758"</f>
        <v>3251202108100902373758</v>
      </c>
      <c r="C3374" s="2" t="s">
        <v>60</v>
      </c>
      <c r="D3374" s="2" t="str">
        <f>"郑鹏"</f>
        <v>郑鹏</v>
      </c>
      <c r="E3374" s="2" t="str">
        <f>"男"</f>
        <v>男</v>
      </c>
    </row>
    <row r="3375" spans="1:5" ht="14.4" x14ac:dyDescent="0.25">
      <c r="A3375" s="4">
        <v>3373</v>
      </c>
      <c r="B3375" s="2" t="str">
        <f>"3251202108100914183889"</f>
        <v>3251202108100914183889</v>
      </c>
      <c r="C3375" s="2" t="s">
        <v>60</v>
      </c>
      <c r="D3375" s="2" t="str">
        <f>"雷龙宝"</f>
        <v>雷龙宝</v>
      </c>
      <c r="E3375" s="2" t="str">
        <f>"男"</f>
        <v>男</v>
      </c>
    </row>
    <row r="3376" spans="1:5" ht="14.4" x14ac:dyDescent="0.25">
      <c r="A3376" s="4">
        <v>3374</v>
      </c>
      <c r="B3376" s="2" t="str">
        <f>"3251202108100940134082"</f>
        <v>3251202108100940134082</v>
      </c>
      <c r="C3376" s="2" t="s">
        <v>60</v>
      </c>
      <c r="D3376" s="2" t="str">
        <f>"罗艳"</f>
        <v>罗艳</v>
      </c>
      <c r="E3376" s="2" t="str">
        <f>"女"</f>
        <v>女</v>
      </c>
    </row>
    <row r="3377" spans="1:5" ht="14.4" x14ac:dyDescent="0.25">
      <c r="A3377" s="4">
        <v>3375</v>
      </c>
      <c r="B3377" s="2" t="str">
        <f>"3251202108101217544859"</f>
        <v>3251202108101217544859</v>
      </c>
      <c r="C3377" s="2" t="s">
        <v>60</v>
      </c>
      <c r="D3377" s="2" t="str">
        <f>"王俊祥"</f>
        <v>王俊祥</v>
      </c>
      <c r="E3377" s="2" t="str">
        <f>"男"</f>
        <v>男</v>
      </c>
    </row>
    <row r="3378" spans="1:5" ht="14.4" x14ac:dyDescent="0.25">
      <c r="A3378" s="4">
        <v>3376</v>
      </c>
      <c r="B3378" s="2" t="str">
        <f>"3251202108101226344892"</f>
        <v>3251202108101226344892</v>
      </c>
      <c r="C3378" s="2" t="s">
        <v>60</v>
      </c>
      <c r="D3378" s="2" t="str">
        <f>"符惠仁"</f>
        <v>符惠仁</v>
      </c>
      <c r="E3378" s="2" t="str">
        <f>"男"</f>
        <v>男</v>
      </c>
    </row>
    <row r="3379" spans="1:5" ht="14.4" x14ac:dyDescent="0.25">
      <c r="A3379" s="4">
        <v>3377</v>
      </c>
      <c r="B3379" s="2" t="str">
        <f>"3251202108101314165015"</f>
        <v>3251202108101314165015</v>
      </c>
      <c r="C3379" s="2" t="s">
        <v>60</v>
      </c>
      <c r="D3379" s="2" t="str">
        <f>"李恒杰"</f>
        <v>李恒杰</v>
      </c>
      <c r="E3379" s="2" t="str">
        <f>"男"</f>
        <v>男</v>
      </c>
    </row>
    <row r="3380" spans="1:5" ht="14.4" x14ac:dyDescent="0.25">
      <c r="A3380" s="4">
        <v>3378</v>
      </c>
      <c r="B3380" s="2" t="str">
        <f>"3251202108101501525302"</f>
        <v>3251202108101501525302</v>
      </c>
      <c r="C3380" s="2" t="s">
        <v>60</v>
      </c>
      <c r="D3380" s="2" t="str">
        <f>"符慧炳"</f>
        <v>符慧炳</v>
      </c>
      <c r="E3380" s="2" t="str">
        <f>"男"</f>
        <v>男</v>
      </c>
    </row>
    <row r="3381" spans="1:5" ht="14.4" x14ac:dyDescent="0.25">
      <c r="A3381" s="4">
        <v>3379</v>
      </c>
      <c r="B3381" s="2" t="str">
        <f>"3251202108101720005810"</f>
        <v>3251202108101720005810</v>
      </c>
      <c r="C3381" s="2" t="s">
        <v>60</v>
      </c>
      <c r="D3381" s="2" t="str">
        <f>"万琼"</f>
        <v>万琼</v>
      </c>
      <c r="E3381" s="2" t="str">
        <f>"女"</f>
        <v>女</v>
      </c>
    </row>
    <row r="3382" spans="1:5" ht="14.4" x14ac:dyDescent="0.25">
      <c r="A3382" s="4">
        <v>3380</v>
      </c>
      <c r="B3382" s="2" t="str">
        <f>"3251202108101855476031"</f>
        <v>3251202108101855476031</v>
      </c>
      <c r="C3382" s="2" t="s">
        <v>60</v>
      </c>
      <c r="D3382" s="2" t="str">
        <f>"李凤妮"</f>
        <v>李凤妮</v>
      </c>
      <c r="E3382" s="2" t="str">
        <f>"女"</f>
        <v>女</v>
      </c>
    </row>
    <row r="3383" spans="1:5" ht="14.4" x14ac:dyDescent="0.25">
      <c r="A3383" s="4">
        <v>3381</v>
      </c>
      <c r="B3383" s="2" t="str">
        <f>"3251202108102107036294"</f>
        <v>3251202108102107036294</v>
      </c>
      <c r="C3383" s="2" t="s">
        <v>60</v>
      </c>
      <c r="D3383" s="2" t="str">
        <f>"冯文彪"</f>
        <v>冯文彪</v>
      </c>
      <c r="E3383" s="2" t="str">
        <f>"男"</f>
        <v>男</v>
      </c>
    </row>
    <row r="3384" spans="1:5" ht="14.4" x14ac:dyDescent="0.25">
      <c r="A3384" s="4">
        <v>3382</v>
      </c>
      <c r="B3384" s="2" t="str">
        <f>"3251202108102247136462"</f>
        <v>3251202108102247136462</v>
      </c>
      <c r="C3384" s="2" t="s">
        <v>60</v>
      </c>
      <c r="D3384" s="2" t="str">
        <f>"符婷婷"</f>
        <v>符婷婷</v>
      </c>
      <c r="E3384" s="2" t="str">
        <f>"女"</f>
        <v>女</v>
      </c>
    </row>
    <row r="3385" spans="1:5" ht="14.4" x14ac:dyDescent="0.25">
      <c r="A3385" s="4">
        <v>3383</v>
      </c>
      <c r="B3385" s="2" t="str">
        <f>"3251202108110959376841"</f>
        <v>3251202108110959376841</v>
      </c>
      <c r="C3385" s="2" t="s">
        <v>60</v>
      </c>
      <c r="D3385" s="2" t="str">
        <f>"吴玉婷"</f>
        <v>吴玉婷</v>
      </c>
      <c r="E3385" s="2" t="str">
        <f>"女"</f>
        <v>女</v>
      </c>
    </row>
    <row r="3386" spans="1:5" ht="14.4" x14ac:dyDescent="0.25">
      <c r="A3386" s="4">
        <v>3384</v>
      </c>
      <c r="B3386" s="2" t="str">
        <f>"3251202108111103056995"</f>
        <v>3251202108111103056995</v>
      </c>
      <c r="C3386" s="2" t="s">
        <v>60</v>
      </c>
      <c r="D3386" s="2" t="str">
        <f>"羊庭玉"</f>
        <v>羊庭玉</v>
      </c>
      <c r="E3386" s="2" t="str">
        <f>"女"</f>
        <v>女</v>
      </c>
    </row>
    <row r="3387" spans="1:5" ht="14.4" x14ac:dyDescent="0.25">
      <c r="A3387" s="4">
        <v>3385</v>
      </c>
      <c r="B3387" s="2" t="str">
        <f>"3251202108111215147153"</f>
        <v>3251202108111215147153</v>
      </c>
      <c r="C3387" s="2" t="s">
        <v>60</v>
      </c>
      <c r="D3387" s="2" t="str">
        <f>"周鑫"</f>
        <v>周鑫</v>
      </c>
      <c r="E3387" s="2" t="str">
        <f>"男"</f>
        <v>男</v>
      </c>
    </row>
    <row r="3388" spans="1:5" ht="14.4" x14ac:dyDescent="0.25">
      <c r="A3388" s="4">
        <v>3386</v>
      </c>
      <c r="B3388" s="2" t="str">
        <f>"3251202108111529267425"</f>
        <v>3251202108111529267425</v>
      </c>
      <c r="C3388" s="2" t="s">
        <v>60</v>
      </c>
      <c r="D3388" s="2" t="str">
        <f>"符佩佩"</f>
        <v>符佩佩</v>
      </c>
      <c r="E3388" s="2" t="str">
        <f>"女"</f>
        <v>女</v>
      </c>
    </row>
    <row r="3389" spans="1:5" ht="14.4" x14ac:dyDescent="0.25">
      <c r="A3389" s="4">
        <v>3387</v>
      </c>
      <c r="B3389" s="2" t="str">
        <f>"3251202108111605377500"</f>
        <v>3251202108111605377500</v>
      </c>
      <c r="C3389" s="2" t="s">
        <v>60</v>
      </c>
      <c r="D3389" s="2" t="str">
        <f>"符玺丹"</f>
        <v>符玺丹</v>
      </c>
      <c r="E3389" s="2" t="str">
        <f>"女"</f>
        <v>女</v>
      </c>
    </row>
    <row r="3390" spans="1:5" ht="14.4" x14ac:dyDescent="0.25">
      <c r="A3390" s="4">
        <v>3388</v>
      </c>
      <c r="B3390" s="2" t="str">
        <f>"3251202108111640367562"</f>
        <v>3251202108111640367562</v>
      </c>
      <c r="C3390" s="2" t="s">
        <v>60</v>
      </c>
      <c r="D3390" s="2" t="str">
        <f>"李珍峰"</f>
        <v>李珍峰</v>
      </c>
      <c r="E3390" s="2" t="str">
        <f>"男"</f>
        <v>男</v>
      </c>
    </row>
    <row r="3391" spans="1:5" ht="14.4" x14ac:dyDescent="0.25">
      <c r="A3391" s="4">
        <v>3389</v>
      </c>
      <c r="B3391" s="2" t="str">
        <f>"3251202108111859347770"</f>
        <v>3251202108111859347770</v>
      </c>
      <c r="C3391" s="2" t="s">
        <v>60</v>
      </c>
      <c r="D3391" s="2" t="str">
        <f>"施国审"</f>
        <v>施国审</v>
      </c>
      <c r="E3391" s="2" t="str">
        <f>"男"</f>
        <v>男</v>
      </c>
    </row>
    <row r="3392" spans="1:5" ht="14.4" x14ac:dyDescent="0.25">
      <c r="A3392" s="4">
        <v>3390</v>
      </c>
      <c r="B3392" s="2" t="str">
        <f>"3251202108120824468193"</f>
        <v>3251202108120824468193</v>
      </c>
      <c r="C3392" s="2" t="s">
        <v>60</v>
      </c>
      <c r="D3392" s="2" t="str">
        <f>"王惠琪"</f>
        <v>王惠琪</v>
      </c>
      <c r="E3392" s="2" t="str">
        <f>"女"</f>
        <v>女</v>
      </c>
    </row>
    <row r="3393" spans="1:5" ht="14.4" x14ac:dyDescent="0.25">
      <c r="A3393" s="4">
        <v>3391</v>
      </c>
      <c r="B3393" s="2" t="str">
        <f>"3251202108121253248693"</f>
        <v>3251202108121253248693</v>
      </c>
      <c r="C3393" s="2" t="s">
        <v>60</v>
      </c>
      <c r="D3393" s="2" t="str">
        <f>"万智霞"</f>
        <v>万智霞</v>
      </c>
      <c r="E3393" s="2" t="str">
        <f>"女"</f>
        <v>女</v>
      </c>
    </row>
    <row r="3394" spans="1:5" ht="14.4" x14ac:dyDescent="0.25">
      <c r="A3394" s="4">
        <v>3392</v>
      </c>
      <c r="B3394" s="2" t="str">
        <f>"3251202108121624059015"</f>
        <v>3251202108121624059015</v>
      </c>
      <c r="C3394" s="2" t="s">
        <v>60</v>
      </c>
      <c r="D3394" s="2" t="str">
        <f>"吴欣虹"</f>
        <v>吴欣虹</v>
      </c>
      <c r="E3394" s="2" t="str">
        <f>"女"</f>
        <v>女</v>
      </c>
    </row>
    <row r="3395" spans="1:5" ht="14.4" x14ac:dyDescent="0.25">
      <c r="A3395" s="4">
        <v>3393</v>
      </c>
      <c r="B3395" s="2" t="str">
        <f>"3251202108121645299040"</f>
        <v>3251202108121645299040</v>
      </c>
      <c r="C3395" s="2" t="s">
        <v>60</v>
      </c>
      <c r="D3395" s="2" t="str">
        <f>"高才凌"</f>
        <v>高才凌</v>
      </c>
      <c r="E3395" s="2" t="str">
        <f>"女"</f>
        <v>女</v>
      </c>
    </row>
    <row r="3396" spans="1:5" ht="14.4" x14ac:dyDescent="0.25">
      <c r="A3396" s="4">
        <v>3394</v>
      </c>
      <c r="B3396" s="2" t="str">
        <f>"3251202108122346219457"</f>
        <v>3251202108122346219457</v>
      </c>
      <c r="C3396" s="2" t="s">
        <v>60</v>
      </c>
      <c r="D3396" s="2" t="str">
        <f>"黄赵权"</f>
        <v>黄赵权</v>
      </c>
      <c r="E3396" s="2" t="str">
        <f>"男"</f>
        <v>男</v>
      </c>
    </row>
    <row r="3397" spans="1:5" ht="14.4" x14ac:dyDescent="0.25">
      <c r="A3397" s="4">
        <v>3395</v>
      </c>
      <c r="B3397" s="2" t="str">
        <f>"3251202108130904369544"</f>
        <v>3251202108130904369544</v>
      </c>
      <c r="C3397" s="2" t="s">
        <v>60</v>
      </c>
      <c r="D3397" s="2" t="str">
        <f>"陆娟"</f>
        <v>陆娟</v>
      </c>
      <c r="E3397" s="2" t="str">
        <f>"女"</f>
        <v>女</v>
      </c>
    </row>
    <row r="3398" spans="1:5" ht="14.4" x14ac:dyDescent="0.25">
      <c r="A3398" s="4">
        <v>3396</v>
      </c>
      <c r="B3398" s="2" t="str">
        <f>"3251202108130905079545"</f>
        <v>3251202108130905079545</v>
      </c>
      <c r="C3398" s="2" t="s">
        <v>60</v>
      </c>
      <c r="D3398" s="2" t="str">
        <f>"王和成"</f>
        <v>王和成</v>
      </c>
      <c r="E3398" s="2" t="str">
        <f>"男"</f>
        <v>男</v>
      </c>
    </row>
    <row r="3399" spans="1:5" ht="14.4" x14ac:dyDescent="0.25">
      <c r="A3399" s="4">
        <v>3397</v>
      </c>
      <c r="B3399" s="2" t="str">
        <f>"3251202108131127449745"</f>
        <v>3251202108131127449745</v>
      </c>
      <c r="C3399" s="2" t="s">
        <v>60</v>
      </c>
      <c r="D3399" s="2" t="str">
        <f>"曹冬明"</f>
        <v>曹冬明</v>
      </c>
      <c r="E3399" s="2" t="str">
        <f>"男"</f>
        <v>男</v>
      </c>
    </row>
    <row r="3400" spans="1:5" ht="14.4" x14ac:dyDescent="0.25">
      <c r="A3400" s="4">
        <v>3398</v>
      </c>
      <c r="B3400" s="2" t="str">
        <f>"3251202108131143369762"</f>
        <v>3251202108131143369762</v>
      </c>
      <c r="C3400" s="2" t="s">
        <v>60</v>
      </c>
      <c r="D3400" s="2" t="str">
        <f>"梁钟文"</f>
        <v>梁钟文</v>
      </c>
      <c r="E3400" s="2" t="str">
        <f>"女"</f>
        <v>女</v>
      </c>
    </row>
    <row r="3401" spans="1:5" ht="14.4" x14ac:dyDescent="0.25">
      <c r="A3401" s="4">
        <v>3399</v>
      </c>
      <c r="B3401" s="2" t="str">
        <f>"32512021081411411910518"</f>
        <v>32512021081411411910518</v>
      </c>
      <c r="C3401" s="2" t="s">
        <v>60</v>
      </c>
      <c r="D3401" s="2" t="str">
        <f>"陈萍"</f>
        <v>陈萍</v>
      </c>
      <c r="E3401" s="2" t="str">
        <f>"女"</f>
        <v>女</v>
      </c>
    </row>
    <row r="3402" spans="1:5" ht="14.4" x14ac:dyDescent="0.25">
      <c r="A3402" s="4">
        <v>3400</v>
      </c>
      <c r="B3402" s="2" t="str">
        <f>"32512021081419081710783"</f>
        <v>32512021081419081710783</v>
      </c>
      <c r="C3402" s="2" t="s">
        <v>60</v>
      </c>
      <c r="D3402" s="2" t="str">
        <f>"农毅"</f>
        <v>农毅</v>
      </c>
      <c r="E3402" s="2" t="str">
        <f>"男"</f>
        <v>男</v>
      </c>
    </row>
    <row r="3403" spans="1:5" ht="14.4" x14ac:dyDescent="0.25">
      <c r="A3403" s="4">
        <v>3401</v>
      </c>
      <c r="B3403" s="2" t="str">
        <f>"32512021081422092210867"</f>
        <v>32512021081422092210867</v>
      </c>
      <c r="C3403" s="2" t="s">
        <v>60</v>
      </c>
      <c r="D3403" s="2" t="str">
        <f>"符永诗"</f>
        <v>符永诗</v>
      </c>
      <c r="E3403" s="2" t="str">
        <f>"男"</f>
        <v>男</v>
      </c>
    </row>
    <row r="3404" spans="1:5" ht="14.4" x14ac:dyDescent="0.25">
      <c r="A3404" s="4">
        <v>3402</v>
      </c>
      <c r="B3404" s="2" t="str">
        <f>"32512021081512350911079"</f>
        <v>32512021081512350911079</v>
      </c>
      <c r="C3404" s="2" t="s">
        <v>60</v>
      </c>
      <c r="D3404" s="2" t="str">
        <f>"王莉云"</f>
        <v>王莉云</v>
      </c>
      <c r="E3404" s="2" t="str">
        <f>"女"</f>
        <v>女</v>
      </c>
    </row>
    <row r="3405" spans="1:5" ht="14.4" x14ac:dyDescent="0.25">
      <c r="A3405" s="4">
        <v>3403</v>
      </c>
      <c r="B3405" s="2" t="str">
        <f>"32512021081519260011390"</f>
        <v>32512021081519260011390</v>
      </c>
      <c r="C3405" s="2" t="s">
        <v>60</v>
      </c>
      <c r="D3405" s="2" t="str">
        <f>"林凡超"</f>
        <v>林凡超</v>
      </c>
      <c r="E3405" s="2" t="str">
        <f>"男"</f>
        <v>男</v>
      </c>
    </row>
    <row r="3406" spans="1:5" ht="14.4" x14ac:dyDescent="0.25">
      <c r="A3406" s="4">
        <v>3404</v>
      </c>
      <c r="B3406" s="2" t="str">
        <f>"32512021081608543511792"</f>
        <v>32512021081608543511792</v>
      </c>
      <c r="C3406" s="2" t="s">
        <v>60</v>
      </c>
      <c r="D3406" s="2" t="str">
        <f>"周彩莲"</f>
        <v>周彩莲</v>
      </c>
      <c r="E3406" s="2" t="str">
        <f>"女"</f>
        <v>女</v>
      </c>
    </row>
    <row r="3407" spans="1:5" ht="14.4" x14ac:dyDescent="0.25">
      <c r="A3407" s="4">
        <v>3405</v>
      </c>
      <c r="B3407" s="2" t="str">
        <f>"32512021081610405012327"</f>
        <v>32512021081610405012327</v>
      </c>
      <c r="C3407" s="2" t="s">
        <v>60</v>
      </c>
      <c r="D3407" s="2" t="str">
        <f>"符盼盼"</f>
        <v>符盼盼</v>
      </c>
      <c r="E3407" s="2" t="str">
        <f>"女"</f>
        <v>女</v>
      </c>
    </row>
    <row r="3408" spans="1:5" ht="14.4" x14ac:dyDescent="0.25">
      <c r="A3408" s="4">
        <v>3406</v>
      </c>
      <c r="B3408" s="2" t="str">
        <f>"3251202108100900523738"</f>
        <v>3251202108100900523738</v>
      </c>
      <c r="C3408" s="2" t="s">
        <v>61</v>
      </c>
      <c r="D3408" s="2" t="str">
        <f>"李俊威"</f>
        <v>李俊威</v>
      </c>
      <c r="E3408" s="2" t="str">
        <f>"男"</f>
        <v>男</v>
      </c>
    </row>
    <row r="3409" spans="1:5" ht="14.4" x14ac:dyDescent="0.25">
      <c r="A3409" s="4">
        <v>3407</v>
      </c>
      <c r="B3409" s="2" t="str">
        <f>"3251202108100906563808"</f>
        <v>3251202108100906563808</v>
      </c>
      <c r="C3409" s="2" t="s">
        <v>61</v>
      </c>
      <c r="D3409" s="2" t="str">
        <f>"邓钰"</f>
        <v>邓钰</v>
      </c>
      <c r="E3409" s="2" t="str">
        <f>"女"</f>
        <v>女</v>
      </c>
    </row>
    <row r="3410" spans="1:5" ht="14.4" x14ac:dyDescent="0.25">
      <c r="A3410" s="4">
        <v>3408</v>
      </c>
      <c r="B3410" s="2" t="str">
        <f>"3251202108100911523867"</f>
        <v>3251202108100911523867</v>
      </c>
      <c r="C3410" s="2" t="s">
        <v>61</v>
      </c>
      <c r="D3410" s="2" t="str">
        <f>"符丽婷"</f>
        <v>符丽婷</v>
      </c>
      <c r="E3410" s="2" t="str">
        <f>"女"</f>
        <v>女</v>
      </c>
    </row>
    <row r="3411" spans="1:5" ht="14.4" x14ac:dyDescent="0.25">
      <c r="A3411" s="4">
        <v>3409</v>
      </c>
      <c r="B3411" s="2" t="str">
        <f>"3251202108100926163991"</f>
        <v>3251202108100926163991</v>
      </c>
      <c r="C3411" s="2" t="s">
        <v>61</v>
      </c>
      <c r="D3411" s="2" t="str">
        <f>"符冬雪"</f>
        <v>符冬雪</v>
      </c>
      <c r="E3411" s="2" t="str">
        <f>"女"</f>
        <v>女</v>
      </c>
    </row>
    <row r="3412" spans="1:5" ht="14.4" x14ac:dyDescent="0.25">
      <c r="A3412" s="4">
        <v>3410</v>
      </c>
      <c r="B3412" s="2" t="str">
        <f>"3251202108101007574272"</f>
        <v>3251202108101007574272</v>
      </c>
      <c r="C3412" s="2" t="s">
        <v>61</v>
      </c>
      <c r="D3412" s="2" t="str">
        <f>"王秋芸"</f>
        <v>王秋芸</v>
      </c>
      <c r="E3412" s="2" t="str">
        <f>"女"</f>
        <v>女</v>
      </c>
    </row>
    <row r="3413" spans="1:5" ht="14.4" x14ac:dyDescent="0.25">
      <c r="A3413" s="4">
        <v>3411</v>
      </c>
      <c r="B3413" s="2" t="str">
        <f>"3251202108101022324351"</f>
        <v>3251202108101022324351</v>
      </c>
      <c r="C3413" s="2" t="s">
        <v>61</v>
      </c>
      <c r="D3413" s="2" t="str">
        <f>"符慧民"</f>
        <v>符慧民</v>
      </c>
      <c r="E3413" s="2" t="str">
        <f>"男"</f>
        <v>男</v>
      </c>
    </row>
    <row r="3414" spans="1:5" ht="14.4" x14ac:dyDescent="0.25">
      <c r="A3414" s="4">
        <v>3412</v>
      </c>
      <c r="B3414" s="2" t="str">
        <f>"3251202108101036504428"</f>
        <v>3251202108101036504428</v>
      </c>
      <c r="C3414" s="2" t="s">
        <v>61</v>
      </c>
      <c r="D3414" s="2" t="str">
        <f>"张世培"</f>
        <v>张世培</v>
      </c>
      <c r="E3414" s="2" t="str">
        <f>"男"</f>
        <v>男</v>
      </c>
    </row>
    <row r="3415" spans="1:5" ht="14.4" x14ac:dyDescent="0.25">
      <c r="A3415" s="4">
        <v>3413</v>
      </c>
      <c r="B3415" s="2" t="str">
        <f>"3251202108101244194947"</f>
        <v>3251202108101244194947</v>
      </c>
      <c r="C3415" s="2" t="s">
        <v>61</v>
      </c>
      <c r="D3415" s="2" t="str">
        <f>"陈丹婷"</f>
        <v>陈丹婷</v>
      </c>
      <c r="E3415" s="2" t="str">
        <f>"女"</f>
        <v>女</v>
      </c>
    </row>
    <row r="3416" spans="1:5" ht="14.4" x14ac:dyDescent="0.25">
      <c r="A3416" s="4">
        <v>3414</v>
      </c>
      <c r="B3416" s="2" t="str">
        <f>"3251202108101403345113"</f>
        <v>3251202108101403345113</v>
      </c>
      <c r="C3416" s="2" t="s">
        <v>61</v>
      </c>
      <c r="D3416" s="2" t="str">
        <f>"刘艳思"</f>
        <v>刘艳思</v>
      </c>
      <c r="E3416" s="2" t="str">
        <f>"女"</f>
        <v>女</v>
      </c>
    </row>
    <row r="3417" spans="1:5" ht="14.4" x14ac:dyDescent="0.25">
      <c r="A3417" s="4">
        <v>3415</v>
      </c>
      <c r="B3417" s="2" t="str">
        <f>"3251202108101506075318"</f>
        <v>3251202108101506075318</v>
      </c>
      <c r="C3417" s="2" t="s">
        <v>61</v>
      </c>
      <c r="D3417" s="2" t="str">
        <f>"吕腾鹏"</f>
        <v>吕腾鹏</v>
      </c>
      <c r="E3417" s="2" t="str">
        <f>"男"</f>
        <v>男</v>
      </c>
    </row>
    <row r="3418" spans="1:5" ht="14.4" x14ac:dyDescent="0.25">
      <c r="A3418" s="4">
        <v>3416</v>
      </c>
      <c r="B3418" s="2" t="str">
        <f>"3251202108101701365735"</f>
        <v>3251202108101701365735</v>
      </c>
      <c r="C3418" s="2" t="s">
        <v>61</v>
      </c>
      <c r="D3418" s="2" t="str">
        <f>"姚国伟"</f>
        <v>姚国伟</v>
      </c>
      <c r="E3418" s="2" t="str">
        <f>"男"</f>
        <v>男</v>
      </c>
    </row>
    <row r="3419" spans="1:5" ht="14.4" x14ac:dyDescent="0.25">
      <c r="A3419" s="4">
        <v>3417</v>
      </c>
      <c r="B3419" s="2" t="str">
        <f>"3251202108101858046038"</f>
        <v>3251202108101858046038</v>
      </c>
      <c r="C3419" s="2" t="s">
        <v>61</v>
      </c>
      <c r="D3419" s="2" t="str">
        <f>"莫壮宗"</f>
        <v>莫壮宗</v>
      </c>
      <c r="E3419" s="2" t="str">
        <f>"男"</f>
        <v>男</v>
      </c>
    </row>
    <row r="3420" spans="1:5" ht="14.4" x14ac:dyDescent="0.25">
      <c r="A3420" s="4">
        <v>3418</v>
      </c>
      <c r="B3420" s="2" t="str">
        <f>"3251202108102026006214"</f>
        <v>3251202108102026006214</v>
      </c>
      <c r="C3420" s="2" t="s">
        <v>61</v>
      </c>
      <c r="D3420" s="2" t="str">
        <f>"羊冠明"</f>
        <v>羊冠明</v>
      </c>
      <c r="E3420" s="2" t="str">
        <f>"男"</f>
        <v>男</v>
      </c>
    </row>
    <row r="3421" spans="1:5" ht="14.4" x14ac:dyDescent="0.25">
      <c r="A3421" s="4">
        <v>3419</v>
      </c>
      <c r="B3421" s="2" t="str">
        <f>"3251202108111402457263"</f>
        <v>3251202108111402457263</v>
      </c>
      <c r="C3421" s="2" t="s">
        <v>61</v>
      </c>
      <c r="D3421" s="2" t="str">
        <f>"兰周祺"</f>
        <v>兰周祺</v>
      </c>
      <c r="E3421" s="2" t="str">
        <f>"女"</f>
        <v>女</v>
      </c>
    </row>
    <row r="3422" spans="1:5" ht="14.4" x14ac:dyDescent="0.25">
      <c r="A3422" s="4">
        <v>3420</v>
      </c>
      <c r="B3422" s="2" t="str">
        <f>"3251202108111619417521"</f>
        <v>3251202108111619417521</v>
      </c>
      <c r="C3422" s="2" t="s">
        <v>61</v>
      </c>
      <c r="D3422" s="2" t="str">
        <f>"陈玉柳"</f>
        <v>陈玉柳</v>
      </c>
      <c r="E3422" s="2" t="str">
        <f>"女"</f>
        <v>女</v>
      </c>
    </row>
    <row r="3423" spans="1:5" ht="14.4" x14ac:dyDescent="0.25">
      <c r="A3423" s="4">
        <v>3421</v>
      </c>
      <c r="B3423" s="2" t="str">
        <f>"3251202108111807357696"</f>
        <v>3251202108111807357696</v>
      </c>
      <c r="C3423" s="2" t="s">
        <v>61</v>
      </c>
      <c r="D3423" s="2" t="str">
        <f>"李智明"</f>
        <v>李智明</v>
      </c>
      <c r="E3423" s="2" t="str">
        <f>"男"</f>
        <v>男</v>
      </c>
    </row>
    <row r="3424" spans="1:5" ht="14.4" x14ac:dyDescent="0.25">
      <c r="A3424" s="4">
        <v>3422</v>
      </c>
      <c r="B3424" s="2" t="str">
        <f>"3251202108111911187778"</f>
        <v>3251202108111911187778</v>
      </c>
      <c r="C3424" s="2" t="s">
        <v>61</v>
      </c>
      <c r="D3424" s="2" t="str">
        <f>"谢王灵"</f>
        <v>谢王灵</v>
      </c>
      <c r="E3424" s="2" t="str">
        <f>"男"</f>
        <v>男</v>
      </c>
    </row>
    <row r="3425" spans="1:5" ht="14.4" x14ac:dyDescent="0.25">
      <c r="A3425" s="4">
        <v>3423</v>
      </c>
      <c r="B3425" s="2" t="str">
        <f>"3251202108120909258273"</f>
        <v>3251202108120909258273</v>
      </c>
      <c r="C3425" s="2" t="s">
        <v>61</v>
      </c>
      <c r="D3425" s="2" t="str">
        <f>"刘良秀"</f>
        <v>刘良秀</v>
      </c>
      <c r="E3425" s="2" t="str">
        <f>"男"</f>
        <v>男</v>
      </c>
    </row>
    <row r="3426" spans="1:5" ht="14.4" x14ac:dyDescent="0.25">
      <c r="A3426" s="4">
        <v>3424</v>
      </c>
      <c r="B3426" s="2" t="str">
        <f>"3251202108120959578407"</f>
        <v>3251202108120959578407</v>
      </c>
      <c r="C3426" s="2" t="s">
        <v>61</v>
      </c>
      <c r="D3426" s="2" t="str">
        <f>"冯林"</f>
        <v>冯林</v>
      </c>
      <c r="E3426" s="2" t="str">
        <f>"女"</f>
        <v>女</v>
      </c>
    </row>
    <row r="3427" spans="1:5" ht="14.4" x14ac:dyDescent="0.25">
      <c r="A3427" s="4">
        <v>3425</v>
      </c>
      <c r="B3427" s="2" t="str">
        <f>"3251202108121432428797"</f>
        <v>3251202108121432428797</v>
      </c>
      <c r="C3427" s="2" t="s">
        <v>61</v>
      </c>
      <c r="D3427" s="2" t="str">
        <f>"林斌"</f>
        <v>林斌</v>
      </c>
      <c r="E3427" s="2" t="str">
        <f>"男"</f>
        <v>男</v>
      </c>
    </row>
    <row r="3428" spans="1:5" ht="14.4" x14ac:dyDescent="0.25">
      <c r="A3428" s="4">
        <v>3426</v>
      </c>
      <c r="B3428" s="2" t="str">
        <f>"3251202108121706329076"</f>
        <v>3251202108121706329076</v>
      </c>
      <c r="C3428" s="2" t="s">
        <v>61</v>
      </c>
      <c r="D3428" s="2" t="str">
        <f>"张秀敏"</f>
        <v>张秀敏</v>
      </c>
      <c r="E3428" s="2" t="str">
        <f>"女"</f>
        <v>女</v>
      </c>
    </row>
    <row r="3429" spans="1:5" ht="14.4" x14ac:dyDescent="0.25">
      <c r="A3429" s="4">
        <v>3427</v>
      </c>
      <c r="B3429" s="2" t="str">
        <f>"3251202108121717499094"</f>
        <v>3251202108121717499094</v>
      </c>
      <c r="C3429" s="2" t="s">
        <v>61</v>
      </c>
      <c r="D3429" s="2" t="str">
        <f>"刘丽婷"</f>
        <v>刘丽婷</v>
      </c>
      <c r="E3429" s="2" t="str">
        <f>"女"</f>
        <v>女</v>
      </c>
    </row>
    <row r="3430" spans="1:5" ht="14.4" x14ac:dyDescent="0.25">
      <c r="A3430" s="4">
        <v>3428</v>
      </c>
      <c r="B3430" s="2" t="str">
        <f>"3251202108121902069201"</f>
        <v>3251202108121902069201</v>
      </c>
      <c r="C3430" s="2" t="s">
        <v>61</v>
      </c>
      <c r="D3430" s="2" t="str">
        <f>"张卿"</f>
        <v>张卿</v>
      </c>
      <c r="E3430" s="2" t="str">
        <f>"女"</f>
        <v>女</v>
      </c>
    </row>
    <row r="3431" spans="1:5" ht="14.4" x14ac:dyDescent="0.25">
      <c r="A3431" s="4">
        <v>3429</v>
      </c>
      <c r="B3431" s="2" t="str">
        <f>"3251202108122147569362"</f>
        <v>3251202108122147569362</v>
      </c>
      <c r="C3431" s="2" t="s">
        <v>61</v>
      </c>
      <c r="D3431" s="2" t="str">
        <f>"罗茂发"</f>
        <v>罗茂发</v>
      </c>
      <c r="E3431" s="2" t="str">
        <f>"男"</f>
        <v>男</v>
      </c>
    </row>
    <row r="3432" spans="1:5" ht="14.4" x14ac:dyDescent="0.25">
      <c r="A3432" s="4">
        <v>3430</v>
      </c>
      <c r="B3432" s="2" t="str">
        <f>"3251202108131517369934"</f>
        <v>3251202108131517369934</v>
      </c>
      <c r="C3432" s="2" t="s">
        <v>61</v>
      </c>
      <c r="D3432" s="2" t="str">
        <f>"符金英"</f>
        <v>符金英</v>
      </c>
      <c r="E3432" s="2" t="str">
        <f>"女"</f>
        <v>女</v>
      </c>
    </row>
    <row r="3433" spans="1:5" ht="14.4" x14ac:dyDescent="0.25">
      <c r="A3433" s="4">
        <v>3431</v>
      </c>
      <c r="B3433" s="2" t="str">
        <f>"3251202108131542099974"</f>
        <v>3251202108131542099974</v>
      </c>
      <c r="C3433" s="2" t="s">
        <v>61</v>
      </c>
      <c r="D3433" s="2" t="str">
        <f>"赵文仪"</f>
        <v>赵文仪</v>
      </c>
      <c r="E3433" s="2" t="str">
        <f>"女"</f>
        <v>女</v>
      </c>
    </row>
    <row r="3434" spans="1:5" ht="14.4" x14ac:dyDescent="0.25">
      <c r="A3434" s="4">
        <v>3432</v>
      </c>
      <c r="B3434" s="2" t="str">
        <f>"32512021081316543110068"</f>
        <v>32512021081316543110068</v>
      </c>
      <c r="C3434" s="2" t="s">
        <v>61</v>
      </c>
      <c r="D3434" s="2" t="str">
        <f>"覃茴"</f>
        <v>覃茴</v>
      </c>
      <c r="E3434" s="2" t="str">
        <f>"女"</f>
        <v>女</v>
      </c>
    </row>
    <row r="3435" spans="1:5" ht="14.4" x14ac:dyDescent="0.25">
      <c r="A3435" s="4">
        <v>3433</v>
      </c>
      <c r="B3435" s="2" t="str">
        <f>"32512021081317214710104"</f>
        <v>32512021081317214710104</v>
      </c>
      <c r="C3435" s="2" t="s">
        <v>61</v>
      </c>
      <c r="D3435" s="2" t="str">
        <f>"叶丹花"</f>
        <v>叶丹花</v>
      </c>
      <c r="E3435" s="2" t="str">
        <f>"女"</f>
        <v>女</v>
      </c>
    </row>
    <row r="3436" spans="1:5" ht="14.4" x14ac:dyDescent="0.25">
      <c r="A3436" s="4">
        <v>3434</v>
      </c>
      <c r="B3436" s="2" t="str">
        <f>"32512021081408550110389"</f>
        <v>32512021081408550110389</v>
      </c>
      <c r="C3436" s="2" t="s">
        <v>61</v>
      </c>
      <c r="D3436" s="2" t="str">
        <f>"符林敬"</f>
        <v>符林敬</v>
      </c>
      <c r="E3436" s="2" t="str">
        <f>"男"</f>
        <v>男</v>
      </c>
    </row>
    <row r="3437" spans="1:5" ht="14.4" x14ac:dyDescent="0.25">
      <c r="A3437" s="4">
        <v>3435</v>
      </c>
      <c r="B3437" s="2" t="str">
        <f>"32512021081414291410598"</f>
        <v>32512021081414291410598</v>
      </c>
      <c r="C3437" s="2" t="s">
        <v>61</v>
      </c>
      <c r="D3437" s="2" t="str">
        <f>"吴运腾"</f>
        <v>吴运腾</v>
      </c>
      <c r="E3437" s="2" t="str">
        <f>"男"</f>
        <v>男</v>
      </c>
    </row>
    <row r="3438" spans="1:5" ht="14.4" x14ac:dyDescent="0.25">
      <c r="A3438" s="4">
        <v>3436</v>
      </c>
      <c r="B3438" s="2" t="str">
        <f>"32512021081510160810987"</f>
        <v>32512021081510160810987</v>
      </c>
      <c r="C3438" s="2" t="s">
        <v>61</v>
      </c>
      <c r="D3438" s="2" t="str">
        <f>"覃开剑"</f>
        <v>覃开剑</v>
      </c>
      <c r="E3438" s="2" t="str">
        <f>"男"</f>
        <v>男</v>
      </c>
    </row>
    <row r="3439" spans="1:5" ht="14.4" x14ac:dyDescent="0.25">
      <c r="A3439" s="4">
        <v>3437</v>
      </c>
      <c r="B3439" s="2" t="str">
        <f>"32512021081510214710990"</f>
        <v>32512021081510214710990</v>
      </c>
      <c r="C3439" s="2" t="s">
        <v>61</v>
      </c>
      <c r="D3439" s="2" t="str">
        <f>"莫国庆"</f>
        <v>莫国庆</v>
      </c>
      <c r="E3439" s="2" t="str">
        <f>"男"</f>
        <v>男</v>
      </c>
    </row>
    <row r="3440" spans="1:5" ht="14.4" x14ac:dyDescent="0.25">
      <c r="A3440" s="4">
        <v>3438</v>
      </c>
      <c r="B3440" s="2" t="str">
        <f>"32512021081513235611111"</f>
        <v>32512021081513235611111</v>
      </c>
      <c r="C3440" s="2" t="s">
        <v>61</v>
      </c>
      <c r="D3440" s="2" t="str">
        <f>"吴碧荘"</f>
        <v>吴碧荘</v>
      </c>
      <c r="E3440" s="2" t="str">
        <f>"女"</f>
        <v>女</v>
      </c>
    </row>
    <row r="3441" spans="1:5" ht="14.4" x14ac:dyDescent="0.25">
      <c r="A3441" s="4">
        <v>3439</v>
      </c>
      <c r="B3441" s="2" t="str">
        <f>"32512021081517092411286"</f>
        <v>32512021081517092411286</v>
      </c>
      <c r="C3441" s="2" t="s">
        <v>61</v>
      </c>
      <c r="D3441" s="2" t="str">
        <f>"王依婷"</f>
        <v>王依婷</v>
      </c>
      <c r="E3441" s="2" t="str">
        <f>"女"</f>
        <v>女</v>
      </c>
    </row>
    <row r="3442" spans="1:5" ht="14.4" x14ac:dyDescent="0.25">
      <c r="A3442" s="4">
        <v>3440</v>
      </c>
      <c r="B3442" s="2" t="str">
        <f>"32512021081600005611634"</f>
        <v>32512021081600005611634</v>
      </c>
      <c r="C3442" s="2" t="s">
        <v>61</v>
      </c>
      <c r="D3442" s="2" t="str">
        <f>"韦荣林"</f>
        <v>韦荣林</v>
      </c>
      <c r="E3442" s="2" t="str">
        <f>"男"</f>
        <v>男</v>
      </c>
    </row>
  </sheetData>
  <sheetProtection algorithmName="SHA-512" hashValue="YvydMMkjh+ryJFLg/j5JXd1suRAZRRx2bixg2pMWamYanBeU2Iv3LWDMfHPY13T+oS27cfMG1uh+mXdpRV3nNw==" saltValue="/LSNUcYg8E4sJL9lEpphfA==" spinCount="100000" sheet="1" objects="1" scenarios="1"/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2021-08-27T01:22:42Z</dcterms:modified>
</cp:coreProperties>
</file>