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4" r:id="rId1"/>
    <sheet name="Sheet1" sheetId="5" r:id="rId2"/>
  </sheets>
  <definedNames>
    <definedName name="_xlnm._FilterDatabase" localSheetId="0" hidden="1">总成绩!$1:$732</definedName>
  </definedNames>
  <calcPr calcId="144525"/>
</workbook>
</file>

<file path=xl/sharedStrings.xml><?xml version="1.0" encoding="utf-8"?>
<sst xmlns="http://schemas.openxmlformats.org/spreadsheetml/2006/main" count="2244" uniqueCount="772">
  <si>
    <t>阜阳市颍东区2021年公开招聘幼儿教师总成绩</t>
  </si>
  <si>
    <t>报考岗位</t>
  </si>
  <si>
    <t>考场号</t>
  </si>
  <si>
    <t>座位号</t>
  </si>
  <si>
    <t>准考证号</t>
  </si>
  <si>
    <t>笔试合成成绩</t>
  </si>
  <si>
    <t>专业测试成绩</t>
  </si>
  <si>
    <t>总成绩</t>
  </si>
  <si>
    <t>2021001</t>
  </si>
  <si>
    <t>2021002</t>
  </si>
  <si>
    <t>2021003</t>
  </si>
  <si>
    <t>2021004</t>
  </si>
  <si>
    <t>2021005</t>
  </si>
  <si>
    <t>2021006</t>
  </si>
  <si>
    <t>2021007</t>
  </si>
  <si>
    <t>2021008</t>
  </si>
  <si>
    <t>2021009</t>
  </si>
  <si>
    <t>2021010</t>
  </si>
  <si>
    <t>2021011</t>
  </si>
  <si>
    <t>2021012</t>
  </si>
  <si>
    <t>2021013</t>
  </si>
  <si>
    <t>2021014</t>
  </si>
  <si>
    <t>2021015</t>
  </si>
  <si>
    <t>2021016</t>
  </si>
  <si>
    <t>2021017</t>
  </si>
  <si>
    <t>2021018</t>
  </si>
  <si>
    <t>2021019</t>
  </si>
  <si>
    <t>2021020</t>
  </si>
  <si>
    <t>2021021</t>
  </si>
  <si>
    <t>2021022</t>
  </si>
  <si>
    <t>2021023</t>
  </si>
  <si>
    <t>2021024</t>
  </si>
  <si>
    <t>2021025</t>
  </si>
  <si>
    <t>2021026</t>
  </si>
  <si>
    <t>2021027</t>
  </si>
  <si>
    <t>2021028</t>
  </si>
  <si>
    <t>序号</t>
  </si>
  <si>
    <t>姓名</t>
  </si>
  <si>
    <t>学前教育专业知识成绩</t>
  </si>
  <si>
    <t>教育公共基础知识成绩</t>
  </si>
  <si>
    <t>张娜娟</t>
  </si>
  <si>
    <t>谭国庆</t>
  </si>
  <si>
    <t>赵甲滨</t>
  </si>
  <si>
    <t>段艺雯</t>
  </si>
  <si>
    <t>孟贞</t>
  </si>
  <si>
    <t>张家宜</t>
  </si>
  <si>
    <t>盛晓梅</t>
  </si>
  <si>
    <t>马倩倩</t>
  </si>
  <si>
    <t>纪微娜</t>
  </si>
  <si>
    <t>任道影</t>
  </si>
  <si>
    <t>卢子青</t>
  </si>
  <si>
    <t>陈巧敏</t>
  </si>
  <si>
    <t>邓明利</t>
  </si>
  <si>
    <t>曹晶晶</t>
  </si>
  <si>
    <t>闫青青</t>
  </si>
  <si>
    <t>陈肖肖</t>
  </si>
  <si>
    <t>姚方方</t>
  </si>
  <si>
    <t>张越男</t>
  </si>
  <si>
    <t>李双睛</t>
  </si>
  <si>
    <t>吴一平</t>
  </si>
  <si>
    <t>巩梦晴</t>
  </si>
  <si>
    <t>黄梦晴</t>
  </si>
  <si>
    <t>许小丽</t>
  </si>
  <si>
    <t>马冰冰</t>
  </si>
  <si>
    <t>薛晶晶</t>
  </si>
  <si>
    <t>关梦婷</t>
  </si>
  <si>
    <t>王可云</t>
  </si>
  <si>
    <t>李晶</t>
  </si>
  <si>
    <t>吴梦梦</t>
  </si>
  <si>
    <t>何雯雯</t>
  </si>
  <si>
    <t>蒋文静</t>
  </si>
  <si>
    <t>黄孟婷</t>
  </si>
  <si>
    <t>张咏春</t>
  </si>
  <si>
    <t>吕敏捷</t>
  </si>
  <si>
    <t>郭文婷</t>
  </si>
  <si>
    <t>谢娜</t>
  </si>
  <si>
    <t>王俊雯</t>
  </si>
  <si>
    <t>张启月</t>
  </si>
  <si>
    <t>周雅倩</t>
  </si>
  <si>
    <t>陈晨</t>
  </si>
  <si>
    <t>沈梦娇</t>
  </si>
  <si>
    <t>沈金金</t>
  </si>
  <si>
    <t>侯田田</t>
  </si>
  <si>
    <t>刘小莹</t>
  </si>
  <si>
    <t>张梦雅</t>
  </si>
  <si>
    <t>牛方方</t>
  </si>
  <si>
    <t>冷丝雨</t>
  </si>
  <si>
    <t>丁青青</t>
  </si>
  <si>
    <t>张瀚水</t>
  </si>
  <si>
    <t>储倩倩</t>
  </si>
  <si>
    <t>刘玉</t>
  </si>
  <si>
    <t>袁贝贝</t>
  </si>
  <si>
    <t>张艳</t>
  </si>
  <si>
    <t>陆慧慧</t>
  </si>
  <si>
    <t>李思杭</t>
  </si>
  <si>
    <t>王丹丹</t>
  </si>
  <si>
    <t>毛皎皎</t>
  </si>
  <si>
    <t>王漫漫</t>
  </si>
  <si>
    <t>颜孟雪</t>
  </si>
  <si>
    <t>赵黎娜</t>
  </si>
  <si>
    <t>李千姿</t>
  </si>
  <si>
    <t>马乐梅</t>
  </si>
  <si>
    <t>叶妞妞</t>
  </si>
  <si>
    <t>齐倩</t>
  </si>
  <si>
    <t>蔡梦婷</t>
  </si>
  <si>
    <t>刘雅洁</t>
  </si>
  <si>
    <t>吴艳</t>
  </si>
  <si>
    <t>庞晓庆</t>
  </si>
  <si>
    <t>朱德凤</t>
  </si>
  <si>
    <t>李钦钦</t>
  </si>
  <si>
    <t>胡越</t>
  </si>
  <si>
    <t>冯锦文</t>
  </si>
  <si>
    <t>张端端</t>
  </si>
  <si>
    <t>夏雨</t>
  </si>
  <si>
    <t>武停停</t>
  </si>
  <si>
    <t>刘雪燕</t>
  </si>
  <si>
    <t>张雨琪</t>
  </si>
  <si>
    <t>袁琳琳</t>
  </si>
  <si>
    <t>王梦慧</t>
  </si>
  <si>
    <t>潘格格</t>
  </si>
  <si>
    <t>张晓玉</t>
  </si>
  <si>
    <t>王静静</t>
  </si>
  <si>
    <t>张文静</t>
  </si>
  <si>
    <t>代瑞瑞</t>
  </si>
  <si>
    <t>陶胜男</t>
  </si>
  <si>
    <t>谭萍萍</t>
  </si>
  <si>
    <t>母梦如</t>
  </si>
  <si>
    <t>马如如</t>
  </si>
  <si>
    <t>张阿珍</t>
  </si>
  <si>
    <t>姜慧慧</t>
  </si>
  <si>
    <t>王凤梅</t>
  </si>
  <si>
    <t>张雨</t>
  </si>
  <si>
    <t>候利华</t>
  </si>
  <si>
    <t>赵蒙蒙</t>
  </si>
  <si>
    <t>赵利芹</t>
  </si>
  <si>
    <t>黄宇晨</t>
  </si>
  <si>
    <t>冯秀秀</t>
  </si>
  <si>
    <t>罗玉婷</t>
  </si>
  <si>
    <t>牛小如</t>
  </si>
  <si>
    <t>王赛雅</t>
  </si>
  <si>
    <t>朱文瑞</t>
  </si>
  <si>
    <t>龚莹莹</t>
  </si>
  <si>
    <t>房方园</t>
  </si>
  <si>
    <t>王英</t>
  </si>
  <si>
    <t>任文萍</t>
  </si>
  <si>
    <t>李文杰</t>
  </si>
  <si>
    <t>李升慧</t>
  </si>
  <si>
    <t>孙雨婷</t>
  </si>
  <si>
    <t>张娜娜</t>
  </si>
  <si>
    <t>郝南南</t>
  </si>
  <si>
    <t>姚晓宇</t>
  </si>
  <si>
    <t>骆海云</t>
  </si>
  <si>
    <t>张利娟</t>
  </si>
  <si>
    <t>钱丽嫚</t>
  </si>
  <si>
    <t>张晶晶</t>
  </si>
  <si>
    <t>刘玉凤</t>
  </si>
  <si>
    <t>张梦雪</t>
  </si>
  <si>
    <t>程懿</t>
  </si>
  <si>
    <t>张珈硕</t>
  </si>
  <si>
    <t>刘雨晴</t>
  </si>
  <si>
    <t>尤晴晴</t>
  </si>
  <si>
    <t>马红</t>
  </si>
  <si>
    <t>杨露露</t>
  </si>
  <si>
    <t>徐文艳</t>
  </si>
  <si>
    <t>刘亚茹</t>
  </si>
  <si>
    <t>王楠楠</t>
  </si>
  <si>
    <t>安婷</t>
  </si>
  <si>
    <t>李彤</t>
  </si>
  <si>
    <t>魏倩文</t>
  </si>
  <si>
    <t>刘晴晴</t>
  </si>
  <si>
    <t>徐海宁</t>
  </si>
  <si>
    <t>张睦晗</t>
  </si>
  <si>
    <t>贾凡</t>
  </si>
  <si>
    <t>张梦梦</t>
  </si>
  <si>
    <t>张雅迪</t>
  </si>
  <si>
    <t>唐艳利</t>
  </si>
  <si>
    <t>张亚菲</t>
  </si>
  <si>
    <t>范慧慧</t>
  </si>
  <si>
    <t>杨雨婷</t>
  </si>
  <si>
    <t>刘敏</t>
  </si>
  <si>
    <t>王倩倩</t>
  </si>
  <si>
    <t>孙梦辰</t>
  </si>
  <si>
    <t>李玉凤</t>
  </si>
  <si>
    <t>韩敏</t>
  </si>
  <si>
    <t>李晓冉</t>
  </si>
  <si>
    <t>王玉茂</t>
  </si>
  <si>
    <t>余琼</t>
  </si>
  <si>
    <t>王雪芹</t>
  </si>
  <si>
    <t>马雪静</t>
  </si>
  <si>
    <t>盛夏</t>
  </si>
  <si>
    <t>丁情情</t>
  </si>
  <si>
    <t>翁玉倩</t>
  </si>
  <si>
    <t>韩颖颖</t>
  </si>
  <si>
    <t>杨梦迪</t>
  </si>
  <si>
    <t>李成成</t>
  </si>
  <si>
    <t>李晓晴</t>
  </si>
  <si>
    <t>房雪晴</t>
  </si>
  <si>
    <t>李梦雅</t>
  </si>
  <si>
    <t>杜婵婵</t>
  </si>
  <si>
    <t>于欣悦</t>
  </si>
  <si>
    <t>高玉玉</t>
  </si>
  <si>
    <t>韩京玲</t>
  </si>
  <si>
    <t>丁雪情</t>
  </si>
  <si>
    <t>陈琳</t>
  </si>
  <si>
    <t>张悦</t>
  </si>
  <si>
    <t>张雨晴</t>
  </si>
  <si>
    <t>孙甜甜</t>
  </si>
  <si>
    <t>陈志婉</t>
  </si>
  <si>
    <t>王若彤</t>
  </si>
  <si>
    <t>吴圆</t>
  </si>
  <si>
    <t>王瑜琦</t>
  </si>
  <si>
    <t>谢欣雨</t>
  </si>
  <si>
    <t>徐哪哪</t>
  </si>
  <si>
    <t>王倩楠</t>
  </si>
  <si>
    <t>丁蕊蕊</t>
  </si>
  <si>
    <t>时蕊</t>
  </si>
  <si>
    <t>张万杰</t>
  </si>
  <si>
    <t>龚梦婷</t>
  </si>
  <si>
    <t>王曼丽</t>
  </si>
  <si>
    <t>段小晴</t>
  </si>
  <si>
    <t>朱金玲</t>
  </si>
  <si>
    <t>王秋歌</t>
  </si>
  <si>
    <t>常静茹</t>
  </si>
  <si>
    <t>刘叮叮</t>
  </si>
  <si>
    <t>吕慧佺</t>
  </si>
  <si>
    <t>周园园</t>
  </si>
  <si>
    <t>韩方</t>
  </si>
  <si>
    <t>方彤</t>
  </si>
  <si>
    <t>武慢慢</t>
  </si>
  <si>
    <t>林双双</t>
  </si>
  <si>
    <t>王静玲</t>
  </si>
  <si>
    <t>张少文</t>
  </si>
  <si>
    <t>张婉君</t>
  </si>
  <si>
    <t>吴传芳</t>
  </si>
  <si>
    <t>朱天奇</t>
  </si>
  <si>
    <t>韩孟娟</t>
  </si>
  <si>
    <t>林娇</t>
  </si>
  <si>
    <t>李利萍</t>
  </si>
  <si>
    <t>李思琦</t>
  </si>
  <si>
    <t>王盼盼</t>
  </si>
  <si>
    <t>张梦楠</t>
  </si>
  <si>
    <t>张欢欢</t>
  </si>
  <si>
    <t>李晓凤</t>
  </si>
  <si>
    <t>陈梦梦</t>
  </si>
  <si>
    <t>张焕文</t>
  </si>
  <si>
    <t>周鑫雨</t>
  </si>
  <si>
    <t>陈晓洁</t>
  </si>
  <si>
    <t>吴方梅</t>
  </si>
  <si>
    <t>李梦缘</t>
  </si>
  <si>
    <t>代静如</t>
  </si>
  <si>
    <t>纪雪晴</t>
  </si>
  <si>
    <t>王雨云</t>
  </si>
  <si>
    <t>郭东艳</t>
  </si>
  <si>
    <t>王思慧</t>
  </si>
  <si>
    <t>宋燕婷</t>
  </si>
  <si>
    <t>吴春梅</t>
  </si>
  <si>
    <t>王中勤</t>
  </si>
  <si>
    <t>崔梦帆</t>
  </si>
  <si>
    <t>李梦婷</t>
  </si>
  <si>
    <t>王文静</t>
  </si>
  <si>
    <t>刘逦帆</t>
  </si>
  <si>
    <t>张静</t>
  </si>
  <si>
    <t>祝萍</t>
  </si>
  <si>
    <t>周瑞</t>
  </si>
  <si>
    <t>司苗苗</t>
  </si>
  <si>
    <t>赵凌娜</t>
  </si>
  <si>
    <t>毛西茹</t>
  </si>
  <si>
    <t>王丽杰</t>
  </si>
  <si>
    <t>胡紫徽</t>
  </si>
  <si>
    <t>王婷婷</t>
  </si>
  <si>
    <t>董会会</t>
  </si>
  <si>
    <t>曾婷婷</t>
  </si>
  <si>
    <t>徐淼</t>
  </si>
  <si>
    <t>李瑞雪</t>
  </si>
  <si>
    <t>吴骄骄</t>
  </si>
  <si>
    <t>吴家静</t>
  </si>
  <si>
    <t>王紫嫣</t>
  </si>
  <si>
    <t>巩新兰</t>
  </si>
  <si>
    <t>兰胜男</t>
  </si>
  <si>
    <t>韦双环</t>
  </si>
  <si>
    <t>亓文婷</t>
  </si>
  <si>
    <t>徐丽</t>
  </si>
  <si>
    <t>王静文</t>
  </si>
  <si>
    <t>陈慧慧</t>
  </si>
  <si>
    <t>刘娇娇</t>
  </si>
  <si>
    <t>张梦圆</t>
  </si>
  <si>
    <t>黄磊</t>
  </si>
  <si>
    <t>周娜娜</t>
  </si>
  <si>
    <t>丁锐</t>
  </si>
  <si>
    <t>韦双聂</t>
  </si>
  <si>
    <t>武明侠</t>
  </si>
  <si>
    <t>方雪</t>
  </si>
  <si>
    <t>李志茹</t>
  </si>
  <si>
    <t>史红慈</t>
  </si>
  <si>
    <t>刘梦洁</t>
  </si>
  <si>
    <t>赵东盼</t>
  </si>
  <si>
    <t>张倩</t>
  </si>
  <si>
    <t>黄飞燕</t>
  </si>
  <si>
    <t>朱琳琳</t>
  </si>
  <si>
    <t>孟晓雅</t>
  </si>
  <si>
    <t>储继娟</t>
  </si>
  <si>
    <t>高晓红</t>
  </si>
  <si>
    <t>侯文静</t>
  </si>
  <si>
    <t>杨梦文</t>
  </si>
  <si>
    <t>曹丽梅</t>
  </si>
  <si>
    <t>陈晴晴</t>
  </si>
  <si>
    <t>段楠楠</t>
  </si>
  <si>
    <t>余新于</t>
  </si>
  <si>
    <t>锁雨婷</t>
  </si>
  <si>
    <t>夏思雅</t>
  </si>
  <si>
    <t>王雪苓</t>
  </si>
  <si>
    <t>吴洁</t>
  </si>
  <si>
    <t>李侠</t>
  </si>
  <si>
    <t>王丽楠</t>
  </si>
  <si>
    <t>汝静怡</t>
  </si>
  <si>
    <t>邵迪迪</t>
  </si>
  <si>
    <t>段梦真</t>
  </si>
  <si>
    <t>赵晓慧</t>
  </si>
  <si>
    <t>王沙沙</t>
  </si>
  <si>
    <t>张佳丽</t>
  </si>
  <si>
    <t>盛雨晴</t>
  </si>
  <si>
    <t>李娜</t>
  </si>
  <si>
    <t>吴露雨</t>
  </si>
  <si>
    <t>张荣荣</t>
  </si>
  <si>
    <t>杨玉</t>
  </si>
  <si>
    <t>赵梦琪</t>
  </si>
  <si>
    <t>云心茹</t>
  </si>
  <si>
    <t>王利</t>
  </si>
  <si>
    <t>张雅</t>
  </si>
  <si>
    <t>金巧玉</t>
  </si>
  <si>
    <t>陈璐</t>
  </si>
  <si>
    <t>李雪</t>
  </si>
  <si>
    <t>侯馨蕊</t>
  </si>
  <si>
    <t>王珍</t>
  </si>
  <si>
    <t>和梦雅</t>
  </si>
  <si>
    <t>肖亚楠</t>
  </si>
  <si>
    <t>李萍萍</t>
  </si>
  <si>
    <t>于勤</t>
  </si>
  <si>
    <t>王素英</t>
  </si>
  <si>
    <t>纪晗慈</t>
  </si>
  <si>
    <t>相星星</t>
  </si>
  <si>
    <t>白雪</t>
  </si>
  <si>
    <t>范青青</t>
  </si>
  <si>
    <t>刘国庆</t>
  </si>
  <si>
    <t>郝孟如</t>
  </si>
  <si>
    <t>姜维娜</t>
  </si>
  <si>
    <t>陈飞</t>
  </si>
  <si>
    <t>李同洁</t>
  </si>
  <si>
    <t>郑阿情</t>
  </si>
  <si>
    <t>田宇婕</t>
  </si>
  <si>
    <t>张晓瑞</t>
  </si>
  <si>
    <t>郭文静</t>
  </si>
  <si>
    <t>胡暇彬</t>
  </si>
  <si>
    <t>程孟娜</t>
  </si>
  <si>
    <t>芮娜</t>
  </si>
  <si>
    <t>王忍霞</t>
  </si>
  <si>
    <t>张晴晴</t>
  </si>
  <si>
    <t>霍新英</t>
  </si>
  <si>
    <t>高凯玲</t>
  </si>
  <si>
    <t>王紫雪</t>
  </si>
  <si>
    <t>李静文</t>
  </si>
  <si>
    <t>胡敏杰</t>
  </si>
  <si>
    <t>汪君淼</t>
  </si>
  <si>
    <t>张雪艳</t>
  </si>
  <si>
    <t>赵蕊蕊</t>
  </si>
  <si>
    <t>王冬梅</t>
  </si>
  <si>
    <t>丁树咪</t>
  </si>
  <si>
    <t>范星荣</t>
  </si>
  <si>
    <t>鹿庆</t>
  </si>
  <si>
    <t>王梦</t>
  </si>
  <si>
    <t>周如</t>
  </si>
  <si>
    <t>杨盼盼</t>
  </si>
  <si>
    <t>魏飞</t>
  </si>
  <si>
    <t>柳甜甜</t>
  </si>
  <si>
    <t>李婷婷</t>
  </si>
  <si>
    <t>李盈盈</t>
  </si>
  <si>
    <t>孙齐齐</t>
  </si>
  <si>
    <t>李梦燕</t>
  </si>
  <si>
    <t>陈敏</t>
  </si>
  <si>
    <t>黄苗苗</t>
  </si>
  <si>
    <t>耿畅</t>
  </si>
  <si>
    <t>从晓</t>
  </si>
  <si>
    <t>许恩荣</t>
  </si>
  <si>
    <t>李彦增</t>
  </si>
  <si>
    <t>陈佳奇</t>
  </si>
  <si>
    <t>陈蓓蓓</t>
  </si>
  <si>
    <t>张娟</t>
  </si>
  <si>
    <t>杨一凡</t>
  </si>
  <si>
    <t>唐倩楠</t>
  </si>
  <si>
    <t>郭云云</t>
  </si>
  <si>
    <t>徐诗颖</t>
  </si>
  <si>
    <t>刘羽</t>
  </si>
  <si>
    <t>刘小兰</t>
  </si>
  <si>
    <t>丁雨欣</t>
  </si>
  <si>
    <t>解苛苛</t>
  </si>
  <si>
    <t>王紫薇</t>
  </si>
  <si>
    <t>时梦雪</t>
  </si>
  <si>
    <t>冯婉婉</t>
  </si>
  <si>
    <t>孙梦</t>
  </si>
  <si>
    <t>张蕊</t>
  </si>
  <si>
    <t>刘欢欢</t>
  </si>
  <si>
    <t>连瑞威</t>
  </si>
  <si>
    <t>刘彦</t>
  </si>
  <si>
    <t>唐晓熠</t>
  </si>
  <si>
    <t>张梦情</t>
  </si>
  <si>
    <t>常梦勤</t>
  </si>
  <si>
    <t>罗紫晴</t>
  </si>
  <si>
    <t>牛露阳</t>
  </si>
  <si>
    <t>沈梦璇</t>
  </si>
  <si>
    <t>江培培</t>
  </si>
  <si>
    <t>李心如</t>
  </si>
  <si>
    <t>楚莎莎</t>
  </si>
  <si>
    <t>刘品</t>
  </si>
  <si>
    <t>程瑞</t>
  </si>
  <si>
    <t>郑瑞</t>
  </si>
  <si>
    <t>孙晓利</t>
  </si>
  <si>
    <t>刘凤侠</t>
  </si>
  <si>
    <t>李雯静</t>
  </si>
  <si>
    <t>吕笑笑</t>
  </si>
  <si>
    <t>王娟</t>
  </si>
  <si>
    <t>孙韩玉</t>
  </si>
  <si>
    <t>彭启迪</t>
  </si>
  <si>
    <t>王梦遥</t>
  </si>
  <si>
    <t>周如雪</t>
  </si>
  <si>
    <t>王燕</t>
  </si>
  <si>
    <t>范梦情</t>
  </si>
  <si>
    <t>汝丽</t>
  </si>
  <si>
    <t>赵梦雨</t>
  </si>
  <si>
    <t>张梦晴</t>
  </si>
  <si>
    <t>陈星星</t>
  </si>
  <si>
    <t>窦思文</t>
  </si>
  <si>
    <t>管玉雯</t>
  </si>
  <si>
    <t>刘佳雯</t>
  </si>
  <si>
    <t>刘梦茹</t>
  </si>
  <si>
    <t>王凯悦</t>
  </si>
  <si>
    <t>徐雅婷</t>
  </si>
  <si>
    <t>程倩倩</t>
  </si>
  <si>
    <t>辛伟亚</t>
  </si>
  <si>
    <t>姜阿兰</t>
  </si>
  <si>
    <t>任文晴</t>
  </si>
  <si>
    <t>朱慧晨</t>
  </si>
  <si>
    <t>秦文利</t>
  </si>
  <si>
    <t>张浩月</t>
  </si>
  <si>
    <t>耿梦茹</t>
  </si>
  <si>
    <t>张莉莉</t>
  </si>
  <si>
    <t>崔孟伟</t>
  </si>
  <si>
    <t>梁梦凡</t>
  </si>
  <si>
    <t>刘苏婉</t>
  </si>
  <si>
    <t>肖庆</t>
  </si>
  <si>
    <t>聂宇</t>
  </si>
  <si>
    <t>赵伟</t>
  </si>
  <si>
    <t>葛曼曼</t>
  </si>
  <si>
    <t>赵凌晨</t>
  </si>
  <si>
    <t>韩露</t>
  </si>
  <si>
    <t>许林星</t>
  </si>
  <si>
    <t>陈晓宁</t>
  </si>
  <si>
    <t>徐冉</t>
  </si>
  <si>
    <t>刘宁</t>
  </si>
  <si>
    <t>庞兰侠</t>
  </si>
  <si>
    <t>锁静文</t>
  </si>
  <si>
    <t>李晓曼</t>
  </si>
  <si>
    <t>杨雨晴</t>
  </si>
  <si>
    <t>周远远</t>
  </si>
  <si>
    <t>谢田云</t>
  </si>
  <si>
    <t>薛勤</t>
  </si>
  <si>
    <t>袁玲玲</t>
  </si>
  <si>
    <t>高丹丹</t>
  </si>
  <si>
    <t>胡玲</t>
  </si>
  <si>
    <t>完亚茹</t>
  </si>
  <si>
    <t>徐薇薇</t>
  </si>
  <si>
    <t>杨雅慧</t>
  </si>
  <si>
    <t>张艳丽</t>
  </si>
  <si>
    <t>赵巧云</t>
  </si>
  <si>
    <t>张燕</t>
  </si>
  <si>
    <t>杜秀芹</t>
  </si>
  <si>
    <t xml:space="preserve"> 田翔月</t>
  </si>
  <si>
    <t>任如月</t>
  </si>
  <si>
    <t>张苗苗</t>
  </si>
  <si>
    <t>杨柳</t>
  </si>
  <si>
    <t>李晨歌</t>
  </si>
  <si>
    <t>张梅</t>
  </si>
  <si>
    <t>戎晶晶</t>
  </si>
  <si>
    <t>王雅君</t>
  </si>
  <si>
    <t>于艳艳</t>
  </si>
  <si>
    <t>时嫚俐</t>
  </si>
  <si>
    <t>许孟雷</t>
  </si>
  <si>
    <t>赵琰娜</t>
  </si>
  <si>
    <t>王孟君</t>
  </si>
  <si>
    <t>王晨晨</t>
  </si>
  <si>
    <t>刘卫红</t>
  </si>
  <si>
    <t>毛迎</t>
  </si>
  <si>
    <t>杨雪丽</t>
  </si>
  <si>
    <t>张皓琳</t>
  </si>
  <si>
    <t>高慧</t>
  </si>
  <si>
    <t>巫静文</t>
  </si>
  <si>
    <t>王雨凤</t>
  </si>
  <si>
    <t>储亚洁</t>
  </si>
  <si>
    <t>吴晓雨</t>
  </si>
  <si>
    <t>马静</t>
  </si>
  <si>
    <t>马楠楠</t>
  </si>
  <si>
    <t>高敏</t>
  </si>
  <si>
    <t>郝妮</t>
  </si>
  <si>
    <t>刘晨</t>
  </si>
  <si>
    <t>赖嫚嫚</t>
  </si>
  <si>
    <t>蒋小艳</t>
  </si>
  <si>
    <t>杨璐琰</t>
  </si>
  <si>
    <t>刘雨辰</t>
  </si>
  <si>
    <t>程娜娜</t>
  </si>
  <si>
    <t>孔欢欢</t>
  </si>
  <si>
    <t>姚依萍</t>
  </si>
  <si>
    <t>袁玉如</t>
  </si>
  <si>
    <t>王宇朦</t>
  </si>
  <si>
    <t>史文静</t>
  </si>
  <si>
    <t>田婉婷</t>
  </si>
  <si>
    <t>史晴晴</t>
  </si>
  <si>
    <t>曹紫薇</t>
  </si>
  <si>
    <t>韩粉粉</t>
  </si>
  <si>
    <t>王思雷</t>
  </si>
  <si>
    <t>田淑婷</t>
  </si>
  <si>
    <t>刘克盈</t>
  </si>
  <si>
    <t>张欣艳</t>
  </si>
  <si>
    <t>姚欣欣</t>
  </si>
  <si>
    <t>苏阿艳</t>
  </si>
  <si>
    <t>徐慧紫</t>
  </si>
  <si>
    <t>李含语</t>
  </si>
  <si>
    <t>李莹莹</t>
  </si>
  <si>
    <t>卞井然</t>
  </si>
  <si>
    <t>李淑悦</t>
  </si>
  <si>
    <t>王迪</t>
  </si>
  <si>
    <t>鲍佳慧</t>
  </si>
  <si>
    <t>康路平</t>
  </si>
  <si>
    <t>朱海云</t>
  </si>
  <si>
    <t>宋玉梅</t>
  </si>
  <si>
    <t>陈倩楠</t>
  </si>
  <si>
    <t>梁月</t>
  </si>
  <si>
    <t>李雪晴</t>
  </si>
  <si>
    <t>张雪</t>
  </si>
  <si>
    <t>陈浔</t>
  </si>
  <si>
    <t>李雅霜</t>
  </si>
  <si>
    <t>孙龙妍</t>
  </si>
  <si>
    <t>邓宁</t>
  </si>
  <si>
    <t>黄雪</t>
  </si>
  <si>
    <t>郭立梅</t>
  </si>
  <si>
    <t>王心玉</t>
  </si>
  <si>
    <t>桑芳芳</t>
  </si>
  <si>
    <t>武心语</t>
  </si>
  <si>
    <t>刘瑾茹</t>
  </si>
  <si>
    <t>刘亚晗</t>
  </si>
  <si>
    <t>张新雨</t>
  </si>
  <si>
    <t>王腾腾</t>
  </si>
  <si>
    <t>陈玲</t>
  </si>
  <si>
    <t>周晓蒙</t>
  </si>
  <si>
    <t>桑慧慧</t>
  </si>
  <si>
    <t>董一帆</t>
  </si>
  <si>
    <t>潘宁雅</t>
  </si>
  <si>
    <t>陆倩倩</t>
  </si>
  <si>
    <t>吴桂萍</t>
  </si>
  <si>
    <t>贺欢欢</t>
  </si>
  <si>
    <t>凡梦蝶</t>
  </si>
  <si>
    <t>董园园</t>
  </si>
  <si>
    <t>张方方</t>
  </si>
  <si>
    <t>王近近</t>
  </si>
  <si>
    <t>刘梦</t>
  </si>
  <si>
    <t>陆晓宇</t>
  </si>
  <si>
    <t>李丹丹</t>
  </si>
  <si>
    <t>王雪晴</t>
  </si>
  <si>
    <t>孙学艳</t>
  </si>
  <si>
    <t>郭新</t>
  </si>
  <si>
    <t>马兰</t>
  </si>
  <si>
    <t>杜梦男</t>
  </si>
  <si>
    <t>夏圣楠</t>
  </si>
  <si>
    <t>胡静</t>
  </si>
  <si>
    <t>胥瑞瑞</t>
  </si>
  <si>
    <t>王晶晶</t>
  </si>
  <si>
    <t>马蓓蓓</t>
  </si>
  <si>
    <t>武烟云</t>
  </si>
  <si>
    <t>王琳慧</t>
  </si>
  <si>
    <t>管嘉玲</t>
  </si>
  <si>
    <t>丁艳</t>
  </si>
  <si>
    <t>吕晴</t>
  </si>
  <si>
    <t>李晓雅</t>
  </si>
  <si>
    <t>徐梦</t>
  </si>
  <si>
    <t>杜振男</t>
  </si>
  <si>
    <t>张妮娜</t>
  </si>
  <si>
    <t>吕雪晴</t>
  </si>
  <si>
    <t>杜晓雯</t>
  </si>
  <si>
    <t>刘诗雯</t>
  </si>
  <si>
    <t>吕慧慧</t>
  </si>
  <si>
    <t>陈盈</t>
  </si>
  <si>
    <t>苏娜娜</t>
  </si>
  <si>
    <t>李小妮</t>
  </si>
  <si>
    <t>刘方</t>
  </si>
  <si>
    <t>马晓婷</t>
  </si>
  <si>
    <t>赵晴晴</t>
  </si>
  <si>
    <t>李彦臻</t>
  </si>
  <si>
    <t>李晴晴</t>
  </si>
  <si>
    <t>江悦</t>
  </si>
  <si>
    <t>王欣钰</t>
  </si>
  <si>
    <t>王丽丽</t>
  </si>
  <si>
    <t>郭斯齐</t>
  </si>
  <si>
    <t>付悦</t>
  </si>
  <si>
    <t>冯曼婷</t>
  </si>
  <si>
    <t>李芮芮</t>
  </si>
  <si>
    <t>刘志芳</t>
  </si>
  <si>
    <t>谢二妮</t>
  </si>
  <si>
    <t>吴曼曼</t>
  </si>
  <si>
    <t>尤小蝶</t>
  </si>
  <si>
    <t>李梅</t>
  </si>
  <si>
    <t>刘婉玉</t>
  </si>
  <si>
    <t>秦春敏</t>
  </si>
  <si>
    <t>吴静宇</t>
  </si>
  <si>
    <t>丁瑞瑞</t>
  </si>
  <si>
    <t>张盼</t>
  </si>
  <si>
    <t>王路路</t>
  </si>
  <si>
    <t>马坤坤</t>
  </si>
  <si>
    <t>孙幼苗</t>
  </si>
  <si>
    <t>胡广平</t>
  </si>
  <si>
    <t>田方方</t>
  </si>
  <si>
    <t>王海芹</t>
  </si>
  <si>
    <t>于圆圆</t>
  </si>
  <si>
    <t>赵利萍</t>
  </si>
  <si>
    <t>康学梅</t>
  </si>
  <si>
    <t>任家惠</t>
  </si>
  <si>
    <t>季程程</t>
  </si>
  <si>
    <t>李方方</t>
  </si>
  <si>
    <t>贾文玲</t>
  </si>
  <si>
    <t>唐自立</t>
  </si>
  <si>
    <t>吴婷婷</t>
  </si>
  <si>
    <t>朱迎迎</t>
  </si>
  <si>
    <t>孙博博</t>
  </si>
  <si>
    <t>陈利利</t>
  </si>
  <si>
    <t>陈莎莎</t>
  </si>
  <si>
    <t>洪思雨</t>
  </si>
  <si>
    <t>张子怡</t>
  </si>
  <si>
    <t>赵文静</t>
  </si>
  <si>
    <t>满一慧</t>
  </si>
  <si>
    <t>李梦文</t>
  </si>
  <si>
    <t>张梦雨</t>
  </si>
  <si>
    <t>王瑞</t>
  </si>
  <si>
    <t>张小运</t>
  </si>
  <si>
    <t>牛佩佩</t>
  </si>
  <si>
    <t>吴晓婷</t>
  </si>
  <si>
    <t>朱宇</t>
  </si>
  <si>
    <t>徐儒琳</t>
  </si>
  <si>
    <t>毛雯静</t>
  </si>
  <si>
    <t>高圆圆</t>
  </si>
  <si>
    <t>张迪迪</t>
  </si>
  <si>
    <t>赵玉琴</t>
  </si>
  <si>
    <t>张云玲</t>
  </si>
  <si>
    <t>陈悦悦</t>
  </si>
  <si>
    <t>乔诗雯</t>
  </si>
  <si>
    <t>纪曼曼</t>
  </si>
  <si>
    <t>常寻寻</t>
  </si>
  <si>
    <t>侯莹</t>
  </si>
  <si>
    <t>李雨奇</t>
  </si>
  <si>
    <t>陈元元</t>
  </si>
  <si>
    <t>李保兴</t>
  </si>
  <si>
    <t>王楠</t>
  </si>
  <si>
    <t>张静静</t>
  </si>
  <si>
    <t>陈瑞琳</t>
  </si>
  <si>
    <t>张凤</t>
  </si>
  <si>
    <t>刘梦雪</t>
  </si>
  <si>
    <t>姜晶晶</t>
  </si>
  <si>
    <t>王甜甜</t>
  </si>
  <si>
    <t>李思念</t>
  </si>
  <si>
    <t>付安娜</t>
  </si>
  <si>
    <t>黄涵</t>
  </si>
  <si>
    <t>段圆兰</t>
  </si>
  <si>
    <t>岳信信</t>
  </si>
  <si>
    <t>韦永杰</t>
  </si>
  <si>
    <t>李雪婷</t>
  </si>
  <si>
    <t>桑星晨</t>
  </si>
  <si>
    <t>徐亚南</t>
  </si>
  <si>
    <t>康冰洁</t>
  </si>
  <si>
    <t>钱琼琼</t>
  </si>
  <si>
    <t>邓煜颖</t>
  </si>
  <si>
    <t>卢莉洁</t>
  </si>
  <si>
    <t>郭秀敏</t>
  </si>
  <si>
    <t>杨灿</t>
  </si>
  <si>
    <t>段海芸</t>
  </si>
  <si>
    <t>杨静</t>
  </si>
  <si>
    <t>朱彩玲</t>
  </si>
  <si>
    <t>尤悦悦</t>
  </si>
  <si>
    <t>张宝如</t>
  </si>
  <si>
    <t>李欣</t>
  </si>
  <si>
    <t>侯文珊</t>
  </si>
  <si>
    <t>刘粤</t>
  </si>
  <si>
    <t>马玉荣</t>
  </si>
  <si>
    <t>江星晨</t>
  </si>
  <si>
    <t>袁士玉</t>
  </si>
  <si>
    <t>陆宁宁</t>
  </si>
  <si>
    <t>张树文</t>
  </si>
  <si>
    <t>贾翠</t>
  </si>
  <si>
    <t>舒梅</t>
  </si>
  <si>
    <t>赵吉娜</t>
  </si>
  <si>
    <t>李淑雅</t>
  </si>
  <si>
    <t>牛晓萍</t>
  </si>
  <si>
    <t>杨楠楠</t>
  </si>
  <si>
    <t>段淑梅</t>
  </si>
  <si>
    <t>王孟</t>
  </si>
  <si>
    <t>刘娜</t>
  </si>
  <si>
    <t>袁欣雨</t>
  </si>
  <si>
    <t>宋园园</t>
  </si>
  <si>
    <t>孙田田</t>
  </si>
  <si>
    <t>王雪雷</t>
  </si>
  <si>
    <t>张梦如</t>
  </si>
  <si>
    <t>程慧</t>
  </si>
  <si>
    <t>苏琴琴</t>
  </si>
  <si>
    <t>孟娇娇</t>
  </si>
  <si>
    <t>蒋靖雯</t>
  </si>
  <si>
    <t>张梦</t>
  </si>
  <si>
    <t>唐娜娜</t>
  </si>
  <si>
    <t>闫恩慧</t>
  </si>
  <si>
    <t>刘婉君</t>
  </si>
  <si>
    <t>田艳</t>
  </si>
  <si>
    <t>蔡贝贝</t>
  </si>
  <si>
    <t>周小莉</t>
  </si>
  <si>
    <t>张丽君</t>
  </si>
  <si>
    <t>李俊丽</t>
  </si>
  <si>
    <t>段园娟</t>
  </si>
  <si>
    <t>张春梅</t>
  </si>
  <si>
    <t>高晴利</t>
  </si>
  <si>
    <t>牛瑞华</t>
  </si>
  <si>
    <t>武亭亭</t>
  </si>
  <si>
    <t>薛晴</t>
  </si>
  <si>
    <t>刘璇</t>
  </si>
  <si>
    <t>李宁</t>
  </si>
  <si>
    <t>纪欣月</t>
  </si>
  <si>
    <t>许甜甜</t>
  </si>
  <si>
    <t>张素梅</t>
  </si>
  <si>
    <t>蒋伟娅</t>
  </si>
  <si>
    <t>张情情</t>
  </si>
  <si>
    <t>周景群</t>
  </si>
  <si>
    <t>任运侠</t>
  </si>
  <si>
    <t>刘慧慧</t>
  </si>
  <si>
    <t>朱远音</t>
  </si>
  <si>
    <t>王雪连</t>
  </si>
  <si>
    <t>刘晓梦</t>
  </si>
  <si>
    <t>廉芷若</t>
  </si>
  <si>
    <t>莫意慧</t>
  </si>
  <si>
    <t>牛利艳</t>
  </si>
  <si>
    <t>赵欢欢</t>
  </si>
  <si>
    <t>程明</t>
  </si>
  <si>
    <t>柯文娜</t>
  </si>
  <si>
    <t>焦宝宝</t>
  </si>
  <si>
    <t>韩雪丽</t>
  </si>
  <si>
    <t>赵梦阳</t>
  </si>
  <si>
    <t>高素丽</t>
  </si>
  <si>
    <t>张倍倍</t>
  </si>
  <si>
    <t>尹天娇</t>
  </si>
  <si>
    <t>王静</t>
  </si>
  <si>
    <t>孙悦悦</t>
  </si>
  <si>
    <t>王惠惠</t>
  </si>
  <si>
    <t>何欣欣</t>
  </si>
  <si>
    <t>刘紫薇</t>
  </si>
  <si>
    <t>冉文慧</t>
  </si>
  <si>
    <t>邓蒙娜</t>
  </si>
  <si>
    <t>杜雷娟</t>
  </si>
  <si>
    <t>胡珊珊</t>
  </si>
  <si>
    <t>李陶丽</t>
  </si>
  <si>
    <t>陈晶晶</t>
  </si>
  <si>
    <t>高雅晴</t>
  </si>
  <si>
    <t>孙佳慧</t>
  </si>
  <si>
    <t>陈想想</t>
  </si>
  <si>
    <t>张萍</t>
  </si>
  <si>
    <t>刘秀</t>
  </si>
  <si>
    <t>张楠楠</t>
  </si>
  <si>
    <t>李玉洁</t>
  </si>
  <si>
    <t>宋晓蝶</t>
  </si>
  <si>
    <t>赵青青</t>
  </si>
  <si>
    <t>董晓寒</t>
  </si>
  <si>
    <t>陈曼曼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</si>
</sst>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24" fillId="26" borderId="6" applyNumberFormat="0" applyAlignment="0" applyProtection="0">
      <alignment vertical="center"/>
    </xf>
    <xf numFmtId="0" fontId="25" fillId="27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50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5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5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732"/>
  <sheetViews>
    <sheetView tabSelected="1" workbookViewId="0">
      <selection activeCell="C2" sqref="C2"/>
    </sheetView>
  </sheetViews>
  <sheetFormatPr defaultColWidth="9" defaultRowHeight="14.25"/>
  <cols>
    <col min="1" max="1" width="11" style="16" customWidth="1"/>
    <col min="2" max="2" width="8.125" style="16" customWidth="1"/>
    <col min="3" max="3" width="7.375" style="16" customWidth="1"/>
    <col min="4" max="4" width="12.75" style="16" customWidth="1"/>
    <col min="5" max="5" width="14.875" style="16" customWidth="1"/>
    <col min="6" max="6" width="14.25" style="16" customWidth="1"/>
    <col min="7" max="7" width="10.25" style="16" customWidth="1"/>
    <col min="8" max="16359" width="9" style="16"/>
    <col min="16360" max="16384" width="9" style="18"/>
  </cols>
  <sheetData>
    <row r="1" ht="39" customHeight="1" spans="1:7">
      <c r="A1" s="19" t="s">
        <v>0</v>
      </c>
      <c r="B1" s="20"/>
      <c r="C1" s="20"/>
      <c r="D1" s="20"/>
      <c r="E1" s="20"/>
      <c r="F1" s="20"/>
      <c r="G1" s="21"/>
    </row>
    <row r="2" s="15" customFormat="1" ht="35" customHeight="1" spans="1:7">
      <c r="A2" s="7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22" t="s">
        <v>6</v>
      </c>
      <c r="G2" s="22" t="s">
        <v>7</v>
      </c>
    </row>
    <row r="3" s="16" customFormat="1" spans="1:7">
      <c r="A3" s="23" t="s">
        <v>8</v>
      </c>
      <c r="B3" s="23" t="str">
        <f t="shared" ref="B3:B7" si="0">"01"</f>
        <v>01</v>
      </c>
      <c r="C3" s="23" t="str">
        <f>"28"</f>
        <v>28</v>
      </c>
      <c r="D3" s="23" t="str">
        <f>"20210010128"</f>
        <v>20210010128</v>
      </c>
      <c r="E3" s="23">
        <v>78</v>
      </c>
      <c r="F3" s="23">
        <v>73.8</v>
      </c>
      <c r="G3" s="23">
        <f t="shared" ref="G3:G66" si="1">E3*0.6+F3*0.4</f>
        <v>76.32</v>
      </c>
    </row>
    <row r="4" s="16" customFormat="1" spans="1:7">
      <c r="A4" s="23" t="s">
        <v>8</v>
      </c>
      <c r="B4" s="23" t="str">
        <f t="shared" si="0"/>
        <v>01</v>
      </c>
      <c r="C4" s="23" t="str">
        <f>"27"</f>
        <v>27</v>
      </c>
      <c r="D4" s="23" t="str">
        <f>"20210010127"</f>
        <v>20210010127</v>
      </c>
      <c r="E4" s="23">
        <v>75.8</v>
      </c>
      <c r="F4" s="23">
        <v>77.2</v>
      </c>
      <c r="G4" s="23">
        <f t="shared" si="1"/>
        <v>76.36</v>
      </c>
    </row>
    <row r="5" s="16" customFormat="1" spans="1:7">
      <c r="A5" s="23" t="s">
        <v>8</v>
      </c>
      <c r="B5" s="23" t="str">
        <f t="shared" ref="B5:B9" si="2">"02"</f>
        <v>02</v>
      </c>
      <c r="C5" s="23" t="str">
        <f>"15"</f>
        <v>15</v>
      </c>
      <c r="D5" s="23" t="str">
        <f>"20210010215"</f>
        <v>20210010215</v>
      </c>
      <c r="E5" s="23">
        <v>73.9</v>
      </c>
      <c r="F5" s="23">
        <v>84.9</v>
      </c>
      <c r="G5" s="23">
        <f t="shared" si="1"/>
        <v>78.3</v>
      </c>
    </row>
    <row r="6" s="16" customFormat="1" spans="1:7">
      <c r="A6" s="23" t="s">
        <v>8</v>
      </c>
      <c r="B6" s="23" t="str">
        <f t="shared" si="2"/>
        <v>02</v>
      </c>
      <c r="C6" s="23" t="str">
        <f>"11"</f>
        <v>11</v>
      </c>
      <c r="D6" s="23" t="str">
        <f>"20210010211"</f>
        <v>20210010211</v>
      </c>
      <c r="E6" s="23">
        <v>71.6</v>
      </c>
      <c r="F6" s="23">
        <v>81.6</v>
      </c>
      <c r="G6" s="23">
        <f t="shared" si="1"/>
        <v>75.6</v>
      </c>
    </row>
    <row r="7" s="16" customFormat="1" spans="1:7">
      <c r="A7" s="23" t="s">
        <v>8</v>
      </c>
      <c r="B7" s="23" t="str">
        <f t="shared" si="0"/>
        <v>01</v>
      </c>
      <c r="C7" s="23" t="str">
        <f>"26"</f>
        <v>26</v>
      </c>
      <c r="D7" s="23" t="str">
        <f>"20210010126"</f>
        <v>20210010126</v>
      </c>
      <c r="E7" s="23">
        <v>70.3</v>
      </c>
      <c r="F7" s="23">
        <v>0</v>
      </c>
      <c r="G7" s="23">
        <f t="shared" si="1"/>
        <v>42.18</v>
      </c>
    </row>
    <row r="8" s="16" customFormat="1" spans="1:7">
      <c r="A8" s="23" t="s">
        <v>8</v>
      </c>
      <c r="B8" s="23" t="str">
        <f t="shared" si="2"/>
        <v>02</v>
      </c>
      <c r="C8" s="23" t="str">
        <f>"01"</f>
        <v>01</v>
      </c>
      <c r="D8" s="23" t="str">
        <f>"20210010201"</f>
        <v>20210010201</v>
      </c>
      <c r="E8" s="23">
        <v>70.15</v>
      </c>
      <c r="F8" s="23">
        <v>62.6</v>
      </c>
      <c r="G8" s="23">
        <f t="shared" si="1"/>
        <v>67.13</v>
      </c>
    </row>
    <row r="9" s="16" customFormat="1" spans="1:7">
      <c r="A9" s="23" t="s">
        <v>8</v>
      </c>
      <c r="B9" s="23" t="str">
        <f t="shared" si="2"/>
        <v>02</v>
      </c>
      <c r="C9" s="23" t="str">
        <f>"16"</f>
        <v>16</v>
      </c>
      <c r="D9" s="23" t="str">
        <f>"20210010216"</f>
        <v>20210010216</v>
      </c>
      <c r="E9" s="23">
        <v>66.5</v>
      </c>
      <c r="F9" s="23">
        <v>80.2</v>
      </c>
      <c r="G9" s="23">
        <f t="shared" si="1"/>
        <v>71.98</v>
      </c>
    </row>
    <row r="10" s="16" customFormat="1" spans="1:7">
      <c r="A10" s="23" t="s">
        <v>8</v>
      </c>
      <c r="B10" s="23" t="str">
        <f t="shared" ref="B10:B15" si="3">"01"</f>
        <v>01</v>
      </c>
      <c r="C10" s="23" t="str">
        <f>"03"</f>
        <v>03</v>
      </c>
      <c r="D10" s="23" t="str">
        <f>"20210010103"</f>
        <v>20210010103</v>
      </c>
      <c r="E10" s="23">
        <v>66.35</v>
      </c>
      <c r="F10" s="23">
        <v>86.8</v>
      </c>
      <c r="G10" s="23">
        <f t="shared" si="1"/>
        <v>74.53</v>
      </c>
    </row>
    <row r="11" s="16" customFormat="1" spans="1:7">
      <c r="A11" s="23" t="s">
        <v>8</v>
      </c>
      <c r="B11" s="23" t="str">
        <f t="shared" si="3"/>
        <v>01</v>
      </c>
      <c r="C11" s="23" t="str">
        <f>"29"</f>
        <v>29</v>
      </c>
      <c r="D11" s="23" t="str">
        <f>"20210010129"</f>
        <v>20210010129</v>
      </c>
      <c r="E11" s="23">
        <v>66.25</v>
      </c>
      <c r="F11" s="23">
        <v>81</v>
      </c>
      <c r="G11" s="23">
        <f t="shared" si="1"/>
        <v>72.15</v>
      </c>
    </row>
    <row r="12" s="16" customFormat="1" spans="1:7">
      <c r="A12" s="23" t="s">
        <v>8</v>
      </c>
      <c r="B12" s="23" t="str">
        <f t="shared" ref="B12:B14" si="4">"02"</f>
        <v>02</v>
      </c>
      <c r="C12" s="23" t="str">
        <f>"19"</f>
        <v>19</v>
      </c>
      <c r="D12" s="23" t="str">
        <f>"20210010219"</f>
        <v>20210010219</v>
      </c>
      <c r="E12" s="23">
        <v>63.05</v>
      </c>
      <c r="F12" s="23">
        <v>73.2</v>
      </c>
      <c r="G12" s="23">
        <f t="shared" si="1"/>
        <v>67.11</v>
      </c>
    </row>
    <row r="13" s="16" customFormat="1" spans="1:7">
      <c r="A13" s="23" t="s">
        <v>8</v>
      </c>
      <c r="B13" s="23" t="str">
        <f t="shared" si="4"/>
        <v>02</v>
      </c>
      <c r="C13" s="23" t="str">
        <f>"23"</f>
        <v>23</v>
      </c>
      <c r="D13" s="23" t="str">
        <f>"20210010223"</f>
        <v>20210010223</v>
      </c>
      <c r="E13" s="23">
        <v>62.9</v>
      </c>
      <c r="F13" s="23">
        <v>80</v>
      </c>
      <c r="G13" s="23">
        <f t="shared" si="1"/>
        <v>69.74</v>
      </c>
    </row>
    <row r="14" s="16" customFormat="1" spans="1:7">
      <c r="A14" s="23" t="s">
        <v>8</v>
      </c>
      <c r="B14" s="23" t="str">
        <f t="shared" si="4"/>
        <v>02</v>
      </c>
      <c r="C14" s="23" t="str">
        <f>"06"</f>
        <v>06</v>
      </c>
      <c r="D14" s="23" t="str">
        <f>"20210010206"</f>
        <v>20210010206</v>
      </c>
      <c r="E14" s="23">
        <v>62.45</v>
      </c>
      <c r="F14" s="23">
        <v>74.6</v>
      </c>
      <c r="G14" s="23">
        <f t="shared" si="1"/>
        <v>67.31</v>
      </c>
    </row>
    <row r="15" s="16" customFormat="1" spans="1:7">
      <c r="A15" s="23" t="s">
        <v>8</v>
      </c>
      <c r="B15" s="23" t="str">
        <f t="shared" si="3"/>
        <v>01</v>
      </c>
      <c r="C15" s="23" t="str">
        <f>"20"</f>
        <v>20</v>
      </c>
      <c r="D15" s="23" t="str">
        <f>"20210010120"</f>
        <v>20210010120</v>
      </c>
      <c r="E15" s="23">
        <v>58.8</v>
      </c>
      <c r="F15" s="23">
        <v>71</v>
      </c>
      <c r="G15" s="23">
        <f t="shared" si="1"/>
        <v>63.68</v>
      </c>
    </row>
    <row r="16" s="16" customFormat="1" spans="1:7">
      <c r="A16" s="23" t="s">
        <v>8</v>
      </c>
      <c r="B16" s="23" t="str">
        <f t="shared" ref="B16:B18" si="5">"02"</f>
        <v>02</v>
      </c>
      <c r="C16" s="23" t="str">
        <f>"09"</f>
        <v>09</v>
      </c>
      <c r="D16" s="23" t="str">
        <f>"20210010209"</f>
        <v>20210010209</v>
      </c>
      <c r="E16" s="23">
        <v>56.9</v>
      </c>
      <c r="F16" s="23">
        <v>80.2</v>
      </c>
      <c r="G16" s="23">
        <f t="shared" si="1"/>
        <v>66.22</v>
      </c>
    </row>
    <row r="17" s="16" customFormat="1" spans="1:7">
      <c r="A17" s="23" t="s">
        <v>8</v>
      </c>
      <c r="B17" s="23" t="str">
        <f t="shared" si="5"/>
        <v>02</v>
      </c>
      <c r="C17" s="23" t="str">
        <f>"29"</f>
        <v>29</v>
      </c>
      <c r="D17" s="23" t="str">
        <f>"20210010229"</f>
        <v>20210010229</v>
      </c>
      <c r="E17" s="23">
        <v>56.15</v>
      </c>
      <c r="F17" s="23">
        <v>70.8</v>
      </c>
      <c r="G17" s="23">
        <f t="shared" si="1"/>
        <v>62.01</v>
      </c>
    </row>
    <row r="18" s="16" customFormat="1" spans="1:7">
      <c r="A18" s="23" t="s">
        <v>8</v>
      </c>
      <c r="B18" s="23" t="str">
        <f t="shared" si="5"/>
        <v>02</v>
      </c>
      <c r="C18" s="23" t="str">
        <f>"25"</f>
        <v>25</v>
      </c>
      <c r="D18" s="23" t="str">
        <f>"20210010225"</f>
        <v>20210010225</v>
      </c>
      <c r="E18" s="23">
        <v>54.05</v>
      </c>
      <c r="F18" s="23">
        <v>80.2</v>
      </c>
      <c r="G18" s="23">
        <f t="shared" si="1"/>
        <v>64.51</v>
      </c>
    </row>
    <row r="19" s="16" customFormat="1" spans="1:7">
      <c r="A19" s="23" t="s">
        <v>8</v>
      </c>
      <c r="B19" s="23" t="str">
        <f>"01"</f>
        <v>01</v>
      </c>
      <c r="C19" s="23" t="str">
        <f>"04"</f>
        <v>04</v>
      </c>
      <c r="D19" s="23" t="str">
        <f>"20210010104"</f>
        <v>20210010104</v>
      </c>
      <c r="E19" s="23">
        <v>53.3</v>
      </c>
      <c r="F19" s="23">
        <v>69</v>
      </c>
      <c r="G19" s="23">
        <f t="shared" si="1"/>
        <v>59.58</v>
      </c>
    </row>
    <row r="20" s="16" customFormat="1" spans="1:7">
      <c r="A20" s="23" t="s">
        <v>8</v>
      </c>
      <c r="B20" s="23" t="str">
        <f>"03"</f>
        <v>03</v>
      </c>
      <c r="C20" s="23" t="str">
        <f>"05"</f>
        <v>05</v>
      </c>
      <c r="D20" s="23" t="str">
        <f>"20210010305"</f>
        <v>20210010305</v>
      </c>
      <c r="E20" s="23">
        <v>51.9</v>
      </c>
      <c r="F20" s="23">
        <v>61</v>
      </c>
      <c r="G20" s="23">
        <f t="shared" si="1"/>
        <v>55.54</v>
      </c>
    </row>
    <row r="21" s="16" customFormat="1" spans="1:7">
      <c r="A21" s="23" t="s">
        <v>8</v>
      </c>
      <c r="B21" s="23" t="str">
        <f>"01"</f>
        <v>01</v>
      </c>
      <c r="C21" s="23" t="str">
        <f>"21"</f>
        <v>21</v>
      </c>
      <c r="D21" s="23" t="str">
        <f>"20210010121"</f>
        <v>20210010121</v>
      </c>
      <c r="E21" s="23">
        <v>50.8</v>
      </c>
      <c r="F21" s="23">
        <v>79</v>
      </c>
      <c r="G21" s="23">
        <f t="shared" si="1"/>
        <v>62.08</v>
      </c>
    </row>
    <row r="22" s="16" customFormat="1" spans="1:7">
      <c r="A22" s="23" t="s">
        <v>9</v>
      </c>
      <c r="B22" s="23" t="str">
        <f t="shared" ref="B22:B24" si="6">"04"</f>
        <v>04</v>
      </c>
      <c r="C22" s="23" t="str">
        <f>"05"</f>
        <v>05</v>
      </c>
      <c r="D22" s="23" t="str">
        <f>"20210020405"</f>
        <v>20210020405</v>
      </c>
      <c r="E22" s="23">
        <v>88.2</v>
      </c>
      <c r="F22" s="23">
        <v>0</v>
      </c>
      <c r="G22" s="23">
        <f t="shared" si="1"/>
        <v>52.92</v>
      </c>
    </row>
    <row r="23" s="16" customFormat="1" spans="1:7">
      <c r="A23" s="23" t="s">
        <v>9</v>
      </c>
      <c r="B23" s="23" t="str">
        <f t="shared" si="6"/>
        <v>04</v>
      </c>
      <c r="C23" s="23" t="str">
        <f>"16"</f>
        <v>16</v>
      </c>
      <c r="D23" s="23" t="str">
        <f>"20210020416"</f>
        <v>20210020416</v>
      </c>
      <c r="E23" s="23">
        <v>84.5</v>
      </c>
      <c r="F23" s="23">
        <v>76</v>
      </c>
      <c r="G23" s="23">
        <f t="shared" si="1"/>
        <v>81.1</v>
      </c>
    </row>
    <row r="24" s="16" customFormat="1" spans="1:7">
      <c r="A24" s="23" t="s">
        <v>9</v>
      </c>
      <c r="B24" s="23" t="str">
        <f t="shared" si="6"/>
        <v>04</v>
      </c>
      <c r="C24" s="23" t="str">
        <f>"07"</f>
        <v>07</v>
      </c>
      <c r="D24" s="23" t="str">
        <f>"20210020407"</f>
        <v>20210020407</v>
      </c>
      <c r="E24" s="23">
        <v>82.6</v>
      </c>
      <c r="F24" s="23">
        <v>78.2</v>
      </c>
      <c r="G24" s="23">
        <f t="shared" si="1"/>
        <v>80.84</v>
      </c>
    </row>
    <row r="25" s="16" customFormat="1" spans="1:7">
      <c r="A25" s="23" t="s">
        <v>9</v>
      </c>
      <c r="B25" s="23" t="str">
        <f t="shared" ref="B25:B30" si="7">"05"</f>
        <v>05</v>
      </c>
      <c r="C25" s="23" t="str">
        <f>"02"</f>
        <v>02</v>
      </c>
      <c r="D25" s="23" t="str">
        <f>"20210020502"</f>
        <v>20210020502</v>
      </c>
      <c r="E25" s="23">
        <v>81.2</v>
      </c>
      <c r="F25" s="23">
        <v>85.6</v>
      </c>
      <c r="G25" s="23">
        <f t="shared" si="1"/>
        <v>82.96</v>
      </c>
    </row>
    <row r="26" s="16" customFormat="1" spans="1:7">
      <c r="A26" s="23" t="s">
        <v>9</v>
      </c>
      <c r="B26" s="23" t="str">
        <f t="shared" ref="B26:B29" si="8">"04"</f>
        <v>04</v>
      </c>
      <c r="C26" s="23" t="str">
        <f>"20"</f>
        <v>20</v>
      </c>
      <c r="D26" s="23" t="str">
        <f>"20210020420"</f>
        <v>20210020420</v>
      </c>
      <c r="E26" s="23">
        <v>79.15</v>
      </c>
      <c r="F26" s="23">
        <v>82.6</v>
      </c>
      <c r="G26" s="23">
        <f t="shared" si="1"/>
        <v>80.53</v>
      </c>
    </row>
    <row r="27" s="16" customFormat="1" spans="1:16373">
      <c r="A27" s="23" t="s">
        <v>9</v>
      </c>
      <c r="B27" s="23" t="str">
        <f t="shared" si="8"/>
        <v>04</v>
      </c>
      <c r="C27" s="23" t="str">
        <f>"21"</f>
        <v>21</v>
      </c>
      <c r="D27" s="23" t="str">
        <f>"20210020421"</f>
        <v>20210020421</v>
      </c>
      <c r="E27" s="23">
        <v>78.5</v>
      </c>
      <c r="F27" s="23">
        <v>74</v>
      </c>
      <c r="G27" s="23">
        <f t="shared" si="1"/>
        <v>76.7</v>
      </c>
      <c r="XEF27" s="18"/>
      <c r="XEG27" s="18"/>
      <c r="XEH27" s="18"/>
      <c r="XEI27" s="18"/>
      <c r="XEJ27" s="18"/>
      <c r="XEK27" s="18"/>
      <c r="XEL27" s="18"/>
      <c r="XEM27" s="18"/>
      <c r="XEN27" s="18"/>
      <c r="XEO27" s="18"/>
      <c r="XEP27" s="18"/>
      <c r="XEQ27" s="18"/>
      <c r="XER27" s="18"/>
      <c r="XES27" s="18"/>
    </row>
    <row r="28" s="16" customFormat="1" spans="1:7">
      <c r="A28" s="23" t="s">
        <v>9</v>
      </c>
      <c r="B28" s="23" t="str">
        <f t="shared" si="7"/>
        <v>05</v>
      </c>
      <c r="C28" s="23" t="str">
        <f>"15"</f>
        <v>15</v>
      </c>
      <c r="D28" s="23" t="str">
        <f>"20210020515"</f>
        <v>20210020515</v>
      </c>
      <c r="E28" s="23">
        <v>78.3</v>
      </c>
      <c r="F28" s="23">
        <v>62.4</v>
      </c>
      <c r="G28" s="23">
        <f t="shared" si="1"/>
        <v>71.94</v>
      </c>
    </row>
    <row r="29" s="16" customFormat="1" spans="1:7">
      <c r="A29" s="23" t="s">
        <v>9</v>
      </c>
      <c r="B29" s="23" t="str">
        <f t="shared" si="8"/>
        <v>04</v>
      </c>
      <c r="C29" s="23" t="str">
        <f>"04"</f>
        <v>04</v>
      </c>
      <c r="D29" s="23" t="str">
        <f>"20210020404"</f>
        <v>20210020404</v>
      </c>
      <c r="E29" s="23">
        <v>77.8</v>
      </c>
      <c r="F29" s="23">
        <v>78</v>
      </c>
      <c r="G29" s="23">
        <f t="shared" si="1"/>
        <v>77.88</v>
      </c>
    </row>
    <row r="30" s="16" customFormat="1" spans="1:7">
      <c r="A30" s="23" t="s">
        <v>9</v>
      </c>
      <c r="B30" s="23" t="str">
        <f t="shared" si="7"/>
        <v>05</v>
      </c>
      <c r="C30" s="23" t="str">
        <f>"10"</f>
        <v>10</v>
      </c>
      <c r="D30" s="23" t="str">
        <f>"20210020510"</f>
        <v>20210020510</v>
      </c>
      <c r="E30" s="23">
        <v>77.5</v>
      </c>
      <c r="F30" s="23">
        <v>0</v>
      </c>
      <c r="G30" s="23">
        <f t="shared" si="1"/>
        <v>46.5</v>
      </c>
    </row>
    <row r="31" s="16" customFormat="1" spans="1:7">
      <c r="A31" s="23" t="s">
        <v>9</v>
      </c>
      <c r="B31" s="23" t="str">
        <f t="shared" ref="B31:B37" si="9">"04"</f>
        <v>04</v>
      </c>
      <c r="C31" s="23" t="str">
        <f>"08"</f>
        <v>08</v>
      </c>
      <c r="D31" s="23" t="str">
        <f>"20210020408"</f>
        <v>20210020408</v>
      </c>
      <c r="E31" s="23">
        <v>76.2</v>
      </c>
      <c r="F31" s="23">
        <v>77.6</v>
      </c>
      <c r="G31" s="23">
        <f t="shared" si="1"/>
        <v>76.76</v>
      </c>
    </row>
    <row r="32" s="16" customFormat="1" spans="1:7">
      <c r="A32" s="23" t="s">
        <v>9</v>
      </c>
      <c r="B32" s="23" t="str">
        <f t="shared" si="9"/>
        <v>04</v>
      </c>
      <c r="C32" s="23" t="str">
        <f>"26"</f>
        <v>26</v>
      </c>
      <c r="D32" s="23" t="str">
        <f>"20210020426"</f>
        <v>20210020426</v>
      </c>
      <c r="E32" s="23">
        <v>75.6</v>
      </c>
      <c r="F32" s="23">
        <v>73.2</v>
      </c>
      <c r="G32" s="23">
        <f t="shared" si="1"/>
        <v>74.64</v>
      </c>
    </row>
    <row r="33" s="16" customFormat="1" spans="1:7">
      <c r="A33" s="23" t="s">
        <v>9</v>
      </c>
      <c r="B33" s="23" t="str">
        <f t="shared" si="9"/>
        <v>04</v>
      </c>
      <c r="C33" s="23" t="str">
        <f>"09"</f>
        <v>09</v>
      </c>
      <c r="D33" s="23" t="str">
        <f>"20210020409"</f>
        <v>20210020409</v>
      </c>
      <c r="E33" s="23">
        <v>74.8</v>
      </c>
      <c r="F33" s="23">
        <v>74.6</v>
      </c>
      <c r="G33" s="23">
        <f t="shared" si="1"/>
        <v>74.72</v>
      </c>
    </row>
    <row r="34" s="16" customFormat="1" spans="1:7">
      <c r="A34" s="23" t="s">
        <v>9</v>
      </c>
      <c r="B34" s="23" t="str">
        <f t="shared" si="9"/>
        <v>04</v>
      </c>
      <c r="C34" s="23" t="str">
        <f>"25"</f>
        <v>25</v>
      </c>
      <c r="D34" s="23" t="str">
        <f>"20210020425"</f>
        <v>20210020425</v>
      </c>
      <c r="E34" s="23">
        <v>74.3</v>
      </c>
      <c r="F34" s="23">
        <v>81.8</v>
      </c>
      <c r="G34" s="23">
        <f t="shared" si="1"/>
        <v>77.3</v>
      </c>
    </row>
    <row r="35" s="16" customFormat="1" spans="1:7">
      <c r="A35" s="23" t="s">
        <v>9</v>
      </c>
      <c r="B35" s="23" t="str">
        <f t="shared" si="9"/>
        <v>04</v>
      </c>
      <c r="C35" s="23" t="str">
        <f>"23"</f>
        <v>23</v>
      </c>
      <c r="D35" s="23" t="str">
        <f>"20210020423"</f>
        <v>20210020423</v>
      </c>
      <c r="E35" s="23">
        <v>73.6</v>
      </c>
      <c r="F35" s="23">
        <v>82.8</v>
      </c>
      <c r="G35" s="23">
        <f t="shared" si="1"/>
        <v>77.28</v>
      </c>
    </row>
    <row r="36" s="16" customFormat="1" spans="1:7">
      <c r="A36" s="23" t="s">
        <v>9</v>
      </c>
      <c r="B36" s="23" t="str">
        <f t="shared" si="9"/>
        <v>04</v>
      </c>
      <c r="C36" s="23" t="str">
        <f>"28"</f>
        <v>28</v>
      </c>
      <c r="D36" s="23" t="str">
        <f>"20210020428"</f>
        <v>20210020428</v>
      </c>
      <c r="E36" s="23">
        <v>70.1</v>
      </c>
      <c r="F36" s="23">
        <v>84.8</v>
      </c>
      <c r="G36" s="23">
        <f t="shared" si="1"/>
        <v>75.98</v>
      </c>
    </row>
    <row r="37" s="16" customFormat="1" spans="1:7">
      <c r="A37" s="23" t="s">
        <v>9</v>
      </c>
      <c r="B37" s="23" t="str">
        <f t="shared" si="9"/>
        <v>04</v>
      </c>
      <c r="C37" s="23" t="str">
        <f>"22"</f>
        <v>22</v>
      </c>
      <c r="D37" s="23" t="str">
        <f>"20210020422"</f>
        <v>20210020422</v>
      </c>
      <c r="E37" s="23">
        <v>69.7</v>
      </c>
      <c r="F37" s="23">
        <v>74.6</v>
      </c>
      <c r="G37" s="23">
        <f t="shared" si="1"/>
        <v>71.66</v>
      </c>
    </row>
    <row r="38" s="16" customFormat="1" spans="1:7">
      <c r="A38" s="23" t="s">
        <v>9</v>
      </c>
      <c r="B38" s="23" t="str">
        <f t="shared" ref="B38:B42" si="10">"03"</f>
        <v>03</v>
      </c>
      <c r="C38" s="23" t="str">
        <f>"28"</f>
        <v>28</v>
      </c>
      <c r="D38" s="23" t="str">
        <f>"20210020328"</f>
        <v>20210020328</v>
      </c>
      <c r="E38" s="23">
        <v>68.8</v>
      </c>
      <c r="F38" s="23">
        <v>0</v>
      </c>
      <c r="G38" s="23">
        <f t="shared" si="1"/>
        <v>41.28</v>
      </c>
    </row>
    <row r="39" s="16" customFormat="1" spans="1:7">
      <c r="A39" s="23" t="s">
        <v>9</v>
      </c>
      <c r="B39" s="23" t="str">
        <f>"04"</f>
        <v>04</v>
      </c>
      <c r="C39" s="23" t="str">
        <f>"27"</f>
        <v>27</v>
      </c>
      <c r="D39" s="23" t="str">
        <f>"20210020427"</f>
        <v>20210020427</v>
      </c>
      <c r="E39" s="23">
        <v>67.3</v>
      </c>
      <c r="F39" s="23">
        <v>73.6</v>
      </c>
      <c r="G39" s="23">
        <f t="shared" si="1"/>
        <v>69.82</v>
      </c>
    </row>
    <row r="40" s="16" customFormat="1" spans="1:7">
      <c r="A40" s="23" t="s">
        <v>9</v>
      </c>
      <c r="B40" s="23" t="str">
        <f t="shared" si="10"/>
        <v>03</v>
      </c>
      <c r="C40" s="23" t="str">
        <f>"16"</f>
        <v>16</v>
      </c>
      <c r="D40" s="23" t="str">
        <f>"20210020316"</f>
        <v>20210020316</v>
      </c>
      <c r="E40" s="23">
        <v>66.35</v>
      </c>
      <c r="F40" s="23">
        <v>74.8</v>
      </c>
      <c r="G40" s="23">
        <f t="shared" si="1"/>
        <v>69.73</v>
      </c>
    </row>
    <row r="41" s="16" customFormat="1" spans="1:7">
      <c r="A41" s="23" t="s">
        <v>9</v>
      </c>
      <c r="B41" s="23" t="str">
        <f t="shared" si="10"/>
        <v>03</v>
      </c>
      <c r="C41" s="23" t="str">
        <f>"13"</f>
        <v>13</v>
      </c>
      <c r="D41" s="23" t="str">
        <f>"20210020313"</f>
        <v>20210020313</v>
      </c>
      <c r="E41" s="23">
        <v>66.1</v>
      </c>
      <c r="F41" s="23">
        <v>77.6</v>
      </c>
      <c r="G41" s="23">
        <f t="shared" si="1"/>
        <v>70.7</v>
      </c>
    </row>
    <row r="42" s="16" customFormat="1" spans="1:7">
      <c r="A42" s="23" t="s">
        <v>9</v>
      </c>
      <c r="B42" s="23" t="str">
        <f t="shared" si="10"/>
        <v>03</v>
      </c>
      <c r="C42" s="23" t="str">
        <f>"08"</f>
        <v>08</v>
      </c>
      <c r="D42" s="23" t="str">
        <f>"20210020308"</f>
        <v>20210020308</v>
      </c>
      <c r="E42" s="23">
        <v>64.8</v>
      </c>
      <c r="F42" s="23">
        <v>78.8</v>
      </c>
      <c r="G42" s="23">
        <f t="shared" si="1"/>
        <v>70.4</v>
      </c>
    </row>
    <row r="43" s="16" customFormat="1" spans="1:7">
      <c r="A43" s="23" t="s">
        <v>9</v>
      </c>
      <c r="B43" s="23" t="str">
        <f t="shared" ref="B43:B47" si="11">"04"</f>
        <v>04</v>
      </c>
      <c r="C43" s="23" t="str">
        <f>"13"</f>
        <v>13</v>
      </c>
      <c r="D43" s="23" t="str">
        <f>"20210020413"</f>
        <v>20210020413</v>
      </c>
      <c r="E43" s="23">
        <v>64.8</v>
      </c>
      <c r="F43" s="23">
        <v>74</v>
      </c>
      <c r="G43" s="23">
        <f t="shared" si="1"/>
        <v>68.48</v>
      </c>
    </row>
    <row r="44" s="16" customFormat="1" spans="1:7">
      <c r="A44" s="23" t="s">
        <v>9</v>
      </c>
      <c r="B44" s="23" t="str">
        <f>"05"</f>
        <v>05</v>
      </c>
      <c r="C44" s="23" t="str">
        <f>"05"</f>
        <v>05</v>
      </c>
      <c r="D44" s="23" t="str">
        <f>"20210020505"</f>
        <v>20210020505</v>
      </c>
      <c r="E44" s="23">
        <v>63.9</v>
      </c>
      <c r="F44" s="23">
        <v>78</v>
      </c>
      <c r="G44" s="23">
        <f t="shared" si="1"/>
        <v>69.54</v>
      </c>
    </row>
    <row r="45" s="16" customFormat="1" spans="1:7">
      <c r="A45" s="23" t="s">
        <v>9</v>
      </c>
      <c r="B45" s="23" t="str">
        <f t="shared" si="11"/>
        <v>04</v>
      </c>
      <c r="C45" s="23" t="str">
        <f>"03"</f>
        <v>03</v>
      </c>
      <c r="D45" s="23" t="str">
        <f>"20210020403"</f>
        <v>20210020403</v>
      </c>
      <c r="E45" s="23">
        <v>63</v>
      </c>
      <c r="F45" s="23">
        <v>71.4</v>
      </c>
      <c r="G45" s="23">
        <f t="shared" si="1"/>
        <v>66.36</v>
      </c>
    </row>
    <row r="46" s="16" customFormat="1" spans="1:7">
      <c r="A46" s="23" t="s">
        <v>9</v>
      </c>
      <c r="B46" s="23" t="str">
        <f t="shared" si="11"/>
        <v>04</v>
      </c>
      <c r="C46" s="23" t="str">
        <f>"14"</f>
        <v>14</v>
      </c>
      <c r="D46" s="23" t="str">
        <f>"20210020414"</f>
        <v>20210020414</v>
      </c>
      <c r="E46" s="23">
        <v>60.3</v>
      </c>
      <c r="F46" s="23">
        <v>82.4</v>
      </c>
      <c r="G46" s="23">
        <f t="shared" si="1"/>
        <v>69.14</v>
      </c>
    </row>
    <row r="47" s="16" customFormat="1" spans="1:16374">
      <c r="A47" s="23" t="s">
        <v>9</v>
      </c>
      <c r="B47" s="23" t="str">
        <f t="shared" si="11"/>
        <v>04</v>
      </c>
      <c r="C47" s="23" t="str">
        <f>"17"</f>
        <v>17</v>
      </c>
      <c r="D47" s="23" t="str">
        <f>"20210020417"</f>
        <v>20210020417</v>
      </c>
      <c r="E47" s="23">
        <v>58.1</v>
      </c>
      <c r="F47" s="23">
        <v>76.2</v>
      </c>
      <c r="G47" s="23">
        <f t="shared" si="1"/>
        <v>65.34</v>
      </c>
      <c r="XEF47" s="18"/>
      <c r="XEG47" s="18"/>
      <c r="XEH47" s="18"/>
      <c r="XEI47" s="18"/>
      <c r="XEJ47" s="18"/>
      <c r="XEK47" s="18"/>
      <c r="XEL47" s="18"/>
      <c r="XEM47" s="18"/>
      <c r="XEN47" s="18"/>
      <c r="XEO47" s="18"/>
      <c r="XEP47" s="18"/>
      <c r="XEQ47" s="18"/>
      <c r="XER47" s="18"/>
      <c r="XES47" s="18"/>
      <c r="XET47" s="18"/>
    </row>
    <row r="48" s="16" customFormat="1" spans="1:16374">
      <c r="A48" s="23" t="s">
        <v>9</v>
      </c>
      <c r="B48" s="23" t="str">
        <f t="shared" ref="B48:B51" si="12">"03"</f>
        <v>03</v>
      </c>
      <c r="C48" s="23" t="str">
        <f>"24"</f>
        <v>24</v>
      </c>
      <c r="D48" s="23" t="str">
        <f>"20210020324"</f>
        <v>20210020324</v>
      </c>
      <c r="E48" s="23">
        <v>57.5</v>
      </c>
      <c r="F48" s="23">
        <v>77.2</v>
      </c>
      <c r="G48" s="23">
        <f t="shared" si="1"/>
        <v>65.38</v>
      </c>
      <c r="XEF48" s="18"/>
      <c r="XEG48" s="18"/>
      <c r="XEH48" s="18"/>
      <c r="XEI48" s="18"/>
      <c r="XEJ48" s="18"/>
      <c r="XEK48" s="18"/>
      <c r="XEL48" s="18"/>
      <c r="XEM48" s="18"/>
      <c r="XEN48" s="18"/>
      <c r="XEO48" s="18"/>
      <c r="XEP48" s="18"/>
      <c r="XEQ48" s="18"/>
      <c r="XER48" s="18"/>
      <c r="XES48" s="18"/>
      <c r="XET48" s="18"/>
    </row>
    <row r="49" s="16" customFormat="1" spans="1:16374">
      <c r="A49" s="23" t="s">
        <v>9</v>
      </c>
      <c r="B49" s="23" t="str">
        <f t="shared" si="12"/>
        <v>03</v>
      </c>
      <c r="C49" s="23" t="str">
        <f>"26"</f>
        <v>26</v>
      </c>
      <c r="D49" s="23" t="str">
        <f>"20210020326"</f>
        <v>20210020326</v>
      </c>
      <c r="E49" s="23">
        <v>56.5</v>
      </c>
      <c r="F49" s="23">
        <v>74.2</v>
      </c>
      <c r="G49" s="23">
        <f t="shared" si="1"/>
        <v>63.58</v>
      </c>
      <c r="XEF49" s="18"/>
      <c r="XEG49" s="18"/>
      <c r="XEH49" s="18"/>
      <c r="XEI49" s="18"/>
      <c r="XEJ49" s="18"/>
      <c r="XEK49" s="18"/>
      <c r="XEL49" s="18"/>
      <c r="XEM49" s="18"/>
      <c r="XEN49" s="18"/>
      <c r="XEO49" s="18"/>
      <c r="XEP49" s="18"/>
      <c r="XEQ49" s="18"/>
      <c r="XER49" s="18"/>
      <c r="XES49" s="18"/>
      <c r="XET49" s="18"/>
    </row>
    <row r="50" s="16" customFormat="1" spans="1:16374">
      <c r="A50" s="23" t="s">
        <v>9</v>
      </c>
      <c r="B50" s="23" t="str">
        <f t="shared" si="12"/>
        <v>03</v>
      </c>
      <c r="C50" s="23" t="str">
        <f>"15"</f>
        <v>15</v>
      </c>
      <c r="D50" s="23" t="str">
        <f>"20210020315"</f>
        <v>20210020315</v>
      </c>
      <c r="E50" s="23">
        <v>53.9</v>
      </c>
      <c r="F50" s="23">
        <v>78.8</v>
      </c>
      <c r="G50" s="23">
        <f t="shared" si="1"/>
        <v>63.86</v>
      </c>
      <c r="XEF50" s="18"/>
      <c r="XEG50" s="18"/>
      <c r="XEH50" s="18"/>
      <c r="XEI50" s="18"/>
      <c r="XEJ50" s="18"/>
      <c r="XEK50" s="18"/>
      <c r="XEL50" s="18"/>
      <c r="XEM50" s="18"/>
      <c r="XEN50" s="18"/>
      <c r="XEO50" s="18"/>
      <c r="XEP50" s="18"/>
      <c r="XEQ50" s="18"/>
      <c r="XER50" s="18"/>
      <c r="XES50" s="18"/>
      <c r="XET50" s="18"/>
    </row>
    <row r="51" s="16" customFormat="1" spans="1:16374">
      <c r="A51" s="23" t="s">
        <v>9</v>
      </c>
      <c r="B51" s="23" t="str">
        <f t="shared" si="12"/>
        <v>03</v>
      </c>
      <c r="C51" s="23" t="str">
        <f>"29"</f>
        <v>29</v>
      </c>
      <c r="D51" s="23" t="str">
        <f>"20210020329"</f>
        <v>20210020329</v>
      </c>
      <c r="E51" s="23">
        <v>53.8</v>
      </c>
      <c r="F51" s="23">
        <v>68.8</v>
      </c>
      <c r="G51" s="23">
        <f t="shared" si="1"/>
        <v>59.8</v>
      </c>
      <c r="XEF51" s="18"/>
      <c r="XEG51" s="18"/>
      <c r="XEH51" s="18"/>
      <c r="XEI51" s="18"/>
      <c r="XEJ51" s="18"/>
      <c r="XEK51" s="18"/>
      <c r="XEL51" s="18"/>
      <c r="XEM51" s="18"/>
      <c r="XEN51" s="18"/>
      <c r="XEO51" s="18"/>
      <c r="XEP51" s="18"/>
      <c r="XEQ51" s="18"/>
      <c r="XER51" s="18"/>
      <c r="XES51" s="18"/>
      <c r="XET51" s="18"/>
    </row>
    <row r="52" s="16" customFormat="1" spans="1:16374">
      <c r="A52" s="23" t="s">
        <v>9</v>
      </c>
      <c r="B52" s="23" t="str">
        <f>"04"</f>
        <v>04</v>
      </c>
      <c r="C52" s="23" t="str">
        <f>"15"</f>
        <v>15</v>
      </c>
      <c r="D52" s="23" t="str">
        <f>"20210020415"</f>
        <v>20210020415</v>
      </c>
      <c r="E52" s="23">
        <v>53.2</v>
      </c>
      <c r="F52" s="23">
        <v>0</v>
      </c>
      <c r="G52" s="23">
        <f t="shared" si="1"/>
        <v>31.92</v>
      </c>
      <c r="XEF52" s="18"/>
      <c r="XEG52" s="18"/>
      <c r="XEH52" s="18"/>
      <c r="XEI52" s="18"/>
      <c r="XEJ52" s="18"/>
      <c r="XEK52" s="18"/>
      <c r="XEL52" s="18"/>
      <c r="XEM52" s="18"/>
      <c r="XEN52" s="18"/>
      <c r="XEO52" s="18"/>
      <c r="XEP52" s="18"/>
      <c r="XEQ52" s="18"/>
      <c r="XER52" s="18"/>
      <c r="XES52" s="18"/>
      <c r="XET52" s="18"/>
    </row>
    <row r="53" s="16" customFormat="1" spans="1:16374">
      <c r="A53" s="23" t="s">
        <v>9</v>
      </c>
      <c r="B53" s="23" t="str">
        <f>"04"</f>
        <v>04</v>
      </c>
      <c r="C53" s="23" t="str">
        <f>"06"</f>
        <v>06</v>
      </c>
      <c r="D53" s="23" t="str">
        <f>"20210020406"</f>
        <v>20210020406</v>
      </c>
      <c r="E53" s="23">
        <v>52.3</v>
      </c>
      <c r="F53" s="23">
        <v>75.4</v>
      </c>
      <c r="G53" s="23">
        <f t="shared" si="1"/>
        <v>61.54</v>
      </c>
      <c r="XEF53" s="18"/>
      <c r="XEG53" s="18"/>
      <c r="XEH53" s="18"/>
      <c r="XEI53" s="18"/>
      <c r="XEJ53" s="18"/>
      <c r="XEK53" s="18"/>
      <c r="XEL53" s="18"/>
      <c r="XEM53" s="18"/>
      <c r="XEN53" s="18"/>
      <c r="XEO53" s="18"/>
      <c r="XEP53" s="18"/>
      <c r="XEQ53" s="18"/>
      <c r="XER53" s="18"/>
      <c r="XES53" s="18"/>
      <c r="XET53" s="18"/>
    </row>
    <row r="54" s="16" customFormat="1" spans="1:7">
      <c r="A54" s="23" t="s">
        <v>10</v>
      </c>
      <c r="B54" s="23" t="str">
        <f t="shared" ref="B54:B56" si="13">"05"</f>
        <v>05</v>
      </c>
      <c r="C54" s="23" t="str">
        <f>"29"</f>
        <v>29</v>
      </c>
      <c r="D54" s="23" t="str">
        <f>"20210030529"</f>
        <v>20210030529</v>
      </c>
      <c r="E54" s="23">
        <v>84.7</v>
      </c>
      <c r="F54" s="23">
        <v>70.2</v>
      </c>
      <c r="G54" s="23">
        <f t="shared" si="1"/>
        <v>78.9</v>
      </c>
    </row>
    <row r="55" s="16" customFormat="1" spans="1:7">
      <c r="A55" s="23" t="s">
        <v>10</v>
      </c>
      <c r="B55" s="23" t="str">
        <f t="shared" si="13"/>
        <v>05</v>
      </c>
      <c r="C55" s="23" t="str">
        <f>"25"</f>
        <v>25</v>
      </c>
      <c r="D55" s="23" t="str">
        <f>"20210030525"</f>
        <v>20210030525</v>
      </c>
      <c r="E55" s="23">
        <v>84.2</v>
      </c>
      <c r="F55" s="23">
        <v>80.4</v>
      </c>
      <c r="G55" s="23">
        <f t="shared" si="1"/>
        <v>82.68</v>
      </c>
    </row>
    <row r="56" s="16" customFormat="1" spans="1:7">
      <c r="A56" s="23" t="s">
        <v>10</v>
      </c>
      <c r="B56" s="23" t="str">
        <f t="shared" si="13"/>
        <v>05</v>
      </c>
      <c r="C56" s="23" t="str">
        <f>"23"</f>
        <v>23</v>
      </c>
      <c r="D56" s="23" t="str">
        <f>"20210030523"</f>
        <v>20210030523</v>
      </c>
      <c r="E56" s="23">
        <v>81.45</v>
      </c>
      <c r="F56" s="23">
        <v>78.8</v>
      </c>
      <c r="G56" s="23">
        <f t="shared" si="1"/>
        <v>80.39</v>
      </c>
    </row>
    <row r="57" s="16" customFormat="1" spans="1:7">
      <c r="A57" s="23" t="s">
        <v>10</v>
      </c>
      <c r="B57" s="23" t="str">
        <f>"07"</f>
        <v>07</v>
      </c>
      <c r="C57" s="23" t="str">
        <f>"14"</f>
        <v>14</v>
      </c>
      <c r="D57" s="23" t="str">
        <f>"20210030714"</f>
        <v>20210030714</v>
      </c>
      <c r="E57" s="23">
        <v>80.5</v>
      </c>
      <c r="F57" s="23">
        <v>72.6</v>
      </c>
      <c r="G57" s="23">
        <f t="shared" si="1"/>
        <v>77.34</v>
      </c>
    </row>
    <row r="58" s="16" customFormat="1" spans="1:7">
      <c r="A58" s="23" t="s">
        <v>10</v>
      </c>
      <c r="B58" s="23" t="str">
        <f t="shared" ref="B58:B62" si="14">"05"</f>
        <v>05</v>
      </c>
      <c r="C58" s="23" t="str">
        <f>"30"</f>
        <v>30</v>
      </c>
      <c r="D58" s="23" t="str">
        <f>"20210030530"</f>
        <v>20210030530</v>
      </c>
      <c r="E58" s="23">
        <v>80.3</v>
      </c>
      <c r="F58" s="23">
        <v>80.6</v>
      </c>
      <c r="G58" s="23">
        <f t="shared" si="1"/>
        <v>80.42</v>
      </c>
    </row>
    <row r="59" s="16" customFormat="1" spans="1:7">
      <c r="A59" s="23" t="s">
        <v>10</v>
      </c>
      <c r="B59" s="23" t="str">
        <f t="shared" ref="B59:B64" si="15">"06"</f>
        <v>06</v>
      </c>
      <c r="C59" s="23" t="str">
        <f>"12"</f>
        <v>12</v>
      </c>
      <c r="D59" s="23" t="str">
        <f>"20210030612"</f>
        <v>20210030612</v>
      </c>
      <c r="E59" s="23">
        <v>80.1</v>
      </c>
      <c r="F59" s="23">
        <v>79</v>
      </c>
      <c r="G59" s="23">
        <f t="shared" si="1"/>
        <v>79.66</v>
      </c>
    </row>
    <row r="60" s="16" customFormat="1" spans="1:7">
      <c r="A60" s="23" t="s">
        <v>10</v>
      </c>
      <c r="B60" s="23" t="str">
        <f t="shared" si="14"/>
        <v>05</v>
      </c>
      <c r="C60" s="23" t="str">
        <f>"28"</f>
        <v>28</v>
      </c>
      <c r="D60" s="23" t="str">
        <f>"20210030528"</f>
        <v>20210030528</v>
      </c>
      <c r="E60" s="23">
        <v>79.7</v>
      </c>
      <c r="F60" s="23">
        <v>66.6</v>
      </c>
      <c r="G60" s="23">
        <f t="shared" si="1"/>
        <v>74.46</v>
      </c>
    </row>
    <row r="61" s="16" customFormat="1" spans="1:7">
      <c r="A61" s="23" t="s">
        <v>10</v>
      </c>
      <c r="B61" s="23" t="str">
        <f t="shared" si="14"/>
        <v>05</v>
      </c>
      <c r="C61" s="23" t="str">
        <f>"19"</f>
        <v>19</v>
      </c>
      <c r="D61" s="23" t="str">
        <f>"20210030519"</f>
        <v>20210030519</v>
      </c>
      <c r="E61" s="23">
        <v>77.5</v>
      </c>
      <c r="F61" s="23">
        <v>77.8</v>
      </c>
      <c r="G61" s="23">
        <f t="shared" si="1"/>
        <v>77.62</v>
      </c>
    </row>
    <row r="62" s="16" customFormat="1" spans="1:7">
      <c r="A62" s="23" t="s">
        <v>10</v>
      </c>
      <c r="B62" s="23" t="str">
        <f t="shared" si="14"/>
        <v>05</v>
      </c>
      <c r="C62" s="23" t="str">
        <f>"26"</f>
        <v>26</v>
      </c>
      <c r="D62" s="23" t="str">
        <f>"20210030526"</f>
        <v>20210030526</v>
      </c>
      <c r="E62" s="23">
        <v>76.1</v>
      </c>
      <c r="F62" s="23">
        <v>62.2</v>
      </c>
      <c r="G62" s="23">
        <f t="shared" si="1"/>
        <v>70.54</v>
      </c>
    </row>
    <row r="63" s="16" customFormat="1" spans="1:7">
      <c r="A63" s="23" t="s">
        <v>10</v>
      </c>
      <c r="B63" s="23" t="str">
        <f t="shared" si="15"/>
        <v>06</v>
      </c>
      <c r="C63" s="23" t="str">
        <f>"30"</f>
        <v>30</v>
      </c>
      <c r="D63" s="23" t="str">
        <f>"20210030630"</f>
        <v>20210030630</v>
      </c>
      <c r="E63" s="23">
        <v>73.5</v>
      </c>
      <c r="F63" s="23">
        <v>79.2</v>
      </c>
      <c r="G63" s="23">
        <f t="shared" si="1"/>
        <v>75.78</v>
      </c>
    </row>
    <row r="64" s="16" customFormat="1" spans="1:7">
      <c r="A64" s="23" t="s">
        <v>10</v>
      </c>
      <c r="B64" s="23" t="str">
        <f t="shared" si="15"/>
        <v>06</v>
      </c>
      <c r="C64" s="23" t="str">
        <f>"29"</f>
        <v>29</v>
      </c>
      <c r="D64" s="23" t="str">
        <f>"20210030629"</f>
        <v>20210030629</v>
      </c>
      <c r="E64" s="23">
        <v>73.3</v>
      </c>
      <c r="F64" s="23">
        <v>76.4</v>
      </c>
      <c r="G64" s="23">
        <f t="shared" si="1"/>
        <v>74.54</v>
      </c>
    </row>
    <row r="65" s="16" customFormat="1" spans="1:7">
      <c r="A65" s="23" t="s">
        <v>10</v>
      </c>
      <c r="B65" s="23" t="str">
        <f>"07"</f>
        <v>07</v>
      </c>
      <c r="C65" s="23" t="str">
        <f>"02"</f>
        <v>02</v>
      </c>
      <c r="D65" s="23" t="str">
        <f>"20210030702"</f>
        <v>20210030702</v>
      </c>
      <c r="E65" s="23">
        <v>72.7</v>
      </c>
      <c r="F65" s="23">
        <v>77</v>
      </c>
      <c r="G65" s="23">
        <f t="shared" si="1"/>
        <v>74.42</v>
      </c>
    </row>
    <row r="66" s="16" customFormat="1" spans="1:7">
      <c r="A66" s="23" t="s">
        <v>10</v>
      </c>
      <c r="B66" s="23" t="str">
        <f>"05"</f>
        <v>05</v>
      </c>
      <c r="C66" s="23" t="str">
        <f>"22"</f>
        <v>22</v>
      </c>
      <c r="D66" s="23" t="str">
        <f>"20210030522"</f>
        <v>20210030522</v>
      </c>
      <c r="E66" s="23">
        <v>72.3</v>
      </c>
      <c r="F66" s="23">
        <v>80.2</v>
      </c>
      <c r="G66" s="23">
        <f t="shared" si="1"/>
        <v>75.46</v>
      </c>
    </row>
    <row r="67" s="16" customFormat="1" spans="1:7">
      <c r="A67" s="23" t="s">
        <v>10</v>
      </c>
      <c r="B67" s="23" t="str">
        <f t="shared" ref="B67:B73" si="16">"06"</f>
        <v>06</v>
      </c>
      <c r="C67" s="23" t="str">
        <f>"07"</f>
        <v>07</v>
      </c>
      <c r="D67" s="23" t="str">
        <f>"20210030607"</f>
        <v>20210030607</v>
      </c>
      <c r="E67" s="23">
        <v>71.7</v>
      </c>
      <c r="F67" s="23">
        <v>77</v>
      </c>
      <c r="G67" s="23">
        <f t="shared" ref="G67:G130" si="17">E67*0.6+F67*0.4</f>
        <v>73.82</v>
      </c>
    </row>
    <row r="68" s="16" customFormat="1" spans="1:7">
      <c r="A68" s="23" t="s">
        <v>10</v>
      </c>
      <c r="B68" s="23" t="str">
        <f t="shared" si="16"/>
        <v>06</v>
      </c>
      <c r="C68" s="23" t="str">
        <f>"21"</f>
        <v>21</v>
      </c>
      <c r="D68" s="23" t="str">
        <f>"20210030621"</f>
        <v>20210030621</v>
      </c>
      <c r="E68" s="23">
        <v>71.1</v>
      </c>
      <c r="F68" s="23">
        <v>69.4</v>
      </c>
      <c r="G68" s="23">
        <f t="shared" si="17"/>
        <v>70.42</v>
      </c>
    </row>
    <row r="69" s="16" customFormat="1" spans="1:7">
      <c r="A69" s="23" t="s">
        <v>10</v>
      </c>
      <c r="B69" s="23" t="str">
        <f t="shared" si="16"/>
        <v>06</v>
      </c>
      <c r="C69" s="23" t="str">
        <f>"20"</f>
        <v>20</v>
      </c>
      <c r="D69" s="23" t="str">
        <f>"20210030620"</f>
        <v>20210030620</v>
      </c>
      <c r="E69" s="23">
        <v>69.7</v>
      </c>
      <c r="F69" s="23">
        <v>75.8</v>
      </c>
      <c r="G69" s="23">
        <f t="shared" si="17"/>
        <v>72.14</v>
      </c>
    </row>
    <row r="70" s="16" customFormat="1" spans="1:7">
      <c r="A70" s="23" t="s">
        <v>10</v>
      </c>
      <c r="B70" s="23" t="str">
        <f t="shared" si="16"/>
        <v>06</v>
      </c>
      <c r="C70" s="23" t="str">
        <f>"17"</f>
        <v>17</v>
      </c>
      <c r="D70" s="23" t="str">
        <f>"20210030617"</f>
        <v>20210030617</v>
      </c>
      <c r="E70" s="23">
        <v>69.5</v>
      </c>
      <c r="F70" s="23">
        <v>76</v>
      </c>
      <c r="G70" s="23">
        <f t="shared" si="17"/>
        <v>72.1</v>
      </c>
    </row>
    <row r="71" s="16" customFormat="1" spans="1:7">
      <c r="A71" s="23" t="s">
        <v>10</v>
      </c>
      <c r="B71" s="23" t="str">
        <f t="shared" si="16"/>
        <v>06</v>
      </c>
      <c r="C71" s="23" t="str">
        <f>"08"</f>
        <v>08</v>
      </c>
      <c r="D71" s="23" t="str">
        <f>"20210030608"</f>
        <v>20210030608</v>
      </c>
      <c r="E71" s="23">
        <v>69.4</v>
      </c>
      <c r="F71" s="23">
        <v>62.8</v>
      </c>
      <c r="G71" s="23">
        <f t="shared" si="17"/>
        <v>66.76</v>
      </c>
    </row>
    <row r="72" s="16" customFormat="1" spans="1:7">
      <c r="A72" s="23" t="s">
        <v>10</v>
      </c>
      <c r="B72" s="23" t="str">
        <f t="shared" si="16"/>
        <v>06</v>
      </c>
      <c r="C72" s="23" t="str">
        <f>"04"</f>
        <v>04</v>
      </c>
      <c r="D72" s="23" t="str">
        <f>"20210030604"</f>
        <v>20210030604</v>
      </c>
      <c r="E72" s="23">
        <v>67.3</v>
      </c>
      <c r="F72" s="23">
        <v>80.6</v>
      </c>
      <c r="G72" s="23">
        <f t="shared" si="17"/>
        <v>72.62</v>
      </c>
    </row>
    <row r="73" s="16" customFormat="1" spans="1:7">
      <c r="A73" s="23" t="s">
        <v>10</v>
      </c>
      <c r="B73" s="23" t="str">
        <f t="shared" si="16"/>
        <v>06</v>
      </c>
      <c r="C73" s="23" t="str">
        <f>"01"</f>
        <v>01</v>
      </c>
      <c r="D73" s="23" t="str">
        <f>"20210030601"</f>
        <v>20210030601</v>
      </c>
      <c r="E73" s="23">
        <v>66.6</v>
      </c>
      <c r="F73" s="23">
        <v>68.6</v>
      </c>
      <c r="G73" s="23">
        <f t="shared" si="17"/>
        <v>67.4</v>
      </c>
    </row>
    <row r="74" s="16" customFormat="1" spans="1:7">
      <c r="A74" s="23" t="s">
        <v>10</v>
      </c>
      <c r="B74" s="23" t="str">
        <f>"07"</f>
        <v>07</v>
      </c>
      <c r="C74" s="23" t="str">
        <f>"15"</f>
        <v>15</v>
      </c>
      <c r="D74" s="23" t="str">
        <f>"20210030715"</f>
        <v>20210030715</v>
      </c>
      <c r="E74" s="23">
        <v>63.2</v>
      </c>
      <c r="F74" s="23">
        <v>77.6</v>
      </c>
      <c r="G74" s="23">
        <f t="shared" si="17"/>
        <v>68.96</v>
      </c>
    </row>
    <row r="75" s="16" customFormat="1" spans="1:7">
      <c r="A75" s="23" t="s">
        <v>10</v>
      </c>
      <c r="B75" s="23" t="str">
        <f>"05"</f>
        <v>05</v>
      </c>
      <c r="C75" s="23" t="str">
        <f>"24"</f>
        <v>24</v>
      </c>
      <c r="D75" s="23" t="str">
        <f>"20210030524"</f>
        <v>20210030524</v>
      </c>
      <c r="E75" s="23">
        <v>62.9</v>
      </c>
      <c r="F75" s="23">
        <v>74</v>
      </c>
      <c r="G75" s="23">
        <f t="shared" si="17"/>
        <v>67.34</v>
      </c>
    </row>
    <row r="76" s="16" customFormat="1" spans="1:7">
      <c r="A76" s="23" t="s">
        <v>10</v>
      </c>
      <c r="B76" s="23" t="str">
        <f>"07"</f>
        <v>07</v>
      </c>
      <c r="C76" s="23" t="str">
        <f>"03"</f>
        <v>03</v>
      </c>
      <c r="D76" s="23" t="str">
        <f>"20210030703"</f>
        <v>20210030703</v>
      </c>
      <c r="E76" s="23">
        <v>62.8</v>
      </c>
      <c r="F76" s="23">
        <v>68</v>
      </c>
      <c r="G76" s="23">
        <f t="shared" si="17"/>
        <v>64.88</v>
      </c>
    </row>
    <row r="77" s="16" customFormat="1" spans="1:7">
      <c r="A77" s="23" t="s">
        <v>10</v>
      </c>
      <c r="B77" s="23" t="str">
        <f t="shared" ref="B77:B82" si="18">"06"</f>
        <v>06</v>
      </c>
      <c r="C77" s="23" t="str">
        <f>"18"</f>
        <v>18</v>
      </c>
      <c r="D77" s="23" t="str">
        <f>"20210030618"</f>
        <v>20210030618</v>
      </c>
      <c r="E77" s="23">
        <v>62.5</v>
      </c>
      <c r="F77" s="23">
        <v>79.4</v>
      </c>
      <c r="G77" s="23">
        <f t="shared" si="17"/>
        <v>69.26</v>
      </c>
    </row>
    <row r="78" s="16" customFormat="1" spans="1:7">
      <c r="A78" s="23" t="s">
        <v>10</v>
      </c>
      <c r="B78" s="23" t="str">
        <f>"05"</f>
        <v>05</v>
      </c>
      <c r="C78" s="23" t="str">
        <f>"21"</f>
        <v>21</v>
      </c>
      <c r="D78" s="23" t="str">
        <f>"20210030521"</f>
        <v>20210030521</v>
      </c>
      <c r="E78" s="23">
        <v>62.3</v>
      </c>
      <c r="F78" s="23">
        <v>80</v>
      </c>
      <c r="G78" s="23">
        <f t="shared" si="17"/>
        <v>69.38</v>
      </c>
    </row>
    <row r="79" s="16" customFormat="1" spans="1:7">
      <c r="A79" s="23" t="s">
        <v>10</v>
      </c>
      <c r="B79" s="23" t="str">
        <f t="shared" si="18"/>
        <v>06</v>
      </c>
      <c r="C79" s="23" t="str">
        <f>"02"</f>
        <v>02</v>
      </c>
      <c r="D79" s="23" t="str">
        <f>"20210030602"</f>
        <v>20210030602</v>
      </c>
      <c r="E79" s="23">
        <v>61.7</v>
      </c>
      <c r="F79" s="23">
        <v>81</v>
      </c>
      <c r="G79" s="23">
        <f t="shared" si="17"/>
        <v>69.42</v>
      </c>
    </row>
    <row r="80" s="16" customFormat="1" spans="1:7">
      <c r="A80" s="23" t="s">
        <v>10</v>
      </c>
      <c r="B80" s="23" t="str">
        <f t="shared" ref="B80:B85" si="19">"07"</f>
        <v>07</v>
      </c>
      <c r="C80" s="23" t="str">
        <f>"18"</f>
        <v>18</v>
      </c>
      <c r="D80" s="23" t="str">
        <f>"20210030718"</f>
        <v>20210030718</v>
      </c>
      <c r="E80" s="23">
        <v>61.4</v>
      </c>
      <c r="F80" s="23">
        <v>70.2</v>
      </c>
      <c r="G80" s="23">
        <f t="shared" si="17"/>
        <v>64.92</v>
      </c>
    </row>
    <row r="81" s="16" customFormat="1" spans="1:7">
      <c r="A81" s="23" t="s">
        <v>10</v>
      </c>
      <c r="B81" s="23" t="str">
        <f>"05"</f>
        <v>05</v>
      </c>
      <c r="C81" s="23" t="str">
        <f>"27"</f>
        <v>27</v>
      </c>
      <c r="D81" s="23" t="str">
        <f>"20210030527"</f>
        <v>20210030527</v>
      </c>
      <c r="E81" s="23">
        <v>61.1</v>
      </c>
      <c r="F81" s="23">
        <v>70.6</v>
      </c>
      <c r="G81" s="23">
        <f t="shared" si="17"/>
        <v>64.9</v>
      </c>
    </row>
    <row r="82" s="16" customFormat="1" spans="1:7">
      <c r="A82" s="23" t="s">
        <v>10</v>
      </c>
      <c r="B82" s="23" t="str">
        <f t="shared" si="18"/>
        <v>06</v>
      </c>
      <c r="C82" s="23" t="str">
        <f>"19"</f>
        <v>19</v>
      </c>
      <c r="D82" s="23" t="str">
        <f>"20210030619"</f>
        <v>20210030619</v>
      </c>
      <c r="E82" s="23">
        <v>59.05</v>
      </c>
      <c r="F82" s="23">
        <v>81.8</v>
      </c>
      <c r="G82" s="23">
        <f t="shared" si="17"/>
        <v>68.15</v>
      </c>
    </row>
    <row r="83" s="16" customFormat="1" spans="1:16374">
      <c r="A83" s="23" t="s">
        <v>10</v>
      </c>
      <c r="B83" s="23" t="str">
        <f t="shared" si="19"/>
        <v>07</v>
      </c>
      <c r="C83" s="23" t="str">
        <f>"07"</f>
        <v>07</v>
      </c>
      <c r="D83" s="23" t="str">
        <f>"20210030707"</f>
        <v>20210030707</v>
      </c>
      <c r="E83" s="23">
        <v>58.7</v>
      </c>
      <c r="F83" s="23">
        <v>77.6</v>
      </c>
      <c r="G83" s="23">
        <f t="shared" si="17"/>
        <v>66.26</v>
      </c>
      <c r="XEF83" s="18"/>
      <c r="XEG83" s="18"/>
      <c r="XEH83" s="18"/>
      <c r="XEI83" s="18"/>
      <c r="XEJ83" s="18"/>
      <c r="XEK83" s="18"/>
      <c r="XEL83" s="18"/>
      <c r="XEM83" s="18"/>
      <c r="XEN83" s="18"/>
      <c r="XEO83" s="18"/>
      <c r="XEP83" s="18"/>
      <c r="XEQ83" s="18"/>
      <c r="XER83" s="18"/>
      <c r="XES83" s="18"/>
      <c r="XET83" s="18"/>
    </row>
    <row r="84" s="16" customFormat="1" spans="1:16374">
      <c r="A84" s="23" t="s">
        <v>10</v>
      </c>
      <c r="B84" s="23" t="str">
        <f>"06"</f>
        <v>06</v>
      </c>
      <c r="C84" s="23" t="str">
        <f>"10"</f>
        <v>10</v>
      </c>
      <c r="D84" s="23" t="str">
        <f>"20210030610"</f>
        <v>20210030610</v>
      </c>
      <c r="E84" s="23">
        <v>58.6</v>
      </c>
      <c r="F84" s="23">
        <v>0</v>
      </c>
      <c r="G84" s="23">
        <f t="shared" si="17"/>
        <v>35.16</v>
      </c>
      <c r="XEF84" s="18"/>
      <c r="XEG84" s="18"/>
      <c r="XEH84" s="18"/>
      <c r="XEI84" s="18"/>
      <c r="XEJ84" s="18"/>
      <c r="XEK84" s="18"/>
      <c r="XEL84" s="18"/>
      <c r="XEM84" s="18"/>
      <c r="XEN84" s="18"/>
      <c r="XEO84" s="18"/>
      <c r="XEP84" s="18"/>
      <c r="XEQ84" s="18"/>
      <c r="XER84" s="18"/>
      <c r="XES84" s="18"/>
      <c r="XET84" s="18"/>
    </row>
    <row r="85" s="16" customFormat="1" spans="1:16374">
      <c r="A85" s="23" t="s">
        <v>10</v>
      </c>
      <c r="B85" s="23" t="str">
        <f t="shared" si="19"/>
        <v>07</v>
      </c>
      <c r="C85" s="23" t="str">
        <f>"10"</f>
        <v>10</v>
      </c>
      <c r="D85" s="23" t="str">
        <f>"20210030710"</f>
        <v>20210030710</v>
      </c>
      <c r="E85" s="23">
        <v>58.5</v>
      </c>
      <c r="F85" s="23">
        <v>0</v>
      </c>
      <c r="G85" s="23">
        <f t="shared" si="17"/>
        <v>35.1</v>
      </c>
      <c r="XEF85" s="18"/>
      <c r="XEG85" s="18"/>
      <c r="XEH85" s="18"/>
      <c r="XEI85" s="18"/>
      <c r="XEJ85" s="18"/>
      <c r="XEK85" s="18"/>
      <c r="XEL85" s="18"/>
      <c r="XEM85" s="18"/>
      <c r="XEN85" s="18"/>
      <c r="XEO85" s="18"/>
      <c r="XEP85" s="18"/>
      <c r="XEQ85" s="18"/>
      <c r="XER85" s="18"/>
      <c r="XES85" s="18"/>
      <c r="XET85" s="18"/>
    </row>
    <row r="86" s="16" customFormat="1" spans="1:7">
      <c r="A86" s="23" t="s">
        <v>11</v>
      </c>
      <c r="B86" s="23" t="str">
        <f t="shared" ref="B86:B92" si="20">"08"</f>
        <v>08</v>
      </c>
      <c r="C86" s="23" t="str">
        <f>"12"</f>
        <v>12</v>
      </c>
      <c r="D86" s="23" t="str">
        <f>"20210040812"</f>
        <v>20210040812</v>
      </c>
      <c r="E86" s="23">
        <v>82.4</v>
      </c>
      <c r="F86" s="23">
        <v>80.8</v>
      </c>
      <c r="G86" s="23">
        <f t="shared" si="17"/>
        <v>81.76</v>
      </c>
    </row>
    <row r="87" s="16" customFormat="1" spans="1:7">
      <c r="A87" s="23" t="s">
        <v>11</v>
      </c>
      <c r="B87" s="23" t="str">
        <f>"09"</f>
        <v>09</v>
      </c>
      <c r="C87" s="23" t="str">
        <f>"29"</f>
        <v>29</v>
      </c>
      <c r="D87" s="23" t="str">
        <f>"20210040929"</f>
        <v>20210040929</v>
      </c>
      <c r="E87" s="23">
        <v>72.4</v>
      </c>
      <c r="F87" s="23">
        <v>65</v>
      </c>
      <c r="G87" s="23">
        <f t="shared" si="17"/>
        <v>69.44</v>
      </c>
    </row>
    <row r="88" s="16" customFormat="1" spans="1:7">
      <c r="A88" s="23" t="s">
        <v>11</v>
      </c>
      <c r="B88" s="23" t="str">
        <f>"09"</f>
        <v>09</v>
      </c>
      <c r="C88" s="23" t="str">
        <f>"22"</f>
        <v>22</v>
      </c>
      <c r="D88" s="23" t="str">
        <f>"20210040922"</f>
        <v>20210040922</v>
      </c>
      <c r="E88" s="23">
        <v>72.3</v>
      </c>
      <c r="F88" s="23">
        <v>78.2</v>
      </c>
      <c r="G88" s="23">
        <f t="shared" si="17"/>
        <v>74.66</v>
      </c>
    </row>
    <row r="89" s="16" customFormat="1" spans="1:7">
      <c r="A89" s="23" t="s">
        <v>11</v>
      </c>
      <c r="B89" s="23" t="str">
        <f t="shared" si="20"/>
        <v>08</v>
      </c>
      <c r="C89" s="23" t="str">
        <f>"16"</f>
        <v>16</v>
      </c>
      <c r="D89" s="23" t="str">
        <f>"20210040816"</f>
        <v>20210040816</v>
      </c>
      <c r="E89" s="23">
        <v>71.3</v>
      </c>
      <c r="F89" s="23">
        <v>77.6</v>
      </c>
      <c r="G89" s="23">
        <f t="shared" si="17"/>
        <v>73.82</v>
      </c>
    </row>
    <row r="90" s="16" customFormat="1" spans="1:7">
      <c r="A90" s="23" t="s">
        <v>11</v>
      </c>
      <c r="B90" s="23" t="str">
        <f>"10"</f>
        <v>10</v>
      </c>
      <c r="C90" s="23" t="str">
        <f>"01"</f>
        <v>01</v>
      </c>
      <c r="D90" s="23" t="str">
        <f>"20210041001"</f>
        <v>20210041001</v>
      </c>
      <c r="E90" s="23">
        <v>70.9</v>
      </c>
      <c r="F90" s="23">
        <v>72.2</v>
      </c>
      <c r="G90" s="23">
        <f t="shared" si="17"/>
        <v>71.42</v>
      </c>
    </row>
    <row r="91" s="16" customFormat="1" spans="1:7">
      <c r="A91" s="23" t="s">
        <v>11</v>
      </c>
      <c r="B91" s="23" t="str">
        <f t="shared" si="20"/>
        <v>08</v>
      </c>
      <c r="C91" s="23" t="str">
        <f>"10"</f>
        <v>10</v>
      </c>
      <c r="D91" s="23" t="str">
        <f>"20210040810"</f>
        <v>20210040810</v>
      </c>
      <c r="E91" s="23">
        <v>70.8</v>
      </c>
      <c r="F91" s="23">
        <v>82.8</v>
      </c>
      <c r="G91" s="23">
        <f t="shared" si="17"/>
        <v>75.6</v>
      </c>
    </row>
    <row r="92" s="16" customFormat="1" spans="1:7">
      <c r="A92" s="23" t="s">
        <v>11</v>
      </c>
      <c r="B92" s="23" t="str">
        <f t="shared" si="20"/>
        <v>08</v>
      </c>
      <c r="C92" s="23" t="str">
        <f>"23"</f>
        <v>23</v>
      </c>
      <c r="D92" s="23" t="str">
        <f>"20210040823"</f>
        <v>20210040823</v>
      </c>
      <c r="E92" s="23">
        <v>70.8</v>
      </c>
      <c r="F92" s="23">
        <v>0</v>
      </c>
      <c r="G92" s="23">
        <f t="shared" si="17"/>
        <v>42.48</v>
      </c>
    </row>
    <row r="93" s="16" customFormat="1" spans="1:7">
      <c r="A93" s="23" t="s">
        <v>11</v>
      </c>
      <c r="B93" s="23" t="str">
        <f t="shared" ref="B93:B95" si="21">"09"</f>
        <v>09</v>
      </c>
      <c r="C93" s="23" t="str">
        <f>"19"</f>
        <v>19</v>
      </c>
      <c r="D93" s="23" t="str">
        <f>"20210040919"</f>
        <v>20210040919</v>
      </c>
      <c r="E93" s="23">
        <v>70.3</v>
      </c>
      <c r="F93" s="23">
        <v>69.4</v>
      </c>
      <c r="G93" s="23">
        <f t="shared" si="17"/>
        <v>69.94</v>
      </c>
    </row>
    <row r="94" s="16" customFormat="1" spans="1:7">
      <c r="A94" s="23" t="s">
        <v>11</v>
      </c>
      <c r="B94" s="23" t="str">
        <f t="shared" si="21"/>
        <v>09</v>
      </c>
      <c r="C94" s="23" t="str">
        <f>"08"</f>
        <v>08</v>
      </c>
      <c r="D94" s="23" t="str">
        <f>"20210040908"</f>
        <v>20210040908</v>
      </c>
      <c r="E94" s="23">
        <v>69.65</v>
      </c>
      <c r="F94" s="23">
        <v>78</v>
      </c>
      <c r="G94" s="23">
        <f t="shared" si="17"/>
        <v>72.99</v>
      </c>
    </row>
    <row r="95" s="16" customFormat="1" spans="1:7">
      <c r="A95" s="23" t="s">
        <v>11</v>
      </c>
      <c r="B95" s="23" t="str">
        <f t="shared" si="21"/>
        <v>09</v>
      </c>
      <c r="C95" s="23" t="str">
        <f>"15"</f>
        <v>15</v>
      </c>
      <c r="D95" s="23" t="str">
        <f>"20210040915"</f>
        <v>20210040915</v>
      </c>
      <c r="E95" s="23">
        <v>69.3</v>
      </c>
      <c r="F95" s="23">
        <v>76.8</v>
      </c>
      <c r="G95" s="23">
        <f t="shared" si="17"/>
        <v>72.3</v>
      </c>
    </row>
    <row r="96" s="16" customFormat="1" spans="1:7">
      <c r="A96" s="23" t="s">
        <v>11</v>
      </c>
      <c r="B96" s="23" t="str">
        <f t="shared" ref="B96:B100" si="22">"08"</f>
        <v>08</v>
      </c>
      <c r="C96" s="23" t="str">
        <f>"29"</f>
        <v>29</v>
      </c>
      <c r="D96" s="23" t="str">
        <f>"20210040829"</f>
        <v>20210040829</v>
      </c>
      <c r="E96" s="23">
        <v>69.2</v>
      </c>
      <c r="F96" s="23">
        <v>79</v>
      </c>
      <c r="G96" s="23">
        <f t="shared" si="17"/>
        <v>73.12</v>
      </c>
    </row>
    <row r="97" s="16" customFormat="1" spans="1:7">
      <c r="A97" s="23" t="s">
        <v>11</v>
      </c>
      <c r="B97" s="23" t="str">
        <f t="shared" si="22"/>
        <v>08</v>
      </c>
      <c r="C97" s="23" t="str">
        <f>"24"</f>
        <v>24</v>
      </c>
      <c r="D97" s="23" t="str">
        <f>"20210040824"</f>
        <v>20210040824</v>
      </c>
      <c r="E97" s="23">
        <v>68.4</v>
      </c>
      <c r="F97" s="23">
        <v>86.6</v>
      </c>
      <c r="G97" s="23">
        <f t="shared" si="17"/>
        <v>75.68</v>
      </c>
    </row>
    <row r="98" s="16" customFormat="1" spans="1:7">
      <c r="A98" s="23" t="s">
        <v>11</v>
      </c>
      <c r="B98" s="23" t="str">
        <f>"09"</f>
        <v>09</v>
      </c>
      <c r="C98" s="23" t="str">
        <f>"01"</f>
        <v>01</v>
      </c>
      <c r="D98" s="23" t="str">
        <f>"20210040901"</f>
        <v>20210040901</v>
      </c>
      <c r="E98" s="23">
        <v>67.4</v>
      </c>
      <c r="F98" s="23">
        <v>76.2</v>
      </c>
      <c r="G98" s="23">
        <f t="shared" si="17"/>
        <v>70.92</v>
      </c>
    </row>
    <row r="99" s="16" customFormat="1" spans="1:7">
      <c r="A99" s="23" t="s">
        <v>11</v>
      </c>
      <c r="B99" s="23" t="str">
        <f t="shared" si="22"/>
        <v>08</v>
      </c>
      <c r="C99" s="23" t="str">
        <f>"17"</f>
        <v>17</v>
      </c>
      <c r="D99" s="23" t="str">
        <f>"20210040817"</f>
        <v>20210040817</v>
      </c>
      <c r="E99" s="23">
        <v>67.3</v>
      </c>
      <c r="F99" s="23">
        <v>75.2</v>
      </c>
      <c r="G99" s="23">
        <f t="shared" si="17"/>
        <v>70.46</v>
      </c>
    </row>
    <row r="100" s="16" customFormat="1" spans="1:7">
      <c r="A100" s="23" t="s">
        <v>11</v>
      </c>
      <c r="B100" s="23" t="str">
        <f t="shared" si="22"/>
        <v>08</v>
      </c>
      <c r="C100" s="23" t="str">
        <f>"09"</f>
        <v>09</v>
      </c>
      <c r="D100" s="23" t="str">
        <f>"20210040809"</f>
        <v>20210040809</v>
      </c>
      <c r="E100" s="23">
        <v>66.1</v>
      </c>
      <c r="F100" s="23">
        <v>80.6</v>
      </c>
      <c r="G100" s="23">
        <f t="shared" si="17"/>
        <v>71.9</v>
      </c>
    </row>
    <row r="101" s="16" customFormat="1" spans="1:7">
      <c r="A101" s="23" t="s">
        <v>11</v>
      </c>
      <c r="B101" s="23" t="str">
        <f>"10"</f>
        <v>10</v>
      </c>
      <c r="C101" s="23" t="str">
        <f>"04"</f>
        <v>04</v>
      </c>
      <c r="D101" s="23" t="str">
        <f>"20210041004"</f>
        <v>20210041004</v>
      </c>
      <c r="E101" s="23">
        <v>65.8</v>
      </c>
      <c r="F101" s="23">
        <v>79.6</v>
      </c>
      <c r="G101" s="23">
        <f t="shared" si="17"/>
        <v>71.32</v>
      </c>
    </row>
    <row r="102" s="16" customFormat="1" spans="1:7">
      <c r="A102" s="23" t="s">
        <v>11</v>
      </c>
      <c r="B102" s="23" t="str">
        <f>"07"</f>
        <v>07</v>
      </c>
      <c r="C102" s="23" t="str">
        <f>"29"</f>
        <v>29</v>
      </c>
      <c r="D102" s="23" t="str">
        <f>"20210040729"</f>
        <v>20210040729</v>
      </c>
      <c r="E102" s="23">
        <v>64</v>
      </c>
      <c r="F102" s="23">
        <v>68.8</v>
      </c>
      <c r="G102" s="23">
        <f t="shared" si="17"/>
        <v>65.92</v>
      </c>
    </row>
    <row r="103" s="16" customFormat="1" spans="1:7">
      <c r="A103" s="23" t="s">
        <v>11</v>
      </c>
      <c r="B103" s="23" t="str">
        <f>"09"</f>
        <v>09</v>
      </c>
      <c r="C103" s="23" t="str">
        <f>"21"</f>
        <v>21</v>
      </c>
      <c r="D103" s="23" t="str">
        <f>"20210040921"</f>
        <v>20210040921</v>
      </c>
      <c r="E103" s="23">
        <v>63.3</v>
      </c>
      <c r="F103" s="23">
        <v>78</v>
      </c>
      <c r="G103" s="23">
        <f t="shared" si="17"/>
        <v>69.18</v>
      </c>
    </row>
    <row r="104" s="16" customFormat="1" spans="1:7">
      <c r="A104" s="23" t="s">
        <v>11</v>
      </c>
      <c r="B104" s="23" t="str">
        <f t="shared" ref="B104:B107" si="23">"08"</f>
        <v>08</v>
      </c>
      <c r="C104" s="23" t="str">
        <f>"20"</f>
        <v>20</v>
      </c>
      <c r="D104" s="23" t="str">
        <f>"20210040820"</f>
        <v>20210040820</v>
      </c>
      <c r="E104" s="23">
        <v>63.2</v>
      </c>
      <c r="F104" s="23">
        <v>72.4</v>
      </c>
      <c r="G104" s="23">
        <f t="shared" si="17"/>
        <v>66.88</v>
      </c>
    </row>
    <row r="105" s="16" customFormat="1" spans="1:7">
      <c r="A105" s="23" t="s">
        <v>11</v>
      </c>
      <c r="B105" s="23" t="str">
        <f t="shared" si="23"/>
        <v>08</v>
      </c>
      <c r="C105" s="23" t="str">
        <f>"15"</f>
        <v>15</v>
      </c>
      <c r="D105" s="23" t="str">
        <f>"20210040815"</f>
        <v>20210040815</v>
      </c>
      <c r="E105" s="23">
        <v>62.9</v>
      </c>
      <c r="F105" s="23">
        <v>79.4</v>
      </c>
      <c r="G105" s="23">
        <f t="shared" si="17"/>
        <v>69.5</v>
      </c>
    </row>
    <row r="106" s="16" customFormat="1" spans="1:7">
      <c r="A106" s="23" t="s">
        <v>11</v>
      </c>
      <c r="B106" s="23" t="str">
        <f t="shared" si="23"/>
        <v>08</v>
      </c>
      <c r="C106" s="23" t="str">
        <f>"01"</f>
        <v>01</v>
      </c>
      <c r="D106" s="23" t="str">
        <f>"20210040801"</f>
        <v>20210040801</v>
      </c>
      <c r="E106" s="23">
        <v>62.8</v>
      </c>
      <c r="F106" s="23">
        <v>75.2</v>
      </c>
      <c r="G106" s="23">
        <f t="shared" si="17"/>
        <v>67.76</v>
      </c>
    </row>
    <row r="107" s="16" customFormat="1" spans="1:7">
      <c r="A107" s="23" t="s">
        <v>11</v>
      </c>
      <c r="B107" s="23" t="str">
        <f t="shared" si="23"/>
        <v>08</v>
      </c>
      <c r="C107" s="23" t="str">
        <f>"08"</f>
        <v>08</v>
      </c>
      <c r="D107" s="23" t="str">
        <f>"20210040808"</f>
        <v>20210040808</v>
      </c>
      <c r="E107" s="23">
        <v>62.7</v>
      </c>
      <c r="F107" s="23">
        <v>58.8</v>
      </c>
      <c r="G107" s="23">
        <f t="shared" si="17"/>
        <v>61.14</v>
      </c>
    </row>
    <row r="108" s="16" customFormat="1" spans="1:7">
      <c r="A108" s="23" t="s">
        <v>11</v>
      </c>
      <c r="B108" s="23" t="str">
        <f t="shared" ref="B108:B113" si="24">"09"</f>
        <v>09</v>
      </c>
      <c r="C108" s="23" t="str">
        <f>"11"</f>
        <v>11</v>
      </c>
      <c r="D108" s="23" t="str">
        <f>"20210040911"</f>
        <v>20210040911</v>
      </c>
      <c r="E108" s="23">
        <v>60.3</v>
      </c>
      <c r="F108" s="23">
        <v>70.4</v>
      </c>
      <c r="G108" s="23">
        <f t="shared" si="17"/>
        <v>64.34</v>
      </c>
    </row>
    <row r="109" s="16" customFormat="1" spans="1:7">
      <c r="A109" s="23" t="s">
        <v>11</v>
      </c>
      <c r="B109" s="23" t="str">
        <f>"10"</f>
        <v>10</v>
      </c>
      <c r="C109" s="23" t="str">
        <f>"06"</f>
        <v>06</v>
      </c>
      <c r="D109" s="23" t="str">
        <f>"20210041006"</f>
        <v>20210041006</v>
      </c>
      <c r="E109" s="23">
        <v>59.9</v>
      </c>
      <c r="F109" s="23">
        <v>75.6</v>
      </c>
      <c r="G109" s="23">
        <f t="shared" si="17"/>
        <v>66.18</v>
      </c>
    </row>
    <row r="110" s="16" customFormat="1" spans="1:7">
      <c r="A110" s="23" t="s">
        <v>11</v>
      </c>
      <c r="B110" s="23" t="str">
        <f t="shared" si="24"/>
        <v>09</v>
      </c>
      <c r="C110" s="23" t="str">
        <f>"30"</f>
        <v>30</v>
      </c>
      <c r="D110" s="23" t="str">
        <f>"20210040930"</f>
        <v>20210040930</v>
      </c>
      <c r="E110" s="23">
        <v>59.2</v>
      </c>
      <c r="F110" s="23">
        <v>73.4</v>
      </c>
      <c r="G110" s="23">
        <f t="shared" si="17"/>
        <v>64.88</v>
      </c>
    </row>
    <row r="111" s="16" customFormat="1" spans="1:7">
      <c r="A111" s="23" t="s">
        <v>11</v>
      </c>
      <c r="B111" s="23" t="str">
        <f t="shared" ref="B111:B115" si="25">"08"</f>
        <v>08</v>
      </c>
      <c r="C111" s="23" t="str">
        <f>"03"</f>
        <v>03</v>
      </c>
      <c r="D111" s="23" t="str">
        <f>"20210040803"</f>
        <v>20210040803</v>
      </c>
      <c r="E111" s="23">
        <v>58.35</v>
      </c>
      <c r="F111" s="23">
        <v>65.4</v>
      </c>
      <c r="G111" s="23">
        <f t="shared" si="17"/>
        <v>61.17</v>
      </c>
    </row>
    <row r="112" s="16" customFormat="1" spans="1:7">
      <c r="A112" s="23" t="s">
        <v>11</v>
      </c>
      <c r="B112" s="23" t="str">
        <f t="shared" si="25"/>
        <v>08</v>
      </c>
      <c r="C112" s="23" t="str">
        <f>"18"</f>
        <v>18</v>
      </c>
      <c r="D112" s="23" t="str">
        <f>"20210040818"</f>
        <v>20210040818</v>
      </c>
      <c r="E112" s="23">
        <v>58.3</v>
      </c>
      <c r="F112" s="23">
        <v>80</v>
      </c>
      <c r="G112" s="23">
        <f t="shared" si="17"/>
        <v>66.98</v>
      </c>
    </row>
    <row r="113" s="16" customFormat="1" spans="1:16374">
      <c r="A113" s="23" t="s">
        <v>11</v>
      </c>
      <c r="B113" s="23" t="str">
        <f t="shared" si="24"/>
        <v>09</v>
      </c>
      <c r="C113" s="23" t="str">
        <f>"14"</f>
        <v>14</v>
      </c>
      <c r="D113" s="23" t="str">
        <f>"20210040914"</f>
        <v>20210040914</v>
      </c>
      <c r="E113" s="23">
        <v>54.45</v>
      </c>
      <c r="F113" s="23">
        <v>62.4</v>
      </c>
      <c r="G113" s="23">
        <f t="shared" si="17"/>
        <v>57.63</v>
      </c>
      <c r="XEF113" s="18"/>
      <c r="XEG113" s="18"/>
      <c r="XEH113" s="18"/>
      <c r="XEI113" s="18"/>
      <c r="XEJ113" s="18"/>
      <c r="XEK113" s="18"/>
      <c r="XEL113" s="18"/>
      <c r="XEM113" s="18"/>
      <c r="XEN113" s="18"/>
      <c r="XEO113" s="18"/>
      <c r="XEP113" s="18"/>
      <c r="XEQ113" s="18"/>
      <c r="XER113" s="18"/>
      <c r="XES113" s="18"/>
      <c r="XET113" s="18"/>
    </row>
    <row r="114" s="16" customFormat="1" spans="1:16374">
      <c r="A114" s="23" t="s">
        <v>11</v>
      </c>
      <c r="B114" s="23" t="str">
        <f t="shared" si="25"/>
        <v>08</v>
      </c>
      <c r="C114" s="23" t="str">
        <f>"06"</f>
        <v>06</v>
      </c>
      <c r="D114" s="23" t="str">
        <f>"20210040806"</f>
        <v>20210040806</v>
      </c>
      <c r="E114" s="23">
        <v>53.7</v>
      </c>
      <c r="F114" s="23">
        <v>0</v>
      </c>
      <c r="G114" s="23">
        <f t="shared" si="17"/>
        <v>32.22</v>
      </c>
      <c r="XEF114" s="18"/>
      <c r="XEG114" s="18"/>
      <c r="XEH114" s="18"/>
      <c r="XEI114" s="18"/>
      <c r="XEJ114" s="18"/>
      <c r="XEK114" s="18"/>
      <c r="XEL114" s="18"/>
      <c r="XEM114" s="18"/>
      <c r="XEN114" s="18"/>
      <c r="XEO114" s="18"/>
      <c r="XEP114" s="18"/>
      <c r="XEQ114" s="18"/>
      <c r="XER114" s="18"/>
      <c r="XES114" s="18"/>
      <c r="XET114" s="18"/>
    </row>
    <row r="115" s="16" customFormat="1" spans="1:16374">
      <c r="A115" s="23" t="s">
        <v>11</v>
      </c>
      <c r="B115" s="23" t="str">
        <f t="shared" si="25"/>
        <v>08</v>
      </c>
      <c r="C115" s="23" t="str">
        <f>"14"</f>
        <v>14</v>
      </c>
      <c r="D115" s="23" t="str">
        <f>"20210040814"</f>
        <v>20210040814</v>
      </c>
      <c r="E115" s="23">
        <v>53.4</v>
      </c>
      <c r="F115" s="23">
        <v>80.8</v>
      </c>
      <c r="G115" s="23">
        <f t="shared" si="17"/>
        <v>64.36</v>
      </c>
      <c r="XEF115" s="18"/>
      <c r="XEG115" s="18"/>
      <c r="XEH115" s="18"/>
      <c r="XEI115" s="18"/>
      <c r="XEJ115" s="18"/>
      <c r="XEK115" s="18"/>
      <c r="XEL115" s="18"/>
      <c r="XEM115" s="18"/>
      <c r="XEN115" s="18"/>
      <c r="XEO115" s="18"/>
      <c r="XEP115" s="18"/>
      <c r="XEQ115" s="18"/>
      <c r="XER115" s="18"/>
      <c r="XES115" s="18"/>
      <c r="XET115" s="18"/>
    </row>
    <row r="116" s="16" customFormat="1" spans="1:16374">
      <c r="A116" s="23" t="s">
        <v>11</v>
      </c>
      <c r="B116" s="23" t="str">
        <f>"07"</f>
        <v>07</v>
      </c>
      <c r="C116" s="23" t="str">
        <f>"30"</f>
        <v>30</v>
      </c>
      <c r="D116" s="23" t="str">
        <f>"20210040730"</f>
        <v>20210040730</v>
      </c>
      <c r="E116" s="23">
        <v>52.3</v>
      </c>
      <c r="F116" s="23">
        <v>69</v>
      </c>
      <c r="G116" s="23">
        <f t="shared" si="17"/>
        <v>58.98</v>
      </c>
      <c r="XEF116" s="18"/>
      <c r="XEG116" s="18"/>
      <c r="XEH116" s="18"/>
      <c r="XEI116" s="18"/>
      <c r="XEJ116" s="18"/>
      <c r="XEK116" s="18"/>
      <c r="XEL116" s="18"/>
      <c r="XEM116" s="18"/>
      <c r="XEN116" s="18"/>
      <c r="XEO116" s="18"/>
      <c r="XEP116" s="18"/>
      <c r="XEQ116" s="18"/>
      <c r="XER116" s="18"/>
      <c r="XES116" s="18"/>
      <c r="XET116" s="18"/>
    </row>
    <row r="117" s="16" customFormat="1" spans="1:7">
      <c r="A117" s="23" t="s">
        <v>12</v>
      </c>
      <c r="B117" s="23" t="str">
        <f>"10"</f>
        <v>10</v>
      </c>
      <c r="C117" s="23" t="str">
        <f>"17"</f>
        <v>17</v>
      </c>
      <c r="D117" s="23" t="str">
        <f>"20210051017"</f>
        <v>20210051017</v>
      </c>
      <c r="E117" s="23">
        <v>78.6</v>
      </c>
      <c r="F117" s="23">
        <v>74.4</v>
      </c>
      <c r="G117" s="23">
        <f t="shared" si="17"/>
        <v>76.92</v>
      </c>
    </row>
    <row r="118" s="16" customFormat="1" spans="1:7">
      <c r="A118" s="23" t="s">
        <v>12</v>
      </c>
      <c r="B118" s="23" t="str">
        <f t="shared" ref="B118:B121" si="26">"12"</f>
        <v>12</v>
      </c>
      <c r="C118" s="23" t="str">
        <f>"07"</f>
        <v>07</v>
      </c>
      <c r="D118" s="23" t="str">
        <f>"20210051207"</f>
        <v>20210051207</v>
      </c>
      <c r="E118" s="23">
        <v>77</v>
      </c>
      <c r="F118" s="23">
        <v>67.6</v>
      </c>
      <c r="G118" s="23">
        <f t="shared" si="17"/>
        <v>73.24</v>
      </c>
    </row>
    <row r="119" s="16" customFormat="1" spans="1:7">
      <c r="A119" s="23" t="s">
        <v>12</v>
      </c>
      <c r="B119" s="23" t="str">
        <f>"11"</f>
        <v>11</v>
      </c>
      <c r="C119" s="23" t="str">
        <f>"07"</f>
        <v>07</v>
      </c>
      <c r="D119" s="23" t="str">
        <f>"20210051107"</f>
        <v>20210051107</v>
      </c>
      <c r="E119" s="23">
        <v>74.05</v>
      </c>
      <c r="F119" s="23">
        <v>74.8</v>
      </c>
      <c r="G119" s="23">
        <f t="shared" si="17"/>
        <v>74.35</v>
      </c>
    </row>
    <row r="120" s="16" customFormat="1" spans="1:7">
      <c r="A120" s="23" t="s">
        <v>12</v>
      </c>
      <c r="B120" s="23" t="str">
        <f t="shared" si="26"/>
        <v>12</v>
      </c>
      <c r="C120" s="23" t="str">
        <f>"04"</f>
        <v>04</v>
      </c>
      <c r="D120" s="23" t="str">
        <f>"20210051204"</f>
        <v>20210051204</v>
      </c>
      <c r="E120" s="23">
        <v>72.95</v>
      </c>
      <c r="F120" s="23">
        <v>0</v>
      </c>
      <c r="G120" s="23">
        <f t="shared" si="17"/>
        <v>43.77</v>
      </c>
    </row>
    <row r="121" s="16" customFormat="1" spans="1:7">
      <c r="A121" s="23" t="s">
        <v>12</v>
      </c>
      <c r="B121" s="23" t="str">
        <f t="shared" si="26"/>
        <v>12</v>
      </c>
      <c r="C121" s="23" t="str">
        <f>"05"</f>
        <v>05</v>
      </c>
      <c r="D121" s="23" t="str">
        <f>"20210051205"</f>
        <v>20210051205</v>
      </c>
      <c r="E121" s="23">
        <v>72.1</v>
      </c>
      <c r="F121" s="23">
        <v>78</v>
      </c>
      <c r="G121" s="23">
        <f t="shared" si="17"/>
        <v>74.46</v>
      </c>
    </row>
    <row r="122" s="16" customFormat="1" spans="1:7">
      <c r="A122" s="23" t="s">
        <v>12</v>
      </c>
      <c r="B122" s="23" t="str">
        <f>"10"</f>
        <v>10</v>
      </c>
      <c r="C122" s="23" t="str">
        <f>"12"</f>
        <v>12</v>
      </c>
      <c r="D122" s="23" t="str">
        <f>"20210051012"</f>
        <v>20210051012</v>
      </c>
      <c r="E122" s="23">
        <v>71.7</v>
      </c>
      <c r="F122" s="23">
        <v>87.4</v>
      </c>
      <c r="G122" s="23">
        <f t="shared" si="17"/>
        <v>77.98</v>
      </c>
    </row>
    <row r="123" s="16" customFormat="1" spans="1:7">
      <c r="A123" s="23" t="s">
        <v>12</v>
      </c>
      <c r="B123" s="23" t="str">
        <f t="shared" ref="B123:B127" si="27">"12"</f>
        <v>12</v>
      </c>
      <c r="C123" s="23" t="str">
        <f>"17"</f>
        <v>17</v>
      </c>
      <c r="D123" s="23" t="str">
        <f>"20210051217"</f>
        <v>20210051217</v>
      </c>
      <c r="E123" s="23">
        <v>71.6</v>
      </c>
      <c r="F123" s="23">
        <v>0</v>
      </c>
      <c r="G123" s="23">
        <f t="shared" si="17"/>
        <v>42.96</v>
      </c>
    </row>
    <row r="124" s="16" customFormat="1" spans="1:7">
      <c r="A124" s="23" t="s">
        <v>12</v>
      </c>
      <c r="B124" s="23" t="str">
        <f t="shared" si="27"/>
        <v>12</v>
      </c>
      <c r="C124" s="23" t="str">
        <f>"03"</f>
        <v>03</v>
      </c>
      <c r="D124" s="23" t="str">
        <f>"20210051203"</f>
        <v>20210051203</v>
      </c>
      <c r="E124" s="23">
        <v>71.2</v>
      </c>
      <c r="F124" s="23">
        <v>78.2</v>
      </c>
      <c r="G124" s="23">
        <f t="shared" si="17"/>
        <v>74</v>
      </c>
    </row>
    <row r="125" s="16" customFormat="1" spans="1:7">
      <c r="A125" s="23" t="s">
        <v>12</v>
      </c>
      <c r="B125" s="23" t="str">
        <f>"11"</f>
        <v>11</v>
      </c>
      <c r="C125" s="23" t="str">
        <f>"01"</f>
        <v>01</v>
      </c>
      <c r="D125" s="23" t="str">
        <f>"20210051101"</f>
        <v>20210051101</v>
      </c>
      <c r="E125" s="23">
        <v>70.85</v>
      </c>
      <c r="F125" s="23">
        <v>82.8</v>
      </c>
      <c r="G125" s="23">
        <f t="shared" si="17"/>
        <v>75.63</v>
      </c>
    </row>
    <row r="126" s="16" customFormat="1" spans="1:7">
      <c r="A126" s="23" t="s">
        <v>12</v>
      </c>
      <c r="B126" s="23" t="str">
        <f t="shared" si="27"/>
        <v>12</v>
      </c>
      <c r="C126" s="23" t="str">
        <f>"02"</f>
        <v>02</v>
      </c>
      <c r="D126" s="23" t="str">
        <f>"20210051202"</f>
        <v>20210051202</v>
      </c>
      <c r="E126" s="23">
        <v>70.7</v>
      </c>
      <c r="F126" s="23">
        <v>82.8</v>
      </c>
      <c r="G126" s="23">
        <f t="shared" si="17"/>
        <v>75.54</v>
      </c>
    </row>
    <row r="127" s="16" customFormat="1" spans="1:7">
      <c r="A127" s="23" t="s">
        <v>12</v>
      </c>
      <c r="B127" s="23" t="str">
        <f t="shared" si="27"/>
        <v>12</v>
      </c>
      <c r="C127" s="23" t="str">
        <f>"15"</f>
        <v>15</v>
      </c>
      <c r="D127" s="23" t="str">
        <f>"20210051215"</f>
        <v>20210051215</v>
      </c>
      <c r="E127" s="23">
        <v>70.4</v>
      </c>
      <c r="F127" s="23">
        <v>79.8</v>
      </c>
      <c r="G127" s="23">
        <f t="shared" si="17"/>
        <v>74.16</v>
      </c>
    </row>
    <row r="128" s="16" customFormat="1" spans="1:7">
      <c r="A128" s="23" t="s">
        <v>12</v>
      </c>
      <c r="B128" s="23" t="str">
        <f>"11"</f>
        <v>11</v>
      </c>
      <c r="C128" s="23" t="str">
        <f>"20"</f>
        <v>20</v>
      </c>
      <c r="D128" s="23" t="str">
        <f>"20210051120"</f>
        <v>20210051120</v>
      </c>
      <c r="E128" s="23">
        <v>69.85</v>
      </c>
      <c r="F128" s="23">
        <v>80.6</v>
      </c>
      <c r="G128" s="23">
        <f t="shared" si="17"/>
        <v>74.15</v>
      </c>
    </row>
    <row r="129" s="16" customFormat="1" spans="1:7">
      <c r="A129" s="23" t="s">
        <v>12</v>
      </c>
      <c r="B129" s="23" t="str">
        <f>"12"</f>
        <v>12</v>
      </c>
      <c r="C129" s="23" t="str">
        <f>"06"</f>
        <v>06</v>
      </c>
      <c r="D129" s="23" t="str">
        <f>"20210051206"</f>
        <v>20210051206</v>
      </c>
      <c r="E129" s="23">
        <v>69.7</v>
      </c>
      <c r="F129" s="23">
        <v>84.4</v>
      </c>
      <c r="G129" s="23">
        <f t="shared" si="17"/>
        <v>75.58</v>
      </c>
    </row>
    <row r="130" s="16" customFormat="1" spans="1:7">
      <c r="A130" s="23" t="s">
        <v>12</v>
      </c>
      <c r="B130" s="23" t="str">
        <f t="shared" ref="B130:B133" si="28">"10"</f>
        <v>10</v>
      </c>
      <c r="C130" s="23" t="str">
        <f>"13"</f>
        <v>13</v>
      </c>
      <c r="D130" s="23" t="str">
        <f>"20210051013"</f>
        <v>20210051013</v>
      </c>
      <c r="E130" s="23">
        <v>68.7</v>
      </c>
      <c r="F130" s="23">
        <v>82</v>
      </c>
      <c r="G130" s="23">
        <f t="shared" si="17"/>
        <v>74.02</v>
      </c>
    </row>
    <row r="131" s="16" customFormat="1" spans="1:7">
      <c r="A131" s="23" t="s">
        <v>12</v>
      </c>
      <c r="B131" s="23" t="str">
        <f>"11"</f>
        <v>11</v>
      </c>
      <c r="C131" s="23" t="str">
        <f>"04"</f>
        <v>04</v>
      </c>
      <c r="D131" s="23" t="str">
        <f>"20210051104"</f>
        <v>20210051104</v>
      </c>
      <c r="E131" s="23">
        <v>68.7</v>
      </c>
      <c r="F131" s="23">
        <v>80.4</v>
      </c>
      <c r="G131" s="23">
        <f t="shared" ref="G131:G194" si="29">E131*0.6+F131*0.4</f>
        <v>73.38</v>
      </c>
    </row>
    <row r="132" s="16" customFormat="1" spans="1:7">
      <c r="A132" s="23" t="s">
        <v>12</v>
      </c>
      <c r="B132" s="23" t="str">
        <f t="shared" si="28"/>
        <v>10</v>
      </c>
      <c r="C132" s="23" t="str">
        <f>"27"</f>
        <v>27</v>
      </c>
      <c r="D132" s="23" t="str">
        <f>"20210051027"</f>
        <v>20210051027</v>
      </c>
      <c r="E132" s="23">
        <v>68.6</v>
      </c>
      <c r="F132" s="23">
        <v>79.4</v>
      </c>
      <c r="G132" s="23">
        <f t="shared" si="29"/>
        <v>72.92</v>
      </c>
    </row>
    <row r="133" s="16" customFormat="1" spans="1:7">
      <c r="A133" s="23" t="s">
        <v>12</v>
      </c>
      <c r="B133" s="23" t="str">
        <f t="shared" si="28"/>
        <v>10</v>
      </c>
      <c r="C133" s="23" t="str">
        <f>"18"</f>
        <v>18</v>
      </c>
      <c r="D133" s="23" t="str">
        <f>"20210051018"</f>
        <v>20210051018</v>
      </c>
      <c r="E133" s="23">
        <v>68.3</v>
      </c>
      <c r="F133" s="23">
        <v>79.4</v>
      </c>
      <c r="G133" s="23">
        <f t="shared" si="29"/>
        <v>72.74</v>
      </c>
    </row>
    <row r="134" s="16" customFormat="1" spans="1:7">
      <c r="A134" s="23" t="s">
        <v>12</v>
      </c>
      <c r="B134" s="23" t="str">
        <f t="shared" ref="B134:B138" si="30">"12"</f>
        <v>12</v>
      </c>
      <c r="C134" s="23" t="str">
        <f>"01"</f>
        <v>01</v>
      </c>
      <c r="D134" s="23" t="str">
        <f>"20210051201"</f>
        <v>20210051201</v>
      </c>
      <c r="E134" s="23">
        <v>67.9</v>
      </c>
      <c r="F134" s="23">
        <v>67.6</v>
      </c>
      <c r="G134" s="23">
        <f t="shared" si="29"/>
        <v>67.78</v>
      </c>
    </row>
    <row r="135" s="16" customFormat="1" spans="1:7">
      <c r="A135" s="23" t="s">
        <v>12</v>
      </c>
      <c r="B135" s="23" t="str">
        <f t="shared" si="30"/>
        <v>12</v>
      </c>
      <c r="C135" s="23" t="str">
        <f>"14"</f>
        <v>14</v>
      </c>
      <c r="D135" s="23" t="str">
        <f>"20210051214"</f>
        <v>20210051214</v>
      </c>
      <c r="E135" s="23">
        <v>67.5</v>
      </c>
      <c r="F135" s="23">
        <v>76.4</v>
      </c>
      <c r="G135" s="23">
        <f t="shared" si="29"/>
        <v>71.06</v>
      </c>
    </row>
    <row r="136" s="16" customFormat="1" spans="1:7">
      <c r="A136" s="23" t="s">
        <v>12</v>
      </c>
      <c r="B136" s="23" t="str">
        <f t="shared" ref="B136:B141" si="31">"11"</f>
        <v>11</v>
      </c>
      <c r="C136" s="23" t="str">
        <f>"28"</f>
        <v>28</v>
      </c>
      <c r="D136" s="23" t="str">
        <f>"20210051128"</f>
        <v>20210051128</v>
      </c>
      <c r="E136" s="23">
        <v>66.7</v>
      </c>
      <c r="F136" s="23">
        <v>83.8</v>
      </c>
      <c r="G136" s="23">
        <f t="shared" si="29"/>
        <v>73.54</v>
      </c>
    </row>
    <row r="137" s="16" customFormat="1" spans="1:7">
      <c r="A137" s="23" t="s">
        <v>12</v>
      </c>
      <c r="B137" s="23" t="str">
        <f t="shared" ref="B137:B142" si="32">"10"</f>
        <v>10</v>
      </c>
      <c r="C137" s="23" t="str">
        <f>"24"</f>
        <v>24</v>
      </c>
      <c r="D137" s="23" t="str">
        <f>"20210051024"</f>
        <v>20210051024</v>
      </c>
      <c r="E137" s="23">
        <v>66.2</v>
      </c>
      <c r="F137" s="23">
        <v>76</v>
      </c>
      <c r="G137" s="23">
        <f t="shared" si="29"/>
        <v>70.12</v>
      </c>
    </row>
    <row r="138" s="16" customFormat="1" spans="1:7">
      <c r="A138" s="23" t="s">
        <v>12</v>
      </c>
      <c r="B138" s="23" t="str">
        <f t="shared" si="30"/>
        <v>12</v>
      </c>
      <c r="C138" s="23" t="str">
        <f>"18"</f>
        <v>18</v>
      </c>
      <c r="D138" s="23" t="str">
        <f>"20210051218"</f>
        <v>20210051218</v>
      </c>
      <c r="E138" s="23">
        <v>65.3</v>
      </c>
      <c r="F138" s="23">
        <v>64.2</v>
      </c>
      <c r="G138" s="23">
        <f t="shared" si="29"/>
        <v>64.86</v>
      </c>
    </row>
    <row r="139" s="16" customFormat="1" spans="1:7">
      <c r="A139" s="23" t="s">
        <v>12</v>
      </c>
      <c r="B139" s="23" t="str">
        <f t="shared" si="31"/>
        <v>11</v>
      </c>
      <c r="C139" s="23" t="str">
        <f>"12"</f>
        <v>12</v>
      </c>
      <c r="D139" s="23" t="str">
        <f>"20210051112"</f>
        <v>20210051112</v>
      </c>
      <c r="E139" s="23">
        <v>64.45</v>
      </c>
      <c r="F139" s="23">
        <v>0</v>
      </c>
      <c r="G139" s="23">
        <f t="shared" si="29"/>
        <v>38.67</v>
      </c>
    </row>
    <row r="140" s="16" customFormat="1" spans="1:7">
      <c r="A140" s="23" t="s">
        <v>12</v>
      </c>
      <c r="B140" s="23" t="str">
        <f t="shared" si="32"/>
        <v>10</v>
      </c>
      <c r="C140" s="23" t="str">
        <f>"30"</f>
        <v>30</v>
      </c>
      <c r="D140" s="23" t="str">
        <f>"20210051030"</f>
        <v>20210051030</v>
      </c>
      <c r="E140" s="23">
        <v>64.3</v>
      </c>
      <c r="F140" s="23">
        <v>72</v>
      </c>
      <c r="G140" s="23">
        <f t="shared" si="29"/>
        <v>67.38</v>
      </c>
    </row>
    <row r="141" s="16" customFormat="1" spans="1:7">
      <c r="A141" s="23" t="s">
        <v>12</v>
      </c>
      <c r="B141" s="23" t="str">
        <f t="shared" si="31"/>
        <v>11</v>
      </c>
      <c r="C141" s="23" t="str">
        <f>"17"</f>
        <v>17</v>
      </c>
      <c r="D141" s="23" t="str">
        <f>"20210051117"</f>
        <v>20210051117</v>
      </c>
      <c r="E141" s="23">
        <v>63.8</v>
      </c>
      <c r="F141" s="23">
        <v>73</v>
      </c>
      <c r="G141" s="23">
        <f t="shared" si="29"/>
        <v>67.48</v>
      </c>
    </row>
    <row r="142" s="16" customFormat="1" spans="1:7">
      <c r="A142" s="23" t="s">
        <v>12</v>
      </c>
      <c r="B142" s="23" t="str">
        <f t="shared" si="32"/>
        <v>10</v>
      </c>
      <c r="C142" s="23" t="str">
        <f>"21"</f>
        <v>21</v>
      </c>
      <c r="D142" s="23" t="str">
        <f>"20210051021"</f>
        <v>20210051021</v>
      </c>
      <c r="E142" s="23">
        <v>63.6</v>
      </c>
      <c r="F142" s="23">
        <v>68.8</v>
      </c>
      <c r="G142" s="23">
        <f t="shared" si="29"/>
        <v>65.68</v>
      </c>
    </row>
    <row r="143" s="16" customFormat="1" spans="1:7">
      <c r="A143" s="23" t="s">
        <v>12</v>
      </c>
      <c r="B143" s="23" t="str">
        <f t="shared" ref="B143:B148" si="33">"11"</f>
        <v>11</v>
      </c>
      <c r="C143" s="23" t="str">
        <f>"06"</f>
        <v>06</v>
      </c>
      <c r="D143" s="23" t="str">
        <f>"20210051106"</f>
        <v>20210051106</v>
      </c>
      <c r="E143" s="23">
        <v>62.8</v>
      </c>
      <c r="F143" s="23">
        <v>73</v>
      </c>
      <c r="G143" s="23">
        <f t="shared" si="29"/>
        <v>66.88</v>
      </c>
    </row>
    <row r="144" s="16" customFormat="1" spans="1:7">
      <c r="A144" s="23" t="s">
        <v>12</v>
      </c>
      <c r="B144" s="23" t="str">
        <f t="shared" si="33"/>
        <v>11</v>
      </c>
      <c r="C144" s="23" t="str">
        <f>"30"</f>
        <v>30</v>
      </c>
      <c r="D144" s="23" t="str">
        <f>"20210051130"</f>
        <v>20210051130</v>
      </c>
      <c r="E144" s="23">
        <v>62.4</v>
      </c>
      <c r="F144" s="23">
        <v>69.6</v>
      </c>
      <c r="G144" s="23">
        <f t="shared" si="29"/>
        <v>65.28</v>
      </c>
    </row>
    <row r="145" s="16" customFormat="1" spans="1:7">
      <c r="A145" s="23" t="s">
        <v>12</v>
      </c>
      <c r="B145" s="23" t="str">
        <f>"10"</f>
        <v>10</v>
      </c>
      <c r="C145" s="23" t="str">
        <f>"14"</f>
        <v>14</v>
      </c>
      <c r="D145" s="23" t="str">
        <f>"20210051014"</f>
        <v>20210051014</v>
      </c>
      <c r="E145" s="23">
        <v>62.1</v>
      </c>
      <c r="F145" s="23">
        <v>87.2</v>
      </c>
      <c r="G145" s="23">
        <f t="shared" si="29"/>
        <v>72.14</v>
      </c>
    </row>
    <row r="146" s="16" customFormat="1" spans="1:7">
      <c r="A146" s="23" t="s">
        <v>12</v>
      </c>
      <c r="B146" s="23" t="str">
        <f>"10"</f>
        <v>10</v>
      </c>
      <c r="C146" s="23" t="str">
        <f>"09"</f>
        <v>09</v>
      </c>
      <c r="D146" s="23" t="str">
        <f>"20210051009"</f>
        <v>20210051009</v>
      </c>
      <c r="E146" s="23">
        <v>60.7</v>
      </c>
      <c r="F146" s="23">
        <v>69.4</v>
      </c>
      <c r="G146" s="23">
        <f t="shared" si="29"/>
        <v>64.18</v>
      </c>
    </row>
    <row r="147" s="16" customFormat="1" spans="1:7">
      <c r="A147" s="23" t="s">
        <v>12</v>
      </c>
      <c r="B147" s="23" t="str">
        <f>"12"</f>
        <v>12</v>
      </c>
      <c r="C147" s="23" t="str">
        <f>"19"</f>
        <v>19</v>
      </c>
      <c r="D147" s="23" t="str">
        <f>"20210051219"</f>
        <v>20210051219</v>
      </c>
      <c r="E147" s="23">
        <v>59.45</v>
      </c>
      <c r="F147" s="23">
        <v>81</v>
      </c>
      <c r="G147" s="23">
        <f t="shared" si="29"/>
        <v>68.07</v>
      </c>
    </row>
    <row r="148" s="16" customFormat="1" spans="1:16374">
      <c r="A148" s="23" t="s">
        <v>12</v>
      </c>
      <c r="B148" s="23" t="str">
        <f t="shared" si="33"/>
        <v>11</v>
      </c>
      <c r="C148" s="23" t="str">
        <f>"02"</f>
        <v>02</v>
      </c>
      <c r="D148" s="23" t="str">
        <f>"20210051102"</f>
        <v>20210051102</v>
      </c>
      <c r="E148" s="23">
        <v>59.3</v>
      </c>
      <c r="F148" s="23">
        <v>78.2</v>
      </c>
      <c r="G148" s="23">
        <f t="shared" si="29"/>
        <v>66.86</v>
      </c>
      <c r="XEF148" s="18"/>
      <c r="XEG148" s="18"/>
      <c r="XEH148" s="18"/>
      <c r="XEI148" s="18"/>
      <c r="XEJ148" s="18"/>
      <c r="XEK148" s="18"/>
      <c r="XEL148" s="18"/>
      <c r="XEM148" s="18"/>
      <c r="XEN148" s="18"/>
      <c r="XEO148" s="18"/>
      <c r="XEP148" s="18"/>
      <c r="XEQ148" s="18"/>
      <c r="XER148" s="18"/>
      <c r="XES148" s="18"/>
      <c r="XET148" s="18"/>
    </row>
    <row r="149" s="16" customFormat="1" spans="1:7">
      <c r="A149" s="23" t="s">
        <v>13</v>
      </c>
      <c r="B149" s="23" t="str">
        <f t="shared" ref="B149:B152" si="34">"14"</f>
        <v>14</v>
      </c>
      <c r="C149" s="23" t="str">
        <f>"11"</f>
        <v>11</v>
      </c>
      <c r="D149" s="23" t="str">
        <f>"20210061411"</f>
        <v>20210061411</v>
      </c>
      <c r="E149" s="23">
        <v>80</v>
      </c>
      <c r="F149" s="23">
        <v>75.1</v>
      </c>
      <c r="G149" s="23">
        <f t="shared" si="29"/>
        <v>78.04</v>
      </c>
    </row>
    <row r="150" s="16" customFormat="1" spans="1:7">
      <c r="A150" s="23" t="s">
        <v>13</v>
      </c>
      <c r="B150" s="23" t="str">
        <f>"13"</f>
        <v>13</v>
      </c>
      <c r="C150" s="23" t="str">
        <f>"17"</f>
        <v>17</v>
      </c>
      <c r="D150" s="23" t="str">
        <f>"20210061317"</f>
        <v>20210061317</v>
      </c>
      <c r="E150" s="23">
        <v>79.65</v>
      </c>
      <c r="F150" s="23">
        <v>85.2</v>
      </c>
      <c r="G150" s="23">
        <f t="shared" si="29"/>
        <v>81.87</v>
      </c>
    </row>
    <row r="151" s="16" customFormat="1" spans="1:7">
      <c r="A151" s="23" t="s">
        <v>13</v>
      </c>
      <c r="B151" s="23" t="str">
        <f t="shared" si="34"/>
        <v>14</v>
      </c>
      <c r="C151" s="23" t="str">
        <f>"08"</f>
        <v>08</v>
      </c>
      <c r="D151" s="23" t="str">
        <f>"20210061408"</f>
        <v>20210061408</v>
      </c>
      <c r="E151" s="23">
        <v>78.8</v>
      </c>
      <c r="F151" s="23">
        <v>71.8</v>
      </c>
      <c r="G151" s="23">
        <f t="shared" si="29"/>
        <v>76</v>
      </c>
    </row>
    <row r="152" s="16" customFormat="1" spans="1:7">
      <c r="A152" s="23" t="s">
        <v>13</v>
      </c>
      <c r="B152" s="23" t="str">
        <f t="shared" si="34"/>
        <v>14</v>
      </c>
      <c r="C152" s="23" t="str">
        <f>"16"</f>
        <v>16</v>
      </c>
      <c r="D152" s="23" t="str">
        <f>"20210061416"</f>
        <v>20210061416</v>
      </c>
      <c r="E152" s="23">
        <v>77.9</v>
      </c>
      <c r="F152" s="23">
        <v>83.2</v>
      </c>
      <c r="G152" s="23">
        <f t="shared" si="29"/>
        <v>80.02</v>
      </c>
    </row>
    <row r="153" s="16" customFormat="1" spans="1:7">
      <c r="A153" s="23" t="s">
        <v>13</v>
      </c>
      <c r="B153" s="23" t="str">
        <f>"15"</f>
        <v>15</v>
      </c>
      <c r="C153" s="23" t="str">
        <f>"01"</f>
        <v>01</v>
      </c>
      <c r="D153" s="23" t="str">
        <f>"20210061501"</f>
        <v>20210061501</v>
      </c>
      <c r="E153" s="23">
        <v>77.5</v>
      </c>
      <c r="F153" s="23">
        <v>86.7</v>
      </c>
      <c r="G153" s="23">
        <f t="shared" si="29"/>
        <v>81.18</v>
      </c>
    </row>
    <row r="154" s="16" customFormat="1" spans="1:7">
      <c r="A154" s="23" t="s">
        <v>13</v>
      </c>
      <c r="B154" s="23" t="str">
        <f t="shared" ref="B154:B159" si="35">"14"</f>
        <v>14</v>
      </c>
      <c r="C154" s="23" t="str">
        <f>"18"</f>
        <v>18</v>
      </c>
      <c r="D154" s="23" t="str">
        <f>"20210061418"</f>
        <v>20210061418</v>
      </c>
      <c r="E154" s="23">
        <v>76.7</v>
      </c>
      <c r="F154" s="23">
        <v>85.7</v>
      </c>
      <c r="G154" s="23">
        <f t="shared" si="29"/>
        <v>80.3</v>
      </c>
    </row>
    <row r="155" s="16" customFormat="1" spans="1:7">
      <c r="A155" s="23" t="s">
        <v>13</v>
      </c>
      <c r="B155" s="23" t="str">
        <f>"13"</f>
        <v>13</v>
      </c>
      <c r="C155" s="23" t="str">
        <f>"02"</f>
        <v>02</v>
      </c>
      <c r="D155" s="23" t="str">
        <f>"20210061302"</f>
        <v>20210061302</v>
      </c>
      <c r="E155" s="23">
        <v>75.7</v>
      </c>
      <c r="F155" s="23">
        <v>81</v>
      </c>
      <c r="G155" s="23">
        <f t="shared" si="29"/>
        <v>77.82</v>
      </c>
    </row>
    <row r="156" s="16" customFormat="1" spans="1:7">
      <c r="A156" s="23" t="s">
        <v>13</v>
      </c>
      <c r="B156" s="23" t="str">
        <f>"12"</f>
        <v>12</v>
      </c>
      <c r="C156" s="23" t="str">
        <f>"24"</f>
        <v>24</v>
      </c>
      <c r="D156" s="23" t="str">
        <f>"20210061224"</f>
        <v>20210061224</v>
      </c>
      <c r="E156" s="23">
        <v>74.8</v>
      </c>
      <c r="F156" s="23">
        <v>0</v>
      </c>
      <c r="G156" s="23">
        <f t="shared" si="29"/>
        <v>44.88</v>
      </c>
    </row>
    <row r="157" s="16" customFormat="1" spans="1:7">
      <c r="A157" s="23" t="s">
        <v>13</v>
      </c>
      <c r="B157" s="23" t="str">
        <f t="shared" si="35"/>
        <v>14</v>
      </c>
      <c r="C157" s="23" t="str">
        <f>"17"</f>
        <v>17</v>
      </c>
      <c r="D157" s="23" t="str">
        <f>"20210061417"</f>
        <v>20210061417</v>
      </c>
      <c r="E157" s="23">
        <v>74.7</v>
      </c>
      <c r="F157" s="23">
        <v>75.9</v>
      </c>
      <c r="G157" s="23">
        <f t="shared" si="29"/>
        <v>75.18</v>
      </c>
    </row>
    <row r="158" s="16" customFormat="1" spans="1:7">
      <c r="A158" s="23" t="s">
        <v>13</v>
      </c>
      <c r="B158" s="23" t="str">
        <f>"12"</f>
        <v>12</v>
      </c>
      <c r="C158" s="23" t="str">
        <f>"21"</f>
        <v>21</v>
      </c>
      <c r="D158" s="23" t="str">
        <f>"20210061221"</f>
        <v>20210061221</v>
      </c>
      <c r="E158" s="23">
        <v>73.8</v>
      </c>
      <c r="F158" s="23">
        <v>76.5</v>
      </c>
      <c r="G158" s="23">
        <f t="shared" si="29"/>
        <v>74.88</v>
      </c>
    </row>
    <row r="159" s="16" customFormat="1" spans="1:7">
      <c r="A159" s="23" t="s">
        <v>13</v>
      </c>
      <c r="B159" s="23" t="str">
        <f t="shared" si="35"/>
        <v>14</v>
      </c>
      <c r="C159" s="23" t="str">
        <f>"14"</f>
        <v>14</v>
      </c>
      <c r="D159" s="23" t="str">
        <f>"20210061414"</f>
        <v>20210061414</v>
      </c>
      <c r="E159" s="23">
        <v>73.8</v>
      </c>
      <c r="F159" s="23">
        <v>82</v>
      </c>
      <c r="G159" s="23">
        <f t="shared" si="29"/>
        <v>77.08</v>
      </c>
    </row>
    <row r="160" s="16" customFormat="1" spans="1:7">
      <c r="A160" s="23" t="s">
        <v>13</v>
      </c>
      <c r="B160" s="23" t="str">
        <f t="shared" ref="B160:B164" si="36">"13"</f>
        <v>13</v>
      </c>
      <c r="C160" s="23" t="str">
        <f>"20"</f>
        <v>20</v>
      </c>
      <c r="D160" s="23" t="str">
        <f>"20210061320"</f>
        <v>20210061320</v>
      </c>
      <c r="E160" s="23">
        <v>73</v>
      </c>
      <c r="F160" s="23">
        <v>67.8</v>
      </c>
      <c r="G160" s="23">
        <f t="shared" si="29"/>
        <v>70.92</v>
      </c>
    </row>
    <row r="161" s="16" customFormat="1" spans="1:7">
      <c r="A161" s="23" t="s">
        <v>13</v>
      </c>
      <c r="B161" s="23" t="str">
        <f t="shared" ref="B161:B166" si="37">"14"</f>
        <v>14</v>
      </c>
      <c r="C161" s="23" t="str">
        <f>"09"</f>
        <v>09</v>
      </c>
      <c r="D161" s="23" t="str">
        <f>"20210061409"</f>
        <v>20210061409</v>
      </c>
      <c r="E161" s="23">
        <v>71.9</v>
      </c>
      <c r="F161" s="23">
        <v>82.3</v>
      </c>
      <c r="G161" s="23">
        <f t="shared" si="29"/>
        <v>76.06</v>
      </c>
    </row>
    <row r="162" s="16" customFormat="1" spans="1:7">
      <c r="A162" s="23" t="s">
        <v>13</v>
      </c>
      <c r="B162" s="23" t="str">
        <f t="shared" si="37"/>
        <v>14</v>
      </c>
      <c r="C162" s="23" t="str">
        <f>"26"</f>
        <v>26</v>
      </c>
      <c r="D162" s="23" t="str">
        <f>"20210061426"</f>
        <v>20210061426</v>
      </c>
      <c r="E162" s="23">
        <v>71.7</v>
      </c>
      <c r="F162" s="23">
        <v>72.7</v>
      </c>
      <c r="G162" s="23">
        <f t="shared" si="29"/>
        <v>72.1</v>
      </c>
    </row>
    <row r="163" s="16" customFormat="1" spans="1:7">
      <c r="A163" s="23" t="s">
        <v>13</v>
      </c>
      <c r="B163" s="23" t="str">
        <f t="shared" si="36"/>
        <v>13</v>
      </c>
      <c r="C163" s="23" t="str">
        <f>"25"</f>
        <v>25</v>
      </c>
      <c r="D163" s="23" t="str">
        <f>"20210061325"</f>
        <v>20210061325</v>
      </c>
      <c r="E163" s="23">
        <v>71.15</v>
      </c>
      <c r="F163" s="23">
        <v>80.6</v>
      </c>
      <c r="G163" s="23">
        <f t="shared" si="29"/>
        <v>74.93</v>
      </c>
    </row>
    <row r="164" s="16" customFormat="1" spans="1:7">
      <c r="A164" s="23" t="s">
        <v>13</v>
      </c>
      <c r="B164" s="23" t="str">
        <f t="shared" si="36"/>
        <v>13</v>
      </c>
      <c r="C164" s="23" t="str">
        <f>"09"</f>
        <v>09</v>
      </c>
      <c r="D164" s="23" t="str">
        <f>"20210061309"</f>
        <v>20210061309</v>
      </c>
      <c r="E164" s="23">
        <v>71.1</v>
      </c>
      <c r="F164" s="23">
        <v>85.6</v>
      </c>
      <c r="G164" s="23">
        <f t="shared" si="29"/>
        <v>76.9</v>
      </c>
    </row>
    <row r="165" s="16" customFormat="1" spans="1:7">
      <c r="A165" s="23" t="s">
        <v>13</v>
      </c>
      <c r="B165" s="23" t="str">
        <f t="shared" si="37"/>
        <v>14</v>
      </c>
      <c r="C165" s="23" t="str">
        <f>"02"</f>
        <v>02</v>
      </c>
      <c r="D165" s="23" t="str">
        <f>"20210061402"</f>
        <v>20210061402</v>
      </c>
      <c r="E165" s="23">
        <v>70.9</v>
      </c>
      <c r="F165" s="23">
        <v>78.5</v>
      </c>
      <c r="G165" s="23">
        <f t="shared" si="29"/>
        <v>73.94</v>
      </c>
    </row>
    <row r="166" s="16" customFormat="1" spans="1:7">
      <c r="A166" s="23" t="s">
        <v>13</v>
      </c>
      <c r="B166" s="23" t="str">
        <f t="shared" si="37"/>
        <v>14</v>
      </c>
      <c r="C166" s="23" t="str">
        <f>"07"</f>
        <v>07</v>
      </c>
      <c r="D166" s="23" t="str">
        <f>"20210061407"</f>
        <v>20210061407</v>
      </c>
      <c r="E166" s="23">
        <v>70.8</v>
      </c>
      <c r="F166" s="23">
        <v>82.8</v>
      </c>
      <c r="G166" s="23">
        <f t="shared" si="29"/>
        <v>75.6</v>
      </c>
    </row>
    <row r="167" s="16" customFormat="1" spans="1:7">
      <c r="A167" s="23" t="s">
        <v>13</v>
      </c>
      <c r="B167" s="23" t="str">
        <f t="shared" ref="B167:B169" si="38">"13"</f>
        <v>13</v>
      </c>
      <c r="C167" s="23" t="str">
        <f>"04"</f>
        <v>04</v>
      </c>
      <c r="D167" s="23" t="str">
        <f>"20210061304"</f>
        <v>20210061304</v>
      </c>
      <c r="E167" s="23">
        <v>68.85</v>
      </c>
      <c r="F167" s="23">
        <v>72.4</v>
      </c>
      <c r="G167" s="23">
        <f t="shared" si="29"/>
        <v>70.27</v>
      </c>
    </row>
    <row r="168" s="16" customFormat="1" spans="1:7">
      <c r="A168" s="23" t="s">
        <v>13</v>
      </c>
      <c r="B168" s="23" t="str">
        <f t="shared" si="38"/>
        <v>13</v>
      </c>
      <c r="C168" s="23" t="str">
        <f>"16"</f>
        <v>16</v>
      </c>
      <c r="D168" s="23" t="str">
        <f>"20210061316"</f>
        <v>20210061316</v>
      </c>
      <c r="E168" s="23">
        <v>68.7</v>
      </c>
      <c r="F168" s="23">
        <v>76</v>
      </c>
      <c r="G168" s="23">
        <f t="shared" si="29"/>
        <v>71.62</v>
      </c>
    </row>
    <row r="169" s="16" customFormat="1" spans="1:7">
      <c r="A169" s="23" t="s">
        <v>13</v>
      </c>
      <c r="B169" s="23" t="str">
        <f t="shared" si="38"/>
        <v>13</v>
      </c>
      <c r="C169" s="23" t="str">
        <f>"15"</f>
        <v>15</v>
      </c>
      <c r="D169" s="23" t="str">
        <f>"20210061315"</f>
        <v>20210061315</v>
      </c>
      <c r="E169" s="23">
        <v>67.9</v>
      </c>
      <c r="F169" s="23">
        <v>73.2</v>
      </c>
      <c r="G169" s="23">
        <f t="shared" si="29"/>
        <v>70.02</v>
      </c>
    </row>
    <row r="170" s="16" customFormat="1" spans="1:7">
      <c r="A170" s="23" t="s">
        <v>13</v>
      </c>
      <c r="B170" s="23" t="str">
        <f>"12"</f>
        <v>12</v>
      </c>
      <c r="C170" s="23" t="str">
        <f>"23"</f>
        <v>23</v>
      </c>
      <c r="D170" s="23" t="str">
        <f>"20210061223"</f>
        <v>20210061223</v>
      </c>
      <c r="E170" s="23">
        <v>67.9</v>
      </c>
      <c r="F170" s="23">
        <v>74.9</v>
      </c>
      <c r="G170" s="23">
        <f t="shared" si="29"/>
        <v>70.7</v>
      </c>
    </row>
    <row r="171" s="16" customFormat="1" spans="1:7">
      <c r="A171" s="23" t="s">
        <v>13</v>
      </c>
      <c r="B171" s="23" t="str">
        <f>"12"</f>
        <v>12</v>
      </c>
      <c r="C171" s="23" t="str">
        <f>"25"</f>
        <v>25</v>
      </c>
      <c r="D171" s="23" t="str">
        <f>"20210061225"</f>
        <v>20210061225</v>
      </c>
      <c r="E171" s="23">
        <v>67</v>
      </c>
      <c r="F171" s="23">
        <v>77.9</v>
      </c>
      <c r="G171" s="23">
        <f t="shared" si="29"/>
        <v>71.36</v>
      </c>
    </row>
    <row r="172" s="16" customFormat="1" spans="1:7">
      <c r="A172" s="23" t="s">
        <v>13</v>
      </c>
      <c r="B172" s="23" t="str">
        <f t="shared" ref="B172:B175" si="39">"14"</f>
        <v>14</v>
      </c>
      <c r="C172" s="23" t="str">
        <f>"19"</f>
        <v>19</v>
      </c>
      <c r="D172" s="23" t="str">
        <f>"20210061419"</f>
        <v>20210061419</v>
      </c>
      <c r="E172" s="23">
        <v>66.4</v>
      </c>
      <c r="F172" s="23">
        <v>75.2</v>
      </c>
      <c r="G172" s="23">
        <f t="shared" si="29"/>
        <v>69.92</v>
      </c>
    </row>
    <row r="173" s="16" customFormat="1" spans="1:7">
      <c r="A173" s="23" t="s">
        <v>13</v>
      </c>
      <c r="B173" s="23" t="str">
        <f t="shared" si="39"/>
        <v>14</v>
      </c>
      <c r="C173" s="23" t="str">
        <f>"28"</f>
        <v>28</v>
      </c>
      <c r="D173" s="23" t="str">
        <f>"20210061428"</f>
        <v>20210061428</v>
      </c>
      <c r="E173" s="23">
        <v>66.4</v>
      </c>
      <c r="F173" s="23">
        <v>65</v>
      </c>
      <c r="G173" s="23">
        <f t="shared" si="29"/>
        <v>65.84</v>
      </c>
    </row>
    <row r="174" s="16" customFormat="1" spans="1:7">
      <c r="A174" s="23" t="s">
        <v>13</v>
      </c>
      <c r="B174" s="23" t="str">
        <f t="shared" si="39"/>
        <v>14</v>
      </c>
      <c r="C174" s="23" t="str">
        <f>"24"</f>
        <v>24</v>
      </c>
      <c r="D174" s="23" t="str">
        <f>"20210061424"</f>
        <v>20210061424</v>
      </c>
      <c r="E174" s="23">
        <v>66.3</v>
      </c>
      <c r="F174" s="23">
        <v>75</v>
      </c>
      <c r="G174" s="23">
        <f t="shared" si="29"/>
        <v>69.78</v>
      </c>
    </row>
    <row r="175" s="16" customFormat="1" spans="1:7">
      <c r="A175" s="23" t="s">
        <v>13</v>
      </c>
      <c r="B175" s="23" t="str">
        <f t="shared" si="39"/>
        <v>14</v>
      </c>
      <c r="C175" s="23" t="str">
        <f>"05"</f>
        <v>05</v>
      </c>
      <c r="D175" s="23" t="str">
        <f>"20210061405"</f>
        <v>20210061405</v>
      </c>
      <c r="E175" s="23">
        <v>65.6</v>
      </c>
      <c r="F175" s="23">
        <v>77.6</v>
      </c>
      <c r="G175" s="23">
        <f t="shared" si="29"/>
        <v>70.4</v>
      </c>
    </row>
    <row r="176" s="16" customFormat="1" spans="1:7">
      <c r="A176" s="23" t="s">
        <v>13</v>
      </c>
      <c r="B176" s="23" t="str">
        <f>"12"</f>
        <v>12</v>
      </c>
      <c r="C176" s="23" t="str">
        <f>"22"</f>
        <v>22</v>
      </c>
      <c r="D176" s="23" t="str">
        <f>"20210061222"</f>
        <v>20210061222</v>
      </c>
      <c r="E176" s="23">
        <v>65.5</v>
      </c>
      <c r="F176" s="23">
        <v>83.4</v>
      </c>
      <c r="G176" s="23">
        <f t="shared" si="29"/>
        <v>72.66</v>
      </c>
    </row>
    <row r="177" s="16" customFormat="1" spans="1:7">
      <c r="A177" s="23" t="s">
        <v>13</v>
      </c>
      <c r="B177" s="23" t="str">
        <f>"14"</f>
        <v>14</v>
      </c>
      <c r="C177" s="23" t="str">
        <f>"23"</f>
        <v>23</v>
      </c>
      <c r="D177" s="23" t="str">
        <f>"20210061423"</f>
        <v>20210061423</v>
      </c>
      <c r="E177" s="23">
        <v>65.05</v>
      </c>
      <c r="F177" s="23">
        <v>70.6</v>
      </c>
      <c r="G177" s="23">
        <f t="shared" si="29"/>
        <v>67.27</v>
      </c>
    </row>
    <row r="178" s="16" customFormat="1" spans="1:7">
      <c r="A178" s="23" t="s">
        <v>13</v>
      </c>
      <c r="B178" s="23" t="str">
        <f>"14"</f>
        <v>14</v>
      </c>
      <c r="C178" s="23" t="str">
        <f>"27"</f>
        <v>27</v>
      </c>
      <c r="D178" s="23" t="str">
        <f>"20210061427"</f>
        <v>20210061427</v>
      </c>
      <c r="E178" s="23">
        <v>65.05</v>
      </c>
      <c r="F178" s="23">
        <v>75</v>
      </c>
      <c r="G178" s="23">
        <f t="shared" si="29"/>
        <v>69.03</v>
      </c>
    </row>
    <row r="179" s="16" customFormat="1" spans="1:7">
      <c r="A179" s="23" t="s">
        <v>13</v>
      </c>
      <c r="B179" s="23" t="str">
        <f>"13"</f>
        <v>13</v>
      </c>
      <c r="C179" s="23" t="str">
        <f>"07"</f>
        <v>07</v>
      </c>
      <c r="D179" s="23" t="str">
        <f>"20210061307"</f>
        <v>20210061307</v>
      </c>
      <c r="E179" s="23">
        <v>64.8</v>
      </c>
      <c r="F179" s="23">
        <v>71.3</v>
      </c>
      <c r="G179" s="23">
        <f t="shared" si="29"/>
        <v>67.4</v>
      </c>
    </row>
    <row r="180" s="16" customFormat="1" spans="1:16374">
      <c r="A180" s="23" t="s">
        <v>13</v>
      </c>
      <c r="B180" s="23" t="str">
        <f>"13"</f>
        <v>13</v>
      </c>
      <c r="C180" s="23" t="str">
        <f>"13"</f>
        <v>13</v>
      </c>
      <c r="D180" s="23" t="str">
        <f>"20210061313"</f>
        <v>20210061313</v>
      </c>
      <c r="E180" s="23">
        <v>62.9</v>
      </c>
      <c r="F180" s="23">
        <v>0</v>
      </c>
      <c r="G180" s="23">
        <f t="shared" si="29"/>
        <v>37.74</v>
      </c>
      <c r="XEF180" s="18"/>
      <c r="XEG180" s="18"/>
      <c r="XEH180" s="18"/>
      <c r="XEI180" s="18"/>
      <c r="XEJ180" s="18"/>
      <c r="XEK180" s="18"/>
      <c r="XEL180" s="18"/>
      <c r="XEM180" s="18"/>
      <c r="XEN180" s="18"/>
      <c r="XEO180" s="18"/>
      <c r="XEP180" s="18"/>
      <c r="XEQ180" s="18"/>
      <c r="XER180" s="18"/>
      <c r="XES180" s="18"/>
      <c r="XET180" s="18"/>
    </row>
    <row r="181" s="16" customFormat="1" spans="1:7">
      <c r="A181" s="23" t="s">
        <v>14</v>
      </c>
      <c r="B181" s="23" t="str">
        <f t="shared" ref="B181:B183" si="40">"15"</f>
        <v>15</v>
      </c>
      <c r="C181" s="23" t="str">
        <f>"29"</f>
        <v>29</v>
      </c>
      <c r="D181" s="23" t="str">
        <f>"20210071529"</f>
        <v>20210071529</v>
      </c>
      <c r="E181" s="23">
        <v>86.6</v>
      </c>
      <c r="F181" s="23">
        <v>89.36</v>
      </c>
      <c r="G181" s="23">
        <f t="shared" si="29"/>
        <v>87.704</v>
      </c>
    </row>
    <row r="182" s="16" customFormat="1" spans="1:7">
      <c r="A182" s="23" t="s">
        <v>14</v>
      </c>
      <c r="B182" s="23" t="str">
        <f t="shared" si="40"/>
        <v>15</v>
      </c>
      <c r="C182" s="23" t="str">
        <f>"25"</f>
        <v>25</v>
      </c>
      <c r="D182" s="23" t="str">
        <f>"20210071525"</f>
        <v>20210071525</v>
      </c>
      <c r="E182" s="23">
        <v>84.4</v>
      </c>
      <c r="F182" s="23">
        <v>72.9</v>
      </c>
      <c r="G182" s="23">
        <f t="shared" si="29"/>
        <v>79.8</v>
      </c>
    </row>
    <row r="183" s="16" customFormat="1" spans="1:7">
      <c r="A183" s="23" t="s">
        <v>14</v>
      </c>
      <c r="B183" s="23" t="str">
        <f t="shared" si="40"/>
        <v>15</v>
      </c>
      <c r="C183" s="23" t="str">
        <f>"22"</f>
        <v>22</v>
      </c>
      <c r="D183" s="23" t="str">
        <f>"20210071522"</f>
        <v>20210071522</v>
      </c>
      <c r="E183" s="23">
        <v>83.8</v>
      </c>
      <c r="F183" s="23">
        <v>0</v>
      </c>
      <c r="G183" s="23">
        <f t="shared" si="29"/>
        <v>50.28</v>
      </c>
    </row>
    <row r="184" s="16" customFormat="1" spans="1:7">
      <c r="A184" s="23" t="s">
        <v>14</v>
      </c>
      <c r="B184" s="23" t="str">
        <f>"16"</f>
        <v>16</v>
      </c>
      <c r="C184" s="23" t="str">
        <f>"11"</f>
        <v>11</v>
      </c>
      <c r="D184" s="23" t="str">
        <f>"20210071611"</f>
        <v>20210071611</v>
      </c>
      <c r="E184" s="23">
        <v>80.4</v>
      </c>
      <c r="F184" s="23">
        <v>78.4</v>
      </c>
      <c r="G184" s="23">
        <f t="shared" si="29"/>
        <v>79.6</v>
      </c>
    </row>
    <row r="185" s="16" customFormat="1" spans="1:7">
      <c r="A185" s="23" t="s">
        <v>14</v>
      </c>
      <c r="B185" s="23" t="str">
        <f t="shared" ref="B185:B189" si="41">"15"</f>
        <v>15</v>
      </c>
      <c r="C185" s="23" t="str">
        <f>"12"</f>
        <v>12</v>
      </c>
      <c r="D185" s="23" t="str">
        <f>"20210071512"</f>
        <v>20210071512</v>
      </c>
      <c r="E185" s="23">
        <v>76.9</v>
      </c>
      <c r="F185" s="23">
        <v>79.8</v>
      </c>
      <c r="G185" s="23">
        <f t="shared" si="29"/>
        <v>78.06</v>
      </c>
    </row>
    <row r="186" s="16" customFormat="1" spans="1:7">
      <c r="A186" s="23" t="s">
        <v>14</v>
      </c>
      <c r="B186" s="23" t="str">
        <f t="shared" ref="B186:B194" si="42">"16"</f>
        <v>16</v>
      </c>
      <c r="C186" s="23" t="str">
        <f>"21"</f>
        <v>21</v>
      </c>
      <c r="D186" s="23" t="str">
        <f>"20210071621"</f>
        <v>20210071621</v>
      </c>
      <c r="E186" s="23">
        <v>76.55</v>
      </c>
      <c r="F186" s="23">
        <v>73.6</v>
      </c>
      <c r="G186" s="23">
        <f t="shared" si="29"/>
        <v>75.37</v>
      </c>
    </row>
    <row r="187" s="16" customFormat="1" spans="1:7">
      <c r="A187" s="23" t="s">
        <v>14</v>
      </c>
      <c r="B187" s="23" t="str">
        <f t="shared" si="41"/>
        <v>15</v>
      </c>
      <c r="C187" s="23" t="str">
        <f>"10"</f>
        <v>10</v>
      </c>
      <c r="D187" s="23" t="str">
        <f>"20210071510"</f>
        <v>20210071510</v>
      </c>
      <c r="E187" s="23">
        <v>75.7</v>
      </c>
      <c r="F187" s="23">
        <v>81.1</v>
      </c>
      <c r="G187" s="23">
        <f t="shared" si="29"/>
        <v>77.86</v>
      </c>
    </row>
    <row r="188" s="16" customFormat="1" spans="1:7">
      <c r="A188" s="23" t="s">
        <v>14</v>
      </c>
      <c r="B188" s="23" t="str">
        <f>"17"</f>
        <v>17</v>
      </c>
      <c r="C188" s="23" t="str">
        <f>"06"</f>
        <v>06</v>
      </c>
      <c r="D188" s="23" t="str">
        <f>"20210071706"</f>
        <v>20210071706</v>
      </c>
      <c r="E188" s="23">
        <v>75.1</v>
      </c>
      <c r="F188" s="23">
        <v>71</v>
      </c>
      <c r="G188" s="23">
        <f t="shared" si="29"/>
        <v>73.46</v>
      </c>
    </row>
    <row r="189" s="16" customFormat="1" spans="1:7">
      <c r="A189" s="23" t="s">
        <v>14</v>
      </c>
      <c r="B189" s="23" t="str">
        <f t="shared" si="41"/>
        <v>15</v>
      </c>
      <c r="C189" s="23" t="str">
        <f>"08"</f>
        <v>08</v>
      </c>
      <c r="D189" s="23" t="str">
        <f>"20210071508"</f>
        <v>20210071508</v>
      </c>
      <c r="E189" s="23">
        <v>74.6</v>
      </c>
      <c r="F189" s="23">
        <v>84.3</v>
      </c>
      <c r="G189" s="23">
        <f t="shared" si="29"/>
        <v>78.48</v>
      </c>
    </row>
    <row r="190" s="16" customFormat="1" spans="1:7">
      <c r="A190" s="23" t="s">
        <v>14</v>
      </c>
      <c r="B190" s="23" t="str">
        <f t="shared" si="42"/>
        <v>16</v>
      </c>
      <c r="C190" s="23" t="str">
        <f>"01"</f>
        <v>01</v>
      </c>
      <c r="D190" s="23" t="str">
        <f>"20210071601"</f>
        <v>20210071601</v>
      </c>
      <c r="E190" s="23">
        <v>74.55</v>
      </c>
      <c r="F190" s="23">
        <v>83.2</v>
      </c>
      <c r="G190" s="23">
        <f t="shared" si="29"/>
        <v>78.01</v>
      </c>
    </row>
    <row r="191" s="16" customFormat="1" spans="1:7">
      <c r="A191" s="23" t="s">
        <v>14</v>
      </c>
      <c r="B191" s="23" t="str">
        <f t="shared" si="42"/>
        <v>16</v>
      </c>
      <c r="C191" s="23" t="str">
        <f>"08"</f>
        <v>08</v>
      </c>
      <c r="D191" s="23" t="str">
        <f>"20210071608"</f>
        <v>20210071608</v>
      </c>
      <c r="E191" s="23">
        <v>74.45</v>
      </c>
      <c r="F191" s="23">
        <v>86.6</v>
      </c>
      <c r="G191" s="23">
        <f t="shared" si="29"/>
        <v>79.31</v>
      </c>
    </row>
    <row r="192" s="16" customFormat="1" spans="1:7">
      <c r="A192" s="23" t="s">
        <v>14</v>
      </c>
      <c r="B192" s="23" t="str">
        <f t="shared" si="42"/>
        <v>16</v>
      </c>
      <c r="C192" s="23" t="str">
        <f>"25"</f>
        <v>25</v>
      </c>
      <c r="D192" s="23" t="str">
        <f>"20210071625"</f>
        <v>20210071625</v>
      </c>
      <c r="E192" s="23">
        <v>73.7</v>
      </c>
      <c r="F192" s="23">
        <v>73.8</v>
      </c>
      <c r="G192" s="23">
        <f t="shared" si="29"/>
        <v>73.74</v>
      </c>
    </row>
    <row r="193" s="16" customFormat="1" spans="1:7">
      <c r="A193" s="23" t="s">
        <v>14</v>
      </c>
      <c r="B193" s="23" t="str">
        <f t="shared" si="42"/>
        <v>16</v>
      </c>
      <c r="C193" s="23" t="str">
        <f>"24"</f>
        <v>24</v>
      </c>
      <c r="D193" s="23" t="str">
        <f>"20210071624"</f>
        <v>20210071624</v>
      </c>
      <c r="E193" s="23">
        <v>72.2</v>
      </c>
      <c r="F193" s="23">
        <v>82.2</v>
      </c>
      <c r="G193" s="23">
        <f t="shared" si="29"/>
        <v>76.2</v>
      </c>
    </row>
    <row r="194" s="16" customFormat="1" spans="1:7">
      <c r="A194" s="23" t="s">
        <v>14</v>
      </c>
      <c r="B194" s="23" t="str">
        <f t="shared" si="42"/>
        <v>16</v>
      </c>
      <c r="C194" s="23" t="str">
        <f>"14"</f>
        <v>14</v>
      </c>
      <c r="D194" s="23" t="str">
        <f>"20210071614"</f>
        <v>20210071614</v>
      </c>
      <c r="E194" s="23">
        <v>72.1</v>
      </c>
      <c r="F194" s="23">
        <v>58.6</v>
      </c>
      <c r="G194" s="23">
        <f t="shared" si="29"/>
        <v>66.7</v>
      </c>
    </row>
    <row r="195" s="16" customFormat="1" spans="1:7">
      <c r="A195" s="23" t="s">
        <v>14</v>
      </c>
      <c r="B195" s="23" t="str">
        <f>"17"</f>
        <v>17</v>
      </c>
      <c r="C195" s="23" t="str">
        <f>"02"</f>
        <v>02</v>
      </c>
      <c r="D195" s="23" t="str">
        <f>"20210071702"</f>
        <v>20210071702</v>
      </c>
      <c r="E195" s="23">
        <v>71.1</v>
      </c>
      <c r="F195" s="23">
        <v>81.8</v>
      </c>
      <c r="G195" s="23">
        <f t="shared" ref="G195:G258" si="43">E195*0.6+F195*0.4</f>
        <v>75.38</v>
      </c>
    </row>
    <row r="196" s="16" customFormat="1" spans="1:7">
      <c r="A196" s="23" t="s">
        <v>14</v>
      </c>
      <c r="B196" s="23" t="str">
        <f t="shared" ref="B196:B200" si="44">"16"</f>
        <v>16</v>
      </c>
      <c r="C196" s="23" t="str">
        <f>"06"</f>
        <v>06</v>
      </c>
      <c r="D196" s="23" t="str">
        <f>"20210071606"</f>
        <v>20210071606</v>
      </c>
      <c r="E196" s="23">
        <v>70.9</v>
      </c>
      <c r="F196" s="23">
        <v>80.6</v>
      </c>
      <c r="G196" s="23">
        <f t="shared" si="43"/>
        <v>74.78</v>
      </c>
    </row>
    <row r="197" s="16" customFormat="1" spans="1:7">
      <c r="A197" s="23" t="s">
        <v>14</v>
      </c>
      <c r="B197" s="23" t="str">
        <f t="shared" ref="B197:B203" si="45">"15"</f>
        <v>15</v>
      </c>
      <c r="C197" s="23" t="str">
        <f>"17"</f>
        <v>17</v>
      </c>
      <c r="D197" s="23" t="str">
        <f>"20210071517"</f>
        <v>20210071517</v>
      </c>
      <c r="E197" s="23">
        <v>70.4</v>
      </c>
      <c r="F197" s="23">
        <v>81.4</v>
      </c>
      <c r="G197" s="23">
        <f t="shared" si="43"/>
        <v>74.8</v>
      </c>
    </row>
    <row r="198" s="16" customFormat="1" spans="1:7">
      <c r="A198" s="23" t="s">
        <v>14</v>
      </c>
      <c r="B198" s="23" t="str">
        <f t="shared" si="44"/>
        <v>16</v>
      </c>
      <c r="C198" s="23" t="str">
        <f>"15"</f>
        <v>15</v>
      </c>
      <c r="D198" s="23" t="str">
        <f>"20210071615"</f>
        <v>20210071615</v>
      </c>
      <c r="E198" s="23">
        <v>70.1</v>
      </c>
      <c r="F198" s="23">
        <v>85.6</v>
      </c>
      <c r="G198" s="23">
        <f t="shared" si="43"/>
        <v>76.3</v>
      </c>
    </row>
    <row r="199" s="16" customFormat="1" spans="1:7">
      <c r="A199" s="23" t="s">
        <v>14</v>
      </c>
      <c r="B199" s="23" t="str">
        <f>"17"</f>
        <v>17</v>
      </c>
      <c r="C199" s="23" t="str">
        <f>"01"</f>
        <v>01</v>
      </c>
      <c r="D199" s="23" t="str">
        <f>"20210071701"</f>
        <v>20210071701</v>
      </c>
      <c r="E199" s="23">
        <v>69.3</v>
      </c>
      <c r="F199" s="23">
        <v>78.6</v>
      </c>
      <c r="G199" s="23">
        <f t="shared" si="43"/>
        <v>73.02</v>
      </c>
    </row>
    <row r="200" s="16" customFormat="1" spans="1:7">
      <c r="A200" s="23" t="s">
        <v>14</v>
      </c>
      <c r="B200" s="23" t="str">
        <f t="shared" si="44"/>
        <v>16</v>
      </c>
      <c r="C200" s="23" t="str">
        <f>"20"</f>
        <v>20</v>
      </c>
      <c r="D200" s="23" t="str">
        <f>"20210071620"</f>
        <v>20210071620</v>
      </c>
      <c r="E200" s="23">
        <v>68.7</v>
      </c>
      <c r="F200" s="23">
        <v>77.4</v>
      </c>
      <c r="G200" s="23">
        <f t="shared" si="43"/>
        <v>72.18</v>
      </c>
    </row>
    <row r="201" s="16" customFormat="1" spans="1:7">
      <c r="A201" s="23" t="s">
        <v>14</v>
      </c>
      <c r="B201" s="23" t="str">
        <f t="shared" si="45"/>
        <v>15</v>
      </c>
      <c r="C201" s="23" t="str">
        <f>"26"</f>
        <v>26</v>
      </c>
      <c r="D201" s="23" t="str">
        <f>"20210071526"</f>
        <v>20210071526</v>
      </c>
      <c r="E201" s="23">
        <v>67.6</v>
      </c>
      <c r="F201" s="23">
        <v>74.2</v>
      </c>
      <c r="G201" s="23">
        <f t="shared" si="43"/>
        <v>70.24</v>
      </c>
    </row>
    <row r="202" s="16" customFormat="1" spans="1:7">
      <c r="A202" s="23" t="s">
        <v>14</v>
      </c>
      <c r="B202" s="23" t="str">
        <f t="shared" si="45"/>
        <v>15</v>
      </c>
      <c r="C202" s="23" t="str">
        <f>"06"</f>
        <v>06</v>
      </c>
      <c r="D202" s="23" t="str">
        <f>"20210071506"</f>
        <v>20210071506</v>
      </c>
      <c r="E202" s="23">
        <v>67.35</v>
      </c>
      <c r="F202" s="23">
        <v>67.2</v>
      </c>
      <c r="G202" s="23">
        <f t="shared" si="43"/>
        <v>67.29</v>
      </c>
    </row>
    <row r="203" s="16" customFormat="1" spans="1:7">
      <c r="A203" s="23" t="s">
        <v>14</v>
      </c>
      <c r="B203" s="23" t="str">
        <f t="shared" si="45"/>
        <v>15</v>
      </c>
      <c r="C203" s="23" t="str">
        <f>"16"</f>
        <v>16</v>
      </c>
      <c r="D203" s="23" t="str">
        <f>"20210071516"</f>
        <v>20210071516</v>
      </c>
      <c r="E203" s="23">
        <v>66.8</v>
      </c>
      <c r="F203" s="23">
        <v>0</v>
      </c>
      <c r="G203" s="23">
        <f t="shared" si="43"/>
        <v>40.08</v>
      </c>
    </row>
    <row r="204" s="16" customFormat="1" spans="1:7">
      <c r="A204" s="23" t="s">
        <v>14</v>
      </c>
      <c r="B204" s="23" t="str">
        <f t="shared" ref="B204:B206" si="46">"16"</f>
        <v>16</v>
      </c>
      <c r="C204" s="23" t="str">
        <f>"27"</f>
        <v>27</v>
      </c>
      <c r="D204" s="23" t="str">
        <f>"20210071627"</f>
        <v>20210071627</v>
      </c>
      <c r="E204" s="23">
        <v>65.3</v>
      </c>
      <c r="F204" s="23">
        <v>84</v>
      </c>
      <c r="G204" s="23">
        <f t="shared" si="43"/>
        <v>72.78</v>
      </c>
    </row>
    <row r="205" s="16" customFormat="1" spans="1:7">
      <c r="A205" s="23" t="s">
        <v>14</v>
      </c>
      <c r="B205" s="23" t="str">
        <f t="shared" si="46"/>
        <v>16</v>
      </c>
      <c r="C205" s="23" t="str">
        <f>"29"</f>
        <v>29</v>
      </c>
      <c r="D205" s="23" t="str">
        <f>"20210071629"</f>
        <v>20210071629</v>
      </c>
      <c r="E205" s="23">
        <v>63.45</v>
      </c>
      <c r="F205" s="23">
        <v>74.6</v>
      </c>
      <c r="G205" s="23">
        <f t="shared" si="43"/>
        <v>67.91</v>
      </c>
    </row>
    <row r="206" s="16" customFormat="1" spans="1:7">
      <c r="A206" s="23" t="s">
        <v>14</v>
      </c>
      <c r="B206" s="23" t="str">
        <f t="shared" si="46"/>
        <v>16</v>
      </c>
      <c r="C206" s="23" t="str">
        <f>"17"</f>
        <v>17</v>
      </c>
      <c r="D206" s="23" t="str">
        <f>"20210071617"</f>
        <v>20210071617</v>
      </c>
      <c r="E206" s="23">
        <v>62.75</v>
      </c>
      <c r="F206" s="23">
        <v>72.6</v>
      </c>
      <c r="G206" s="23">
        <f t="shared" si="43"/>
        <v>66.69</v>
      </c>
    </row>
    <row r="207" s="16" customFormat="1" spans="1:16374">
      <c r="A207" s="23" t="s">
        <v>14</v>
      </c>
      <c r="B207" s="23" t="str">
        <f t="shared" ref="B207:B212" si="47">"17"</f>
        <v>17</v>
      </c>
      <c r="C207" s="23" t="str">
        <f>"05"</f>
        <v>05</v>
      </c>
      <c r="D207" s="23" t="str">
        <f>"20210071705"</f>
        <v>20210071705</v>
      </c>
      <c r="E207" s="23">
        <v>59.2</v>
      </c>
      <c r="F207" s="23">
        <v>0</v>
      </c>
      <c r="G207" s="23">
        <f t="shared" si="43"/>
        <v>35.52</v>
      </c>
      <c r="XEF207" s="18"/>
      <c r="XEG207" s="18"/>
      <c r="XEH207" s="18"/>
      <c r="XEI207" s="18"/>
      <c r="XEJ207" s="18"/>
      <c r="XEK207" s="18"/>
      <c r="XEL207" s="18"/>
      <c r="XEM207" s="18"/>
      <c r="XEN207" s="18"/>
      <c r="XEO207" s="18"/>
      <c r="XEP207" s="18"/>
      <c r="XEQ207" s="18"/>
      <c r="XER207" s="18"/>
      <c r="XES207" s="18"/>
      <c r="XET207" s="18"/>
    </row>
    <row r="208" s="16" customFormat="1" spans="1:16374">
      <c r="A208" s="23" t="s">
        <v>14</v>
      </c>
      <c r="B208" s="23" t="str">
        <f>"15"</f>
        <v>15</v>
      </c>
      <c r="C208" s="23" t="str">
        <f>"19"</f>
        <v>19</v>
      </c>
      <c r="D208" s="23" t="str">
        <f>"20210071519"</f>
        <v>20210071519</v>
      </c>
      <c r="E208" s="23">
        <v>57.7</v>
      </c>
      <c r="F208" s="23">
        <v>0</v>
      </c>
      <c r="G208" s="23">
        <f t="shared" si="43"/>
        <v>34.62</v>
      </c>
      <c r="XEF208" s="18"/>
      <c r="XEG208" s="18"/>
      <c r="XEH208" s="18"/>
      <c r="XEI208" s="18"/>
      <c r="XEJ208" s="18"/>
      <c r="XEK208" s="18"/>
      <c r="XEL208" s="18"/>
      <c r="XEM208" s="18"/>
      <c r="XEN208" s="18"/>
      <c r="XEO208" s="18"/>
      <c r="XEP208" s="18"/>
      <c r="XEQ208" s="18"/>
      <c r="XER208" s="18"/>
      <c r="XES208" s="18"/>
      <c r="XET208" s="18"/>
    </row>
    <row r="209" s="16" customFormat="1" spans="1:16374">
      <c r="A209" s="23" t="s">
        <v>14</v>
      </c>
      <c r="B209" s="23" t="str">
        <f>"15"</f>
        <v>15</v>
      </c>
      <c r="C209" s="23" t="str">
        <f>"24"</f>
        <v>24</v>
      </c>
      <c r="D209" s="23" t="str">
        <f>"20210071524"</f>
        <v>20210071524</v>
      </c>
      <c r="E209" s="23">
        <v>57.7</v>
      </c>
      <c r="F209" s="23">
        <v>79</v>
      </c>
      <c r="G209" s="23">
        <f t="shared" si="43"/>
        <v>66.22</v>
      </c>
      <c r="XEF209" s="18"/>
      <c r="XEG209" s="18"/>
      <c r="XEH209" s="18"/>
      <c r="XEI209" s="18"/>
      <c r="XEJ209" s="18"/>
      <c r="XEK209" s="18"/>
      <c r="XEL209" s="18"/>
      <c r="XEM209" s="18"/>
      <c r="XEN209" s="18"/>
      <c r="XEO209" s="18"/>
      <c r="XEP209" s="18"/>
      <c r="XEQ209" s="18"/>
      <c r="XER209" s="18"/>
      <c r="XES209" s="18"/>
      <c r="XET209" s="18"/>
    </row>
    <row r="210" s="16" customFormat="1" spans="1:16374">
      <c r="A210" s="23" t="s">
        <v>14</v>
      </c>
      <c r="B210" s="23" t="str">
        <f t="shared" si="47"/>
        <v>17</v>
      </c>
      <c r="C210" s="23" t="str">
        <f>"07"</f>
        <v>07</v>
      </c>
      <c r="D210" s="23" t="str">
        <f>"20210071707"</f>
        <v>20210071707</v>
      </c>
      <c r="E210" s="23">
        <v>57.65</v>
      </c>
      <c r="F210" s="23">
        <v>0</v>
      </c>
      <c r="G210" s="23">
        <f t="shared" si="43"/>
        <v>34.59</v>
      </c>
      <c r="XEF210" s="18"/>
      <c r="XEG210" s="18"/>
      <c r="XEH210" s="18"/>
      <c r="XEI210" s="18"/>
      <c r="XEJ210" s="18"/>
      <c r="XEK210" s="18"/>
      <c r="XEL210" s="18"/>
      <c r="XEM210" s="18"/>
      <c r="XEN210" s="18"/>
      <c r="XEO210" s="18"/>
      <c r="XEP210" s="18"/>
      <c r="XEQ210" s="18"/>
      <c r="XER210" s="18"/>
      <c r="XES210" s="18"/>
      <c r="XET210" s="18"/>
    </row>
    <row r="211" s="16" customFormat="1" spans="1:16374">
      <c r="A211" s="23" t="s">
        <v>14</v>
      </c>
      <c r="B211" s="23" t="str">
        <f>"16"</f>
        <v>16</v>
      </c>
      <c r="C211" s="23" t="str">
        <f>"28"</f>
        <v>28</v>
      </c>
      <c r="D211" s="23" t="str">
        <f>"20210071628"</f>
        <v>20210071628</v>
      </c>
      <c r="E211" s="23">
        <v>57.45</v>
      </c>
      <c r="F211" s="23">
        <v>0</v>
      </c>
      <c r="G211" s="23">
        <f t="shared" si="43"/>
        <v>34.47</v>
      </c>
      <c r="XEF211" s="18"/>
      <c r="XEG211" s="18"/>
      <c r="XEH211" s="18"/>
      <c r="XEI211" s="18"/>
      <c r="XEJ211" s="18"/>
      <c r="XEK211" s="18"/>
      <c r="XEL211" s="18"/>
      <c r="XEM211" s="18"/>
      <c r="XEN211" s="18"/>
      <c r="XEO211" s="18"/>
      <c r="XEP211" s="18"/>
      <c r="XEQ211" s="18"/>
      <c r="XER211" s="18"/>
      <c r="XES211" s="18"/>
      <c r="XET211" s="18"/>
    </row>
    <row r="212" s="16" customFormat="1" spans="1:16374">
      <c r="A212" s="23" t="s">
        <v>14</v>
      </c>
      <c r="B212" s="23" t="str">
        <f t="shared" si="47"/>
        <v>17</v>
      </c>
      <c r="C212" s="23" t="str">
        <f>"04"</f>
        <v>04</v>
      </c>
      <c r="D212" s="23" t="str">
        <f>"20210071704"</f>
        <v>20210071704</v>
      </c>
      <c r="E212" s="23">
        <v>57.15</v>
      </c>
      <c r="F212" s="23">
        <v>76</v>
      </c>
      <c r="G212" s="23">
        <f t="shared" si="43"/>
        <v>64.69</v>
      </c>
      <c r="XEF212" s="18"/>
      <c r="XEG212" s="18"/>
      <c r="XEH212" s="18"/>
      <c r="XEI212" s="18"/>
      <c r="XEJ212" s="18"/>
      <c r="XEK212" s="18"/>
      <c r="XEL212" s="18"/>
      <c r="XEM212" s="18"/>
      <c r="XEN212" s="18"/>
      <c r="XEO212" s="18"/>
      <c r="XEP212" s="18"/>
      <c r="XEQ212" s="18"/>
      <c r="XER212" s="18"/>
      <c r="XES212" s="18"/>
      <c r="XET212" s="18"/>
    </row>
    <row r="213" s="16" customFormat="1" spans="1:7">
      <c r="A213" s="23" t="s">
        <v>15</v>
      </c>
      <c r="B213" s="23" t="str">
        <f t="shared" ref="B213:B218" si="48">"19"</f>
        <v>19</v>
      </c>
      <c r="C213" s="23" t="str">
        <f>"18"</f>
        <v>18</v>
      </c>
      <c r="D213" s="23" t="str">
        <f>"20210081918"</f>
        <v>20210081918</v>
      </c>
      <c r="E213" s="23">
        <v>81.1</v>
      </c>
      <c r="F213" s="23">
        <v>75.8</v>
      </c>
      <c r="G213" s="23">
        <f t="shared" si="43"/>
        <v>78.98</v>
      </c>
    </row>
    <row r="214" s="16" customFormat="1" spans="1:7">
      <c r="A214" s="23" t="s">
        <v>15</v>
      </c>
      <c r="B214" s="23" t="str">
        <f>"17"</f>
        <v>17</v>
      </c>
      <c r="C214" s="23" t="str">
        <f>"29"</f>
        <v>29</v>
      </c>
      <c r="D214" s="23" t="str">
        <f>"20210081729"</f>
        <v>20210081729</v>
      </c>
      <c r="E214" s="23">
        <v>79.4</v>
      </c>
      <c r="F214" s="23">
        <v>76.4</v>
      </c>
      <c r="G214" s="23">
        <f t="shared" si="43"/>
        <v>78.2</v>
      </c>
    </row>
    <row r="215" s="16" customFormat="1" spans="1:7">
      <c r="A215" s="23" t="s">
        <v>15</v>
      </c>
      <c r="B215" s="23" t="str">
        <f t="shared" ref="B215:B220" si="49">"18"</f>
        <v>18</v>
      </c>
      <c r="C215" s="23" t="str">
        <f>"11"</f>
        <v>11</v>
      </c>
      <c r="D215" s="23" t="str">
        <f>"20210081811"</f>
        <v>20210081811</v>
      </c>
      <c r="E215" s="23">
        <v>77.4</v>
      </c>
      <c r="F215" s="23">
        <v>82.6</v>
      </c>
      <c r="G215" s="23">
        <f t="shared" si="43"/>
        <v>79.48</v>
      </c>
    </row>
    <row r="216" s="16" customFormat="1" spans="1:7">
      <c r="A216" s="23" t="s">
        <v>15</v>
      </c>
      <c r="B216" s="23" t="str">
        <f t="shared" si="48"/>
        <v>19</v>
      </c>
      <c r="C216" s="23" t="str">
        <f>"05"</f>
        <v>05</v>
      </c>
      <c r="D216" s="23" t="str">
        <f>"20210081905"</f>
        <v>20210081905</v>
      </c>
      <c r="E216" s="23">
        <v>76.3</v>
      </c>
      <c r="F216" s="23">
        <v>85.2</v>
      </c>
      <c r="G216" s="23">
        <f t="shared" si="43"/>
        <v>79.86</v>
      </c>
    </row>
    <row r="217" s="16" customFormat="1" spans="1:7">
      <c r="A217" s="23" t="s">
        <v>15</v>
      </c>
      <c r="B217" s="23" t="str">
        <f>"17"</f>
        <v>17</v>
      </c>
      <c r="C217" s="23" t="str">
        <f>"30"</f>
        <v>30</v>
      </c>
      <c r="D217" s="23" t="str">
        <f>"20210081730"</f>
        <v>20210081730</v>
      </c>
      <c r="E217" s="23">
        <v>76</v>
      </c>
      <c r="F217" s="23">
        <v>72</v>
      </c>
      <c r="G217" s="23">
        <f t="shared" si="43"/>
        <v>74.4</v>
      </c>
    </row>
    <row r="218" s="16" customFormat="1" spans="1:7">
      <c r="A218" s="23" t="s">
        <v>15</v>
      </c>
      <c r="B218" s="23" t="str">
        <f t="shared" si="48"/>
        <v>19</v>
      </c>
      <c r="C218" s="23" t="str">
        <f>"11"</f>
        <v>11</v>
      </c>
      <c r="D218" s="23" t="str">
        <f>"20210081911"</f>
        <v>20210081911</v>
      </c>
      <c r="E218" s="23">
        <v>75.9</v>
      </c>
      <c r="F218" s="23">
        <v>80</v>
      </c>
      <c r="G218" s="23">
        <f t="shared" si="43"/>
        <v>77.54</v>
      </c>
    </row>
    <row r="219" s="16" customFormat="1" spans="1:7">
      <c r="A219" s="23" t="s">
        <v>15</v>
      </c>
      <c r="B219" s="23" t="str">
        <f t="shared" si="49"/>
        <v>18</v>
      </c>
      <c r="C219" s="23" t="str">
        <f>"26"</f>
        <v>26</v>
      </c>
      <c r="D219" s="23" t="str">
        <f>"20210081826"</f>
        <v>20210081826</v>
      </c>
      <c r="E219" s="23">
        <v>74.8</v>
      </c>
      <c r="F219" s="23">
        <v>76.4</v>
      </c>
      <c r="G219" s="23">
        <f t="shared" si="43"/>
        <v>75.44</v>
      </c>
    </row>
    <row r="220" s="16" customFormat="1" spans="1:7">
      <c r="A220" s="23" t="s">
        <v>15</v>
      </c>
      <c r="B220" s="23" t="str">
        <f t="shared" si="49"/>
        <v>18</v>
      </c>
      <c r="C220" s="23" t="str">
        <f>"27"</f>
        <v>27</v>
      </c>
      <c r="D220" s="23" t="str">
        <f>"20210081827"</f>
        <v>20210081827</v>
      </c>
      <c r="E220" s="23">
        <v>74.3</v>
      </c>
      <c r="F220" s="23">
        <v>79.8</v>
      </c>
      <c r="G220" s="23">
        <f t="shared" si="43"/>
        <v>76.5</v>
      </c>
    </row>
    <row r="221" s="16" customFormat="1" spans="1:7">
      <c r="A221" s="23" t="s">
        <v>15</v>
      </c>
      <c r="B221" s="23" t="str">
        <f>"19"</f>
        <v>19</v>
      </c>
      <c r="C221" s="23" t="str">
        <f>"06"</f>
        <v>06</v>
      </c>
      <c r="D221" s="23" t="str">
        <f>"20210081906"</f>
        <v>20210081906</v>
      </c>
      <c r="E221" s="23">
        <v>73.1</v>
      </c>
      <c r="F221" s="23">
        <v>77.6</v>
      </c>
      <c r="G221" s="23">
        <f t="shared" si="43"/>
        <v>74.9</v>
      </c>
    </row>
    <row r="222" s="16" customFormat="1" spans="1:7">
      <c r="A222" s="23" t="s">
        <v>15</v>
      </c>
      <c r="B222" s="23" t="str">
        <f>"17"</f>
        <v>17</v>
      </c>
      <c r="C222" s="23" t="str">
        <f>"20"</f>
        <v>20</v>
      </c>
      <c r="D222" s="23" t="str">
        <f>"20210081720"</f>
        <v>20210081720</v>
      </c>
      <c r="E222" s="23">
        <v>72.5</v>
      </c>
      <c r="F222" s="23">
        <v>82.2</v>
      </c>
      <c r="G222" s="23">
        <f t="shared" si="43"/>
        <v>76.38</v>
      </c>
    </row>
    <row r="223" s="16" customFormat="1" spans="1:7">
      <c r="A223" s="23" t="s">
        <v>15</v>
      </c>
      <c r="B223" s="23" t="str">
        <f t="shared" ref="B223:B228" si="50">"18"</f>
        <v>18</v>
      </c>
      <c r="C223" s="23" t="str">
        <f>"17"</f>
        <v>17</v>
      </c>
      <c r="D223" s="23" t="str">
        <f>"20210081817"</f>
        <v>20210081817</v>
      </c>
      <c r="E223" s="23">
        <v>72.25</v>
      </c>
      <c r="F223" s="23">
        <v>83.2</v>
      </c>
      <c r="G223" s="23">
        <f t="shared" si="43"/>
        <v>76.63</v>
      </c>
    </row>
    <row r="224" s="16" customFormat="1" spans="1:7">
      <c r="A224" s="23" t="s">
        <v>15</v>
      </c>
      <c r="B224" s="23" t="str">
        <f>"19"</f>
        <v>19</v>
      </c>
      <c r="C224" s="23" t="str">
        <f>"03"</f>
        <v>03</v>
      </c>
      <c r="D224" s="23" t="str">
        <f>"20210081903"</f>
        <v>20210081903</v>
      </c>
      <c r="E224" s="23">
        <v>71.7</v>
      </c>
      <c r="F224" s="23">
        <v>70</v>
      </c>
      <c r="G224" s="23">
        <f t="shared" si="43"/>
        <v>71.02</v>
      </c>
    </row>
    <row r="225" s="16" customFormat="1" spans="1:7">
      <c r="A225" s="23" t="s">
        <v>15</v>
      </c>
      <c r="B225" s="23" t="str">
        <f t="shared" si="50"/>
        <v>18</v>
      </c>
      <c r="C225" s="23" t="str">
        <f>"28"</f>
        <v>28</v>
      </c>
      <c r="D225" s="23" t="str">
        <f>"20210081828"</f>
        <v>20210081828</v>
      </c>
      <c r="E225" s="23">
        <v>71.2</v>
      </c>
      <c r="F225" s="23">
        <v>74.8</v>
      </c>
      <c r="G225" s="23">
        <f t="shared" si="43"/>
        <v>72.64</v>
      </c>
    </row>
    <row r="226" s="16" customFormat="1" spans="1:7">
      <c r="A226" s="23" t="s">
        <v>15</v>
      </c>
      <c r="B226" s="23" t="str">
        <f>"17"</f>
        <v>17</v>
      </c>
      <c r="C226" s="23" t="str">
        <f>"19"</f>
        <v>19</v>
      </c>
      <c r="D226" s="23" t="str">
        <f>"20210081719"</f>
        <v>20210081719</v>
      </c>
      <c r="E226" s="23">
        <v>71.2</v>
      </c>
      <c r="F226" s="23">
        <v>65.2</v>
      </c>
      <c r="G226" s="23">
        <f t="shared" si="43"/>
        <v>68.8</v>
      </c>
    </row>
    <row r="227" s="16" customFormat="1" spans="1:7">
      <c r="A227" s="23" t="s">
        <v>15</v>
      </c>
      <c r="B227" s="23" t="str">
        <f t="shared" si="50"/>
        <v>18</v>
      </c>
      <c r="C227" s="23" t="str">
        <f>"09"</f>
        <v>09</v>
      </c>
      <c r="D227" s="23" t="str">
        <f>"20210081809"</f>
        <v>20210081809</v>
      </c>
      <c r="E227" s="23">
        <v>70.35</v>
      </c>
      <c r="F227" s="23">
        <v>73</v>
      </c>
      <c r="G227" s="23">
        <f t="shared" si="43"/>
        <v>71.41</v>
      </c>
    </row>
    <row r="228" s="16" customFormat="1" spans="1:7">
      <c r="A228" s="23" t="s">
        <v>15</v>
      </c>
      <c r="B228" s="23" t="str">
        <f t="shared" si="50"/>
        <v>18</v>
      </c>
      <c r="C228" s="23" t="str">
        <f>"24"</f>
        <v>24</v>
      </c>
      <c r="D228" s="23" t="str">
        <f>"20210081824"</f>
        <v>20210081824</v>
      </c>
      <c r="E228" s="23">
        <v>68.5</v>
      </c>
      <c r="F228" s="23">
        <v>67.2</v>
      </c>
      <c r="G228" s="23">
        <f t="shared" si="43"/>
        <v>67.98</v>
      </c>
    </row>
    <row r="229" s="16" customFormat="1" spans="1:7">
      <c r="A229" s="23" t="s">
        <v>15</v>
      </c>
      <c r="B229" s="23" t="str">
        <f>"17"</f>
        <v>17</v>
      </c>
      <c r="C229" s="23" t="str">
        <f>"24"</f>
        <v>24</v>
      </c>
      <c r="D229" s="23" t="str">
        <f>"20210081724"</f>
        <v>20210081724</v>
      </c>
      <c r="E229" s="23">
        <v>66.6</v>
      </c>
      <c r="F229" s="23">
        <v>0</v>
      </c>
      <c r="G229" s="23">
        <f t="shared" si="43"/>
        <v>39.96</v>
      </c>
    </row>
    <row r="230" s="16" customFormat="1" spans="1:7">
      <c r="A230" s="23" t="s">
        <v>15</v>
      </c>
      <c r="B230" s="23" t="str">
        <f t="shared" ref="B230:B233" si="51">"18"</f>
        <v>18</v>
      </c>
      <c r="C230" s="23" t="str">
        <f>"07"</f>
        <v>07</v>
      </c>
      <c r="D230" s="23" t="str">
        <f>"20210081807"</f>
        <v>20210081807</v>
      </c>
      <c r="E230" s="23">
        <v>63.4</v>
      </c>
      <c r="F230" s="23">
        <v>77.4</v>
      </c>
      <c r="G230" s="23">
        <f t="shared" si="43"/>
        <v>69</v>
      </c>
    </row>
    <row r="231" s="16" customFormat="1" spans="1:7">
      <c r="A231" s="23" t="s">
        <v>15</v>
      </c>
      <c r="B231" s="23" t="str">
        <f t="shared" si="51"/>
        <v>18</v>
      </c>
      <c r="C231" s="23" t="str">
        <f>"25"</f>
        <v>25</v>
      </c>
      <c r="D231" s="23" t="str">
        <f>"20210081825"</f>
        <v>20210081825</v>
      </c>
      <c r="E231" s="23">
        <v>61.2</v>
      </c>
      <c r="F231" s="23">
        <v>82.6</v>
      </c>
      <c r="G231" s="23">
        <f t="shared" si="43"/>
        <v>69.76</v>
      </c>
    </row>
    <row r="232" s="16" customFormat="1" spans="1:7">
      <c r="A232" s="23" t="s">
        <v>15</v>
      </c>
      <c r="B232" s="23" t="str">
        <f t="shared" ref="B232:B238" si="52">"19"</f>
        <v>19</v>
      </c>
      <c r="C232" s="23" t="str">
        <f>"17"</f>
        <v>17</v>
      </c>
      <c r="D232" s="23" t="str">
        <f>"20210081917"</f>
        <v>20210081917</v>
      </c>
      <c r="E232" s="23">
        <v>61.2</v>
      </c>
      <c r="F232" s="23">
        <v>74</v>
      </c>
      <c r="G232" s="23">
        <f t="shared" si="43"/>
        <v>66.32</v>
      </c>
    </row>
    <row r="233" s="16" customFormat="1" spans="1:7">
      <c r="A233" s="23" t="s">
        <v>15</v>
      </c>
      <c r="B233" s="23" t="str">
        <f t="shared" si="51"/>
        <v>18</v>
      </c>
      <c r="C233" s="23" t="str">
        <f>"19"</f>
        <v>19</v>
      </c>
      <c r="D233" s="23" t="str">
        <f>"20210081819"</f>
        <v>20210081819</v>
      </c>
      <c r="E233" s="23">
        <v>61.2</v>
      </c>
      <c r="F233" s="23">
        <v>0</v>
      </c>
      <c r="G233" s="23">
        <f t="shared" si="43"/>
        <v>36.72</v>
      </c>
    </row>
    <row r="234" s="16" customFormat="1" spans="1:7">
      <c r="A234" s="23" t="s">
        <v>15</v>
      </c>
      <c r="B234" s="23" t="str">
        <f t="shared" si="52"/>
        <v>19</v>
      </c>
      <c r="C234" s="23" t="str">
        <f>"20"</f>
        <v>20</v>
      </c>
      <c r="D234" s="23" t="str">
        <f>"20210081920"</f>
        <v>20210081920</v>
      </c>
      <c r="E234" s="23">
        <v>61</v>
      </c>
      <c r="F234" s="23">
        <v>67.2</v>
      </c>
      <c r="G234" s="23">
        <f t="shared" si="43"/>
        <v>63.48</v>
      </c>
    </row>
    <row r="235" s="16" customFormat="1" spans="1:7">
      <c r="A235" s="23" t="s">
        <v>15</v>
      </c>
      <c r="B235" s="23" t="str">
        <f t="shared" ref="B235:B239" si="53">"17"</f>
        <v>17</v>
      </c>
      <c r="C235" s="23" t="str">
        <f>"16"</f>
        <v>16</v>
      </c>
      <c r="D235" s="23" t="str">
        <f>"20210081716"</f>
        <v>20210081716</v>
      </c>
      <c r="E235" s="23">
        <v>60.6</v>
      </c>
      <c r="F235" s="23">
        <v>83.8</v>
      </c>
      <c r="G235" s="23">
        <f t="shared" si="43"/>
        <v>69.88</v>
      </c>
    </row>
    <row r="236" s="16" customFormat="1" spans="1:7">
      <c r="A236" s="23" t="s">
        <v>15</v>
      </c>
      <c r="B236" s="23" t="str">
        <f t="shared" si="53"/>
        <v>17</v>
      </c>
      <c r="C236" s="23" t="str">
        <f>"17"</f>
        <v>17</v>
      </c>
      <c r="D236" s="23" t="str">
        <f>"20210081717"</f>
        <v>20210081717</v>
      </c>
      <c r="E236" s="23">
        <v>60.35</v>
      </c>
      <c r="F236" s="23">
        <v>73</v>
      </c>
      <c r="G236" s="23">
        <f t="shared" si="43"/>
        <v>65.41</v>
      </c>
    </row>
    <row r="237" s="16" customFormat="1" spans="1:7">
      <c r="A237" s="23" t="s">
        <v>15</v>
      </c>
      <c r="B237" s="23" t="str">
        <f t="shared" si="52"/>
        <v>19</v>
      </c>
      <c r="C237" s="23" t="str">
        <f>"04"</f>
        <v>04</v>
      </c>
      <c r="D237" s="23" t="str">
        <f>"20210081904"</f>
        <v>20210081904</v>
      </c>
      <c r="E237" s="23">
        <v>58.9</v>
      </c>
      <c r="F237" s="23">
        <v>62.2</v>
      </c>
      <c r="G237" s="23">
        <f t="shared" si="43"/>
        <v>60.22</v>
      </c>
    </row>
    <row r="238" s="16" customFormat="1" spans="1:7">
      <c r="A238" s="23" t="s">
        <v>15</v>
      </c>
      <c r="B238" s="23" t="str">
        <f t="shared" si="52"/>
        <v>19</v>
      </c>
      <c r="C238" s="23" t="str">
        <f>"07"</f>
        <v>07</v>
      </c>
      <c r="D238" s="23" t="str">
        <f>"20210081907"</f>
        <v>20210081907</v>
      </c>
      <c r="E238" s="23">
        <v>58.2</v>
      </c>
      <c r="F238" s="23">
        <v>84.2</v>
      </c>
      <c r="G238" s="23">
        <f t="shared" si="43"/>
        <v>68.6</v>
      </c>
    </row>
    <row r="239" s="16" customFormat="1" spans="1:7">
      <c r="A239" s="23" t="s">
        <v>15</v>
      </c>
      <c r="B239" s="23" t="str">
        <f t="shared" si="53"/>
        <v>17</v>
      </c>
      <c r="C239" s="23" t="str">
        <f>"26"</f>
        <v>26</v>
      </c>
      <c r="D239" s="23" t="str">
        <f>"20210081726"</f>
        <v>20210081726</v>
      </c>
      <c r="E239" s="23">
        <v>57.9</v>
      </c>
      <c r="F239" s="23">
        <v>70</v>
      </c>
      <c r="G239" s="23">
        <f t="shared" si="43"/>
        <v>62.74</v>
      </c>
    </row>
    <row r="240" s="16" customFormat="1" spans="1:7">
      <c r="A240" s="23" t="s">
        <v>15</v>
      </c>
      <c r="B240" s="23" t="str">
        <f>"18"</f>
        <v>18</v>
      </c>
      <c r="C240" s="23" t="str">
        <f>"21"</f>
        <v>21</v>
      </c>
      <c r="D240" s="23" t="str">
        <f>"20210081821"</f>
        <v>20210081821</v>
      </c>
      <c r="E240" s="23">
        <v>57.7</v>
      </c>
      <c r="F240" s="23">
        <v>72.6</v>
      </c>
      <c r="G240" s="23">
        <f t="shared" si="43"/>
        <v>63.66</v>
      </c>
    </row>
    <row r="241" s="16" customFormat="1" ht="15" customHeight="1" spans="1:16374">
      <c r="A241" s="23" t="s">
        <v>15</v>
      </c>
      <c r="B241" s="23" t="str">
        <f>"18"</f>
        <v>18</v>
      </c>
      <c r="C241" s="23" t="str">
        <f>"29"</f>
        <v>29</v>
      </c>
      <c r="D241" s="23" t="str">
        <f>"20210081829"</f>
        <v>20210081829</v>
      </c>
      <c r="E241" s="23">
        <v>55.9</v>
      </c>
      <c r="F241" s="23">
        <v>0</v>
      </c>
      <c r="G241" s="23">
        <f t="shared" si="43"/>
        <v>33.54</v>
      </c>
      <c r="XEF241" s="18"/>
      <c r="XEG241" s="18"/>
      <c r="XEH241" s="18"/>
      <c r="XEI241" s="18"/>
      <c r="XEJ241" s="18"/>
      <c r="XEK241" s="18"/>
      <c r="XEL241" s="18"/>
      <c r="XEM241" s="18"/>
      <c r="XEN241" s="18"/>
      <c r="XEO241" s="18"/>
      <c r="XEP241" s="18"/>
      <c r="XEQ241" s="18"/>
      <c r="XER241" s="18"/>
      <c r="XES241" s="18"/>
      <c r="XET241" s="18"/>
    </row>
    <row r="242" s="16" customFormat="1" spans="1:16374">
      <c r="A242" s="23" t="s">
        <v>15</v>
      </c>
      <c r="B242" s="23" t="str">
        <f>"17"</f>
        <v>17</v>
      </c>
      <c r="C242" s="23" t="str">
        <f>"14"</f>
        <v>14</v>
      </c>
      <c r="D242" s="23" t="str">
        <f>"20210081714"</f>
        <v>20210081714</v>
      </c>
      <c r="E242" s="23">
        <v>55.8</v>
      </c>
      <c r="F242" s="23">
        <v>75.2</v>
      </c>
      <c r="G242" s="23">
        <f t="shared" si="43"/>
        <v>63.56</v>
      </c>
      <c r="XEF242" s="18"/>
      <c r="XEG242" s="18"/>
      <c r="XEH242" s="18"/>
      <c r="XEI242" s="18"/>
      <c r="XEJ242" s="18"/>
      <c r="XEK242" s="18"/>
      <c r="XEL242" s="18"/>
      <c r="XEM242" s="18"/>
      <c r="XEN242" s="18"/>
      <c r="XEO242" s="18"/>
      <c r="XEP242" s="18"/>
      <c r="XEQ242" s="18"/>
      <c r="XER242" s="18"/>
      <c r="XES242" s="18"/>
      <c r="XET242" s="18"/>
    </row>
    <row r="243" s="16" customFormat="1" spans="1:16374">
      <c r="A243" s="23" t="s">
        <v>15</v>
      </c>
      <c r="B243" s="23" t="str">
        <f>"19"</f>
        <v>19</v>
      </c>
      <c r="C243" s="23" t="str">
        <f>"16"</f>
        <v>16</v>
      </c>
      <c r="D243" s="23" t="str">
        <f>"20210081916"</f>
        <v>20210081916</v>
      </c>
      <c r="E243" s="23">
        <v>54.6</v>
      </c>
      <c r="F243" s="23">
        <v>0</v>
      </c>
      <c r="G243" s="23">
        <f t="shared" si="43"/>
        <v>32.76</v>
      </c>
      <c r="XEF243" s="18"/>
      <c r="XEG243" s="18"/>
      <c r="XEH243" s="18"/>
      <c r="XEI243" s="18"/>
      <c r="XEJ243" s="18"/>
      <c r="XEK243" s="18"/>
      <c r="XEL243" s="18"/>
      <c r="XEM243" s="18"/>
      <c r="XEN243" s="18"/>
      <c r="XEO243" s="18"/>
      <c r="XEP243" s="18"/>
      <c r="XEQ243" s="18"/>
      <c r="XER243" s="18"/>
      <c r="XES243" s="18"/>
      <c r="XET243" s="18"/>
    </row>
    <row r="244" s="16" customFormat="1" spans="1:16374">
      <c r="A244" s="23" t="s">
        <v>15</v>
      </c>
      <c r="B244" s="23" t="str">
        <f>"17"</f>
        <v>17</v>
      </c>
      <c r="C244" s="23" t="str">
        <f>"28"</f>
        <v>28</v>
      </c>
      <c r="D244" s="23" t="str">
        <f>"20210081728"</f>
        <v>20210081728</v>
      </c>
      <c r="E244" s="23">
        <v>54.55</v>
      </c>
      <c r="F244" s="23">
        <v>71.6</v>
      </c>
      <c r="G244" s="23">
        <f t="shared" si="43"/>
        <v>61.37</v>
      </c>
      <c r="XEF244" s="18"/>
      <c r="XEG244" s="18"/>
      <c r="XEH244" s="18"/>
      <c r="XEI244" s="18"/>
      <c r="XEJ244" s="18"/>
      <c r="XEK244" s="18"/>
      <c r="XEL244" s="18"/>
      <c r="XEM244" s="18"/>
      <c r="XEN244" s="18"/>
      <c r="XEO244" s="18"/>
      <c r="XEP244" s="18"/>
      <c r="XEQ244" s="18"/>
      <c r="XER244" s="18"/>
      <c r="XES244" s="18"/>
      <c r="XET244" s="18"/>
    </row>
    <row r="245" s="16" customFormat="1" spans="1:7">
      <c r="A245" s="23" t="s">
        <v>16</v>
      </c>
      <c r="B245" s="23" t="str">
        <f>"19"</f>
        <v>19</v>
      </c>
      <c r="C245" s="23" t="str">
        <f>"27"</f>
        <v>27</v>
      </c>
      <c r="D245" s="23" t="str">
        <f>"20210091927"</f>
        <v>20210091927</v>
      </c>
      <c r="E245" s="23">
        <v>78.6</v>
      </c>
      <c r="F245" s="23">
        <v>71.6</v>
      </c>
      <c r="G245" s="23">
        <f t="shared" si="43"/>
        <v>75.8</v>
      </c>
    </row>
    <row r="246" s="16" customFormat="1" spans="1:7">
      <c r="A246" s="23" t="s">
        <v>16</v>
      </c>
      <c r="B246" s="23" t="str">
        <f>"21"</f>
        <v>21</v>
      </c>
      <c r="C246" s="23" t="str">
        <f>"15"</f>
        <v>15</v>
      </c>
      <c r="D246" s="23" t="str">
        <f>"20210092115"</f>
        <v>20210092115</v>
      </c>
      <c r="E246" s="23">
        <v>74.1</v>
      </c>
      <c r="F246" s="23">
        <v>85</v>
      </c>
      <c r="G246" s="23">
        <f t="shared" si="43"/>
        <v>78.46</v>
      </c>
    </row>
    <row r="247" s="16" customFormat="1" spans="1:7">
      <c r="A247" s="23" t="s">
        <v>16</v>
      </c>
      <c r="B247" s="23" t="str">
        <f t="shared" ref="B247:B249" si="54">"20"</f>
        <v>20</v>
      </c>
      <c r="C247" s="23" t="str">
        <f>"30"</f>
        <v>30</v>
      </c>
      <c r="D247" s="23" t="str">
        <f>"20210092030"</f>
        <v>20210092030</v>
      </c>
      <c r="E247" s="23">
        <v>73</v>
      </c>
      <c r="F247" s="23">
        <v>81.4</v>
      </c>
      <c r="G247" s="23">
        <f t="shared" si="43"/>
        <v>76.36</v>
      </c>
    </row>
    <row r="248" s="16" customFormat="1" spans="1:7">
      <c r="A248" s="23" t="s">
        <v>16</v>
      </c>
      <c r="B248" s="23" t="str">
        <f t="shared" si="54"/>
        <v>20</v>
      </c>
      <c r="C248" s="23" t="str">
        <f>"26"</f>
        <v>26</v>
      </c>
      <c r="D248" s="23" t="str">
        <f>"20210092026"</f>
        <v>20210092026</v>
      </c>
      <c r="E248" s="23">
        <v>72.1</v>
      </c>
      <c r="F248" s="23">
        <v>82</v>
      </c>
      <c r="G248" s="23">
        <f t="shared" si="43"/>
        <v>76.06</v>
      </c>
    </row>
    <row r="249" s="16" customFormat="1" spans="1:7">
      <c r="A249" s="23" t="s">
        <v>16</v>
      </c>
      <c r="B249" s="23" t="str">
        <f t="shared" si="54"/>
        <v>20</v>
      </c>
      <c r="C249" s="23" t="str">
        <f>"23"</f>
        <v>23</v>
      </c>
      <c r="D249" s="23" t="str">
        <f>"20210092023"</f>
        <v>20210092023</v>
      </c>
      <c r="E249" s="23">
        <v>70.3</v>
      </c>
      <c r="F249" s="23">
        <v>68.4</v>
      </c>
      <c r="G249" s="23">
        <f t="shared" si="43"/>
        <v>69.54</v>
      </c>
    </row>
    <row r="250" s="16" customFormat="1" spans="1:7">
      <c r="A250" s="23" t="s">
        <v>16</v>
      </c>
      <c r="B250" s="23" t="str">
        <f t="shared" ref="B250:B254" si="55">"21"</f>
        <v>21</v>
      </c>
      <c r="C250" s="23" t="str">
        <f>"07"</f>
        <v>07</v>
      </c>
      <c r="D250" s="23" t="str">
        <f>"20210092107"</f>
        <v>20210092107</v>
      </c>
      <c r="E250" s="23">
        <v>69.1</v>
      </c>
      <c r="F250" s="23">
        <v>84.2</v>
      </c>
      <c r="G250" s="23">
        <f t="shared" si="43"/>
        <v>75.14</v>
      </c>
    </row>
    <row r="251" s="16" customFormat="1" spans="1:7">
      <c r="A251" s="23" t="s">
        <v>16</v>
      </c>
      <c r="B251" s="23" t="str">
        <f t="shared" ref="B251:B256" si="56">"20"</f>
        <v>20</v>
      </c>
      <c r="C251" s="23" t="str">
        <f>"12"</f>
        <v>12</v>
      </c>
      <c r="D251" s="23" t="str">
        <f>"20210092012"</f>
        <v>20210092012</v>
      </c>
      <c r="E251" s="23">
        <v>67.3</v>
      </c>
      <c r="F251" s="23">
        <v>87.4</v>
      </c>
      <c r="G251" s="23">
        <f t="shared" si="43"/>
        <v>75.34</v>
      </c>
    </row>
    <row r="252" s="16" customFormat="1" spans="1:7">
      <c r="A252" s="23" t="s">
        <v>16</v>
      </c>
      <c r="B252" s="23" t="str">
        <f t="shared" si="55"/>
        <v>21</v>
      </c>
      <c r="C252" s="23" t="str">
        <f>"12"</f>
        <v>12</v>
      </c>
      <c r="D252" s="23" t="str">
        <f>"20210092112"</f>
        <v>20210092112</v>
      </c>
      <c r="E252" s="23">
        <v>67.3</v>
      </c>
      <c r="F252" s="23">
        <v>82.2</v>
      </c>
      <c r="G252" s="23">
        <f t="shared" si="43"/>
        <v>73.26</v>
      </c>
    </row>
    <row r="253" s="16" customFormat="1" spans="1:7">
      <c r="A253" s="23" t="s">
        <v>16</v>
      </c>
      <c r="B253" s="23" t="str">
        <f t="shared" si="55"/>
        <v>21</v>
      </c>
      <c r="C253" s="23" t="str">
        <f>"05"</f>
        <v>05</v>
      </c>
      <c r="D253" s="23" t="str">
        <f>"20210092105"</f>
        <v>20210092105</v>
      </c>
      <c r="E253" s="23">
        <v>66.8</v>
      </c>
      <c r="F253" s="23">
        <v>87.2</v>
      </c>
      <c r="G253" s="23">
        <f t="shared" si="43"/>
        <v>74.96</v>
      </c>
    </row>
    <row r="254" s="16" customFormat="1" spans="1:7">
      <c r="A254" s="23" t="s">
        <v>16</v>
      </c>
      <c r="B254" s="23" t="str">
        <f t="shared" si="55"/>
        <v>21</v>
      </c>
      <c r="C254" s="23" t="str">
        <f>"09"</f>
        <v>09</v>
      </c>
      <c r="D254" s="23" t="str">
        <f>"20210092109"</f>
        <v>20210092109</v>
      </c>
      <c r="E254" s="23">
        <v>66.5</v>
      </c>
      <c r="F254" s="23">
        <v>71.8</v>
      </c>
      <c r="G254" s="23">
        <f t="shared" si="43"/>
        <v>68.62</v>
      </c>
    </row>
    <row r="255" s="16" customFormat="1" spans="1:7">
      <c r="A255" s="23" t="s">
        <v>16</v>
      </c>
      <c r="B255" s="23" t="str">
        <f t="shared" si="56"/>
        <v>20</v>
      </c>
      <c r="C255" s="23" t="str">
        <f>"25"</f>
        <v>25</v>
      </c>
      <c r="D255" s="23" t="str">
        <f>"20210092025"</f>
        <v>20210092025</v>
      </c>
      <c r="E255" s="23">
        <v>65.6</v>
      </c>
      <c r="F255" s="23">
        <v>82.8</v>
      </c>
      <c r="G255" s="23">
        <f t="shared" si="43"/>
        <v>72.48</v>
      </c>
    </row>
    <row r="256" s="16" customFormat="1" spans="1:7">
      <c r="A256" s="23" t="s">
        <v>16</v>
      </c>
      <c r="B256" s="23" t="str">
        <f t="shared" si="56"/>
        <v>20</v>
      </c>
      <c r="C256" s="23" t="str">
        <f>"06"</f>
        <v>06</v>
      </c>
      <c r="D256" s="23" t="str">
        <f>"20210092006"</f>
        <v>20210092006</v>
      </c>
      <c r="E256" s="23">
        <v>65.15</v>
      </c>
      <c r="F256" s="23">
        <v>78.6</v>
      </c>
      <c r="G256" s="23">
        <f t="shared" si="43"/>
        <v>70.53</v>
      </c>
    </row>
    <row r="257" s="16" customFormat="1" spans="1:7">
      <c r="A257" s="23" t="s">
        <v>16</v>
      </c>
      <c r="B257" s="23" t="str">
        <f t="shared" ref="B257:B260" si="57">"21"</f>
        <v>21</v>
      </c>
      <c r="C257" s="23" t="str">
        <f>"08"</f>
        <v>08</v>
      </c>
      <c r="D257" s="23" t="str">
        <f>"20210092108"</f>
        <v>20210092108</v>
      </c>
      <c r="E257" s="23">
        <v>64.1</v>
      </c>
      <c r="F257" s="23">
        <v>79.8</v>
      </c>
      <c r="G257" s="23">
        <f t="shared" si="43"/>
        <v>70.38</v>
      </c>
    </row>
    <row r="258" s="16" customFormat="1" spans="1:7">
      <c r="A258" s="23" t="s">
        <v>16</v>
      </c>
      <c r="B258" s="23" t="str">
        <f t="shared" ref="B258:B264" si="58">"20"</f>
        <v>20</v>
      </c>
      <c r="C258" s="23" t="str">
        <f>"07"</f>
        <v>07</v>
      </c>
      <c r="D258" s="23" t="str">
        <f>"20210092007"</f>
        <v>20210092007</v>
      </c>
      <c r="E258" s="23">
        <v>63</v>
      </c>
      <c r="F258" s="23">
        <v>79.4</v>
      </c>
      <c r="G258" s="23">
        <f t="shared" si="43"/>
        <v>69.56</v>
      </c>
    </row>
    <row r="259" s="16" customFormat="1" spans="1:7">
      <c r="A259" s="23" t="s">
        <v>16</v>
      </c>
      <c r="B259" s="23" t="str">
        <f t="shared" si="57"/>
        <v>21</v>
      </c>
      <c r="C259" s="23" t="str">
        <f>"01"</f>
        <v>01</v>
      </c>
      <c r="D259" s="23" t="str">
        <f>"20210092101"</f>
        <v>20210092101</v>
      </c>
      <c r="E259" s="23">
        <v>61.5</v>
      </c>
      <c r="F259" s="23">
        <v>78.2</v>
      </c>
      <c r="G259" s="23">
        <f t="shared" ref="G259:G322" si="59">E259*0.6+F259*0.4</f>
        <v>68.18</v>
      </c>
    </row>
    <row r="260" s="16" customFormat="1" spans="1:7">
      <c r="A260" s="23" t="s">
        <v>16</v>
      </c>
      <c r="B260" s="23" t="str">
        <f t="shared" si="57"/>
        <v>21</v>
      </c>
      <c r="C260" s="23" t="str">
        <f>"14"</f>
        <v>14</v>
      </c>
      <c r="D260" s="23" t="str">
        <f>"20210092114"</f>
        <v>20210092114</v>
      </c>
      <c r="E260" s="23">
        <v>60.4</v>
      </c>
      <c r="F260" s="23">
        <v>78.2</v>
      </c>
      <c r="G260" s="23">
        <f t="shared" si="59"/>
        <v>67.52</v>
      </c>
    </row>
    <row r="261" s="16" customFormat="1" spans="1:7">
      <c r="A261" s="23" t="s">
        <v>16</v>
      </c>
      <c r="B261" s="23" t="str">
        <f t="shared" si="58"/>
        <v>20</v>
      </c>
      <c r="C261" s="23" t="str">
        <f>"27"</f>
        <v>27</v>
      </c>
      <c r="D261" s="23" t="str">
        <f>"20210092027"</f>
        <v>20210092027</v>
      </c>
      <c r="E261" s="23">
        <v>59.6</v>
      </c>
      <c r="F261" s="23">
        <v>82</v>
      </c>
      <c r="G261" s="23">
        <f t="shared" si="59"/>
        <v>68.56</v>
      </c>
    </row>
    <row r="262" s="16" customFormat="1" spans="1:7">
      <c r="A262" s="23" t="s">
        <v>16</v>
      </c>
      <c r="B262" s="23" t="str">
        <f>"21"</f>
        <v>21</v>
      </c>
      <c r="C262" s="23" t="str">
        <f>"11"</f>
        <v>11</v>
      </c>
      <c r="D262" s="23" t="str">
        <f>"20210092111"</f>
        <v>20210092111</v>
      </c>
      <c r="E262" s="23">
        <v>58.6</v>
      </c>
      <c r="F262" s="23">
        <v>78.2</v>
      </c>
      <c r="G262" s="23">
        <f t="shared" si="59"/>
        <v>66.44</v>
      </c>
    </row>
    <row r="263" s="16" customFormat="1" spans="1:7">
      <c r="A263" s="23" t="s">
        <v>16</v>
      </c>
      <c r="B263" s="23" t="str">
        <f t="shared" si="58"/>
        <v>20</v>
      </c>
      <c r="C263" s="23" t="str">
        <f>"09"</f>
        <v>09</v>
      </c>
      <c r="D263" s="23" t="str">
        <f>"20210092009"</f>
        <v>20210092009</v>
      </c>
      <c r="E263" s="23">
        <v>57.35</v>
      </c>
      <c r="F263" s="23">
        <v>78</v>
      </c>
      <c r="G263" s="23">
        <f t="shared" si="59"/>
        <v>65.61</v>
      </c>
    </row>
    <row r="264" s="16" customFormat="1" spans="1:7">
      <c r="A264" s="23" t="s">
        <v>16</v>
      </c>
      <c r="B264" s="23" t="str">
        <f t="shared" si="58"/>
        <v>20</v>
      </c>
      <c r="C264" s="23" t="str">
        <f>"02"</f>
        <v>02</v>
      </c>
      <c r="D264" s="23" t="str">
        <f>"20210092002"</f>
        <v>20210092002</v>
      </c>
      <c r="E264" s="23">
        <v>54.25</v>
      </c>
      <c r="F264" s="23">
        <v>69.8</v>
      </c>
      <c r="G264" s="23">
        <f t="shared" si="59"/>
        <v>60.47</v>
      </c>
    </row>
    <row r="265" s="16" customFormat="1" spans="1:7">
      <c r="A265" s="23" t="s">
        <v>17</v>
      </c>
      <c r="B265" s="23" t="str">
        <f>"22"</f>
        <v>22</v>
      </c>
      <c r="C265" s="23" t="str">
        <f>"23"</f>
        <v>23</v>
      </c>
      <c r="D265" s="23" t="str">
        <f>"20210102223"</f>
        <v>20210102223</v>
      </c>
      <c r="E265" s="23">
        <v>84.4</v>
      </c>
      <c r="F265" s="23">
        <v>76.9</v>
      </c>
      <c r="G265" s="23">
        <f t="shared" si="59"/>
        <v>81.4</v>
      </c>
    </row>
    <row r="266" s="16" customFormat="1" spans="1:7">
      <c r="A266" s="23" t="s">
        <v>17</v>
      </c>
      <c r="B266" s="23" t="str">
        <f t="shared" ref="B266:B269" si="60">"23"</f>
        <v>23</v>
      </c>
      <c r="C266" s="23" t="str">
        <f>"18"</f>
        <v>18</v>
      </c>
      <c r="D266" s="23" t="str">
        <f>"20210102318"</f>
        <v>20210102318</v>
      </c>
      <c r="E266" s="23">
        <v>76.75</v>
      </c>
      <c r="F266" s="23">
        <v>81.4</v>
      </c>
      <c r="G266" s="23">
        <f t="shared" si="59"/>
        <v>78.61</v>
      </c>
    </row>
    <row r="267" s="16" customFormat="1" spans="1:7">
      <c r="A267" s="23" t="s">
        <v>17</v>
      </c>
      <c r="B267" s="23" t="str">
        <f t="shared" si="60"/>
        <v>23</v>
      </c>
      <c r="C267" s="23" t="str">
        <f>"27"</f>
        <v>27</v>
      </c>
      <c r="D267" s="23" t="str">
        <f>"20210102327"</f>
        <v>20210102327</v>
      </c>
      <c r="E267" s="23">
        <v>76.3</v>
      </c>
      <c r="F267" s="23">
        <v>85</v>
      </c>
      <c r="G267" s="23">
        <f t="shared" si="59"/>
        <v>79.78</v>
      </c>
    </row>
    <row r="268" s="16" customFormat="1" spans="1:7">
      <c r="A268" s="23" t="s">
        <v>17</v>
      </c>
      <c r="B268" s="23" t="str">
        <f t="shared" si="60"/>
        <v>23</v>
      </c>
      <c r="C268" s="23" t="str">
        <f>"23"</f>
        <v>23</v>
      </c>
      <c r="D268" s="23" t="str">
        <f>"20210102323"</f>
        <v>20210102323</v>
      </c>
      <c r="E268" s="23">
        <v>75.4</v>
      </c>
      <c r="F268" s="23">
        <v>71.8</v>
      </c>
      <c r="G268" s="23">
        <f t="shared" si="59"/>
        <v>73.96</v>
      </c>
    </row>
    <row r="269" s="16" customFormat="1" spans="1:7">
      <c r="A269" s="23" t="s">
        <v>17</v>
      </c>
      <c r="B269" s="23" t="str">
        <f t="shared" si="60"/>
        <v>23</v>
      </c>
      <c r="C269" s="23" t="str">
        <f>"17"</f>
        <v>17</v>
      </c>
      <c r="D269" s="23" t="str">
        <f>"20210102317"</f>
        <v>20210102317</v>
      </c>
      <c r="E269" s="23">
        <v>74.7</v>
      </c>
      <c r="F269" s="23">
        <v>87.9</v>
      </c>
      <c r="G269" s="23">
        <f t="shared" si="59"/>
        <v>79.98</v>
      </c>
    </row>
    <row r="270" s="16" customFormat="1" spans="1:7">
      <c r="A270" s="23" t="s">
        <v>17</v>
      </c>
      <c r="B270" s="23" t="str">
        <f t="shared" ref="B270:B273" si="61">"21"</f>
        <v>21</v>
      </c>
      <c r="C270" s="23" t="str">
        <f>"17"</f>
        <v>17</v>
      </c>
      <c r="D270" s="23" t="str">
        <f>"20210102117"</f>
        <v>20210102117</v>
      </c>
      <c r="E270" s="23">
        <v>74.6</v>
      </c>
      <c r="F270" s="23">
        <v>84.4</v>
      </c>
      <c r="G270" s="23">
        <f t="shared" si="59"/>
        <v>78.52</v>
      </c>
    </row>
    <row r="271" s="16" customFormat="1" spans="1:7">
      <c r="A271" s="23" t="s">
        <v>17</v>
      </c>
      <c r="B271" s="23" t="str">
        <f t="shared" si="61"/>
        <v>21</v>
      </c>
      <c r="C271" s="23" t="str">
        <f>"16"</f>
        <v>16</v>
      </c>
      <c r="D271" s="23" t="str">
        <f>"20210102116"</f>
        <v>20210102116</v>
      </c>
      <c r="E271" s="23">
        <v>74.3</v>
      </c>
      <c r="F271" s="23">
        <v>78.1</v>
      </c>
      <c r="G271" s="23">
        <f t="shared" si="59"/>
        <v>75.82</v>
      </c>
    </row>
    <row r="272" s="16" customFormat="1" spans="1:7">
      <c r="A272" s="23" t="s">
        <v>17</v>
      </c>
      <c r="B272" s="23" t="str">
        <f>"23"</f>
        <v>23</v>
      </c>
      <c r="C272" s="23" t="str">
        <f>"14"</f>
        <v>14</v>
      </c>
      <c r="D272" s="23" t="str">
        <f>"20210102314"</f>
        <v>20210102314</v>
      </c>
      <c r="E272" s="23">
        <v>72.7</v>
      </c>
      <c r="F272" s="23">
        <v>79.8</v>
      </c>
      <c r="G272" s="23">
        <f t="shared" si="59"/>
        <v>75.54</v>
      </c>
    </row>
    <row r="273" s="16" customFormat="1" spans="1:7">
      <c r="A273" s="23" t="s">
        <v>17</v>
      </c>
      <c r="B273" s="23" t="str">
        <f t="shared" si="61"/>
        <v>21</v>
      </c>
      <c r="C273" s="23" t="str">
        <f>"29"</f>
        <v>29</v>
      </c>
      <c r="D273" s="23" t="str">
        <f>"20210102129"</f>
        <v>20210102129</v>
      </c>
      <c r="E273" s="23">
        <v>72.4</v>
      </c>
      <c r="F273" s="23">
        <v>81.2</v>
      </c>
      <c r="G273" s="23">
        <f t="shared" si="59"/>
        <v>75.92</v>
      </c>
    </row>
    <row r="274" s="16" customFormat="1" spans="1:7">
      <c r="A274" s="23" t="s">
        <v>17</v>
      </c>
      <c r="B274" s="23" t="str">
        <f>"23"</f>
        <v>23</v>
      </c>
      <c r="C274" s="23" t="str">
        <f>"06"</f>
        <v>06</v>
      </c>
      <c r="D274" s="23" t="str">
        <f>"20210102306"</f>
        <v>20210102306</v>
      </c>
      <c r="E274" s="23">
        <v>71.4</v>
      </c>
      <c r="F274" s="23">
        <v>89.1</v>
      </c>
      <c r="G274" s="23">
        <f t="shared" si="59"/>
        <v>78.48</v>
      </c>
    </row>
    <row r="275" s="16" customFormat="1" spans="1:7">
      <c r="A275" s="23" t="s">
        <v>17</v>
      </c>
      <c r="B275" s="23" t="str">
        <f t="shared" ref="B275:B278" si="62">"22"</f>
        <v>22</v>
      </c>
      <c r="C275" s="23" t="str">
        <f>"30"</f>
        <v>30</v>
      </c>
      <c r="D275" s="23" t="str">
        <f>"20210102230"</f>
        <v>20210102230</v>
      </c>
      <c r="E275" s="23">
        <v>71.4</v>
      </c>
      <c r="F275" s="23">
        <v>85.7</v>
      </c>
      <c r="G275" s="23">
        <f t="shared" si="59"/>
        <v>77.12</v>
      </c>
    </row>
    <row r="276" s="16" customFormat="1" spans="1:7">
      <c r="A276" s="23" t="s">
        <v>17</v>
      </c>
      <c r="B276" s="23" t="str">
        <f t="shared" si="62"/>
        <v>22</v>
      </c>
      <c r="C276" s="23" t="str">
        <f>"08"</f>
        <v>08</v>
      </c>
      <c r="D276" s="23" t="str">
        <f>"20210102208"</f>
        <v>20210102208</v>
      </c>
      <c r="E276" s="23">
        <v>70.05</v>
      </c>
      <c r="F276" s="23">
        <v>72.3</v>
      </c>
      <c r="G276" s="23">
        <f t="shared" si="59"/>
        <v>70.95</v>
      </c>
    </row>
    <row r="277" s="16" customFormat="1" spans="1:7">
      <c r="A277" s="23" t="s">
        <v>17</v>
      </c>
      <c r="B277" s="23" t="str">
        <f t="shared" si="62"/>
        <v>22</v>
      </c>
      <c r="C277" s="23" t="str">
        <f>"04"</f>
        <v>04</v>
      </c>
      <c r="D277" s="23" t="str">
        <f>"20210102204"</f>
        <v>20210102204</v>
      </c>
      <c r="E277" s="23">
        <v>68.15</v>
      </c>
      <c r="F277" s="23">
        <v>80</v>
      </c>
      <c r="G277" s="23">
        <f t="shared" si="59"/>
        <v>72.89</v>
      </c>
    </row>
    <row r="278" s="16" customFormat="1" spans="1:7">
      <c r="A278" s="23" t="s">
        <v>17</v>
      </c>
      <c r="B278" s="23" t="str">
        <f t="shared" si="62"/>
        <v>22</v>
      </c>
      <c r="C278" s="23" t="str">
        <f>"06"</f>
        <v>06</v>
      </c>
      <c r="D278" s="23" t="str">
        <f>"20210102206"</f>
        <v>20210102206</v>
      </c>
      <c r="E278" s="23">
        <v>67.9</v>
      </c>
      <c r="F278" s="23">
        <v>70.1</v>
      </c>
      <c r="G278" s="23">
        <f t="shared" si="59"/>
        <v>68.78</v>
      </c>
    </row>
    <row r="279" s="16" customFormat="1" spans="1:7">
      <c r="A279" s="23" t="s">
        <v>17</v>
      </c>
      <c r="B279" s="23" t="str">
        <f t="shared" ref="B279:B281" si="63">"23"</f>
        <v>23</v>
      </c>
      <c r="C279" s="23" t="str">
        <f>"25"</f>
        <v>25</v>
      </c>
      <c r="D279" s="23" t="str">
        <f>"20210102325"</f>
        <v>20210102325</v>
      </c>
      <c r="E279" s="23">
        <v>67.5</v>
      </c>
      <c r="F279" s="23">
        <v>80.1</v>
      </c>
      <c r="G279" s="23">
        <f t="shared" si="59"/>
        <v>72.54</v>
      </c>
    </row>
    <row r="280" s="16" customFormat="1" spans="1:7">
      <c r="A280" s="23" t="s">
        <v>17</v>
      </c>
      <c r="B280" s="23" t="str">
        <f t="shared" si="63"/>
        <v>23</v>
      </c>
      <c r="C280" s="23" t="str">
        <f>"07"</f>
        <v>07</v>
      </c>
      <c r="D280" s="23" t="str">
        <f>"20210102307"</f>
        <v>20210102307</v>
      </c>
      <c r="E280" s="23">
        <v>66.3</v>
      </c>
      <c r="F280" s="23">
        <v>78.2</v>
      </c>
      <c r="G280" s="23">
        <f t="shared" si="59"/>
        <v>71.06</v>
      </c>
    </row>
    <row r="281" s="16" customFormat="1" spans="1:7">
      <c r="A281" s="23" t="s">
        <v>17</v>
      </c>
      <c r="B281" s="23" t="str">
        <f t="shared" si="63"/>
        <v>23</v>
      </c>
      <c r="C281" s="23" t="str">
        <f>"02"</f>
        <v>02</v>
      </c>
      <c r="D281" s="23" t="str">
        <f>"20210102302"</f>
        <v>20210102302</v>
      </c>
      <c r="E281" s="23">
        <v>66.15</v>
      </c>
      <c r="F281" s="23">
        <v>81.6</v>
      </c>
      <c r="G281" s="23">
        <f t="shared" si="59"/>
        <v>72.33</v>
      </c>
    </row>
    <row r="282" s="16" customFormat="1" spans="1:7">
      <c r="A282" s="23" t="s">
        <v>17</v>
      </c>
      <c r="B282" s="23" t="str">
        <f>"21"</f>
        <v>21</v>
      </c>
      <c r="C282" s="23" t="str">
        <f>"18"</f>
        <v>18</v>
      </c>
      <c r="D282" s="23" t="str">
        <f>"20210102118"</f>
        <v>20210102118</v>
      </c>
      <c r="E282" s="23">
        <v>65.9</v>
      </c>
      <c r="F282" s="23">
        <v>79.1</v>
      </c>
      <c r="G282" s="23">
        <f t="shared" si="59"/>
        <v>71.18</v>
      </c>
    </row>
    <row r="283" s="16" customFormat="1" spans="1:7">
      <c r="A283" s="23" t="s">
        <v>17</v>
      </c>
      <c r="B283" s="23" t="str">
        <f t="shared" ref="B283:B285" si="64">"22"</f>
        <v>22</v>
      </c>
      <c r="C283" s="23" t="str">
        <f>"12"</f>
        <v>12</v>
      </c>
      <c r="D283" s="23" t="str">
        <f>"20210102212"</f>
        <v>20210102212</v>
      </c>
      <c r="E283" s="23">
        <v>64.8</v>
      </c>
      <c r="F283" s="23">
        <v>74.2</v>
      </c>
      <c r="G283" s="23">
        <f t="shared" si="59"/>
        <v>68.56</v>
      </c>
    </row>
    <row r="284" s="16" customFormat="1" spans="1:7">
      <c r="A284" s="23" t="s">
        <v>17</v>
      </c>
      <c r="B284" s="23" t="str">
        <f t="shared" si="64"/>
        <v>22</v>
      </c>
      <c r="C284" s="23" t="str">
        <f>"03"</f>
        <v>03</v>
      </c>
      <c r="D284" s="23" t="str">
        <f>"20210102203"</f>
        <v>20210102203</v>
      </c>
      <c r="E284" s="23">
        <v>64.4</v>
      </c>
      <c r="F284" s="23">
        <v>76.7</v>
      </c>
      <c r="G284" s="23">
        <f t="shared" si="59"/>
        <v>69.32</v>
      </c>
    </row>
    <row r="285" s="16" customFormat="1" spans="1:7">
      <c r="A285" s="23" t="s">
        <v>17</v>
      </c>
      <c r="B285" s="23" t="str">
        <f t="shared" si="64"/>
        <v>22</v>
      </c>
      <c r="C285" s="23" t="str">
        <f>"09"</f>
        <v>09</v>
      </c>
      <c r="D285" s="23" t="str">
        <f>"20210102209"</f>
        <v>20210102209</v>
      </c>
      <c r="E285" s="23">
        <v>64.05</v>
      </c>
      <c r="F285" s="23">
        <v>74.9</v>
      </c>
      <c r="G285" s="23">
        <f t="shared" si="59"/>
        <v>68.39</v>
      </c>
    </row>
    <row r="286" s="16" customFormat="1" spans="1:7">
      <c r="A286" s="23" t="s">
        <v>17</v>
      </c>
      <c r="B286" s="23" t="str">
        <f>"23"</f>
        <v>23</v>
      </c>
      <c r="C286" s="23" t="str">
        <f>"29"</f>
        <v>29</v>
      </c>
      <c r="D286" s="23" t="str">
        <f>"20210102329"</f>
        <v>20210102329</v>
      </c>
      <c r="E286" s="23">
        <v>63.65</v>
      </c>
      <c r="F286" s="23">
        <v>68.7</v>
      </c>
      <c r="G286" s="23">
        <f t="shared" si="59"/>
        <v>65.67</v>
      </c>
    </row>
    <row r="287" s="16" customFormat="1" spans="1:7">
      <c r="A287" s="23" t="s">
        <v>17</v>
      </c>
      <c r="B287" s="23" t="str">
        <f t="shared" ref="B287:B292" si="65">"22"</f>
        <v>22</v>
      </c>
      <c r="C287" s="23" t="str">
        <f>"07"</f>
        <v>07</v>
      </c>
      <c r="D287" s="23" t="str">
        <f>"20210102207"</f>
        <v>20210102207</v>
      </c>
      <c r="E287" s="23">
        <v>59.7</v>
      </c>
      <c r="F287" s="23">
        <v>67.5</v>
      </c>
      <c r="G287" s="23">
        <f t="shared" si="59"/>
        <v>62.82</v>
      </c>
    </row>
    <row r="288" s="16" customFormat="1" spans="1:16374">
      <c r="A288" s="23" t="s">
        <v>17</v>
      </c>
      <c r="B288" s="23" t="str">
        <f>"21"</f>
        <v>21</v>
      </c>
      <c r="C288" s="23" t="str">
        <f>"19"</f>
        <v>19</v>
      </c>
      <c r="D288" s="23" t="str">
        <f>"20210102119"</f>
        <v>20210102119</v>
      </c>
      <c r="E288" s="23">
        <v>58.4</v>
      </c>
      <c r="F288" s="23">
        <v>0</v>
      </c>
      <c r="G288" s="23">
        <f t="shared" si="59"/>
        <v>35.04</v>
      </c>
      <c r="XEF288" s="18"/>
      <c r="XEG288" s="18"/>
      <c r="XEH288" s="18"/>
      <c r="XEI288" s="18"/>
      <c r="XEJ288" s="18"/>
      <c r="XEK288" s="18"/>
      <c r="XEL288" s="18"/>
      <c r="XEM288" s="18"/>
      <c r="XEN288" s="18"/>
      <c r="XEO288" s="18"/>
      <c r="XEP288" s="18"/>
      <c r="XEQ288" s="18"/>
      <c r="XER288" s="18"/>
      <c r="XES288" s="18"/>
      <c r="XET288" s="18"/>
    </row>
    <row r="289" s="16" customFormat="1" spans="1:16374">
      <c r="A289" s="23" t="s">
        <v>17</v>
      </c>
      <c r="B289" s="23" t="str">
        <f t="shared" si="65"/>
        <v>22</v>
      </c>
      <c r="C289" s="23" t="str">
        <f>"17"</f>
        <v>17</v>
      </c>
      <c r="D289" s="23" t="str">
        <f>"20210102217"</f>
        <v>20210102217</v>
      </c>
      <c r="E289" s="23">
        <v>58.05</v>
      </c>
      <c r="F289" s="23">
        <v>70.1</v>
      </c>
      <c r="G289" s="23">
        <f t="shared" si="59"/>
        <v>62.87</v>
      </c>
      <c r="XEF289" s="18"/>
      <c r="XEG289" s="18"/>
      <c r="XEH289" s="18"/>
      <c r="XEI289" s="18"/>
      <c r="XEJ289" s="18"/>
      <c r="XEK289" s="18"/>
      <c r="XEL289" s="18"/>
      <c r="XEM289" s="18"/>
      <c r="XEN289" s="18"/>
      <c r="XEO289" s="18"/>
      <c r="XEP289" s="18"/>
      <c r="XEQ289" s="18"/>
      <c r="XER289" s="18"/>
      <c r="XES289" s="18"/>
      <c r="XET289" s="18"/>
    </row>
    <row r="290" s="16" customFormat="1" spans="1:16374">
      <c r="A290" s="23" t="s">
        <v>17</v>
      </c>
      <c r="B290" s="23" t="str">
        <f>"23"</f>
        <v>23</v>
      </c>
      <c r="C290" s="23" t="str">
        <f>"11"</f>
        <v>11</v>
      </c>
      <c r="D290" s="23" t="str">
        <f>"20210102311"</f>
        <v>20210102311</v>
      </c>
      <c r="E290" s="23">
        <v>57.3</v>
      </c>
      <c r="F290" s="23">
        <v>0</v>
      </c>
      <c r="G290" s="23">
        <f t="shared" si="59"/>
        <v>34.38</v>
      </c>
      <c r="XEF290" s="18"/>
      <c r="XEG290" s="18"/>
      <c r="XEH290" s="18"/>
      <c r="XEI290" s="18"/>
      <c r="XEJ290" s="18"/>
      <c r="XEK290" s="18"/>
      <c r="XEL290" s="18"/>
      <c r="XEM290" s="18"/>
      <c r="XEN290" s="18"/>
      <c r="XEO290" s="18"/>
      <c r="XEP290" s="18"/>
      <c r="XEQ290" s="18"/>
      <c r="XER290" s="18"/>
      <c r="XES290" s="18"/>
      <c r="XET290" s="18"/>
    </row>
    <row r="291" s="16" customFormat="1" spans="1:16374">
      <c r="A291" s="23" t="s">
        <v>17</v>
      </c>
      <c r="B291" s="23" t="str">
        <f>"21"</f>
        <v>21</v>
      </c>
      <c r="C291" s="23" t="str">
        <f>"20"</f>
        <v>20</v>
      </c>
      <c r="D291" s="23" t="str">
        <f>"20210102120"</f>
        <v>20210102120</v>
      </c>
      <c r="E291" s="23">
        <v>56.35</v>
      </c>
      <c r="F291" s="23">
        <v>75</v>
      </c>
      <c r="G291" s="23">
        <f t="shared" si="59"/>
        <v>63.81</v>
      </c>
      <c r="XEF291" s="18"/>
      <c r="XEG291" s="18"/>
      <c r="XEH291" s="18"/>
      <c r="XEI291" s="18"/>
      <c r="XEJ291" s="18"/>
      <c r="XEK291" s="18"/>
      <c r="XEL291" s="18"/>
      <c r="XEM291" s="18"/>
      <c r="XEN291" s="18"/>
      <c r="XEO291" s="18"/>
      <c r="XEP291" s="18"/>
      <c r="XEQ291" s="18"/>
      <c r="XER291" s="18"/>
      <c r="XES291" s="18"/>
      <c r="XET291" s="18"/>
    </row>
    <row r="292" s="16" customFormat="1" spans="1:16374">
      <c r="A292" s="23" t="s">
        <v>17</v>
      </c>
      <c r="B292" s="23" t="str">
        <f t="shared" si="65"/>
        <v>22</v>
      </c>
      <c r="C292" s="23" t="str">
        <f>"05"</f>
        <v>05</v>
      </c>
      <c r="D292" s="23" t="str">
        <f>"20210102205"</f>
        <v>20210102205</v>
      </c>
      <c r="E292" s="23">
        <v>55.35</v>
      </c>
      <c r="F292" s="23">
        <v>0</v>
      </c>
      <c r="G292" s="23">
        <f t="shared" si="59"/>
        <v>33.21</v>
      </c>
      <c r="XEF292" s="18"/>
      <c r="XEG292" s="18"/>
      <c r="XEH292" s="18"/>
      <c r="XEI292" s="18"/>
      <c r="XEJ292" s="18"/>
      <c r="XEK292" s="18"/>
      <c r="XEL292" s="18"/>
      <c r="XEM292" s="18"/>
      <c r="XEN292" s="18"/>
      <c r="XEO292" s="18"/>
      <c r="XEP292" s="18"/>
      <c r="XEQ292" s="18"/>
      <c r="XER292" s="18"/>
      <c r="XES292" s="18"/>
      <c r="XET292" s="18"/>
    </row>
    <row r="293" s="16" customFormat="1" spans="1:16374">
      <c r="A293" s="23" t="s">
        <v>17</v>
      </c>
      <c r="B293" s="23" t="str">
        <f>"23"</f>
        <v>23</v>
      </c>
      <c r="C293" s="23" t="str">
        <f>"08"</f>
        <v>08</v>
      </c>
      <c r="D293" s="23" t="str">
        <f>"20210102308"</f>
        <v>20210102308</v>
      </c>
      <c r="E293" s="23">
        <v>55.05</v>
      </c>
      <c r="F293" s="23">
        <v>78.4</v>
      </c>
      <c r="G293" s="23">
        <f t="shared" si="59"/>
        <v>64.39</v>
      </c>
      <c r="XEF293" s="18"/>
      <c r="XEG293" s="18"/>
      <c r="XEH293" s="18"/>
      <c r="XEI293" s="18"/>
      <c r="XEJ293" s="18"/>
      <c r="XEK293" s="18"/>
      <c r="XEL293" s="18"/>
      <c r="XEM293" s="18"/>
      <c r="XEN293" s="18"/>
      <c r="XEO293" s="18"/>
      <c r="XEP293" s="18"/>
      <c r="XEQ293" s="18"/>
      <c r="XER293" s="18"/>
      <c r="XES293" s="18"/>
      <c r="XET293" s="18"/>
    </row>
    <row r="294" s="16" customFormat="1" spans="1:16374">
      <c r="A294" s="23" t="s">
        <v>17</v>
      </c>
      <c r="B294" s="23" t="str">
        <f>"22"</f>
        <v>22</v>
      </c>
      <c r="C294" s="23" t="str">
        <f>"10"</f>
        <v>10</v>
      </c>
      <c r="D294" s="23" t="str">
        <f>"20210102210"</f>
        <v>20210102210</v>
      </c>
      <c r="E294" s="23">
        <v>54.2</v>
      </c>
      <c r="F294" s="23">
        <v>66.5</v>
      </c>
      <c r="G294" s="23">
        <f t="shared" si="59"/>
        <v>59.12</v>
      </c>
      <c r="XEF294" s="18"/>
      <c r="XEG294" s="18"/>
      <c r="XEH294" s="18"/>
      <c r="XEI294" s="18"/>
      <c r="XEJ294" s="18"/>
      <c r="XEK294" s="18"/>
      <c r="XEL294" s="18"/>
      <c r="XEM294" s="18"/>
      <c r="XEN294" s="18"/>
      <c r="XEO294" s="18"/>
      <c r="XEP294" s="18"/>
      <c r="XEQ294" s="18"/>
      <c r="XER294" s="18"/>
      <c r="XES294" s="18"/>
      <c r="XET294" s="18"/>
    </row>
    <row r="295" s="16" customFormat="1" spans="1:16374">
      <c r="A295" s="23" t="s">
        <v>17</v>
      </c>
      <c r="B295" s="23" t="str">
        <f>"21"</f>
        <v>21</v>
      </c>
      <c r="C295" s="23" t="str">
        <f>"27"</f>
        <v>27</v>
      </c>
      <c r="D295" s="23" t="str">
        <f>"20210102127"</f>
        <v>20210102127</v>
      </c>
      <c r="E295" s="23">
        <v>54</v>
      </c>
      <c r="F295" s="23">
        <v>50</v>
      </c>
      <c r="G295" s="23">
        <f t="shared" si="59"/>
        <v>52.4</v>
      </c>
      <c r="XEF295" s="18"/>
      <c r="XEG295" s="18"/>
      <c r="XEH295" s="18"/>
      <c r="XEI295" s="18"/>
      <c r="XEJ295" s="18"/>
      <c r="XEK295" s="18"/>
      <c r="XEL295" s="18"/>
      <c r="XEM295" s="18"/>
      <c r="XEN295" s="18"/>
      <c r="XEO295" s="18"/>
      <c r="XEP295" s="18"/>
      <c r="XEQ295" s="18"/>
      <c r="XER295" s="18"/>
      <c r="XES295" s="18"/>
      <c r="XET295" s="18"/>
    </row>
    <row r="296" s="16" customFormat="1" spans="1:16374">
      <c r="A296" s="23" t="s">
        <v>17</v>
      </c>
      <c r="B296" s="23" t="str">
        <f>"22"</f>
        <v>22</v>
      </c>
      <c r="C296" s="23" t="str">
        <f>"28"</f>
        <v>28</v>
      </c>
      <c r="D296" s="23" t="str">
        <f>"20210102228"</f>
        <v>20210102228</v>
      </c>
      <c r="E296" s="23">
        <v>53.6</v>
      </c>
      <c r="F296" s="23">
        <v>63.6</v>
      </c>
      <c r="G296" s="23">
        <f t="shared" si="59"/>
        <v>57.6</v>
      </c>
      <c r="XEF296" s="18"/>
      <c r="XEG296" s="18"/>
      <c r="XEH296" s="18"/>
      <c r="XEI296" s="18"/>
      <c r="XEJ296" s="18"/>
      <c r="XEK296" s="18"/>
      <c r="XEL296" s="18"/>
      <c r="XEM296" s="18"/>
      <c r="XEN296" s="18"/>
      <c r="XEO296" s="18"/>
      <c r="XEP296" s="18"/>
      <c r="XEQ296" s="18"/>
      <c r="XER296" s="18"/>
      <c r="XES296" s="18"/>
      <c r="XET296" s="18"/>
    </row>
    <row r="297" s="16" customFormat="1" spans="1:7">
      <c r="A297" s="23" t="s">
        <v>18</v>
      </c>
      <c r="B297" s="23" t="str">
        <f t="shared" ref="B297:B299" si="66">"25"</f>
        <v>25</v>
      </c>
      <c r="C297" s="23" t="str">
        <f>"02"</f>
        <v>02</v>
      </c>
      <c r="D297" s="23" t="str">
        <f>"20210112502"</f>
        <v>20210112502</v>
      </c>
      <c r="E297" s="23">
        <v>84.15</v>
      </c>
      <c r="F297" s="23">
        <v>75.6</v>
      </c>
      <c r="G297" s="23">
        <f t="shared" si="59"/>
        <v>80.73</v>
      </c>
    </row>
    <row r="298" s="16" customFormat="1" spans="1:7">
      <c r="A298" s="23" t="s">
        <v>18</v>
      </c>
      <c r="B298" s="23" t="str">
        <f t="shared" si="66"/>
        <v>25</v>
      </c>
      <c r="C298" s="23" t="str">
        <f>"18"</f>
        <v>18</v>
      </c>
      <c r="D298" s="23" t="str">
        <f>"20210112518"</f>
        <v>20210112518</v>
      </c>
      <c r="E298" s="23">
        <v>81</v>
      </c>
      <c r="F298" s="23">
        <v>87.2</v>
      </c>
      <c r="G298" s="23">
        <f t="shared" si="59"/>
        <v>83.48</v>
      </c>
    </row>
    <row r="299" s="16" customFormat="1" spans="1:7">
      <c r="A299" s="23" t="s">
        <v>18</v>
      </c>
      <c r="B299" s="23" t="str">
        <f t="shared" si="66"/>
        <v>25</v>
      </c>
      <c r="C299" s="23" t="str">
        <f>"26"</f>
        <v>26</v>
      </c>
      <c r="D299" s="23" t="str">
        <f>"20210112526"</f>
        <v>20210112526</v>
      </c>
      <c r="E299" s="23">
        <v>81</v>
      </c>
      <c r="F299" s="23">
        <v>75.6</v>
      </c>
      <c r="G299" s="23">
        <f t="shared" si="59"/>
        <v>78.84</v>
      </c>
    </row>
    <row r="300" s="16" customFormat="1" spans="1:7">
      <c r="A300" s="23" t="s">
        <v>18</v>
      </c>
      <c r="B300" s="23" t="str">
        <f t="shared" ref="B300:B303" si="67">"24"</f>
        <v>24</v>
      </c>
      <c r="C300" s="23" t="str">
        <f>"22"</f>
        <v>22</v>
      </c>
      <c r="D300" s="23" t="str">
        <f>"20210112422"</f>
        <v>20210112422</v>
      </c>
      <c r="E300" s="23">
        <v>79.8</v>
      </c>
      <c r="F300" s="23">
        <v>87.8</v>
      </c>
      <c r="G300" s="23">
        <f t="shared" si="59"/>
        <v>83</v>
      </c>
    </row>
    <row r="301" s="16" customFormat="1" spans="1:7">
      <c r="A301" s="23" t="s">
        <v>18</v>
      </c>
      <c r="B301" s="23" t="str">
        <f t="shared" si="67"/>
        <v>24</v>
      </c>
      <c r="C301" s="23" t="str">
        <f>"13"</f>
        <v>13</v>
      </c>
      <c r="D301" s="23" t="str">
        <f>"20210112413"</f>
        <v>20210112413</v>
      </c>
      <c r="E301" s="23">
        <v>78.3</v>
      </c>
      <c r="F301" s="23">
        <v>76</v>
      </c>
      <c r="G301" s="23">
        <f t="shared" si="59"/>
        <v>77.38</v>
      </c>
    </row>
    <row r="302" s="16" customFormat="1" spans="1:7">
      <c r="A302" s="23" t="s">
        <v>18</v>
      </c>
      <c r="B302" s="23" t="str">
        <f t="shared" ref="B302:B306" si="68">"25"</f>
        <v>25</v>
      </c>
      <c r="C302" s="23" t="str">
        <f>"08"</f>
        <v>08</v>
      </c>
      <c r="D302" s="23" t="str">
        <f>"20210112508"</f>
        <v>20210112508</v>
      </c>
      <c r="E302" s="23">
        <v>77.1</v>
      </c>
      <c r="F302" s="23">
        <v>85</v>
      </c>
      <c r="G302" s="23">
        <f t="shared" si="59"/>
        <v>80.26</v>
      </c>
    </row>
    <row r="303" s="16" customFormat="1" spans="1:7">
      <c r="A303" s="23" t="s">
        <v>18</v>
      </c>
      <c r="B303" s="23" t="str">
        <f t="shared" si="67"/>
        <v>24</v>
      </c>
      <c r="C303" s="23" t="str">
        <f>"04"</f>
        <v>04</v>
      </c>
      <c r="D303" s="23" t="str">
        <f>"20210112404"</f>
        <v>20210112404</v>
      </c>
      <c r="E303" s="23">
        <v>76.9</v>
      </c>
      <c r="F303" s="23">
        <v>83.6</v>
      </c>
      <c r="G303" s="23">
        <f t="shared" si="59"/>
        <v>79.58</v>
      </c>
    </row>
    <row r="304" s="16" customFormat="1" spans="1:7">
      <c r="A304" s="23" t="s">
        <v>18</v>
      </c>
      <c r="B304" s="23" t="str">
        <f t="shared" si="68"/>
        <v>25</v>
      </c>
      <c r="C304" s="23" t="str">
        <f>"17"</f>
        <v>17</v>
      </c>
      <c r="D304" s="23" t="str">
        <f>"20210112517"</f>
        <v>20210112517</v>
      </c>
      <c r="E304" s="23">
        <v>76.4</v>
      </c>
      <c r="F304" s="23">
        <v>70.8</v>
      </c>
      <c r="G304" s="23">
        <f t="shared" si="59"/>
        <v>74.16</v>
      </c>
    </row>
    <row r="305" s="16" customFormat="1" spans="1:7">
      <c r="A305" s="23" t="s">
        <v>18</v>
      </c>
      <c r="B305" s="23" t="str">
        <f t="shared" si="68"/>
        <v>25</v>
      </c>
      <c r="C305" s="23" t="str">
        <f>"15"</f>
        <v>15</v>
      </c>
      <c r="D305" s="23" t="str">
        <f>"20210112515"</f>
        <v>20210112515</v>
      </c>
      <c r="E305" s="23">
        <v>76.1</v>
      </c>
      <c r="F305" s="23">
        <v>75.6</v>
      </c>
      <c r="G305" s="23">
        <f t="shared" si="59"/>
        <v>75.9</v>
      </c>
    </row>
    <row r="306" s="16" customFormat="1" spans="1:7">
      <c r="A306" s="23" t="s">
        <v>18</v>
      </c>
      <c r="B306" s="23" t="str">
        <f t="shared" si="68"/>
        <v>25</v>
      </c>
      <c r="C306" s="23" t="str">
        <f>"03"</f>
        <v>03</v>
      </c>
      <c r="D306" s="23" t="str">
        <f>"20210112503"</f>
        <v>20210112503</v>
      </c>
      <c r="E306" s="23">
        <v>75.2</v>
      </c>
      <c r="F306" s="23">
        <v>87</v>
      </c>
      <c r="G306" s="23">
        <f t="shared" si="59"/>
        <v>79.92</v>
      </c>
    </row>
    <row r="307" s="16" customFormat="1" spans="1:7">
      <c r="A307" s="23" t="s">
        <v>18</v>
      </c>
      <c r="B307" s="23" t="str">
        <f t="shared" ref="B307:B310" si="69">"24"</f>
        <v>24</v>
      </c>
      <c r="C307" s="23" t="str">
        <f>"24"</f>
        <v>24</v>
      </c>
      <c r="D307" s="23" t="str">
        <f>"20210112424"</f>
        <v>20210112424</v>
      </c>
      <c r="E307" s="23">
        <v>72.15</v>
      </c>
      <c r="F307" s="23">
        <v>78.6</v>
      </c>
      <c r="G307" s="23">
        <f t="shared" si="59"/>
        <v>74.73</v>
      </c>
    </row>
    <row r="308" s="16" customFormat="1" spans="1:7">
      <c r="A308" s="23" t="s">
        <v>18</v>
      </c>
      <c r="B308" s="23" t="str">
        <f t="shared" si="69"/>
        <v>24</v>
      </c>
      <c r="C308" s="23" t="str">
        <f>"21"</f>
        <v>21</v>
      </c>
      <c r="D308" s="23" t="str">
        <f>"20210112421"</f>
        <v>20210112421</v>
      </c>
      <c r="E308" s="23">
        <v>71.15</v>
      </c>
      <c r="F308" s="23">
        <v>80.8</v>
      </c>
      <c r="G308" s="23">
        <f t="shared" si="59"/>
        <v>75.01</v>
      </c>
    </row>
    <row r="309" s="16" customFormat="1" spans="1:7">
      <c r="A309" s="23" t="s">
        <v>18</v>
      </c>
      <c r="B309" s="23" t="str">
        <f>"25"</f>
        <v>25</v>
      </c>
      <c r="C309" s="23" t="str">
        <f>"05"</f>
        <v>05</v>
      </c>
      <c r="D309" s="23" t="str">
        <f>"20210112505"</f>
        <v>20210112505</v>
      </c>
      <c r="E309" s="23">
        <v>71.1</v>
      </c>
      <c r="F309" s="23">
        <v>79</v>
      </c>
      <c r="G309" s="23">
        <f t="shared" si="59"/>
        <v>74.26</v>
      </c>
    </row>
    <row r="310" s="16" customFormat="1" spans="1:7">
      <c r="A310" s="23" t="s">
        <v>18</v>
      </c>
      <c r="B310" s="23" t="str">
        <f t="shared" si="69"/>
        <v>24</v>
      </c>
      <c r="C310" s="23" t="str">
        <f>"25"</f>
        <v>25</v>
      </c>
      <c r="D310" s="23" t="str">
        <f>"20210112425"</f>
        <v>20210112425</v>
      </c>
      <c r="E310" s="23">
        <v>70.75</v>
      </c>
      <c r="F310" s="23">
        <v>88.2</v>
      </c>
      <c r="G310" s="23">
        <f t="shared" si="59"/>
        <v>77.73</v>
      </c>
    </row>
    <row r="311" s="16" customFormat="1" spans="1:7">
      <c r="A311" s="23" t="s">
        <v>18</v>
      </c>
      <c r="B311" s="23" t="str">
        <f>"25"</f>
        <v>25</v>
      </c>
      <c r="C311" s="23" t="str">
        <f>"21"</f>
        <v>21</v>
      </c>
      <c r="D311" s="23" t="str">
        <f>"20210112521"</f>
        <v>20210112521</v>
      </c>
      <c r="E311" s="23">
        <v>69.9</v>
      </c>
      <c r="F311" s="23">
        <v>53.8</v>
      </c>
      <c r="G311" s="23">
        <f t="shared" si="59"/>
        <v>63.46</v>
      </c>
    </row>
    <row r="312" s="16" customFormat="1" spans="1:7">
      <c r="A312" s="23" t="s">
        <v>18</v>
      </c>
      <c r="B312" s="23" t="str">
        <f>"26"</f>
        <v>26</v>
      </c>
      <c r="C312" s="23" t="str">
        <f>"07"</f>
        <v>07</v>
      </c>
      <c r="D312" s="23" t="str">
        <f>"20210112607"</f>
        <v>20210112607</v>
      </c>
      <c r="E312" s="23">
        <v>69.5</v>
      </c>
      <c r="F312" s="23">
        <v>85.6</v>
      </c>
      <c r="G312" s="23">
        <f t="shared" si="59"/>
        <v>75.94</v>
      </c>
    </row>
    <row r="313" s="16" customFormat="1" spans="1:7">
      <c r="A313" s="23" t="s">
        <v>18</v>
      </c>
      <c r="B313" s="23" t="str">
        <f t="shared" ref="B313:B316" si="70">"24"</f>
        <v>24</v>
      </c>
      <c r="C313" s="23" t="str">
        <f>"18"</f>
        <v>18</v>
      </c>
      <c r="D313" s="23" t="str">
        <f>"20210112418"</f>
        <v>20210112418</v>
      </c>
      <c r="E313" s="23">
        <v>69.1</v>
      </c>
      <c r="F313" s="23">
        <v>86.8</v>
      </c>
      <c r="G313" s="23">
        <f t="shared" si="59"/>
        <v>76.18</v>
      </c>
    </row>
    <row r="314" s="16" customFormat="1" spans="1:7">
      <c r="A314" s="23" t="s">
        <v>18</v>
      </c>
      <c r="B314" s="23" t="str">
        <f t="shared" si="70"/>
        <v>24</v>
      </c>
      <c r="C314" s="23" t="str">
        <f>"02"</f>
        <v>02</v>
      </c>
      <c r="D314" s="23" t="str">
        <f>"20210112402"</f>
        <v>20210112402</v>
      </c>
      <c r="E314" s="23">
        <v>68</v>
      </c>
      <c r="F314" s="23">
        <v>75.8</v>
      </c>
      <c r="G314" s="23">
        <f t="shared" si="59"/>
        <v>71.12</v>
      </c>
    </row>
    <row r="315" s="16" customFormat="1" spans="1:7">
      <c r="A315" s="23" t="s">
        <v>18</v>
      </c>
      <c r="B315" s="23" t="str">
        <f t="shared" si="70"/>
        <v>24</v>
      </c>
      <c r="C315" s="23" t="str">
        <f>"17"</f>
        <v>17</v>
      </c>
      <c r="D315" s="23" t="str">
        <f>"20210112417"</f>
        <v>20210112417</v>
      </c>
      <c r="E315" s="23">
        <v>65.7</v>
      </c>
      <c r="F315" s="23">
        <v>81.6</v>
      </c>
      <c r="G315" s="23">
        <f t="shared" si="59"/>
        <v>72.06</v>
      </c>
    </row>
    <row r="316" s="16" customFormat="1" spans="1:7">
      <c r="A316" s="23" t="s">
        <v>18</v>
      </c>
      <c r="B316" s="23" t="str">
        <f t="shared" si="70"/>
        <v>24</v>
      </c>
      <c r="C316" s="23" t="str">
        <f>"19"</f>
        <v>19</v>
      </c>
      <c r="D316" s="23" t="str">
        <f>"20210112419"</f>
        <v>20210112419</v>
      </c>
      <c r="E316" s="23">
        <v>65.4</v>
      </c>
      <c r="F316" s="23">
        <v>79.6</v>
      </c>
      <c r="G316" s="23">
        <f t="shared" si="59"/>
        <v>71.08</v>
      </c>
    </row>
    <row r="317" s="16" customFormat="1" spans="1:7">
      <c r="A317" s="23" t="s">
        <v>18</v>
      </c>
      <c r="B317" s="23" t="str">
        <f>"25"</f>
        <v>25</v>
      </c>
      <c r="C317" s="23" t="str">
        <f>"22"</f>
        <v>22</v>
      </c>
      <c r="D317" s="23" t="str">
        <f>"20210112522"</f>
        <v>20210112522</v>
      </c>
      <c r="E317" s="23">
        <v>64.9</v>
      </c>
      <c r="F317" s="23">
        <v>83</v>
      </c>
      <c r="G317" s="23">
        <f t="shared" si="59"/>
        <v>72.14</v>
      </c>
    </row>
    <row r="318" s="16" customFormat="1" spans="1:7">
      <c r="A318" s="23" t="s">
        <v>18</v>
      </c>
      <c r="B318" s="23" t="str">
        <f>"26"</f>
        <v>26</v>
      </c>
      <c r="C318" s="23" t="str">
        <f>"01"</f>
        <v>01</v>
      </c>
      <c r="D318" s="23" t="str">
        <f>"20210112601"</f>
        <v>20210112601</v>
      </c>
      <c r="E318" s="23">
        <v>63.2</v>
      </c>
      <c r="F318" s="23">
        <v>78.8</v>
      </c>
      <c r="G318" s="23">
        <f t="shared" si="59"/>
        <v>69.44</v>
      </c>
    </row>
    <row r="319" s="16" customFormat="1" spans="1:7">
      <c r="A319" s="23" t="s">
        <v>18</v>
      </c>
      <c r="B319" s="23" t="str">
        <f>"25"</f>
        <v>25</v>
      </c>
      <c r="C319" s="23" t="str">
        <f>"16"</f>
        <v>16</v>
      </c>
      <c r="D319" s="23" t="str">
        <f>"20210112516"</f>
        <v>20210112516</v>
      </c>
      <c r="E319" s="23">
        <v>63</v>
      </c>
      <c r="F319" s="23">
        <v>80.8</v>
      </c>
      <c r="G319" s="23">
        <f t="shared" si="59"/>
        <v>70.12</v>
      </c>
    </row>
    <row r="320" s="16" customFormat="1" spans="1:7">
      <c r="A320" s="23" t="s">
        <v>18</v>
      </c>
      <c r="B320" s="23" t="str">
        <f t="shared" ref="B320:B323" si="71">"24"</f>
        <v>24</v>
      </c>
      <c r="C320" s="23" t="str">
        <f>"07"</f>
        <v>07</v>
      </c>
      <c r="D320" s="23" t="str">
        <f>"20210112407"</f>
        <v>20210112407</v>
      </c>
      <c r="E320" s="23">
        <v>62.25</v>
      </c>
      <c r="F320" s="23">
        <v>70.4</v>
      </c>
      <c r="G320" s="23">
        <f t="shared" si="59"/>
        <v>65.51</v>
      </c>
    </row>
    <row r="321" s="16" customFormat="1" spans="1:7">
      <c r="A321" s="23" t="s">
        <v>18</v>
      </c>
      <c r="B321" s="23" t="str">
        <f t="shared" si="71"/>
        <v>24</v>
      </c>
      <c r="C321" s="23" t="str">
        <f>"08"</f>
        <v>08</v>
      </c>
      <c r="D321" s="23" t="str">
        <f>"20210112408"</f>
        <v>20210112408</v>
      </c>
      <c r="E321" s="23">
        <v>62.1</v>
      </c>
      <c r="F321" s="23">
        <v>80.8</v>
      </c>
      <c r="G321" s="23">
        <f t="shared" si="59"/>
        <v>69.58</v>
      </c>
    </row>
    <row r="322" s="16" customFormat="1" spans="1:7">
      <c r="A322" s="23" t="s">
        <v>18</v>
      </c>
      <c r="B322" s="23" t="str">
        <f t="shared" si="71"/>
        <v>24</v>
      </c>
      <c r="C322" s="23" t="str">
        <f>"30"</f>
        <v>30</v>
      </c>
      <c r="D322" s="23" t="str">
        <f>"20210112430"</f>
        <v>20210112430</v>
      </c>
      <c r="E322" s="23">
        <v>60.7</v>
      </c>
      <c r="F322" s="23">
        <v>76.8</v>
      </c>
      <c r="G322" s="23">
        <f t="shared" si="59"/>
        <v>67.14</v>
      </c>
    </row>
    <row r="323" s="16" customFormat="1" spans="1:7">
      <c r="A323" s="23" t="s">
        <v>18</v>
      </c>
      <c r="B323" s="23" t="str">
        <f t="shared" si="71"/>
        <v>24</v>
      </c>
      <c r="C323" s="23" t="str">
        <f>"16"</f>
        <v>16</v>
      </c>
      <c r="D323" s="23" t="str">
        <f>"20210112416"</f>
        <v>20210112416</v>
      </c>
      <c r="E323" s="23">
        <v>60.55</v>
      </c>
      <c r="F323" s="23">
        <v>75.6</v>
      </c>
      <c r="G323" s="23">
        <f t="shared" ref="G323:G386" si="72">E323*0.6+F323*0.4</f>
        <v>66.57</v>
      </c>
    </row>
    <row r="324" s="16" customFormat="1" spans="1:16374">
      <c r="A324" s="23" t="s">
        <v>18</v>
      </c>
      <c r="B324" s="23" t="str">
        <f>"26"</f>
        <v>26</v>
      </c>
      <c r="C324" s="23" t="str">
        <f>"02"</f>
        <v>02</v>
      </c>
      <c r="D324" s="23" t="str">
        <f>"20210112602"</f>
        <v>20210112602</v>
      </c>
      <c r="E324" s="23">
        <v>59.8</v>
      </c>
      <c r="F324" s="23">
        <v>82.2</v>
      </c>
      <c r="G324" s="23">
        <f t="shared" si="72"/>
        <v>68.76</v>
      </c>
      <c r="XEF324" s="18"/>
      <c r="XEG324" s="18"/>
      <c r="XEH324" s="18"/>
      <c r="XEI324" s="18"/>
      <c r="XEJ324" s="18"/>
      <c r="XEK324" s="18"/>
      <c r="XEL324" s="18"/>
      <c r="XEM324" s="18"/>
      <c r="XEN324" s="18"/>
      <c r="XEO324" s="18"/>
      <c r="XEP324" s="18"/>
      <c r="XEQ324" s="18"/>
      <c r="XER324" s="18"/>
      <c r="XES324" s="18"/>
      <c r="XET324" s="18"/>
    </row>
    <row r="325" s="16" customFormat="1" spans="1:16374">
      <c r="A325" s="23" t="s">
        <v>18</v>
      </c>
      <c r="B325" s="23" t="str">
        <f>"24"</f>
        <v>24</v>
      </c>
      <c r="C325" s="23" t="str">
        <f>"12"</f>
        <v>12</v>
      </c>
      <c r="D325" s="23" t="str">
        <f>"20210112412"</f>
        <v>20210112412</v>
      </c>
      <c r="E325" s="23">
        <v>59.3</v>
      </c>
      <c r="F325" s="23">
        <v>87</v>
      </c>
      <c r="G325" s="23">
        <f t="shared" si="72"/>
        <v>70.38</v>
      </c>
      <c r="XEF325" s="18"/>
      <c r="XEG325" s="18"/>
      <c r="XEH325" s="18"/>
      <c r="XEI325" s="18"/>
      <c r="XEJ325" s="18"/>
      <c r="XEK325" s="18"/>
      <c r="XEL325" s="18"/>
      <c r="XEM325" s="18"/>
      <c r="XEN325" s="18"/>
      <c r="XEO325" s="18"/>
      <c r="XEP325" s="18"/>
      <c r="XEQ325" s="18"/>
      <c r="XER325" s="18"/>
      <c r="XES325" s="18"/>
      <c r="XET325" s="18"/>
    </row>
    <row r="326" s="16" customFormat="1" spans="1:16374">
      <c r="A326" s="23" t="s">
        <v>18</v>
      </c>
      <c r="B326" s="23" t="str">
        <f>"26"</f>
        <v>26</v>
      </c>
      <c r="C326" s="23" t="str">
        <f>"09"</f>
        <v>09</v>
      </c>
      <c r="D326" s="23" t="str">
        <f>"20210112609"</f>
        <v>20210112609</v>
      </c>
      <c r="E326" s="23">
        <v>59.3</v>
      </c>
      <c r="F326" s="23">
        <v>78.2</v>
      </c>
      <c r="G326" s="23">
        <f t="shared" si="72"/>
        <v>66.86</v>
      </c>
      <c r="XEF326" s="18"/>
      <c r="XEG326" s="18"/>
      <c r="XEH326" s="18"/>
      <c r="XEI326" s="18"/>
      <c r="XEJ326" s="18"/>
      <c r="XEK326" s="18"/>
      <c r="XEL326" s="18"/>
      <c r="XEM326" s="18"/>
      <c r="XEN326" s="18"/>
      <c r="XEO326" s="18"/>
      <c r="XEP326" s="18"/>
      <c r="XEQ326" s="18"/>
      <c r="XER326" s="18"/>
      <c r="XES326" s="18"/>
      <c r="XET326" s="18"/>
    </row>
    <row r="327" s="16" customFormat="1" spans="1:16374">
      <c r="A327" s="23" t="s">
        <v>18</v>
      </c>
      <c r="B327" s="23" t="str">
        <f>"25"</f>
        <v>25</v>
      </c>
      <c r="C327" s="23" t="str">
        <f>"12"</f>
        <v>12</v>
      </c>
      <c r="D327" s="23" t="str">
        <f>"20210112512"</f>
        <v>20210112512</v>
      </c>
      <c r="E327" s="23">
        <v>58.8</v>
      </c>
      <c r="F327" s="23">
        <v>80.4</v>
      </c>
      <c r="G327" s="23">
        <f t="shared" si="72"/>
        <v>67.44</v>
      </c>
      <c r="XEF327" s="18"/>
      <c r="XEG327" s="18"/>
      <c r="XEH327" s="18"/>
      <c r="XEI327" s="18"/>
      <c r="XEJ327" s="18"/>
      <c r="XEK327" s="18"/>
      <c r="XEL327" s="18"/>
      <c r="XEM327" s="18"/>
      <c r="XEN327" s="18"/>
      <c r="XEO327" s="18"/>
      <c r="XEP327" s="18"/>
      <c r="XEQ327" s="18"/>
      <c r="XER327" s="18"/>
      <c r="XES327" s="18"/>
      <c r="XET327" s="18"/>
    </row>
    <row r="328" s="16" customFormat="1" spans="1:16374">
      <c r="A328" s="23" t="s">
        <v>18</v>
      </c>
      <c r="B328" s="23" t="str">
        <f>"24"</f>
        <v>24</v>
      </c>
      <c r="C328" s="23" t="str">
        <f>"27"</f>
        <v>27</v>
      </c>
      <c r="D328" s="23" t="str">
        <f>"20210112427"</f>
        <v>20210112427</v>
      </c>
      <c r="E328" s="23">
        <v>58.7</v>
      </c>
      <c r="F328" s="23">
        <v>67</v>
      </c>
      <c r="G328" s="23">
        <f t="shared" si="72"/>
        <v>62.02</v>
      </c>
      <c r="XEF328" s="18"/>
      <c r="XEG328" s="18"/>
      <c r="XEH328" s="18"/>
      <c r="XEI328" s="18"/>
      <c r="XEJ328" s="18"/>
      <c r="XEK328" s="18"/>
      <c r="XEL328" s="18"/>
      <c r="XEM328" s="18"/>
      <c r="XEN328" s="18"/>
      <c r="XEO328" s="18"/>
      <c r="XEP328" s="18"/>
      <c r="XEQ328" s="18"/>
      <c r="XER328" s="18"/>
      <c r="XES328" s="18"/>
      <c r="XET328" s="18"/>
    </row>
    <row r="329" s="16" customFormat="1" spans="1:7">
      <c r="A329" s="23" t="s">
        <v>19</v>
      </c>
      <c r="B329" s="23" t="str">
        <f t="shared" ref="B329:B336" si="73">"27"</f>
        <v>27</v>
      </c>
      <c r="C329" s="23" t="str">
        <f>"03"</f>
        <v>03</v>
      </c>
      <c r="D329" s="23" t="str">
        <f>"20210122703"</f>
        <v>20210122703</v>
      </c>
      <c r="E329" s="23">
        <v>79.1</v>
      </c>
      <c r="F329" s="23">
        <v>66</v>
      </c>
      <c r="G329" s="23">
        <f t="shared" si="72"/>
        <v>73.86</v>
      </c>
    </row>
    <row r="330" s="16" customFormat="1" spans="1:7">
      <c r="A330" s="23" t="s">
        <v>19</v>
      </c>
      <c r="B330" s="23" t="str">
        <f>"28"</f>
        <v>28</v>
      </c>
      <c r="C330" s="23" t="str">
        <f>"02"</f>
        <v>02</v>
      </c>
      <c r="D330" s="23" t="str">
        <f>"20210122802"</f>
        <v>20210122802</v>
      </c>
      <c r="E330" s="23">
        <v>74.1</v>
      </c>
      <c r="F330" s="23">
        <v>76.6</v>
      </c>
      <c r="G330" s="23">
        <f t="shared" si="72"/>
        <v>75.1</v>
      </c>
    </row>
    <row r="331" s="16" customFormat="1" spans="1:7">
      <c r="A331" s="23" t="s">
        <v>19</v>
      </c>
      <c r="B331" s="23" t="str">
        <f>"26"</f>
        <v>26</v>
      </c>
      <c r="C331" s="23" t="str">
        <f>"12"</f>
        <v>12</v>
      </c>
      <c r="D331" s="23" t="str">
        <f>"20210122612"</f>
        <v>20210122612</v>
      </c>
      <c r="E331" s="23">
        <v>69.6</v>
      </c>
      <c r="F331" s="23">
        <v>73.8</v>
      </c>
      <c r="G331" s="23">
        <f t="shared" si="72"/>
        <v>71.28</v>
      </c>
    </row>
    <row r="332" s="16" customFormat="1" spans="1:7">
      <c r="A332" s="23" t="s">
        <v>19</v>
      </c>
      <c r="B332" s="23" t="str">
        <f t="shared" si="73"/>
        <v>27</v>
      </c>
      <c r="C332" s="23" t="str">
        <f>"17"</f>
        <v>17</v>
      </c>
      <c r="D332" s="23" t="str">
        <f>"20210122717"</f>
        <v>20210122717</v>
      </c>
      <c r="E332" s="23">
        <v>67.1</v>
      </c>
      <c r="F332" s="23">
        <v>67.2</v>
      </c>
      <c r="G332" s="23">
        <f t="shared" si="72"/>
        <v>67.14</v>
      </c>
    </row>
    <row r="333" s="16" customFormat="1" spans="1:7">
      <c r="A333" s="23" t="s">
        <v>19</v>
      </c>
      <c r="B333" s="23" t="str">
        <f>"26"</f>
        <v>26</v>
      </c>
      <c r="C333" s="23" t="str">
        <f>"29"</f>
        <v>29</v>
      </c>
      <c r="D333" s="23" t="str">
        <f>"20210122629"</f>
        <v>20210122629</v>
      </c>
      <c r="E333" s="23">
        <v>66.3</v>
      </c>
      <c r="F333" s="23">
        <v>74.6</v>
      </c>
      <c r="G333" s="23">
        <f t="shared" si="72"/>
        <v>69.62</v>
      </c>
    </row>
    <row r="334" s="16" customFormat="1" spans="1:7">
      <c r="A334" s="23" t="s">
        <v>19</v>
      </c>
      <c r="B334" s="23" t="str">
        <f t="shared" si="73"/>
        <v>27</v>
      </c>
      <c r="C334" s="23" t="str">
        <f>"26"</f>
        <v>26</v>
      </c>
      <c r="D334" s="23" t="str">
        <f>"20210122726"</f>
        <v>20210122726</v>
      </c>
      <c r="E334" s="23">
        <v>66</v>
      </c>
      <c r="F334" s="23">
        <v>71.6</v>
      </c>
      <c r="G334" s="23">
        <f t="shared" si="72"/>
        <v>68.24</v>
      </c>
    </row>
    <row r="335" s="16" customFormat="1" spans="1:7">
      <c r="A335" s="23" t="s">
        <v>19</v>
      </c>
      <c r="B335" s="23" t="str">
        <f t="shared" si="73"/>
        <v>27</v>
      </c>
      <c r="C335" s="23" t="str">
        <f>"07"</f>
        <v>07</v>
      </c>
      <c r="D335" s="23" t="str">
        <f>"20210122707"</f>
        <v>20210122707</v>
      </c>
      <c r="E335" s="23">
        <v>65.3</v>
      </c>
      <c r="F335" s="23">
        <v>79.2</v>
      </c>
      <c r="G335" s="23">
        <f t="shared" si="72"/>
        <v>70.86</v>
      </c>
    </row>
    <row r="336" s="16" customFormat="1" spans="1:7">
      <c r="A336" s="23" t="s">
        <v>19</v>
      </c>
      <c r="B336" s="23" t="str">
        <f t="shared" si="73"/>
        <v>27</v>
      </c>
      <c r="C336" s="23" t="str">
        <f>"15"</f>
        <v>15</v>
      </c>
      <c r="D336" s="23" t="str">
        <f>"20210122715"</f>
        <v>20210122715</v>
      </c>
      <c r="E336" s="23">
        <v>64.4</v>
      </c>
      <c r="F336" s="23">
        <v>81.8</v>
      </c>
      <c r="G336" s="23">
        <f t="shared" si="72"/>
        <v>71.36</v>
      </c>
    </row>
    <row r="337" s="16" customFormat="1" spans="1:7">
      <c r="A337" s="23" t="s">
        <v>19</v>
      </c>
      <c r="B337" s="23" t="str">
        <f t="shared" ref="B337:B341" si="74">"26"</f>
        <v>26</v>
      </c>
      <c r="C337" s="23" t="str">
        <f>"17"</f>
        <v>17</v>
      </c>
      <c r="D337" s="23" t="str">
        <f>"20210122617"</f>
        <v>20210122617</v>
      </c>
      <c r="E337" s="23">
        <v>64.15</v>
      </c>
      <c r="F337" s="23">
        <v>71.8</v>
      </c>
      <c r="G337" s="23">
        <f t="shared" si="72"/>
        <v>67.21</v>
      </c>
    </row>
    <row r="338" s="16" customFormat="1" spans="1:7">
      <c r="A338" s="23" t="s">
        <v>19</v>
      </c>
      <c r="B338" s="23" t="str">
        <f t="shared" ref="B338:B343" si="75">"27"</f>
        <v>27</v>
      </c>
      <c r="C338" s="23" t="str">
        <f>"13"</f>
        <v>13</v>
      </c>
      <c r="D338" s="23" t="str">
        <f>"20210122713"</f>
        <v>20210122713</v>
      </c>
      <c r="E338" s="23">
        <v>62.3</v>
      </c>
      <c r="F338" s="23">
        <v>79.6</v>
      </c>
      <c r="G338" s="23">
        <f t="shared" si="72"/>
        <v>69.22</v>
      </c>
    </row>
    <row r="339" s="16" customFormat="1" spans="1:7">
      <c r="A339" s="23" t="s">
        <v>19</v>
      </c>
      <c r="B339" s="23" t="str">
        <f t="shared" si="74"/>
        <v>26</v>
      </c>
      <c r="C339" s="23" t="str">
        <f>"16"</f>
        <v>16</v>
      </c>
      <c r="D339" s="23" t="str">
        <f>"20210122616"</f>
        <v>20210122616</v>
      </c>
      <c r="E339" s="23">
        <v>61.7</v>
      </c>
      <c r="F339" s="23">
        <v>81.8</v>
      </c>
      <c r="G339" s="23">
        <f t="shared" si="72"/>
        <v>69.74</v>
      </c>
    </row>
    <row r="340" s="16" customFormat="1" spans="1:7">
      <c r="A340" s="23" t="s">
        <v>19</v>
      </c>
      <c r="B340" s="23" t="str">
        <f t="shared" si="74"/>
        <v>26</v>
      </c>
      <c r="C340" s="23" t="str">
        <f>"15"</f>
        <v>15</v>
      </c>
      <c r="D340" s="23" t="str">
        <f>"20210122615"</f>
        <v>20210122615</v>
      </c>
      <c r="E340" s="23">
        <v>61.6</v>
      </c>
      <c r="F340" s="23">
        <v>61</v>
      </c>
      <c r="G340" s="23">
        <f t="shared" si="72"/>
        <v>61.36</v>
      </c>
    </row>
    <row r="341" s="16" customFormat="1" spans="1:7">
      <c r="A341" s="23" t="s">
        <v>19</v>
      </c>
      <c r="B341" s="23" t="str">
        <f t="shared" si="74"/>
        <v>26</v>
      </c>
      <c r="C341" s="23" t="str">
        <f>"22"</f>
        <v>22</v>
      </c>
      <c r="D341" s="23" t="str">
        <f>"20210122622"</f>
        <v>20210122622</v>
      </c>
      <c r="E341" s="23">
        <v>60.3</v>
      </c>
      <c r="F341" s="23">
        <v>81</v>
      </c>
      <c r="G341" s="23">
        <f t="shared" si="72"/>
        <v>68.58</v>
      </c>
    </row>
    <row r="342" s="16" customFormat="1" spans="1:7">
      <c r="A342" s="23" t="s">
        <v>19</v>
      </c>
      <c r="B342" s="23" t="str">
        <f t="shared" si="75"/>
        <v>27</v>
      </c>
      <c r="C342" s="23" t="str">
        <f>"08"</f>
        <v>08</v>
      </c>
      <c r="D342" s="23" t="str">
        <f>"20210122708"</f>
        <v>20210122708</v>
      </c>
      <c r="E342" s="23">
        <v>59.1</v>
      </c>
      <c r="F342" s="23">
        <v>68</v>
      </c>
      <c r="G342" s="23">
        <f t="shared" si="72"/>
        <v>62.66</v>
      </c>
    </row>
    <row r="343" s="16" customFormat="1" spans="1:7">
      <c r="A343" s="23" t="s">
        <v>19</v>
      </c>
      <c r="B343" s="23" t="str">
        <f t="shared" si="75"/>
        <v>27</v>
      </c>
      <c r="C343" s="23" t="str">
        <f>"02"</f>
        <v>02</v>
      </c>
      <c r="D343" s="23" t="str">
        <f>"20210122702"</f>
        <v>20210122702</v>
      </c>
      <c r="E343" s="23">
        <v>59</v>
      </c>
      <c r="F343" s="23">
        <v>83.6</v>
      </c>
      <c r="G343" s="23">
        <f t="shared" si="72"/>
        <v>68.84</v>
      </c>
    </row>
    <row r="344" s="16" customFormat="1" spans="1:7">
      <c r="A344" s="23" t="s">
        <v>19</v>
      </c>
      <c r="B344" s="23" t="str">
        <f t="shared" ref="B344:B348" si="76">"26"</f>
        <v>26</v>
      </c>
      <c r="C344" s="23" t="str">
        <f>"25"</f>
        <v>25</v>
      </c>
      <c r="D344" s="23" t="str">
        <f>"20210122625"</f>
        <v>20210122625</v>
      </c>
      <c r="E344" s="23">
        <v>58.9</v>
      </c>
      <c r="F344" s="23">
        <v>83.6</v>
      </c>
      <c r="G344" s="23">
        <f t="shared" si="72"/>
        <v>68.78</v>
      </c>
    </row>
    <row r="345" s="16" customFormat="1" spans="1:7">
      <c r="A345" s="23" t="s">
        <v>19</v>
      </c>
      <c r="B345" s="23" t="str">
        <f t="shared" si="76"/>
        <v>26</v>
      </c>
      <c r="C345" s="23" t="str">
        <f>"14"</f>
        <v>14</v>
      </c>
      <c r="D345" s="23" t="str">
        <f>"20210122614"</f>
        <v>20210122614</v>
      </c>
      <c r="E345" s="23">
        <v>57.8</v>
      </c>
      <c r="F345" s="23">
        <v>69.6</v>
      </c>
      <c r="G345" s="23">
        <f t="shared" si="72"/>
        <v>62.52</v>
      </c>
    </row>
    <row r="346" s="16" customFormat="1" spans="1:7">
      <c r="A346" s="23" t="s">
        <v>19</v>
      </c>
      <c r="B346" s="23" t="str">
        <f>"27"</f>
        <v>27</v>
      </c>
      <c r="C346" s="23" t="str">
        <f>"05"</f>
        <v>05</v>
      </c>
      <c r="D346" s="23" t="str">
        <f>"20210122705"</f>
        <v>20210122705</v>
      </c>
      <c r="E346" s="23">
        <v>57.1</v>
      </c>
      <c r="F346" s="23">
        <v>65.2</v>
      </c>
      <c r="G346" s="23">
        <f t="shared" si="72"/>
        <v>60.34</v>
      </c>
    </row>
    <row r="347" s="16" customFormat="1" spans="1:7">
      <c r="A347" s="23" t="s">
        <v>19</v>
      </c>
      <c r="B347" s="23" t="str">
        <f>"28"</f>
        <v>28</v>
      </c>
      <c r="C347" s="23" t="str">
        <f>"04"</f>
        <v>04</v>
      </c>
      <c r="D347" s="23" t="str">
        <f>"20210122804"</f>
        <v>20210122804</v>
      </c>
      <c r="E347" s="23">
        <v>56.35</v>
      </c>
      <c r="F347" s="23">
        <v>83.6</v>
      </c>
      <c r="G347" s="23">
        <f t="shared" si="72"/>
        <v>67.25</v>
      </c>
    </row>
    <row r="348" s="16" customFormat="1" spans="1:7">
      <c r="A348" s="23" t="s">
        <v>19</v>
      </c>
      <c r="B348" s="23" t="str">
        <f t="shared" si="76"/>
        <v>26</v>
      </c>
      <c r="C348" s="23" t="str">
        <f>"28"</f>
        <v>28</v>
      </c>
      <c r="D348" s="23" t="str">
        <f>"20210122628"</f>
        <v>20210122628</v>
      </c>
      <c r="E348" s="23">
        <v>55.9</v>
      </c>
      <c r="F348" s="23">
        <v>81.4</v>
      </c>
      <c r="G348" s="23">
        <f t="shared" si="72"/>
        <v>66.1</v>
      </c>
    </row>
    <row r="349" s="16" customFormat="1" spans="1:7">
      <c r="A349" s="23" t="s">
        <v>19</v>
      </c>
      <c r="B349" s="23" t="str">
        <f t="shared" ref="B349:B353" si="77">"27"</f>
        <v>27</v>
      </c>
      <c r="C349" s="23" t="str">
        <f>"23"</f>
        <v>23</v>
      </c>
      <c r="D349" s="23" t="str">
        <f>"20210122723"</f>
        <v>20210122723</v>
      </c>
      <c r="E349" s="23">
        <v>54.1</v>
      </c>
      <c r="F349" s="23">
        <v>74.4</v>
      </c>
      <c r="G349" s="23">
        <f t="shared" si="72"/>
        <v>62.22</v>
      </c>
    </row>
    <row r="350" s="16" customFormat="1" spans="1:7">
      <c r="A350" s="23" t="s">
        <v>19</v>
      </c>
      <c r="B350" s="23" t="str">
        <f>"26"</f>
        <v>26</v>
      </c>
      <c r="C350" s="23" t="str">
        <f>"30"</f>
        <v>30</v>
      </c>
      <c r="D350" s="23" t="str">
        <f>"20210122630"</f>
        <v>20210122630</v>
      </c>
      <c r="E350" s="23">
        <v>53.35</v>
      </c>
      <c r="F350" s="23">
        <v>73.6</v>
      </c>
      <c r="G350" s="23">
        <f t="shared" si="72"/>
        <v>61.45</v>
      </c>
    </row>
    <row r="351" s="16" customFormat="1" spans="1:7">
      <c r="A351" s="23" t="s">
        <v>19</v>
      </c>
      <c r="B351" s="23" t="str">
        <f>"26"</f>
        <v>26</v>
      </c>
      <c r="C351" s="23" t="str">
        <f>"21"</f>
        <v>21</v>
      </c>
      <c r="D351" s="23" t="str">
        <f>"20210122621"</f>
        <v>20210122621</v>
      </c>
      <c r="E351" s="23">
        <v>52.6</v>
      </c>
      <c r="F351" s="23">
        <v>71.8</v>
      </c>
      <c r="G351" s="23">
        <f t="shared" si="72"/>
        <v>60.28</v>
      </c>
    </row>
    <row r="352" s="16" customFormat="1" spans="1:7">
      <c r="A352" s="23" t="s">
        <v>19</v>
      </c>
      <c r="B352" s="23" t="str">
        <f t="shared" si="77"/>
        <v>27</v>
      </c>
      <c r="C352" s="23" t="str">
        <f>"20"</f>
        <v>20</v>
      </c>
      <c r="D352" s="23" t="str">
        <f>"20210122720"</f>
        <v>20210122720</v>
      </c>
      <c r="E352" s="23">
        <v>52.55</v>
      </c>
      <c r="F352" s="23">
        <v>67.2</v>
      </c>
      <c r="G352" s="23">
        <f t="shared" si="72"/>
        <v>58.41</v>
      </c>
    </row>
    <row r="353" s="16" customFormat="1" spans="1:7">
      <c r="A353" s="23" t="s">
        <v>19</v>
      </c>
      <c r="B353" s="23" t="str">
        <f t="shared" si="77"/>
        <v>27</v>
      </c>
      <c r="C353" s="23" t="str">
        <f>"28"</f>
        <v>28</v>
      </c>
      <c r="D353" s="23" t="str">
        <f>"20210122728"</f>
        <v>20210122728</v>
      </c>
      <c r="E353" s="23">
        <v>51.3</v>
      </c>
      <c r="F353" s="23">
        <v>68.2</v>
      </c>
      <c r="G353" s="23">
        <f t="shared" si="72"/>
        <v>58.06</v>
      </c>
    </row>
    <row r="354" s="16" customFormat="1" spans="1:7">
      <c r="A354" s="23" t="s">
        <v>20</v>
      </c>
      <c r="B354" s="23" t="str">
        <f t="shared" ref="B354:B360" si="78">"29"</f>
        <v>29</v>
      </c>
      <c r="C354" s="23" t="str">
        <f>"20"</f>
        <v>20</v>
      </c>
      <c r="D354" s="23" t="str">
        <f>"20210132920"</f>
        <v>20210132920</v>
      </c>
      <c r="E354" s="23">
        <v>80.3</v>
      </c>
      <c r="F354" s="23">
        <v>0</v>
      </c>
      <c r="G354" s="23">
        <f t="shared" si="72"/>
        <v>48.18</v>
      </c>
    </row>
    <row r="355" s="16" customFormat="1" spans="1:7">
      <c r="A355" s="23" t="s">
        <v>20</v>
      </c>
      <c r="B355" s="23" t="str">
        <f t="shared" ref="B355:B358" si="79">"28"</f>
        <v>28</v>
      </c>
      <c r="C355" s="23" t="str">
        <f>"28"</f>
        <v>28</v>
      </c>
      <c r="D355" s="23" t="str">
        <f>"20210132828"</f>
        <v>20210132828</v>
      </c>
      <c r="E355" s="23">
        <v>78</v>
      </c>
      <c r="F355" s="23">
        <v>77.2</v>
      </c>
      <c r="G355" s="23">
        <f t="shared" si="72"/>
        <v>77.68</v>
      </c>
    </row>
    <row r="356" s="16" customFormat="1" spans="1:7">
      <c r="A356" s="23" t="s">
        <v>20</v>
      </c>
      <c r="B356" s="23" t="str">
        <f t="shared" si="79"/>
        <v>28</v>
      </c>
      <c r="C356" s="23" t="str">
        <f>"08"</f>
        <v>08</v>
      </c>
      <c r="D356" s="23" t="str">
        <f>"20210132808"</f>
        <v>20210132808</v>
      </c>
      <c r="E356" s="23">
        <v>77.7</v>
      </c>
      <c r="F356" s="23">
        <v>70.8</v>
      </c>
      <c r="G356" s="23">
        <f t="shared" si="72"/>
        <v>74.94</v>
      </c>
    </row>
    <row r="357" s="16" customFormat="1" spans="1:7">
      <c r="A357" s="23" t="s">
        <v>20</v>
      </c>
      <c r="B357" s="23" t="str">
        <f t="shared" si="78"/>
        <v>29</v>
      </c>
      <c r="C357" s="23" t="str">
        <f>"05"</f>
        <v>05</v>
      </c>
      <c r="D357" s="23" t="str">
        <f>"20210132905"</f>
        <v>20210132905</v>
      </c>
      <c r="E357" s="23">
        <v>75.7</v>
      </c>
      <c r="F357" s="23">
        <v>76</v>
      </c>
      <c r="G357" s="23">
        <f t="shared" si="72"/>
        <v>75.82</v>
      </c>
    </row>
    <row r="358" s="16" customFormat="1" spans="1:7">
      <c r="A358" s="23" t="s">
        <v>20</v>
      </c>
      <c r="B358" s="23" t="str">
        <f t="shared" si="79"/>
        <v>28</v>
      </c>
      <c r="C358" s="23" t="str">
        <f>"21"</f>
        <v>21</v>
      </c>
      <c r="D358" s="23" t="str">
        <f>"20210132821"</f>
        <v>20210132821</v>
      </c>
      <c r="E358" s="23">
        <v>75.6</v>
      </c>
      <c r="F358" s="23">
        <v>73.2</v>
      </c>
      <c r="G358" s="23">
        <f t="shared" si="72"/>
        <v>74.64</v>
      </c>
    </row>
    <row r="359" s="16" customFormat="1" spans="1:7">
      <c r="A359" s="23" t="s">
        <v>20</v>
      </c>
      <c r="B359" s="23" t="str">
        <f t="shared" si="78"/>
        <v>29</v>
      </c>
      <c r="C359" s="23" t="str">
        <f>"24"</f>
        <v>24</v>
      </c>
      <c r="D359" s="23" t="str">
        <f>"20210132924"</f>
        <v>20210132924</v>
      </c>
      <c r="E359" s="23">
        <v>75.1</v>
      </c>
      <c r="F359" s="23">
        <v>70.6</v>
      </c>
      <c r="G359" s="23">
        <f t="shared" si="72"/>
        <v>73.3</v>
      </c>
    </row>
    <row r="360" s="16" customFormat="1" spans="1:7">
      <c r="A360" s="23" t="s">
        <v>20</v>
      </c>
      <c r="B360" s="23" t="str">
        <f t="shared" si="78"/>
        <v>29</v>
      </c>
      <c r="C360" s="23" t="str">
        <f>"26"</f>
        <v>26</v>
      </c>
      <c r="D360" s="23" t="str">
        <f>"20210132926"</f>
        <v>20210132926</v>
      </c>
      <c r="E360" s="23">
        <v>75.1</v>
      </c>
      <c r="F360" s="23">
        <v>78.4</v>
      </c>
      <c r="G360" s="23">
        <f t="shared" si="72"/>
        <v>76.42</v>
      </c>
    </row>
    <row r="361" s="16" customFormat="1" spans="1:7">
      <c r="A361" s="23" t="s">
        <v>20</v>
      </c>
      <c r="B361" s="23" t="str">
        <f t="shared" ref="B361:B367" si="80">"28"</f>
        <v>28</v>
      </c>
      <c r="C361" s="23" t="str">
        <f>"20"</f>
        <v>20</v>
      </c>
      <c r="D361" s="23" t="str">
        <f>"20210132820"</f>
        <v>20210132820</v>
      </c>
      <c r="E361" s="23">
        <v>74.3</v>
      </c>
      <c r="F361" s="23">
        <v>75.2</v>
      </c>
      <c r="G361" s="23">
        <f t="shared" si="72"/>
        <v>74.66</v>
      </c>
    </row>
    <row r="362" s="16" customFormat="1" spans="1:7">
      <c r="A362" s="23" t="s">
        <v>20</v>
      </c>
      <c r="B362" s="23" t="str">
        <f t="shared" ref="B362:B364" si="81">"29"</f>
        <v>29</v>
      </c>
      <c r="C362" s="23" t="str">
        <f>"04"</f>
        <v>04</v>
      </c>
      <c r="D362" s="23" t="str">
        <f>"20210132904"</f>
        <v>20210132904</v>
      </c>
      <c r="E362" s="23">
        <v>73.9</v>
      </c>
      <c r="F362" s="23">
        <v>78.2</v>
      </c>
      <c r="G362" s="23">
        <f t="shared" si="72"/>
        <v>75.62</v>
      </c>
    </row>
    <row r="363" s="16" customFormat="1" spans="1:7">
      <c r="A363" s="23" t="s">
        <v>20</v>
      </c>
      <c r="B363" s="23" t="str">
        <f t="shared" si="81"/>
        <v>29</v>
      </c>
      <c r="C363" s="23" t="str">
        <f>"11"</f>
        <v>11</v>
      </c>
      <c r="D363" s="23" t="str">
        <f>"20210132911"</f>
        <v>20210132911</v>
      </c>
      <c r="E363" s="23">
        <v>73.65</v>
      </c>
      <c r="F363" s="23">
        <v>79</v>
      </c>
      <c r="G363" s="23">
        <f t="shared" si="72"/>
        <v>75.79</v>
      </c>
    </row>
    <row r="364" s="16" customFormat="1" spans="1:7">
      <c r="A364" s="23" t="s">
        <v>20</v>
      </c>
      <c r="B364" s="23" t="str">
        <f t="shared" si="81"/>
        <v>29</v>
      </c>
      <c r="C364" s="23" t="str">
        <f>"28"</f>
        <v>28</v>
      </c>
      <c r="D364" s="23" t="str">
        <f>"20210132928"</f>
        <v>20210132928</v>
      </c>
      <c r="E364" s="23">
        <v>72.7</v>
      </c>
      <c r="F364" s="23">
        <v>77.4</v>
      </c>
      <c r="G364" s="23">
        <f t="shared" si="72"/>
        <v>74.58</v>
      </c>
    </row>
    <row r="365" s="16" customFormat="1" spans="1:7">
      <c r="A365" s="23" t="s">
        <v>20</v>
      </c>
      <c r="B365" s="23" t="str">
        <f t="shared" si="80"/>
        <v>28</v>
      </c>
      <c r="C365" s="23" t="str">
        <f>"17"</f>
        <v>17</v>
      </c>
      <c r="D365" s="23" t="str">
        <f>"20210132817"</f>
        <v>20210132817</v>
      </c>
      <c r="E365" s="23">
        <v>72.2</v>
      </c>
      <c r="F365" s="23">
        <v>72.2</v>
      </c>
      <c r="G365" s="23">
        <f t="shared" si="72"/>
        <v>72.2</v>
      </c>
    </row>
    <row r="366" s="16" customFormat="1" spans="1:7">
      <c r="A366" s="23" t="s">
        <v>20</v>
      </c>
      <c r="B366" s="23" t="str">
        <f t="shared" si="80"/>
        <v>28</v>
      </c>
      <c r="C366" s="23" t="str">
        <f>"16"</f>
        <v>16</v>
      </c>
      <c r="D366" s="23" t="str">
        <f>"20210132816"</f>
        <v>20210132816</v>
      </c>
      <c r="E366" s="23">
        <v>72.15</v>
      </c>
      <c r="F366" s="23">
        <v>85.6</v>
      </c>
      <c r="G366" s="23">
        <f t="shared" si="72"/>
        <v>77.53</v>
      </c>
    </row>
    <row r="367" s="16" customFormat="1" spans="1:7">
      <c r="A367" s="23" t="s">
        <v>20</v>
      </c>
      <c r="B367" s="23" t="str">
        <f t="shared" si="80"/>
        <v>28</v>
      </c>
      <c r="C367" s="23" t="str">
        <f>"22"</f>
        <v>22</v>
      </c>
      <c r="D367" s="23" t="str">
        <f>"20210132822"</f>
        <v>20210132822</v>
      </c>
      <c r="E367" s="23">
        <v>72</v>
      </c>
      <c r="F367" s="23">
        <v>66.8</v>
      </c>
      <c r="G367" s="23">
        <f t="shared" si="72"/>
        <v>69.92</v>
      </c>
    </row>
    <row r="368" s="16" customFormat="1" spans="1:7">
      <c r="A368" s="23" t="s">
        <v>20</v>
      </c>
      <c r="B368" s="23" t="str">
        <f>"29"</f>
        <v>29</v>
      </c>
      <c r="C368" s="23" t="str">
        <f>"27"</f>
        <v>27</v>
      </c>
      <c r="D368" s="23" t="str">
        <f>"20210132927"</f>
        <v>20210132927</v>
      </c>
      <c r="E368" s="23">
        <v>71.45</v>
      </c>
      <c r="F368" s="23">
        <v>85.4</v>
      </c>
      <c r="G368" s="23">
        <f t="shared" si="72"/>
        <v>77.03</v>
      </c>
    </row>
    <row r="369" s="16" customFormat="1" spans="1:7">
      <c r="A369" s="23" t="s">
        <v>20</v>
      </c>
      <c r="B369" s="23" t="str">
        <f>"30"</f>
        <v>30</v>
      </c>
      <c r="C369" s="23" t="str">
        <f>"04"</f>
        <v>04</v>
      </c>
      <c r="D369" s="23" t="str">
        <f>"20210133004"</f>
        <v>20210133004</v>
      </c>
      <c r="E369" s="23">
        <v>70.1</v>
      </c>
      <c r="F369" s="23">
        <v>75.6</v>
      </c>
      <c r="G369" s="23">
        <f t="shared" si="72"/>
        <v>72.3</v>
      </c>
    </row>
    <row r="370" s="16" customFormat="1" spans="1:7">
      <c r="A370" s="23" t="s">
        <v>20</v>
      </c>
      <c r="B370" s="23" t="str">
        <f>"30"</f>
        <v>30</v>
      </c>
      <c r="C370" s="23" t="str">
        <f>"01"</f>
        <v>01</v>
      </c>
      <c r="D370" s="23" t="str">
        <f>"20210133001"</f>
        <v>20210133001</v>
      </c>
      <c r="E370" s="23">
        <v>68.6</v>
      </c>
      <c r="F370" s="23">
        <v>86.2</v>
      </c>
      <c r="G370" s="23">
        <f t="shared" si="72"/>
        <v>75.64</v>
      </c>
    </row>
    <row r="371" s="16" customFormat="1" spans="1:7">
      <c r="A371" s="23" t="s">
        <v>20</v>
      </c>
      <c r="B371" s="23" t="str">
        <f t="shared" ref="B371:B376" si="82">"28"</f>
        <v>28</v>
      </c>
      <c r="C371" s="23" t="str">
        <f>"30"</f>
        <v>30</v>
      </c>
      <c r="D371" s="23" t="str">
        <f>"20210132830"</f>
        <v>20210132830</v>
      </c>
      <c r="E371" s="23">
        <v>68.4</v>
      </c>
      <c r="F371" s="23">
        <v>73</v>
      </c>
      <c r="G371" s="23">
        <f t="shared" si="72"/>
        <v>70.24</v>
      </c>
    </row>
    <row r="372" s="16" customFormat="1" spans="1:7">
      <c r="A372" s="23" t="s">
        <v>20</v>
      </c>
      <c r="B372" s="23" t="str">
        <f t="shared" si="82"/>
        <v>28</v>
      </c>
      <c r="C372" s="23" t="str">
        <f>"10"</f>
        <v>10</v>
      </c>
      <c r="D372" s="23" t="str">
        <f>"20210132810"</f>
        <v>20210132810</v>
      </c>
      <c r="E372" s="23">
        <v>67.95</v>
      </c>
      <c r="F372" s="23">
        <v>0</v>
      </c>
      <c r="G372" s="23">
        <f t="shared" si="72"/>
        <v>40.77</v>
      </c>
    </row>
    <row r="373" s="16" customFormat="1" spans="1:7">
      <c r="A373" s="23" t="s">
        <v>20</v>
      </c>
      <c r="B373" s="23" t="str">
        <f t="shared" ref="B373:B375" si="83">"29"</f>
        <v>29</v>
      </c>
      <c r="C373" s="23" t="str">
        <f>"06"</f>
        <v>06</v>
      </c>
      <c r="D373" s="23" t="str">
        <f>"20210132906"</f>
        <v>20210132906</v>
      </c>
      <c r="E373" s="23">
        <v>67.65</v>
      </c>
      <c r="F373" s="23">
        <v>80.8</v>
      </c>
      <c r="G373" s="23">
        <f t="shared" si="72"/>
        <v>72.91</v>
      </c>
    </row>
    <row r="374" s="16" customFormat="1" spans="1:7">
      <c r="A374" s="23" t="s">
        <v>20</v>
      </c>
      <c r="B374" s="23" t="str">
        <f t="shared" si="83"/>
        <v>29</v>
      </c>
      <c r="C374" s="23" t="str">
        <f>"30"</f>
        <v>30</v>
      </c>
      <c r="D374" s="23" t="str">
        <f>"20210132930"</f>
        <v>20210132930</v>
      </c>
      <c r="E374" s="23">
        <v>66.5</v>
      </c>
      <c r="F374" s="23">
        <v>76.6</v>
      </c>
      <c r="G374" s="23">
        <f t="shared" si="72"/>
        <v>70.54</v>
      </c>
    </row>
    <row r="375" s="16" customFormat="1" spans="1:7">
      <c r="A375" s="23" t="s">
        <v>20</v>
      </c>
      <c r="B375" s="23" t="str">
        <f t="shared" si="83"/>
        <v>29</v>
      </c>
      <c r="C375" s="23" t="str">
        <f>"16"</f>
        <v>16</v>
      </c>
      <c r="D375" s="23" t="str">
        <f>"20210132916"</f>
        <v>20210132916</v>
      </c>
      <c r="E375" s="23">
        <v>64.65</v>
      </c>
      <c r="F375" s="23">
        <v>76</v>
      </c>
      <c r="G375" s="23">
        <f t="shared" si="72"/>
        <v>69.19</v>
      </c>
    </row>
    <row r="376" s="16" customFormat="1" spans="1:7">
      <c r="A376" s="23" t="s">
        <v>20</v>
      </c>
      <c r="B376" s="23" t="str">
        <f t="shared" si="82"/>
        <v>28</v>
      </c>
      <c r="C376" s="23" t="str">
        <f>"29"</f>
        <v>29</v>
      </c>
      <c r="D376" s="23" t="str">
        <f>"20210132829"</f>
        <v>20210132829</v>
      </c>
      <c r="E376" s="23">
        <v>64.1</v>
      </c>
      <c r="F376" s="23">
        <v>69.6</v>
      </c>
      <c r="G376" s="23">
        <f t="shared" si="72"/>
        <v>66.3</v>
      </c>
    </row>
    <row r="377" s="16" customFormat="1" spans="1:7">
      <c r="A377" s="23" t="s">
        <v>20</v>
      </c>
      <c r="B377" s="23" t="str">
        <f t="shared" ref="B377:B381" si="84">"29"</f>
        <v>29</v>
      </c>
      <c r="C377" s="23" t="str">
        <f>"25"</f>
        <v>25</v>
      </c>
      <c r="D377" s="23" t="str">
        <f>"20210132925"</f>
        <v>20210132925</v>
      </c>
      <c r="E377" s="23">
        <v>63.45</v>
      </c>
      <c r="F377" s="23">
        <v>81.6</v>
      </c>
      <c r="G377" s="23">
        <f t="shared" si="72"/>
        <v>70.71</v>
      </c>
    </row>
    <row r="378" s="16" customFormat="1" spans="1:7">
      <c r="A378" s="23" t="s">
        <v>20</v>
      </c>
      <c r="B378" s="23" t="str">
        <f>"28"</f>
        <v>28</v>
      </c>
      <c r="C378" s="23" t="str">
        <f>"12"</f>
        <v>12</v>
      </c>
      <c r="D378" s="23" t="str">
        <f>"20210132812"</f>
        <v>20210132812</v>
      </c>
      <c r="E378" s="23">
        <v>62.9</v>
      </c>
      <c r="F378" s="23">
        <v>71.8</v>
      </c>
      <c r="G378" s="23">
        <f t="shared" si="72"/>
        <v>66.46</v>
      </c>
    </row>
    <row r="379" s="16" customFormat="1" spans="1:7">
      <c r="A379" s="23" t="s">
        <v>20</v>
      </c>
      <c r="B379" s="23" t="str">
        <f>"28"</f>
        <v>28</v>
      </c>
      <c r="C379" s="23" t="str">
        <f>"24"</f>
        <v>24</v>
      </c>
      <c r="D379" s="23" t="str">
        <f>"20210132824"</f>
        <v>20210132824</v>
      </c>
      <c r="E379" s="23">
        <v>62.45</v>
      </c>
      <c r="F379" s="23">
        <v>75.4</v>
      </c>
      <c r="G379" s="23">
        <f t="shared" si="72"/>
        <v>67.63</v>
      </c>
    </row>
    <row r="380" s="16" customFormat="1" spans="1:7">
      <c r="A380" s="23" t="s">
        <v>20</v>
      </c>
      <c r="B380" s="23" t="str">
        <f t="shared" si="84"/>
        <v>29</v>
      </c>
      <c r="C380" s="23" t="str">
        <f>"23"</f>
        <v>23</v>
      </c>
      <c r="D380" s="23" t="str">
        <f>"20210132923"</f>
        <v>20210132923</v>
      </c>
      <c r="E380" s="23">
        <v>61.5</v>
      </c>
      <c r="F380" s="23">
        <v>79.8</v>
      </c>
      <c r="G380" s="23">
        <f t="shared" si="72"/>
        <v>68.82</v>
      </c>
    </row>
    <row r="381" s="16" customFormat="1" spans="1:7">
      <c r="A381" s="23" t="s">
        <v>20</v>
      </c>
      <c r="B381" s="23" t="str">
        <f t="shared" si="84"/>
        <v>29</v>
      </c>
      <c r="C381" s="23" t="str">
        <f>"18"</f>
        <v>18</v>
      </c>
      <c r="D381" s="23" t="str">
        <f>"20210132918"</f>
        <v>20210132918</v>
      </c>
      <c r="E381" s="23">
        <v>61.2</v>
      </c>
      <c r="F381" s="23">
        <v>75.4</v>
      </c>
      <c r="G381" s="23">
        <f t="shared" si="72"/>
        <v>66.88</v>
      </c>
    </row>
    <row r="382" s="16" customFormat="1" spans="1:16374">
      <c r="A382" s="23" t="s">
        <v>20</v>
      </c>
      <c r="B382" s="23" t="str">
        <f>"30"</f>
        <v>30</v>
      </c>
      <c r="C382" s="23" t="str">
        <f>"10"</f>
        <v>10</v>
      </c>
      <c r="D382" s="23" t="str">
        <f>"20210133010"</f>
        <v>20210133010</v>
      </c>
      <c r="E382" s="23">
        <v>60.9</v>
      </c>
      <c r="F382" s="23">
        <v>69.4</v>
      </c>
      <c r="G382" s="23">
        <f t="shared" si="72"/>
        <v>64.3</v>
      </c>
      <c r="XEF382" s="18"/>
      <c r="XEG382" s="18"/>
      <c r="XEH382" s="18"/>
      <c r="XEI382" s="18"/>
      <c r="XEJ382" s="18"/>
      <c r="XEK382" s="18"/>
      <c r="XEL382" s="18"/>
      <c r="XEM382" s="18"/>
      <c r="XEN382" s="18"/>
      <c r="XEO382" s="18"/>
      <c r="XEP382" s="18"/>
      <c r="XEQ382" s="18"/>
      <c r="XER382" s="18"/>
      <c r="XES382" s="18"/>
      <c r="XET382" s="18"/>
    </row>
    <row r="383" s="16" customFormat="1" spans="1:16374">
      <c r="A383" s="23" t="s">
        <v>20</v>
      </c>
      <c r="B383" s="23" t="str">
        <f>"29"</f>
        <v>29</v>
      </c>
      <c r="C383" s="23" t="str">
        <f>"17"</f>
        <v>17</v>
      </c>
      <c r="D383" s="23" t="str">
        <f>"20210132917"</f>
        <v>20210132917</v>
      </c>
      <c r="E383" s="23">
        <v>60.6</v>
      </c>
      <c r="F383" s="23">
        <v>0</v>
      </c>
      <c r="G383" s="23">
        <f t="shared" si="72"/>
        <v>36.36</v>
      </c>
      <c r="XEF383" s="18"/>
      <c r="XEG383" s="18"/>
      <c r="XEH383" s="18"/>
      <c r="XEI383" s="18"/>
      <c r="XEJ383" s="18"/>
      <c r="XEK383" s="18"/>
      <c r="XEL383" s="18"/>
      <c r="XEM383" s="18"/>
      <c r="XEN383" s="18"/>
      <c r="XEO383" s="18"/>
      <c r="XEP383" s="18"/>
      <c r="XEQ383" s="18"/>
      <c r="XER383" s="18"/>
      <c r="XES383" s="18"/>
      <c r="XET383" s="18"/>
    </row>
    <row r="384" s="16" customFormat="1" spans="1:16374">
      <c r="A384" s="23" t="s">
        <v>20</v>
      </c>
      <c r="B384" s="23" t="str">
        <f>"28"</f>
        <v>28</v>
      </c>
      <c r="C384" s="23" t="str">
        <f>"26"</f>
        <v>26</v>
      </c>
      <c r="D384" s="23" t="str">
        <f>"20210132826"</f>
        <v>20210132826</v>
      </c>
      <c r="E384" s="23">
        <v>59.65</v>
      </c>
      <c r="F384" s="23">
        <v>0</v>
      </c>
      <c r="G384" s="23">
        <f t="shared" si="72"/>
        <v>35.79</v>
      </c>
      <c r="XEF384" s="18"/>
      <c r="XEG384" s="18"/>
      <c r="XEH384" s="18"/>
      <c r="XEI384" s="18"/>
      <c r="XEJ384" s="18"/>
      <c r="XEK384" s="18"/>
      <c r="XEL384" s="18"/>
      <c r="XEM384" s="18"/>
      <c r="XEN384" s="18"/>
      <c r="XEO384" s="18"/>
      <c r="XEP384" s="18"/>
      <c r="XEQ384" s="18"/>
      <c r="XER384" s="18"/>
      <c r="XES384" s="18"/>
      <c r="XET384" s="18"/>
    </row>
    <row r="385" s="16" customFormat="1" spans="1:16374">
      <c r="A385" s="23" t="s">
        <v>20</v>
      </c>
      <c r="B385" s="23" t="str">
        <f>"29"</f>
        <v>29</v>
      </c>
      <c r="C385" s="23" t="str">
        <f>"13"</f>
        <v>13</v>
      </c>
      <c r="D385" s="23" t="str">
        <f>"20210132913"</f>
        <v>20210132913</v>
      </c>
      <c r="E385" s="23">
        <v>58.7</v>
      </c>
      <c r="F385" s="23">
        <v>67.6</v>
      </c>
      <c r="G385" s="23">
        <f t="shared" si="72"/>
        <v>62.26</v>
      </c>
      <c r="XEF385" s="18"/>
      <c r="XEG385" s="18"/>
      <c r="XEH385" s="18"/>
      <c r="XEI385" s="18"/>
      <c r="XEJ385" s="18"/>
      <c r="XEK385" s="18"/>
      <c r="XEL385" s="18"/>
      <c r="XEM385" s="18"/>
      <c r="XEN385" s="18"/>
      <c r="XEO385" s="18"/>
      <c r="XEP385" s="18"/>
      <c r="XEQ385" s="18"/>
      <c r="XER385" s="18"/>
      <c r="XES385" s="18"/>
      <c r="XET385" s="18"/>
    </row>
    <row r="386" s="16" customFormat="1" spans="1:7">
      <c r="A386" s="23" t="s">
        <v>21</v>
      </c>
      <c r="B386" s="23" t="str">
        <f t="shared" ref="B386:B390" si="85">"31"</f>
        <v>31</v>
      </c>
      <c r="C386" s="23" t="str">
        <f>"23"</f>
        <v>23</v>
      </c>
      <c r="D386" s="23" t="str">
        <f>"20210143123"</f>
        <v>20210143123</v>
      </c>
      <c r="E386" s="23">
        <v>77</v>
      </c>
      <c r="F386" s="23">
        <v>80.2</v>
      </c>
      <c r="G386" s="23">
        <f t="shared" si="72"/>
        <v>78.28</v>
      </c>
    </row>
    <row r="387" s="16" customFormat="1" spans="1:7">
      <c r="A387" s="23" t="s">
        <v>21</v>
      </c>
      <c r="B387" s="23" t="str">
        <f>"32"</f>
        <v>32</v>
      </c>
      <c r="C387" s="23" t="str">
        <f>"15"</f>
        <v>15</v>
      </c>
      <c r="D387" s="23" t="str">
        <f>"20210143215"</f>
        <v>20210143215</v>
      </c>
      <c r="E387" s="23">
        <v>75.6</v>
      </c>
      <c r="F387" s="23">
        <v>79.3</v>
      </c>
      <c r="G387" s="23">
        <f t="shared" ref="G387:G417" si="86">E387*0.6+F387*0.4</f>
        <v>77.08</v>
      </c>
    </row>
    <row r="388" s="16" customFormat="1" spans="1:7">
      <c r="A388" s="23" t="s">
        <v>21</v>
      </c>
      <c r="B388" s="23" t="str">
        <f t="shared" si="85"/>
        <v>31</v>
      </c>
      <c r="C388" s="23" t="str">
        <f>"24"</f>
        <v>24</v>
      </c>
      <c r="D388" s="23" t="str">
        <f>"20210143124"</f>
        <v>20210143124</v>
      </c>
      <c r="E388" s="23">
        <v>75.2</v>
      </c>
      <c r="F388" s="23">
        <v>81.7</v>
      </c>
      <c r="G388" s="23">
        <f t="shared" si="86"/>
        <v>77.8</v>
      </c>
    </row>
    <row r="389" s="16" customFormat="1" spans="1:7">
      <c r="A389" s="23" t="s">
        <v>21</v>
      </c>
      <c r="B389" s="23" t="str">
        <f t="shared" si="85"/>
        <v>31</v>
      </c>
      <c r="C389" s="23" t="str">
        <f>"20"</f>
        <v>20</v>
      </c>
      <c r="D389" s="23" t="str">
        <f>"20210143120"</f>
        <v>20210143120</v>
      </c>
      <c r="E389" s="23">
        <v>72.65</v>
      </c>
      <c r="F389" s="23">
        <v>81.2</v>
      </c>
      <c r="G389" s="23">
        <f t="shared" si="86"/>
        <v>76.07</v>
      </c>
    </row>
    <row r="390" s="16" customFormat="1" spans="1:7">
      <c r="A390" s="23" t="s">
        <v>21</v>
      </c>
      <c r="B390" s="23" t="str">
        <f t="shared" si="85"/>
        <v>31</v>
      </c>
      <c r="C390" s="23" t="str">
        <f>"26"</f>
        <v>26</v>
      </c>
      <c r="D390" s="23" t="str">
        <f>"20210143126"</f>
        <v>20210143126</v>
      </c>
      <c r="E390" s="23">
        <v>72.6</v>
      </c>
      <c r="F390" s="23">
        <v>62.9</v>
      </c>
      <c r="G390" s="23">
        <f t="shared" si="86"/>
        <v>68.72</v>
      </c>
    </row>
    <row r="391" s="16" customFormat="1" spans="1:7">
      <c r="A391" s="23" t="s">
        <v>21</v>
      </c>
      <c r="B391" s="23" t="str">
        <f>"30"</f>
        <v>30</v>
      </c>
      <c r="C391" s="23" t="str">
        <f>"16"</f>
        <v>16</v>
      </c>
      <c r="D391" s="23" t="str">
        <f>"20210143016"</f>
        <v>20210143016</v>
      </c>
      <c r="E391" s="23">
        <v>72.5</v>
      </c>
      <c r="F391" s="23">
        <v>84.2</v>
      </c>
      <c r="G391" s="23">
        <f t="shared" si="86"/>
        <v>77.18</v>
      </c>
    </row>
    <row r="392" s="16" customFormat="1" spans="1:7">
      <c r="A392" s="23" t="s">
        <v>21</v>
      </c>
      <c r="B392" s="23" t="str">
        <f t="shared" ref="B392:B397" si="87">"31"</f>
        <v>31</v>
      </c>
      <c r="C392" s="23" t="str">
        <f>"22"</f>
        <v>22</v>
      </c>
      <c r="D392" s="23" t="str">
        <f>"20210143122"</f>
        <v>20210143122</v>
      </c>
      <c r="E392" s="23">
        <v>72.1</v>
      </c>
      <c r="F392" s="23">
        <v>77.4</v>
      </c>
      <c r="G392" s="23">
        <f t="shared" si="86"/>
        <v>74.22</v>
      </c>
    </row>
    <row r="393" s="16" customFormat="1" spans="1:7">
      <c r="A393" s="23" t="s">
        <v>21</v>
      </c>
      <c r="B393" s="23" t="str">
        <f t="shared" ref="B393:B396" si="88">"32"</f>
        <v>32</v>
      </c>
      <c r="C393" s="23" t="str">
        <f>"09"</f>
        <v>09</v>
      </c>
      <c r="D393" s="23" t="str">
        <f>"20210143209"</f>
        <v>20210143209</v>
      </c>
      <c r="E393" s="23">
        <v>71.45</v>
      </c>
      <c r="F393" s="23">
        <v>64.8</v>
      </c>
      <c r="G393" s="23">
        <f t="shared" si="86"/>
        <v>68.79</v>
      </c>
    </row>
    <row r="394" s="16" customFormat="1" spans="1:7">
      <c r="A394" s="23" t="s">
        <v>21</v>
      </c>
      <c r="B394" s="23" t="str">
        <f t="shared" si="88"/>
        <v>32</v>
      </c>
      <c r="C394" s="23" t="str">
        <f>"18"</f>
        <v>18</v>
      </c>
      <c r="D394" s="23" t="str">
        <f>"20210143218"</f>
        <v>20210143218</v>
      </c>
      <c r="E394" s="23">
        <v>69.2</v>
      </c>
      <c r="F394" s="23">
        <v>80.1</v>
      </c>
      <c r="G394" s="23">
        <f t="shared" si="86"/>
        <v>73.56</v>
      </c>
    </row>
    <row r="395" s="16" customFormat="1" spans="1:7">
      <c r="A395" s="23" t="s">
        <v>21</v>
      </c>
      <c r="B395" s="23" t="str">
        <f t="shared" si="87"/>
        <v>31</v>
      </c>
      <c r="C395" s="23" t="str">
        <f>"21"</f>
        <v>21</v>
      </c>
      <c r="D395" s="23" t="str">
        <f>"20210143121"</f>
        <v>20210143121</v>
      </c>
      <c r="E395" s="23">
        <v>68.9</v>
      </c>
      <c r="F395" s="23">
        <v>84.4</v>
      </c>
      <c r="G395" s="23">
        <f t="shared" si="86"/>
        <v>75.1</v>
      </c>
    </row>
    <row r="396" s="16" customFormat="1" spans="1:7">
      <c r="A396" s="23" t="s">
        <v>21</v>
      </c>
      <c r="B396" s="23" t="str">
        <f t="shared" si="88"/>
        <v>32</v>
      </c>
      <c r="C396" s="23" t="str">
        <f>"20"</f>
        <v>20</v>
      </c>
      <c r="D396" s="23" t="str">
        <f>"20210143220"</f>
        <v>20210143220</v>
      </c>
      <c r="E396" s="23">
        <v>68.7</v>
      </c>
      <c r="F396" s="23">
        <v>86.8</v>
      </c>
      <c r="G396" s="23">
        <f t="shared" si="86"/>
        <v>75.94</v>
      </c>
    </row>
    <row r="397" s="16" customFormat="1" spans="1:7">
      <c r="A397" s="23" t="s">
        <v>21</v>
      </c>
      <c r="B397" s="23" t="str">
        <f t="shared" si="87"/>
        <v>31</v>
      </c>
      <c r="C397" s="23" t="str">
        <f>"02"</f>
        <v>02</v>
      </c>
      <c r="D397" s="23" t="str">
        <f>"20210143102"</f>
        <v>20210143102</v>
      </c>
      <c r="E397" s="23">
        <v>67.55</v>
      </c>
      <c r="F397" s="23">
        <v>81.2</v>
      </c>
      <c r="G397" s="23">
        <f t="shared" si="86"/>
        <v>73.01</v>
      </c>
    </row>
    <row r="398" s="16" customFormat="1" spans="1:7">
      <c r="A398" s="23" t="s">
        <v>21</v>
      </c>
      <c r="B398" s="23" t="str">
        <f>"32"</f>
        <v>32</v>
      </c>
      <c r="C398" s="23" t="str">
        <f>"13"</f>
        <v>13</v>
      </c>
      <c r="D398" s="23" t="str">
        <f>"20210143213"</f>
        <v>20210143213</v>
      </c>
      <c r="E398" s="23">
        <v>66.8</v>
      </c>
      <c r="F398" s="23">
        <v>70.8</v>
      </c>
      <c r="G398" s="23">
        <f t="shared" si="86"/>
        <v>68.4</v>
      </c>
    </row>
    <row r="399" s="16" customFormat="1" spans="1:7">
      <c r="A399" s="23" t="s">
        <v>21</v>
      </c>
      <c r="B399" s="23" t="str">
        <f t="shared" ref="B399:B404" si="89">"31"</f>
        <v>31</v>
      </c>
      <c r="C399" s="23" t="str">
        <f>"07"</f>
        <v>07</v>
      </c>
      <c r="D399" s="23" t="str">
        <f>"20210143107"</f>
        <v>20210143107</v>
      </c>
      <c r="E399" s="23">
        <v>66.6</v>
      </c>
      <c r="F399" s="23">
        <v>67.8</v>
      </c>
      <c r="G399" s="23">
        <f t="shared" si="86"/>
        <v>67.08</v>
      </c>
    </row>
    <row r="400" s="16" customFormat="1" spans="1:7">
      <c r="A400" s="23" t="s">
        <v>21</v>
      </c>
      <c r="B400" s="23" t="str">
        <f t="shared" si="89"/>
        <v>31</v>
      </c>
      <c r="C400" s="23" t="str">
        <f>"05"</f>
        <v>05</v>
      </c>
      <c r="D400" s="23" t="str">
        <f>"20210143105"</f>
        <v>20210143105</v>
      </c>
      <c r="E400" s="23">
        <v>65.3</v>
      </c>
      <c r="F400" s="23">
        <v>82.4</v>
      </c>
      <c r="G400" s="23">
        <f t="shared" si="86"/>
        <v>72.14</v>
      </c>
    </row>
    <row r="401" s="16" customFormat="1" spans="1:7">
      <c r="A401" s="23" t="s">
        <v>21</v>
      </c>
      <c r="B401" s="23" t="str">
        <f t="shared" si="89"/>
        <v>31</v>
      </c>
      <c r="C401" s="23" t="str">
        <f>"19"</f>
        <v>19</v>
      </c>
      <c r="D401" s="23" t="str">
        <f>"20210143119"</f>
        <v>20210143119</v>
      </c>
      <c r="E401" s="23">
        <v>64.3</v>
      </c>
      <c r="F401" s="23">
        <v>78.3</v>
      </c>
      <c r="G401" s="23">
        <f t="shared" si="86"/>
        <v>69.9</v>
      </c>
    </row>
    <row r="402" s="16" customFormat="1" spans="1:7">
      <c r="A402" s="23" t="s">
        <v>21</v>
      </c>
      <c r="B402" s="23" t="str">
        <f t="shared" si="89"/>
        <v>31</v>
      </c>
      <c r="C402" s="23" t="str">
        <f>"15"</f>
        <v>15</v>
      </c>
      <c r="D402" s="23" t="str">
        <f>"20210143115"</f>
        <v>20210143115</v>
      </c>
      <c r="E402" s="23">
        <v>64.1</v>
      </c>
      <c r="F402" s="23">
        <v>72.9</v>
      </c>
      <c r="G402" s="23">
        <f t="shared" si="86"/>
        <v>67.62</v>
      </c>
    </row>
    <row r="403" s="16" customFormat="1" spans="1:7">
      <c r="A403" s="23" t="s">
        <v>21</v>
      </c>
      <c r="B403" s="23" t="str">
        <f t="shared" si="89"/>
        <v>31</v>
      </c>
      <c r="C403" s="23" t="str">
        <f>"08"</f>
        <v>08</v>
      </c>
      <c r="D403" s="23" t="str">
        <f>"20210143108"</f>
        <v>20210143108</v>
      </c>
      <c r="E403" s="23">
        <v>62.8</v>
      </c>
      <c r="F403" s="23">
        <v>77.4</v>
      </c>
      <c r="G403" s="23">
        <f t="shared" si="86"/>
        <v>68.64</v>
      </c>
    </row>
    <row r="404" s="16" customFormat="1" spans="1:7">
      <c r="A404" s="23" t="s">
        <v>21</v>
      </c>
      <c r="B404" s="23" t="str">
        <f t="shared" si="89"/>
        <v>31</v>
      </c>
      <c r="C404" s="23" t="str">
        <f>"06"</f>
        <v>06</v>
      </c>
      <c r="D404" s="23" t="str">
        <f>"20210143106"</f>
        <v>20210143106</v>
      </c>
      <c r="E404" s="23">
        <v>62.1</v>
      </c>
      <c r="F404" s="23">
        <v>83.2</v>
      </c>
      <c r="G404" s="23">
        <f t="shared" si="86"/>
        <v>70.54</v>
      </c>
    </row>
    <row r="405" s="16" customFormat="1" spans="1:7">
      <c r="A405" s="23" t="s">
        <v>21</v>
      </c>
      <c r="B405" s="23" t="str">
        <f t="shared" ref="B405:B408" si="90">"32"</f>
        <v>32</v>
      </c>
      <c r="C405" s="23" t="str">
        <f>"06"</f>
        <v>06</v>
      </c>
      <c r="D405" s="23" t="str">
        <f>"20210143206"</f>
        <v>20210143206</v>
      </c>
      <c r="E405" s="23">
        <v>61.95</v>
      </c>
      <c r="F405" s="23">
        <v>71.6</v>
      </c>
      <c r="G405" s="23">
        <f t="shared" si="86"/>
        <v>65.81</v>
      </c>
    </row>
    <row r="406" s="16" customFormat="1" spans="1:7">
      <c r="A406" s="23" t="s">
        <v>21</v>
      </c>
      <c r="B406" s="23" t="str">
        <f t="shared" si="90"/>
        <v>32</v>
      </c>
      <c r="C406" s="23" t="str">
        <f>"04"</f>
        <v>04</v>
      </c>
      <c r="D406" s="23" t="str">
        <f>"20210143204"</f>
        <v>20210143204</v>
      </c>
      <c r="E406" s="23">
        <v>61.6</v>
      </c>
      <c r="F406" s="23">
        <v>66.4</v>
      </c>
      <c r="G406" s="23">
        <f t="shared" si="86"/>
        <v>63.52</v>
      </c>
    </row>
    <row r="407" s="16" customFormat="1" spans="1:7">
      <c r="A407" s="23" t="s">
        <v>21</v>
      </c>
      <c r="B407" s="23" t="str">
        <f t="shared" ref="B407:B412" si="91">"31"</f>
        <v>31</v>
      </c>
      <c r="C407" s="23" t="str">
        <f>"03"</f>
        <v>03</v>
      </c>
      <c r="D407" s="23" t="str">
        <f>"20210143103"</f>
        <v>20210143103</v>
      </c>
      <c r="E407" s="23">
        <v>60.6</v>
      </c>
      <c r="F407" s="23">
        <v>71.5</v>
      </c>
      <c r="G407" s="23">
        <f t="shared" si="86"/>
        <v>64.96</v>
      </c>
    </row>
    <row r="408" s="16" customFormat="1" spans="1:7">
      <c r="A408" s="23" t="s">
        <v>21</v>
      </c>
      <c r="B408" s="23" t="str">
        <f t="shared" si="90"/>
        <v>32</v>
      </c>
      <c r="C408" s="23" t="str">
        <f>"14"</f>
        <v>14</v>
      </c>
      <c r="D408" s="23" t="str">
        <f>"20210143214"</f>
        <v>20210143214</v>
      </c>
      <c r="E408" s="23">
        <v>59.8</v>
      </c>
      <c r="F408" s="23">
        <v>0</v>
      </c>
      <c r="G408" s="23">
        <f t="shared" si="86"/>
        <v>35.88</v>
      </c>
    </row>
    <row r="409" s="16" customFormat="1" spans="1:7">
      <c r="A409" s="23" t="s">
        <v>21</v>
      </c>
      <c r="B409" s="23" t="str">
        <f t="shared" si="91"/>
        <v>31</v>
      </c>
      <c r="C409" s="23" t="str">
        <f>"12"</f>
        <v>12</v>
      </c>
      <c r="D409" s="23" t="str">
        <f>"20210143112"</f>
        <v>20210143112</v>
      </c>
      <c r="E409" s="23">
        <v>58.2</v>
      </c>
      <c r="F409" s="23">
        <v>82.8</v>
      </c>
      <c r="G409" s="23">
        <f t="shared" si="86"/>
        <v>68.04</v>
      </c>
    </row>
    <row r="410" s="16" customFormat="1" spans="1:16374">
      <c r="A410" s="23" t="s">
        <v>21</v>
      </c>
      <c r="B410" s="23" t="str">
        <f t="shared" ref="B410:B417" si="92">"30"</f>
        <v>30</v>
      </c>
      <c r="C410" s="23" t="str">
        <f>"26"</f>
        <v>26</v>
      </c>
      <c r="D410" s="23" t="str">
        <f>"20210143026"</f>
        <v>20210143026</v>
      </c>
      <c r="E410" s="23">
        <v>54.5</v>
      </c>
      <c r="F410" s="23">
        <v>0</v>
      </c>
      <c r="G410" s="23">
        <f t="shared" si="86"/>
        <v>32.7</v>
      </c>
      <c r="XEF410" s="18"/>
      <c r="XEG410" s="18"/>
      <c r="XEH410" s="18"/>
      <c r="XEI410" s="18"/>
      <c r="XEJ410" s="18"/>
      <c r="XEK410" s="18"/>
      <c r="XEL410" s="18"/>
      <c r="XEM410" s="18"/>
      <c r="XEN410" s="18"/>
      <c r="XEO410" s="18"/>
      <c r="XEP410" s="18"/>
      <c r="XEQ410" s="18"/>
      <c r="XER410" s="18"/>
      <c r="XES410" s="18"/>
      <c r="XET410" s="18"/>
    </row>
    <row r="411" s="16" customFormat="1" spans="1:16374">
      <c r="A411" s="23" t="s">
        <v>21</v>
      </c>
      <c r="B411" s="23" t="str">
        <f t="shared" si="92"/>
        <v>30</v>
      </c>
      <c r="C411" s="23" t="str">
        <f>"23"</f>
        <v>23</v>
      </c>
      <c r="D411" s="23" t="str">
        <f>"20210143023"</f>
        <v>20210143023</v>
      </c>
      <c r="E411" s="23">
        <v>54.15</v>
      </c>
      <c r="F411" s="23">
        <v>69</v>
      </c>
      <c r="G411" s="23">
        <f t="shared" si="86"/>
        <v>60.09</v>
      </c>
      <c r="XEF411" s="18"/>
      <c r="XEG411" s="18"/>
      <c r="XEH411" s="18"/>
      <c r="XEI411" s="18"/>
      <c r="XEJ411" s="18"/>
      <c r="XEK411" s="18"/>
      <c r="XEL411" s="18"/>
      <c r="XEM411" s="18"/>
      <c r="XEN411" s="18"/>
      <c r="XEO411" s="18"/>
      <c r="XEP411" s="18"/>
      <c r="XEQ411" s="18"/>
      <c r="XER411" s="18"/>
      <c r="XES411" s="18"/>
      <c r="XET411" s="18"/>
    </row>
    <row r="412" s="16" customFormat="1" spans="1:16374">
      <c r="A412" s="23" t="s">
        <v>21</v>
      </c>
      <c r="B412" s="23" t="str">
        <f t="shared" si="91"/>
        <v>31</v>
      </c>
      <c r="C412" s="23" t="str">
        <f>"13"</f>
        <v>13</v>
      </c>
      <c r="D412" s="23" t="str">
        <f>"20210143113"</f>
        <v>20210143113</v>
      </c>
      <c r="E412" s="23">
        <v>53.65</v>
      </c>
      <c r="F412" s="23">
        <v>0</v>
      </c>
      <c r="G412" s="23">
        <f t="shared" si="86"/>
        <v>32.19</v>
      </c>
      <c r="XEF412" s="18"/>
      <c r="XEG412" s="18"/>
      <c r="XEH412" s="18"/>
      <c r="XEI412" s="18"/>
      <c r="XEJ412" s="18"/>
      <c r="XEK412" s="18"/>
      <c r="XEL412" s="18"/>
      <c r="XEM412" s="18"/>
      <c r="XEN412" s="18"/>
      <c r="XEO412" s="18"/>
      <c r="XEP412" s="18"/>
      <c r="XEQ412" s="18"/>
      <c r="XER412" s="18"/>
      <c r="XES412" s="18"/>
      <c r="XET412" s="18"/>
    </row>
    <row r="413" s="16" customFormat="1" spans="1:16374">
      <c r="A413" s="23" t="s">
        <v>21</v>
      </c>
      <c r="B413" s="23" t="str">
        <f>"32"</f>
        <v>32</v>
      </c>
      <c r="C413" s="23" t="str">
        <f>"03"</f>
        <v>03</v>
      </c>
      <c r="D413" s="23" t="str">
        <f>"20210143203"</f>
        <v>20210143203</v>
      </c>
      <c r="E413" s="23">
        <v>53.3</v>
      </c>
      <c r="F413" s="23">
        <v>0</v>
      </c>
      <c r="G413" s="23">
        <f t="shared" si="86"/>
        <v>31.98</v>
      </c>
      <c r="XEF413" s="18"/>
      <c r="XEG413" s="18"/>
      <c r="XEH413" s="18"/>
      <c r="XEI413" s="18"/>
      <c r="XEJ413" s="18"/>
      <c r="XEK413" s="18"/>
      <c r="XEL413" s="18"/>
      <c r="XEM413" s="18"/>
      <c r="XEN413" s="18"/>
      <c r="XEO413" s="18"/>
      <c r="XEP413" s="18"/>
      <c r="XEQ413" s="18"/>
      <c r="XER413" s="18"/>
      <c r="XES413" s="18"/>
      <c r="XET413" s="18"/>
    </row>
    <row r="414" s="16" customFormat="1" spans="1:16374">
      <c r="A414" s="23" t="s">
        <v>21</v>
      </c>
      <c r="B414" s="23" t="str">
        <f>"31"</f>
        <v>31</v>
      </c>
      <c r="C414" s="23" t="str">
        <f>"17"</f>
        <v>17</v>
      </c>
      <c r="D414" s="23" t="str">
        <f>"20210143117"</f>
        <v>20210143117</v>
      </c>
      <c r="E414" s="23">
        <v>53.2</v>
      </c>
      <c r="F414" s="23">
        <v>69.4</v>
      </c>
      <c r="G414" s="23">
        <f t="shared" si="86"/>
        <v>59.68</v>
      </c>
      <c r="XEF414" s="18"/>
      <c r="XEG414" s="18"/>
      <c r="XEH414" s="18"/>
      <c r="XEI414" s="18"/>
      <c r="XEJ414" s="18"/>
      <c r="XEK414" s="18"/>
      <c r="XEL414" s="18"/>
      <c r="XEM414" s="18"/>
      <c r="XEN414" s="18"/>
      <c r="XEO414" s="18"/>
      <c r="XEP414" s="18"/>
      <c r="XEQ414" s="18"/>
      <c r="XER414" s="18"/>
      <c r="XES414" s="18"/>
      <c r="XET414" s="18"/>
    </row>
    <row r="415" s="16" customFormat="1" spans="1:16374">
      <c r="A415" s="23" t="s">
        <v>21</v>
      </c>
      <c r="B415" s="23" t="str">
        <f t="shared" si="92"/>
        <v>30</v>
      </c>
      <c r="C415" s="23" t="str">
        <f>"18"</f>
        <v>18</v>
      </c>
      <c r="D415" s="23" t="str">
        <f>"20210143018"</f>
        <v>20210143018</v>
      </c>
      <c r="E415" s="23">
        <v>52.75</v>
      </c>
      <c r="F415" s="23">
        <v>71.7</v>
      </c>
      <c r="G415" s="23">
        <f t="shared" si="86"/>
        <v>60.33</v>
      </c>
      <c r="XEF415" s="18"/>
      <c r="XEG415" s="18"/>
      <c r="XEH415" s="18"/>
      <c r="XEI415" s="18"/>
      <c r="XEJ415" s="18"/>
      <c r="XEK415" s="18"/>
      <c r="XEL415" s="18"/>
      <c r="XEM415" s="18"/>
      <c r="XEN415" s="18"/>
      <c r="XEO415" s="18"/>
      <c r="XEP415" s="18"/>
      <c r="XEQ415" s="18"/>
      <c r="XER415" s="18"/>
      <c r="XES415" s="18"/>
      <c r="XET415" s="18"/>
    </row>
    <row r="416" s="16" customFormat="1" spans="1:16374">
      <c r="A416" s="23" t="s">
        <v>21</v>
      </c>
      <c r="B416" s="23" t="str">
        <f t="shared" si="92"/>
        <v>30</v>
      </c>
      <c r="C416" s="23" t="str">
        <f>"30"</f>
        <v>30</v>
      </c>
      <c r="D416" s="23" t="str">
        <f>"20210143030"</f>
        <v>20210143030</v>
      </c>
      <c r="E416" s="23">
        <v>52.35</v>
      </c>
      <c r="F416" s="23">
        <v>0</v>
      </c>
      <c r="G416" s="23">
        <f t="shared" si="86"/>
        <v>31.41</v>
      </c>
      <c r="XEF416" s="18"/>
      <c r="XEG416" s="18"/>
      <c r="XEH416" s="18"/>
      <c r="XEI416" s="18"/>
      <c r="XEJ416" s="18"/>
      <c r="XEK416" s="18"/>
      <c r="XEL416" s="18"/>
      <c r="XEM416" s="18"/>
      <c r="XEN416" s="18"/>
      <c r="XEO416" s="18"/>
      <c r="XEP416" s="18"/>
      <c r="XEQ416" s="18"/>
      <c r="XER416" s="18"/>
      <c r="XES416" s="18"/>
      <c r="XET416" s="18"/>
    </row>
    <row r="417" s="16" customFormat="1" spans="1:16374">
      <c r="A417" s="23" t="s">
        <v>21</v>
      </c>
      <c r="B417" s="23" t="str">
        <f t="shared" si="92"/>
        <v>30</v>
      </c>
      <c r="C417" s="23" t="str">
        <f>"29"</f>
        <v>29</v>
      </c>
      <c r="D417" s="23" t="str">
        <f>"20210143029"</f>
        <v>20210143029</v>
      </c>
      <c r="E417" s="23">
        <v>52.35</v>
      </c>
      <c r="F417" s="23">
        <v>0</v>
      </c>
      <c r="G417" s="23">
        <f t="shared" si="86"/>
        <v>31.41</v>
      </c>
      <c r="XEF417" s="18"/>
      <c r="XEG417" s="18"/>
      <c r="XEH417" s="18"/>
      <c r="XEI417" s="18"/>
      <c r="XEJ417" s="18"/>
      <c r="XEK417" s="18"/>
      <c r="XEL417" s="18"/>
      <c r="XEM417" s="18"/>
      <c r="XEN417" s="18"/>
      <c r="XEO417" s="18"/>
      <c r="XEP417" s="18"/>
      <c r="XEQ417" s="18"/>
      <c r="XER417" s="18"/>
      <c r="XES417" s="18"/>
      <c r="XET417" s="18"/>
    </row>
    <row r="418" s="16" customFormat="1" spans="1:16374">
      <c r="A418" s="23" t="s">
        <v>22</v>
      </c>
      <c r="B418" s="23" t="str">
        <f>"32"</f>
        <v>32</v>
      </c>
      <c r="C418" s="23" t="str">
        <f>"22"</f>
        <v>22</v>
      </c>
      <c r="D418" s="23" t="str">
        <f>"20210153222"</f>
        <v>20210153222</v>
      </c>
      <c r="E418" s="23">
        <v>56.2</v>
      </c>
      <c r="F418" s="23">
        <v>70</v>
      </c>
      <c r="G418" s="23">
        <f t="shared" ref="G409:G472" si="93">E418*0.6+F418*0.4</f>
        <v>61.72</v>
      </c>
      <c r="XEF418" s="18"/>
      <c r="XEG418" s="18"/>
      <c r="XEH418" s="18"/>
      <c r="XEI418" s="18"/>
      <c r="XEJ418" s="18"/>
      <c r="XEK418" s="18"/>
      <c r="XEL418" s="18"/>
      <c r="XEM418" s="18"/>
      <c r="XEN418" s="18"/>
      <c r="XEO418" s="18"/>
      <c r="XEP418" s="18"/>
      <c r="XEQ418" s="18"/>
      <c r="XER418" s="18"/>
      <c r="XES418" s="18"/>
      <c r="XET418" s="18"/>
    </row>
    <row r="419" s="16" customFormat="1" spans="1:16374">
      <c r="A419" s="23" t="s">
        <v>22</v>
      </c>
      <c r="B419" s="23" t="str">
        <f>"34"</f>
        <v>34</v>
      </c>
      <c r="C419" s="23" t="str">
        <f>"20"</f>
        <v>20</v>
      </c>
      <c r="D419" s="23" t="str">
        <f>"20210153420"</f>
        <v>20210153420</v>
      </c>
      <c r="E419" s="23">
        <v>52.6</v>
      </c>
      <c r="F419" s="23">
        <v>71.6</v>
      </c>
      <c r="G419" s="23">
        <f t="shared" si="93"/>
        <v>60.2</v>
      </c>
      <c r="XEF419" s="18"/>
      <c r="XEG419" s="18"/>
      <c r="XEH419" s="18"/>
      <c r="XEI419" s="18"/>
      <c r="XEJ419" s="18"/>
      <c r="XEK419" s="18"/>
      <c r="XEL419" s="18"/>
      <c r="XEM419" s="18"/>
      <c r="XEN419" s="18"/>
      <c r="XEO419" s="18"/>
      <c r="XEP419" s="18"/>
      <c r="XEQ419" s="18"/>
      <c r="XER419" s="18"/>
      <c r="XES419" s="18"/>
      <c r="XET419" s="18"/>
    </row>
    <row r="420" s="16" customFormat="1" spans="1:7">
      <c r="A420" s="23" t="s">
        <v>22</v>
      </c>
      <c r="B420" s="23" t="str">
        <f>"33"</f>
        <v>33</v>
      </c>
      <c r="C420" s="23" t="str">
        <f>"28"</f>
        <v>28</v>
      </c>
      <c r="D420" s="23" t="str">
        <f>"20210153328"</f>
        <v>20210153328</v>
      </c>
      <c r="E420" s="23">
        <v>59.5</v>
      </c>
      <c r="F420" s="23">
        <v>67.4</v>
      </c>
      <c r="G420" s="23">
        <f t="shared" si="93"/>
        <v>62.66</v>
      </c>
    </row>
    <row r="421" s="16" customFormat="1" spans="1:7">
      <c r="A421" s="23" t="s">
        <v>22</v>
      </c>
      <c r="B421" s="23" t="str">
        <f>"34"</f>
        <v>34</v>
      </c>
      <c r="C421" s="23" t="str">
        <f>"14"</f>
        <v>14</v>
      </c>
      <c r="D421" s="23" t="str">
        <f>"20210153414"</f>
        <v>20210153414</v>
      </c>
      <c r="E421" s="23">
        <v>66.4</v>
      </c>
      <c r="F421" s="23">
        <v>71.6</v>
      </c>
      <c r="G421" s="23">
        <f t="shared" si="93"/>
        <v>68.48</v>
      </c>
    </row>
    <row r="422" s="16" customFormat="1" spans="1:7">
      <c r="A422" s="23" t="s">
        <v>22</v>
      </c>
      <c r="B422" s="23" t="str">
        <f>"34"</f>
        <v>34</v>
      </c>
      <c r="C422" s="23" t="str">
        <f>"12"</f>
        <v>12</v>
      </c>
      <c r="D422" s="23" t="str">
        <f>"20210153412"</f>
        <v>20210153412</v>
      </c>
      <c r="E422" s="23">
        <v>69</v>
      </c>
      <c r="F422" s="23">
        <v>77.2</v>
      </c>
      <c r="G422" s="23">
        <f t="shared" si="93"/>
        <v>72.28</v>
      </c>
    </row>
    <row r="423" s="16" customFormat="1" spans="1:7">
      <c r="A423" s="23" t="s">
        <v>22</v>
      </c>
      <c r="B423" s="23" t="str">
        <f>"34"</f>
        <v>34</v>
      </c>
      <c r="C423" s="23" t="str">
        <f>"30"</f>
        <v>30</v>
      </c>
      <c r="D423" s="23" t="str">
        <f>"20210153430"</f>
        <v>20210153430</v>
      </c>
      <c r="E423" s="23">
        <v>67.2</v>
      </c>
      <c r="F423" s="23">
        <v>72.8</v>
      </c>
      <c r="G423" s="23">
        <f t="shared" si="93"/>
        <v>69.44</v>
      </c>
    </row>
    <row r="424" s="16" customFormat="1" spans="1:7">
      <c r="A424" s="23" t="s">
        <v>22</v>
      </c>
      <c r="B424" s="23" t="str">
        <f>"32"</f>
        <v>32</v>
      </c>
      <c r="C424" s="23" t="str">
        <f>"23"</f>
        <v>23</v>
      </c>
      <c r="D424" s="23" t="str">
        <f>"20210153223"</f>
        <v>20210153223</v>
      </c>
      <c r="E424" s="23">
        <v>61.6</v>
      </c>
      <c r="F424" s="23">
        <v>67.7</v>
      </c>
      <c r="G424" s="23">
        <f t="shared" si="93"/>
        <v>64.04</v>
      </c>
    </row>
    <row r="425" s="16" customFormat="1" spans="1:7">
      <c r="A425" s="23" t="s">
        <v>22</v>
      </c>
      <c r="B425" s="23" t="str">
        <f>"34"</f>
        <v>34</v>
      </c>
      <c r="C425" s="23" t="str">
        <f>"19"</f>
        <v>19</v>
      </c>
      <c r="D425" s="23" t="str">
        <f>"20210153419"</f>
        <v>20210153419</v>
      </c>
      <c r="E425" s="23">
        <v>76.9</v>
      </c>
      <c r="F425" s="23">
        <v>81.4</v>
      </c>
      <c r="G425" s="23">
        <f t="shared" si="93"/>
        <v>78.7</v>
      </c>
    </row>
    <row r="426" s="16" customFormat="1" spans="1:7">
      <c r="A426" s="23" t="s">
        <v>22</v>
      </c>
      <c r="B426" s="23" t="str">
        <f>"33"</f>
        <v>33</v>
      </c>
      <c r="C426" s="23" t="str">
        <f>"29"</f>
        <v>29</v>
      </c>
      <c r="D426" s="23" t="str">
        <f>"20210153329"</f>
        <v>20210153329</v>
      </c>
      <c r="E426" s="23">
        <v>84.4</v>
      </c>
      <c r="F426" s="23">
        <v>84.4</v>
      </c>
      <c r="G426" s="23">
        <f t="shared" si="93"/>
        <v>84.4</v>
      </c>
    </row>
    <row r="427" s="16" customFormat="1" spans="1:7">
      <c r="A427" s="23" t="s">
        <v>22</v>
      </c>
      <c r="B427" s="23" t="str">
        <f>"35"</f>
        <v>35</v>
      </c>
      <c r="C427" s="23" t="str">
        <f>"02"</f>
        <v>02</v>
      </c>
      <c r="D427" s="23" t="str">
        <f>"20210153502"</f>
        <v>20210153502</v>
      </c>
      <c r="E427" s="23">
        <v>65.8</v>
      </c>
      <c r="F427" s="23">
        <v>74.6</v>
      </c>
      <c r="G427" s="23">
        <f t="shared" si="93"/>
        <v>69.32</v>
      </c>
    </row>
    <row r="428" s="16" customFormat="1" spans="1:7">
      <c r="A428" s="23" t="s">
        <v>22</v>
      </c>
      <c r="B428" s="23" t="str">
        <f>"33"</f>
        <v>33</v>
      </c>
      <c r="C428" s="23" t="str">
        <f>"01"</f>
        <v>01</v>
      </c>
      <c r="D428" s="23" t="str">
        <f>"20210153301"</f>
        <v>20210153301</v>
      </c>
      <c r="E428" s="23">
        <v>75.1</v>
      </c>
      <c r="F428" s="23">
        <v>82.5</v>
      </c>
      <c r="G428" s="23">
        <f t="shared" si="93"/>
        <v>78.06</v>
      </c>
    </row>
    <row r="429" s="16" customFormat="1" spans="1:7">
      <c r="A429" s="23" t="s">
        <v>22</v>
      </c>
      <c r="B429" s="23" t="str">
        <f>"35"</f>
        <v>35</v>
      </c>
      <c r="C429" s="23" t="str">
        <f>"01"</f>
        <v>01</v>
      </c>
      <c r="D429" s="23" t="str">
        <f>"20210153501"</f>
        <v>20210153501</v>
      </c>
      <c r="E429" s="23">
        <v>79.7</v>
      </c>
      <c r="F429" s="23">
        <v>72.2</v>
      </c>
      <c r="G429" s="23">
        <f t="shared" si="93"/>
        <v>76.7</v>
      </c>
    </row>
    <row r="430" s="16" customFormat="1" spans="1:7">
      <c r="A430" s="23" t="s">
        <v>22</v>
      </c>
      <c r="B430" s="23" t="str">
        <f>"33"</f>
        <v>33</v>
      </c>
      <c r="C430" s="23" t="str">
        <f>"07"</f>
        <v>07</v>
      </c>
      <c r="D430" s="23" t="str">
        <f>"20210153307"</f>
        <v>20210153307</v>
      </c>
      <c r="E430" s="23">
        <v>86.9</v>
      </c>
      <c r="F430" s="23">
        <v>72.6</v>
      </c>
      <c r="G430" s="23">
        <f t="shared" si="93"/>
        <v>81.18</v>
      </c>
    </row>
    <row r="431" s="16" customFormat="1" spans="1:7">
      <c r="A431" s="23" t="s">
        <v>22</v>
      </c>
      <c r="B431" s="23" t="str">
        <f>"35"</f>
        <v>35</v>
      </c>
      <c r="C431" s="23" t="str">
        <f>"03"</f>
        <v>03</v>
      </c>
      <c r="D431" s="23" t="str">
        <f>"20210153503"</f>
        <v>20210153503</v>
      </c>
      <c r="E431" s="23">
        <v>71.8</v>
      </c>
      <c r="F431" s="23">
        <v>84.9</v>
      </c>
      <c r="G431" s="23">
        <f t="shared" si="93"/>
        <v>77.04</v>
      </c>
    </row>
    <row r="432" s="16" customFormat="1" spans="1:7">
      <c r="A432" s="23" t="s">
        <v>22</v>
      </c>
      <c r="B432" s="23" t="str">
        <f>"34"</f>
        <v>34</v>
      </c>
      <c r="C432" s="23" t="str">
        <f>"25"</f>
        <v>25</v>
      </c>
      <c r="D432" s="23" t="str">
        <f>"20210153425"</f>
        <v>20210153425</v>
      </c>
      <c r="E432" s="23">
        <v>66</v>
      </c>
      <c r="F432" s="23">
        <v>72.7</v>
      </c>
      <c r="G432" s="23">
        <f t="shared" si="93"/>
        <v>68.68</v>
      </c>
    </row>
    <row r="433" s="16" customFormat="1" spans="1:7">
      <c r="A433" s="23" t="s">
        <v>22</v>
      </c>
      <c r="B433" s="23" t="str">
        <f>"34"</f>
        <v>34</v>
      </c>
      <c r="C433" s="23" t="str">
        <f>"03"</f>
        <v>03</v>
      </c>
      <c r="D433" s="23" t="str">
        <f>"20210153403"</f>
        <v>20210153403</v>
      </c>
      <c r="E433" s="23">
        <v>67.4</v>
      </c>
      <c r="F433" s="23">
        <v>81.4</v>
      </c>
      <c r="G433" s="23">
        <f t="shared" si="93"/>
        <v>73</v>
      </c>
    </row>
    <row r="434" s="16" customFormat="1" spans="1:7">
      <c r="A434" s="23" t="s">
        <v>22</v>
      </c>
      <c r="B434" s="23" t="str">
        <f>"33"</f>
        <v>33</v>
      </c>
      <c r="C434" s="23" t="str">
        <f>"17"</f>
        <v>17</v>
      </c>
      <c r="D434" s="23" t="str">
        <f>"20210153317"</f>
        <v>20210153317</v>
      </c>
      <c r="E434" s="23">
        <v>71.4</v>
      </c>
      <c r="F434" s="23">
        <v>69.6</v>
      </c>
      <c r="G434" s="23">
        <f t="shared" si="93"/>
        <v>70.68</v>
      </c>
    </row>
    <row r="435" s="16" customFormat="1" spans="1:7">
      <c r="A435" s="23" t="s">
        <v>22</v>
      </c>
      <c r="B435" s="23" t="str">
        <f>"33"</f>
        <v>33</v>
      </c>
      <c r="C435" s="23" t="str">
        <f>"20"</f>
        <v>20</v>
      </c>
      <c r="D435" s="23" t="str">
        <f>"20210153320"</f>
        <v>20210153320</v>
      </c>
      <c r="E435" s="23">
        <v>60</v>
      </c>
      <c r="F435" s="23">
        <v>73.4</v>
      </c>
      <c r="G435" s="23">
        <f t="shared" si="93"/>
        <v>65.36</v>
      </c>
    </row>
    <row r="436" s="16" customFormat="1" spans="1:7">
      <c r="A436" s="23" t="s">
        <v>22</v>
      </c>
      <c r="B436" s="23" t="str">
        <f>"33"</f>
        <v>33</v>
      </c>
      <c r="C436" s="23" t="str">
        <f>"14"</f>
        <v>14</v>
      </c>
      <c r="D436" s="23" t="str">
        <f>"20210153314"</f>
        <v>20210153314</v>
      </c>
      <c r="E436" s="23">
        <v>83.6</v>
      </c>
      <c r="F436" s="23">
        <v>80.9</v>
      </c>
      <c r="G436" s="23">
        <f t="shared" si="93"/>
        <v>82.52</v>
      </c>
    </row>
    <row r="437" s="16" customFormat="1" spans="1:7">
      <c r="A437" s="23" t="s">
        <v>22</v>
      </c>
      <c r="B437" s="23" t="str">
        <f>"34"</f>
        <v>34</v>
      </c>
      <c r="C437" s="23" t="str">
        <f>"13"</f>
        <v>13</v>
      </c>
      <c r="D437" s="23" t="str">
        <f>"20210153413"</f>
        <v>20210153413</v>
      </c>
      <c r="E437" s="23">
        <v>79.3</v>
      </c>
      <c r="F437" s="23">
        <v>73</v>
      </c>
      <c r="G437" s="23">
        <f t="shared" si="93"/>
        <v>76.78</v>
      </c>
    </row>
    <row r="438" s="16" customFormat="1" spans="1:7">
      <c r="A438" s="23" t="s">
        <v>22</v>
      </c>
      <c r="B438" s="23" t="str">
        <f>"34"</f>
        <v>34</v>
      </c>
      <c r="C438" s="23" t="str">
        <f>"05"</f>
        <v>05</v>
      </c>
      <c r="D438" s="23" t="str">
        <f>"20210153405"</f>
        <v>20210153405</v>
      </c>
      <c r="E438" s="23">
        <v>58.1</v>
      </c>
      <c r="F438" s="23">
        <v>69.7</v>
      </c>
      <c r="G438" s="23">
        <f t="shared" si="93"/>
        <v>62.74</v>
      </c>
    </row>
    <row r="439" s="16" customFormat="1" spans="1:7">
      <c r="A439" s="23" t="s">
        <v>22</v>
      </c>
      <c r="B439" s="23" t="str">
        <f>"34"</f>
        <v>34</v>
      </c>
      <c r="C439" s="23" t="str">
        <f>"10"</f>
        <v>10</v>
      </c>
      <c r="D439" s="23" t="str">
        <f>"20210153410"</f>
        <v>20210153410</v>
      </c>
      <c r="E439" s="23">
        <v>61.6</v>
      </c>
      <c r="F439" s="23">
        <v>82.1</v>
      </c>
      <c r="G439" s="23">
        <f t="shared" si="93"/>
        <v>69.8</v>
      </c>
    </row>
    <row r="440" s="16" customFormat="1" spans="1:7">
      <c r="A440" s="23" t="s">
        <v>22</v>
      </c>
      <c r="B440" s="23" t="str">
        <f>"34"</f>
        <v>34</v>
      </c>
      <c r="C440" s="23" t="str">
        <f>"18"</f>
        <v>18</v>
      </c>
      <c r="D440" s="23" t="str">
        <f>"20210153418"</f>
        <v>20210153418</v>
      </c>
      <c r="E440" s="23">
        <v>60.8</v>
      </c>
      <c r="F440" s="23">
        <v>80.8</v>
      </c>
      <c r="G440" s="23">
        <f t="shared" si="93"/>
        <v>68.8</v>
      </c>
    </row>
    <row r="441" s="16" customFormat="1" spans="1:16374">
      <c r="A441" s="23" t="s">
        <v>22</v>
      </c>
      <c r="B441" s="23" t="str">
        <f>"33"</f>
        <v>33</v>
      </c>
      <c r="C441" s="23" t="str">
        <f>"19"</f>
        <v>19</v>
      </c>
      <c r="D441" s="23" t="str">
        <f>"20210153319"</f>
        <v>20210153319</v>
      </c>
      <c r="E441" s="23">
        <v>54.15</v>
      </c>
      <c r="F441" s="23">
        <v>70.5</v>
      </c>
      <c r="G441" s="23">
        <f t="shared" si="93"/>
        <v>60.69</v>
      </c>
      <c r="XEF441" s="18"/>
      <c r="XEG441" s="18"/>
      <c r="XEH441" s="18"/>
      <c r="XEI441" s="18"/>
      <c r="XEJ441" s="18"/>
      <c r="XEK441" s="18"/>
      <c r="XEL441" s="18"/>
      <c r="XEM441" s="18"/>
      <c r="XEN441" s="18"/>
      <c r="XEO441" s="18"/>
      <c r="XEP441" s="18"/>
      <c r="XEQ441" s="18"/>
      <c r="XER441" s="18"/>
      <c r="XES441" s="18"/>
      <c r="XET441" s="18"/>
    </row>
    <row r="442" s="16" customFormat="1" spans="1:7">
      <c r="A442" s="23" t="s">
        <v>22</v>
      </c>
      <c r="B442" s="23" t="str">
        <f>"32"</f>
        <v>32</v>
      </c>
      <c r="C442" s="23" t="str">
        <f>"30"</f>
        <v>30</v>
      </c>
      <c r="D442" s="23" t="str">
        <f>"20210153230"</f>
        <v>20210153230</v>
      </c>
      <c r="E442" s="23">
        <v>56.7</v>
      </c>
      <c r="F442" s="23">
        <v>79.7</v>
      </c>
      <c r="G442" s="23">
        <f t="shared" si="93"/>
        <v>65.9</v>
      </c>
    </row>
    <row r="443" s="16" customFormat="1" spans="1:7">
      <c r="A443" s="23" t="s">
        <v>22</v>
      </c>
      <c r="B443" s="23" t="str">
        <f>"33"</f>
        <v>33</v>
      </c>
      <c r="C443" s="23" t="str">
        <f>"11"</f>
        <v>11</v>
      </c>
      <c r="D443" s="23" t="str">
        <f>"20210153311"</f>
        <v>20210153311</v>
      </c>
      <c r="E443" s="23">
        <v>69.1</v>
      </c>
      <c r="F443" s="23">
        <v>73.1</v>
      </c>
      <c r="G443" s="23">
        <f t="shared" si="93"/>
        <v>70.7</v>
      </c>
    </row>
    <row r="444" s="16" customFormat="1" spans="1:7">
      <c r="A444" s="23" t="s">
        <v>22</v>
      </c>
      <c r="B444" s="23" t="str">
        <f>"33"</f>
        <v>33</v>
      </c>
      <c r="C444" s="23" t="str">
        <f>"22"</f>
        <v>22</v>
      </c>
      <c r="D444" s="23" t="str">
        <f>"20210153322"</f>
        <v>20210153322</v>
      </c>
      <c r="E444" s="23">
        <v>67.5</v>
      </c>
      <c r="F444" s="23">
        <v>73.7</v>
      </c>
      <c r="G444" s="23">
        <f t="shared" si="93"/>
        <v>69.98</v>
      </c>
    </row>
    <row r="445" s="16" customFormat="1" spans="1:7">
      <c r="A445" s="23" t="s">
        <v>22</v>
      </c>
      <c r="B445" s="23" t="str">
        <f>"34"</f>
        <v>34</v>
      </c>
      <c r="C445" s="23" t="str">
        <f>"21"</f>
        <v>21</v>
      </c>
      <c r="D445" s="23" t="str">
        <f>"20210153421"</f>
        <v>20210153421</v>
      </c>
      <c r="E445" s="23">
        <v>79.8</v>
      </c>
      <c r="F445" s="23">
        <v>85.4</v>
      </c>
      <c r="G445" s="23">
        <f t="shared" si="93"/>
        <v>82.04</v>
      </c>
    </row>
    <row r="446" s="16" customFormat="1" spans="1:7">
      <c r="A446" s="23" t="s">
        <v>22</v>
      </c>
      <c r="B446" s="23" t="str">
        <f>"34"</f>
        <v>34</v>
      </c>
      <c r="C446" s="23" t="str">
        <f>"23"</f>
        <v>23</v>
      </c>
      <c r="D446" s="23" t="str">
        <f>"20210153423"</f>
        <v>20210153423</v>
      </c>
      <c r="E446" s="23">
        <v>62.15</v>
      </c>
      <c r="F446" s="23">
        <v>72.4</v>
      </c>
      <c r="G446" s="23">
        <f t="shared" si="93"/>
        <v>66.25</v>
      </c>
    </row>
    <row r="447" s="16" customFormat="1" spans="1:7">
      <c r="A447" s="23" t="s">
        <v>22</v>
      </c>
      <c r="B447" s="23" t="str">
        <f>"34"</f>
        <v>34</v>
      </c>
      <c r="C447" s="23" t="str">
        <f>"24"</f>
        <v>24</v>
      </c>
      <c r="D447" s="23" t="str">
        <f>"20210153424"</f>
        <v>20210153424</v>
      </c>
      <c r="E447" s="23">
        <v>60.8</v>
      </c>
      <c r="F447" s="23">
        <v>84.1</v>
      </c>
      <c r="G447" s="23">
        <f t="shared" si="93"/>
        <v>70.12</v>
      </c>
    </row>
    <row r="448" s="16" customFormat="1" spans="1:7">
      <c r="A448" s="23" t="s">
        <v>22</v>
      </c>
      <c r="B448" s="23" t="str">
        <f>"34"</f>
        <v>34</v>
      </c>
      <c r="C448" s="23" t="str">
        <f>"29"</f>
        <v>29</v>
      </c>
      <c r="D448" s="23" t="str">
        <f>"20210153429"</f>
        <v>20210153429</v>
      </c>
      <c r="E448" s="23">
        <v>68.8</v>
      </c>
      <c r="F448" s="23">
        <v>78.5</v>
      </c>
      <c r="G448" s="23">
        <f t="shared" si="93"/>
        <v>72.68</v>
      </c>
    </row>
    <row r="449" s="16" customFormat="1" spans="1:7">
      <c r="A449" s="23" t="s">
        <v>22</v>
      </c>
      <c r="B449" s="23" t="str">
        <f>"33"</f>
        <v>33</v>
      </c>
      <c r="C449" s="23" t="str">
        <f>"15"</f>
        <v>15</v>
      </c>
      <c r="D449" s="23" t="str">
        <f>"20210153315"</f>
        <v>20210153315</v>
      </c>
      <c r="E449" s="23">
        <v>72.3</v>
      </c>
      <c r="F449" s="23">
        <v>0</v>
      </c>
      <c r="G449" s="23">
        <f t="shared" si="93"/>
        <v>43.38</v>
      </c>
    </row>
    <row r="450" s="16" customFormat="1" spans="1:7">
      <c r="A450" s="23" t="s">
        <v>23</v>
      </c>
      <c r="B450" s="23" t="str">
        <f>"36"</f>
        <v>36</v>
      </c>
      <c r="C450" s="23" t="str">
        <f>"04"</f>
        <v>04</v>
      </c>
      <c r="D450" s="23" t="str">
        <f>"20210163604"</f>
        <v>20210163604</v>
      </c>
      <c r="E450" s="23">
        <v>65</v>
      </c>
      <c r="F450" s="23">
        <v>70</v>
      </c>
      <c r="G450" s="23">
        <f t="shared" si="93"/>
        <v>67</v>
      </c>
    </row>
    <row r="451" s="16" customFormat="1" spans="1:7">
      <c r="A451" s="23" t="s">
        <v>23</v>
      </c>
      <c r="B451" s="23" t="str">
        <f>"36"</f>
        <v>36</v>
      </c>
      <c r="C451" s="23" t="str">
        <f>"06"</f>
        <v>06</v>
      </c>
      <c r="D451" s="23" t="str">
        <f>"20210163606"</f>
        <v>20210163606</v>
      </c>
      <c r="E451" s="23">
        <v>70.2</v>
      </c>
      <c r="F451" s="23">
        <v>78.8</v>
      </c>
      <c r="G451" s="23">
        <f t="shared" si="93"/>
        <v>73.64</v>
      </c>
    </row>
    <row r="452" s="16" customFormat="1" spans="1:7">
      <c r="A452" s="23" t="s">
        <v>23</v>
      </c>
      <c r="B452" s="23" t="str">
        <f>"35"</f>
        <v>35</v>
      </c>
      <c r="C452" s="23" t="str">
        <f>"30"</f>
        <v>30</v>
      </c>
      <c r="D452" s="23" t="str">
        <f>"20210163530"</f>
        <v>20210163530</v>
      </c>
      <c r="E452" s="23">
        <v>64.7</v>
      </c>
      <c r="F452" s="23">
        <v>76.6</v>
      </c>
      <c r="G452" s="23">
        <f t="shared" si="93"/>
        <v>69.46</v>
      </c>
    </row>
    <row r="453" s="16" customFormat="1" spans="1:7">
      <c r="A453" s="23" t="s">
        <v>23</v>
      </c>
      <c r="B453" s="23" t="str">
        <f>"37"</f>
        <v>37</v>
      </c>
      <c r="C453" s="23" t="str">
        <f>"01"</f>
        <v>01</v>
      </c>
      <c r="D453" s="23" t="str">
        <f>"20210163701"</f>
        <v>20210163701</v>
      </c>
      <c r="E453" s="23">
        <v>81</v>
      </c>
      <c r="F453" s="23">
        <v>82.6</v>
      </c>
      <c r="G453" s="23">
        <f t="shared" si="93"/>
        <v>81.64</v>
      </c>
    </row>
    <row r="454" s="16" customFormat="1" spans="1:7">
      <c r="A454" s="23" t="s">
        <v>23</v>
      </c>
      <c r="B454" s="23" t="str">
        <f>"35"</f>
        <v>35</v>
      </c>
      <c r="C454" s="23" t="str">
        <f>"14"</f>
        <v>14</v>
      </c>
      <c r="D454" s="23" t="str">
        <f>"20210163514"</f>
        <v>20210163514</v>
      </c>
      <c r="E454" s="23">
        <v>78.9</v>
      </c>
      <c r="F454" s="23">
        <v>82.4</v>
      </c>
      <c r="G454" s="23">
        <f t="shared" si="93"/>
        <v>80.3</v>
      </c>
    </row>
    <row r="455" s="16" customFormat="1" spans="1:7">
      <c r="A455" s="23" t="s">
        <v>23</v>
      </c>
      <c r="B455" s="23" t="str">
        <f>"35"</f>
        <v>35</v>
      </c>
      <c r="C455" s="23" t="str">
        <f>"08"</f>
        <v>08</v>
      </c>
      <c r="D455" s="23" t="str">
        <f>"20210163508"</f>
        <v>20210163508</v>
      </c>
      <c r="E455" s="23">
        <v>62.4</v>
      </c>
      <c r="F455" s="23">
        <v>83</v>
      </c>
      <c r="G455" s="23">
        <f t="shared" si="93"/>
        <v>70.64</v>
      </c>
    </row>
    <row r="456" s="16" customFormat="1" spans="1:7">
      <c r="A456" s="23" t="s">
        <v>23</v>
      </c>
      <c r="B456" s="23" t="str">
        <f>"36"</f>
        <v>36</v>
      </c>
      <c r="C456" s="23" t="str">
        <f>"10"</f>
        <v>10</v>
      </c>
      <c r="D456" s="23" t="str">
        <f>"20210163610"</f>
        <v>20210163610</v>
      </c>
      <c r="E456" s="23">
        <v>70</v>
      </c>
      <c r="F456" s="23">
        <v>76.4</v>
      </c>
      <c r="G456" s="23">
        <f t="shared" si="93"/>
        <v>72.56</v>
      </c>
    </row>
    <row r="457" s="16" customFormat="1" spans="1:7">
      <c r="A457" s="23" t="s">
        <v>23</v>
      </c>
      <c r="B457" s="23" t="str">
        <f>"36"</f>
        <v>36</v>
      </c>
      <c r="C457" s="23" t="str">
        <f>"13"</f>
        <v>13</v>
      </c>
      <c r="D457" s="23" t="str">
        <f>"20210163613"</f>
        <v>20210163613</v>
      </c>
      <c r="E457" s="23">
        <v>70.5</v>
      </c>
      <c r="F457" s="23">
        <v>76.6</v>
      </c>
      <c r="G457" s="23">
        <f t="shared" si="93"/>
        <v>72.94</v>
      </c>
    </row>
    <row r="458" s="16" customFormat="1" spans="1:7">
      <c r="A458" s="23" t="s">
        <v>23</v>
      </c>
      <c r="B458" s="23" t="str">
        <f>"36"</f>
        <v>36</v>
      </c>
      <c r="C458" s="23" t="str">
        <f>"19"</f>
        <v>19</v>
      </c>
      <c r="D458" s="23" t="str">
        <f>"20210163619"</f>
        <v>20210163619</v>
      </c>
      <c r="E458" s="23">
        <v>70.8</v>
      </c>
      <c r="F458" s="23">
        <v>74.8</v>
      </c>
      <c r="G458" s="23">
        <f t="shared" si="93"/>
        <v>72.4</v>
      </c>
    </row>
    <row r="459" s="16" customFormat="1" spans="1:7">
      <c r="A459" s="23" t="s">
        <v>23</v>
      </c>
      <c r="B459" s="23" t="str">
        <f>"35"</f>
        <v>35</v>
      </c>
      <c r="C459" s="23" t="str">
        <f>"07"</f>
        <v>07</v>
      </c>
      <c r="D459" s="23" t="str">
        <f>"20210163507"</f>
        <v>20210163507</v>
      </c>
      <c r="E459" s="23">
        <v>56</v>
      </c>
      <c r="F459" s="23">
        <v>77.9</v>
      </c>
      <c r="G459" s="23">
        <f t="shared" si="93"/>
        <v>64.76</v>
      </c>
    </row>
    <row r="460" s="16" customFormat="1" spans="1:7">
      <c r="A460" s="23" t="s">
        <v>23</v>
      </c>
      <c r="B460" s="23" t="str">
        <f>"35"</f>
        <v>35</v>
      </c>
      <c r="C460" s="23" t="str">
        <f>"11"</f>
        <v>11</v>
      </c>
      <c r="D460" s="23" t="str">
        <f>"20210163511"</f>
        <v>20210163511</v>
      </c>
      <c r="E460" s="23">
        <v>62.05</v>
      </c>
      <c r="F460" s="23">
        <v>71.2</v>
      </c>
      <c r="G460" s="23">
        <f t="shared" si="93"/>
        <v>65.71</v>
      </c>
    </row>
    <row r="461" s="16" customFormat="1" spans="1:7">
      <c r="A461" s="23" t="s">
        <v>23</v>
      </c>
      <c r="B461" s="23" t="str">
        <f>"35"</f>
        <v>35</v>
      </c>
      <c r="C461" s="23" t="str">
        <f>"06"</f>
        <v>06</v>
      </c>
      <c r="D461" s="23" t="str">
        <f>"20210163506"</f>
        <v>20210163506</v>
      </c>
      <c r="E461" s="23">
        <v>70.3</v>
      </c>
      <c r="F461" s="23">
        <v>74.7</v>
      </c>
      <c r="G461" s="23">
        <f t="shared" si="93"/>
        <v>72.06</v>
      </c>
    </row>
    <row r="462" s="16" customFormat="1" spans="1:7">
      <c r="A462" s="23" t="s">
        <v>23</v>
      </c>
      <c r="B462" s="23" t="str">
        <f>"36"</f>
        <v>36</v>
      </c>
      <c r="C462" s="23" t="str">
        <f>"18"</f>
        <v>18</v>
      </c>
      <c r="D462" s="23" t="str">
        <f>"20210163618"</f>
        <v>20210163618</v>
      </c>
      <c r="E462" s="23">
        <v>62.55</v>
      </c>
      <c r="F462" s="23">
        <v>77</v>
      </c>
      <c r="G462" s="23">
        <f t="shared" si="93"/>
        <v>68.33</v>
      </c>
    </row>
    <row r="463" s="16" customFormat="1" spans="1:7">
      <c r="A463" s="23" t="s">
        <v>23</v>
      </c>
      <c r="B463" s="23" t="str">
        <f>"35"</f>
        <v>35</v>
      </c>
      <c r="C463" s="23" t="str">
        <f>"05"</f>
        <v>05</v>
      </c>
      <c r="D463" s="23" t="str">
        <f>"20210163505"</f>
        <v>20210163505</v>
      </c>
      <c r="E463" s="23">
        <v>61.95</v>
      </c>
      <c r="F463" s="23">
        <v>74.8</v>
      </c>
      <c r="G463" s="23">
        <f t="shared" si="93"/>
        <v>67.09</v>
      </c>
    </row>
    <row r="464" s="16" customFormat="1" spans="1:7">
      <c r="A464" s="23" t="s">
        <v>23</v>
      </c>
      <c r="B464" s="23" t="str">
        <f>"35"</f>
        <v>35</v>
      </c>
      <c r="C464" s="23" t="str">
        <f>"26"</f>
        <v>26</v>
      </c>
      <c r="D464" s="23" t="str">
        <f>"20210163526"</f>
        <v>20210163526</v>
      </c>
      <c r="E464" s="23">
        <v>63.9</v>
      </c>
      <c r="F464" s="23">
        <v>70</v>
      </c>
      <c r="G464" s="23">
        <f t="shared" si="93"/>
        <v>66.34</v>
      </c>
    </row>
    <row r="465" s="16" customFormat="1" spans="1:7">
      <c r="A465" s="23" t="s">
        <v>23</v>
      </c>
      <c r="B465" s="23" t="str">
        <f>"36"</f>
        <v>36</v>
      </c>
      <c r="C465" s="23" t="str">
        <f>"09"</f>
        <v>09</v>
      </c>
      <c r="D465" s="23" t="str">
        <f>"20210163609"</f>
        <v>20210163609</v>
      </c>
      <c r="E465" s="23">
        <v>66</v>
      </c>
      <c r="F465" s="23">
        <v>69.3</v>
      </c>
      <c r="G465" s="23">
        <f t="shared" si="93"/>
        <v>67.32</v>
      </c>
    </row>
    <row r="466" s="16" customFormat="1" spans="1:7">
      <c r="A466" s="23" t="s">
        <v>23</v>
      </c>
      <c r="B466" s="23" t="str">
        <f>"35"</f>
        <v>35</v>
      </c>
      <c r="C466" s="23" t="str">
        <f>"12"</f>
        <v>12</v>
      </c>
      <c r="D466" s="23" t="str">
        <f>"20210163512"</f>
        <v>20210163512</v>
      </c>
      <c r="E466" s="23">
        <v>67.9</v>
      </c>
      <c r="F466" s="23">
        <v>81</v>
      </c>
      <c r="G466" s="23">
        <f t="shared" si="93"/>
        <v>73.14</v>
      </c>
    </row>
    <row r="467" s="16" customFormat="1" spans="1:7">
      <c r="A467" s="23" t="s">
        <v>23</v>
      </c>
      <c r="B467" s="23" t="str">
        <f>"35"</f>
        <v>35</v>
      </c>
      <c r="C467" s="23" t="str">
        <f>"16"</f>
        <v>16</v>
      </c>
      <c r="D467" s="23" t="str">
        <f>"20210163516"</f>
        <v>20210163516</v>
      </c>
      <c r="E467" s="23">
        <v>73</v>
      </c>
      <c r="F467" s="23">
        <v>77.3</v>
      </c>
      <c r="G467" s="23">
        <f t="shared" si="93"/>
        <v>74.72</v>
      </c>
    </row>
    <row r="468" s="16" customFormat="1" spans="1:7">
      <c r="A468" s="23" t="s">
        <v>23</v>
      </c>
      <c r="B468" s="23" t="str">
        <f>"35"</f>
        <v>35</v>
      </c>
      <c r="C468" s="23" t="str">
        <f>"24"</f>
        <v>24</v>
      </c>
      <c r="D468" s="23" t="str">
        <f>"20210163524"</f>
        <v>20210163524</v>
      </c>
      <c r="E468" s="23">
        <v>70.45</v>
      </c>
      <c r="F468" s="23">
        <v>69.5</v>
      </c>
      <c r="G468" s="23">
        <f t="shared" si="93"/>
        <v>70.07</v>
      </c>
    </row>
    <row r="469" s="16" customFormat="1" spans="1:7">
      <c r="A469" s="23" t="s">
        <v>23</v>
      </c>
      <c r="B469" s="23" t="str">
        <f>"35"</f>
        <v>35</v>
      </c>
      <c r="C469" s="23" t="str">
        <f>"20"</f>
        <v>20</v>
      </c>
      <c r="D469" s="23" t="str">
        <f>"20210163520"</f>
        <v>20210163520</v>
      </c>
      <c r="E469" s="23">
        <v>56.55</v>
      </c>
      <c r="F469" s="23">
        <v>77.6</v>
      </c>
      <c r="G469" s="23">
        <f t="shared" si="93"/>
        <v>64.97</v>
      </c>
    </row>
    <row r="470" s="16" customFormat="1" spans="1:7">
      <c r="A470" s="23" t="s">
        <v>23</v>
      </c>
      <c r="B470" s="23" t="str">
        <f>"35"</f>
        <v>35</v>
      </c>
      <c r="C470" s="23" t="str">
        <f>"21"</f>
        <v>21</v>
      </c>
      <c r="D470" s="23" t="str">
        <f>"20210163521"</f>
        <v>20210163521</v>
      </c>
      <c r="E470" s="23">
        <v>62.55</v>
      </c>
      <c r="F470" s="23">
        <v>68.2</v>
      </c>
      <c r="G470" s="23">
        <f t="shared" si="93"/>
        <v>64.81</v>
      </c>
    </row>
    <row r="471" s="16" customFormat="1" spans="1:7">
      <c r="A471" s="23" t="s">
        <v>23</v>
      </c>
      <c r="B471" s="23" t="str">
        <f>"36"</f>
        <v>36</v>
      </c>
      <c r="C471" s="23" t="str">
        <f>"16"</f>
        <v>16</v>
      </c>
      <c r="D471" s="23" t="str">
        <f>"20210163616"</f>
        <v>20210163616</v>
      </c>
      <c r="E471" s="23">
        <v>59</v>
      </c>
      <c r="F471" s="23">
        <v>82</v>
      </c>
      <c r="G471" s="23">
        <f t="shared" si="93"/>
        <v>68.2</v>
      </c>
    </row>
    <row r="472" s="16" customFormat="1" spans="1:7">
      <c r="A472" s="23" t="s">
        <v>23</v>
      </c>
      <c r="B472" s="23" t="str">
        <f>"36"</f>
        <v>36</v>
      </c>
      <c r="C472" s="23" t="str">
        <f>"29"</f>
        <v>29</v>
      </c>
      <c r="D472" s="23" t="str">
        <f>"20210163629"</f>
        <v>20210163629</v>
      </c>
      <c r="E472" s="23">
        <v>59.5</v>
      </c>
      <c r="F472" s="23">
        <v>81</v>
      </c>
      <c r="G472" s="23">
        <f t="shared" si="93"/>
        <v>68.1</v>
      </c>
    </row>
    <row r="473" s="16" customFormat="1" spans="1:7">
      <c r="A473" s="23" t="s">
        <v>23</v>
      </c>
      <c r="B473" s="23" t="str">
        <f>"35"</f>
        <v>35</v>
      </c>
      <c r="C473" s="23" t="str">
        <f>"10"</f>
        <v>10</v>
      </c>
      <c r="D473" s="23" t="str">
        <f>"20210163510"</f>
        <v>20210163510</v>
      </c>
      <c r="E473" s="23">
        <v>59</v>
      </c>
      <c r="F473" s="23">
        <v>74.7</v>
      </c>
      <c r="G473" s="23">
        <f t="shared" ref="G473:G536" si="94">E473*0.6+F473*0.4</f>
        <v>65.28</v>
      </c>
    </row>
    <row r="474" s="16" customFormat="1" spans="1:7">
      <c r="A474" s="23" t="s">
        <v>23</v>
      </c>
      <c r="B474" s="23" t="str">
        <f>"36"</f>
        <v>36</v>
      </c>
      <c r="C474" s="23" t="str">
        <f>"11"</f>
        <v>11</v>
      </c>
      <c r="D474" s="23" t="str">
        <f>"20210163611"</f>
        <v>20210163611</v>
      </c>
      <c r="E474" s="23">
        <v>84.8</v>
      </c>
      <c r="F474" s="23">
        <v>76.2</v>
      </c>
      <c r="G474" s="23">
        <f t="shared" si="94"/>
        <v>81.36</v>
      </c>
    </row>
    <row r="475" s="16" customFormat="1" spans="1:7">
      <c r="A475" s="23" t="s">
        <v>23</v>
      </c>
      <c r="B475" s="23" t="str">
        <f>"36"</f>
        <v>36</v>
      </c>
      <c r="C475" s="23" t="str">
        <f>"07"</f>
        <v>07</v>
      </c>
      <c r="D475" s="23" t="str">
        <f>"20210163607"</f>
        <v>20210163607</v>
      </c>
      <c r="E475" s="23">
        <v>74.3</v>
      </c>
      <c r="F475" s="23">
        <v>77.9</v>
      </c>
      <c r="G475" s="23">
        <f t="shared" si="94"/>
        <v>75.74</v>
      </c>
    </row>
    <row r="476" s="16" customFormat="1" spans="1:7">
      <c r="A476" s="23" t="s">
        <v>23</v>
      </c>
      <c r="B476" s="23" t="str">
        <f>"35"</f>
        <v>35</v>
      </c>
      <c r="C476" s="23" t="str">
        <f>"25"</f>
        <v>25</v>
      </c>
      <c r="D476" s="23" t="str">
        <f>"20210163525"</f>
        <v>20210163525</v>
      </c>
      <c r="E476" s="23">
        <v>59.45</v>
      </c>
      <c r="F476" s="23">
        <v>71.6</v>
      </c>
      <c r="G476" s="23">
        <f t="shared" si="94"/>
        <v>64.31</v>
      </c>
    </row>
    <row r="477" s="16" customFormat="1" spans="1:7">
      <c r="A477" s="23" t="s">
        <v>23</v>
      </c>
      <c r="B477" s="23" t="str">
        <f>"36"</f>
        <v>36</v>
      </c>
      <c r="C477" s="23" t="str">
        <f>"25"</f>
        <v>25</v>
      </c>
      <c r="D477" s="23" t="str">
        <f>"20210163625"</f>
        <v>20210163625</v>
      </c>
      <c r="E477" s="23">
        <v>59.8</v>
      </c>
      <c r="F477" s="23">
        <v>76.6</v>
      </c>
      <c r="G477" s="23">
        <f t="shared" si="94"/>
        <v>66.52</v>
      </c>
    </row>
    <row r="478" s="16" customFormat="1" spans="1:7">
      <c r="A478" s="23" t="s">
        <v>23</v>
      </c>
      <c r="B478" s="23" t="str">
        <f>"36"</f>
        <v>36</v>
      </c>
      <c r="C478" s="23" t="str">
        <f>"03"</f>
        <v>03</v>
      </c>
      <c r="D478" s="23" t="str">
        <f>"20210163603"</f>
        <v>20210163603</v>
      </c>
      <c r="E478" s="23">
        <v>78.2</v>
      </c>
      <c r="F478" s="23">
        <v>0</v>
      </c>
      <c r="G478" s="23">
        <f t="shared" si="94"/>
        <v>46.92</v>
      </c>
    </row>
    <row r="479" s="16" customFormat="1" spans="1:16374">
      <c r="A479" s="23" t="s">
        <v>23</v>
      </c>
      <c r="B479" s="23" t="str">
        <f>"36"</f>
        <v>36</v>
      </c>
      <c r="C479" s="23" t="str">
        <f>"17"</f>
        <v>17</v>
      </c>
      <c r="D479" s="23" t="str">
        <f>"20210163617"</f>
        <v>20210163617</v>
      </c>
      <c r="E479" s="23">
        <v>55.35</v>
      </c>
      <c r="F479" s="23">
        <v>0</v>
      </c>
      <c r="G479" s="23">
        <f t="shared" si="94"/>
        <v>33.21</v>
      </c>
      <c r="XEF479" s="18"/>
      <c r="XEG479" s="18"/>
      <c r="XEH479" s="18"/>
      <c r="XEI479" s="18"/>
      <c r="XEJ479" s="18"/>
      <c r="XEK479" s="18"/>
      <c r="XEL479" s="18"/>
      <c r="XEM479" s="18"/>
      <c r="XEN479" s="18"/>
      <c r="XEO479" s="18"/>
      <c r="XEP479" s="18"/>
      <c r="XEQ479" s="18"/>
      <c r="XER479" s="18"/>
      <c r="XES479" s="18"/>
      <c r="XET479" s="18"/>
    </row>
    <row r="480" s="16" customFormat="1" spans="1:7">
      <c r="A480" s="23" t="s">
        <v>24</v>
      </c>
      <c r="B480" s="23" t="str">
        <f>"38"</f>
        <v>38</v>
      </c>
      <c r="C480" s="23" t="str">
        <f>"20"</f>
        <v>20</v>
      </c>
      <c r="D480" s="23" t="str">
        <f>"20210173820"</f>
        <v>20210173820</v>
      </c>
      <c r="E480" s="23">
        <v>54</v>
      </c>
      <c r="F480" s="23">
        <v>78.8</v>
      </c>
      <c r="G480" s="23">
        <f t="shared" si="94"/>
        <v>63.92</v>
      </c>
    </row>
    <row r="481" s="16" customFormat="1" spans="1:7">
      <c r="A481" s="23" t="s">
        <v>24</v>
      </c>
      <c r="B481" s="23" t="str">
        <f>"37"</f>
        <v>37</v>
      </c>
      <c r="C481" s="23" t="str">
        <f>"20"</f>
        <v>20</v>
      </c>
      <c r="D481" s="23" t="str">
        <f>"20210173720"</f>
        <v>20210173720</v>
      </c>
      <c r="E481" s="23">
        <v>60</v>
      </c>
      <c r="F481" s="23">
        <v>83.2</v>
      </c>
      <c r="G481" s="23">
        <f t="shared" si="94"/>
        <v>69.28</v>
      </c>
    </row>
    <row r="482" s="16" customFormat="1" spans="1:7">
      <c r="A482" s="23" t="s">
        <v>24</v>
      </c>
      <c r="B482" s="23" t="str">
        <f>"37"</f>
        <v>37</v>
      </c>
      <c r="C482" s="23" t="str">
        <f>"11"</f>
        <v>11</v>
      </c>
      <c r="D482" s="23" t="str">
        <f>"20210173711"</f>
        <v>20210173711</v>
      </c>
      <c r="E482" s="23">
        <v>59.25</v>
      </c>
      <c r="F482" s="23">
        <v>76.8</v>
      </c>
      <c r="G482" s="23">
        <f t="shared" si="94"/>
        <v>66.27</v>
      </c>
    </row>
    <row r="483" s="16" customFormat="1" spans="1:7">
      <c r="A483" s="23" t="s">
        <v>24</v>
      </c>
      <c r="B483" s="23" t="str">
        <f>"37"</f>
        <v>37</v>
      </c>
      <c r="C483" s="23" t="str">
        <f>"05"</f>
        <v>05</v>
      </c>
      <c r="D483" s="23" t="str">
        <f>"20210173705"</f>
        <v>20210173705</v>
      </c>
      <c r="E483" s="23">
        <v>50.3</v>
      </c>
      <c r="F483" s="23">
        <v>81.6</v>
      </c>
      <c r="G483" s="23">
        <f t="shared" si="94"/>
        <v>62.82</v>
      </c>
    </row>
    <row r="484" s="16" customFormat="1" spans="1:7">
      <c r="A484" s="23" t="s">
        <v>24</v>
      </c>
      <c r="B484" s="23" t="str">
        <f>"37"</f>
        <v>37</v>
      </c>
      <c r="C484" s="23" t="str">
        <f>"27"</f>
        <v>27</v>
      </c>
      <c r="D484" s="23" t="str">
        <f>"20210173727"</f>
        <v>20210173727</v>
      </c>
      <c r="E484" s="23">
        <v>59.3</v>
      </c>
      <c r="F484" s="23">
        <v>84.6</v>
      </c>
      <c r="G484" s="23">
        <f t="shared" si="94"/>
        <v>69.42</v>
      </c>
    </row>
    <row r="485" s="16" customFormat="1" spans="1:7">
      <c r="A485" s="23" t="s">
        <v>24</v>
      </c>
      <c r="B485" s="23" t="str">
        <f>"38"</f>
        <v>38</v>
      </c>
      <c r="C485" s="23" t="str">
        <f>"27"</f>
        <v>27</v>
      </c>
      <c r="D485" s="23" t="str">
        <f>"20210173827"</f>
        <v>20210173827</v>
      </c>
      <c r="E485" s="23">
        <v>55</v>
      </c>
      <c r="F485" s="23">
        <v>73.8</v>
      </c>
      <c r="G485" s="23">
        <f t="shared" si="94"/>
        <v>62.52</v>
      </c>
    </row>
    <row r="486" s="16" customFormat="1" spans="1:7">
      <c r="A486" s="23" t="s">
        <v>24</v>
      </c>
      <c r="B486" s="23" t="str">
        <f>"37"</f>
        <v>37</v>
      </c>
      <c r="C486" s="23" t="str">
        <f>"12"</f>
        <v>12</v>
      </c>
      <c r="D486" s="23" t="str">
        <f>"20210173712"</f>
        <v>20210173712</v>
      </c>
      <c r="E486" s="23">
        <v>64.9</v>
      </c>
      <c r="F486" s="23">
        <v>71.8</v>
      </c>
      <c r="G486" s="23">
        <f t="shared" si="94"/>
        <v>67.66</v>
      </c>
    </row>
    <row r="487" s="16" customFormat="1" spans="1:7">
      <c r="A487" s="23" t="s">
        <v>24</v>
      </c>
      <c r="B487" s="23" t="str">
        <f>"37"</f>
        <v>37</v>
      </c>
      <c r="C487" s="23" t="str">
        <f>"16"</f>
        <v>16</v>
      </c>
      <c r="D487" s="23" t="str">
        <f>"20210173716"</f>
        <v>20210173716</v>
      </c>
      <c r="E487" s="23">
        <v>58.7</v>
      </c>
      <c r="F487" s="23">
        <v>80.2</v>
      </c>
      <c r="G487" s="23">
        <f t="shared" si="94"/>
        <v>67.3</v>
      </c>
    </row>
    <row r="488" s="16" customFormat="1" spans="1:7">
      <c r="A488" s="23" t="s">
        <v>24</v>
      </c>
      <c r="B488" s="23" t="str">
        <f>"38"</f>
        <v>38</v>
      </c>
      <c r="C488" s="23" t="str">
        <f>"23"</f>
        <v>23</v>
      </c>
      <c r="D488" s="23" t="str">
        <f>"20210173823"</f>
        <v>20210173823</v>
      </c>
      <c r="E488" s="23">
        <v>64.2</v>
      </c>
      <c r="F488" s="23">
        <v>67.4</v>
      </c>
      <c r="G488" s="23">
        <f t="shared" si="94"/>
        <v>65.48</v>
      </c>
    </row>
    <row r="489" s="16" customFormat="1" spans="1:7">
      <c r="A489" s="23" t="s">
        <v>24</v>
      </c>
      <c r="B489" s="23" t="str">
        <f>"37"</f>
        <v>37</v>
      </c>
      <c r="C489" s="23" t="str">
        <f>"15"</f>
        <v>15</v>
      </c>
      <c r="D489" s="23" t="str">
        <f>"20210173715"</f>
        <v>20210173715</v>
      </c>
      <c r="E489" s="23">
        <v>70.4</v>
      </c>
      <c r="F489" s="23">
        <v>81.2</v>
      </c>
      <c r="G489" s="23">
        <f t="shared" si="94"/>
        <v>74.72</v>
      </c>
    </row>
    <row r="490" s="16" customFormat="1" spans="1:7">
      <c r="A490" s="23" t="s">
        <v>24</v>
      </c>
      <c r="B490" s="23" t="str">
        <f>"37"</f>
        <v>37</v>
      </c>
      <c r="C490" s="23" t="str">
        <f>"14"</f>
        <v>14</v>
      </c>
      <c r="D490" s="23" t="str">
        <f>"20210173714"</f>
        <v>20210173714</v>
      </c>
      <c r="E490" s="23">
        <v>55.65</v>
      </c>
      <c r="F490" s="23">
        <v>74.4</v>
      </c>
      <c r="G490" s="23">
        <f t="shared" si="94"/>
        <v>63.15</v>
      </c>
    </row>
    <row r="491" s="16" customFormat="1" spans="1:7">
      <c r="A491" s="23" t="s">
        <v>24</v>
      </c>
      <c r="B491" s="23" t="str">
        <f>"37"</f>
        <v>37</v>
      </c>
      <c r="C491" s="23" t="str">
        <f>"26"</f>
        <v>26</v>
      </c>
      <c r="D491" s="23" t="str">
        <f>"20210173726"</f>
        <v>20210173726</v>
      </c>
      <c r="E491" s="23">
        <v>71.2</v>
      </c>
      <c r="F491" s="23">
        <v>81.8</v>
      </c>
      <c r="G491" s="23">
        <f t="shared" si="94"/>
        <v>75.44</v>
      </c>
    </row>
    <row r="492" s="16" customFormat="1" spans="1:7">
      <c r="A492" s="23" t="s">
        <v>24</v>
      </c>
      <c r="B492" s="23" t="str">
        <f>"38"</f>
        <v>38</v>
      </c>
      <c r="C492" s="23" t="str">
        <f>"26"</f>
        <v>26</v>
      </c>
      <c r="D492" s="23" t="str">
        <f>"20210173826"</f>
        <v>20210173826</v>
      </c>
      <c r="E492" s="23">
        <v>67.4</v>
      </c>
      <c r="F492" s="23">
        <v>83.8</v>
      </c>
      <c r="G492" s="23">
        <f t="shared" si="94"/>
        <v>73.96</v>
      </c>
    </row>
    <row r="493" s="16" customFormat="1" spans="1:7">
      <c r="A493" s="23" t="s">
        <v>24</v>
      </c>
      <c r="B493" s="23" t="str">
        <f>"37"</f>
        <v>37</v>
      </c>
      <c r="C493" s="23" t="str">
        <f>"24"</f>
        <v>24</v>
      </c>
      <c r="D493" s="23" t="str">
        <f>"20210173724"</f>
        <v>20210173724</v>
      </c>
      <c r="E493" s="23">
        <v>73.05</v>
      </c>
      <c r="F493" s="23">
        <v>81</v>
      </c>
      <c r="G493" s="23">
        <f t="shared" si="94"/>
        <v>76.23</v>
      </c>
    </row>
    <row r="494" s="16" customFormat="1" spans="1:7">
      <c r="A494" s="23" t="s">
        <v>24</v>
      </c>
      <c r="B494" s="23" t="str">
        <f>"37"</f>
        <v>37</v>
      </c>
      <c r="C494" s="23" t="str">
        <f>"30"</f>
        <v>30</v>
      </c>
      <c r="D494" s="23" t="str">
        <f>"20210173730"</f>
        <v>20210173730</v>
      </c>
      <c r="E494" s="23">
        <v>60.1</v>
      </c>
      <c r="F494" s="23">
        <v>77.8</v>
      </c>
      <c r="G494" s="23">
        <f t="shared" si="94"/>
        <v>67.18</v>
      </c>
    </row>
    <row r="495" s="16" customFormat="1" spans="1:7">
      <c r="A495" s="23" t="s">
        <v>24</v>
      </c>
      <c r="B495" s="23" t="str">
        <f>"38"</f>
        <v>38</v>
      </c>
      <c r="C495" s="23" t="str">
        <f>"08"</f>
        <v>08</v>
      </c>
      <c r="D495" s="23" t="str">
        <f>"20210173808"</f>
        <v>20210173808</v>
      </c>
      <c r="E495" s="23">
        <v>64.9</v>
      </c>
      <c r="F495" s="23">
        <v>77.2</v>
      </c>
      <c r="G495" s="23">
        <f t="shared" si="94"/>
        <v>69.82</v>
      </c>
    </row>
    <row r="496" s="16" customFormat="1" spans="1:7">
      <c r="A496" s="23" t="s">
        <v>24</v>
      </c>
      <c r="B496" s="23" t="str">
        <f>"37"</f>
        <v>37</v>
      </c>
      <c r="C496" s="23" t="str">
        <f>"07"</f>
        <v>07</v>
      </c>
      <c r="D496" s="23" t="str">
        <f>"20210173707"</f>
        <v>20210173707</v>
      </c>
      <c r="E496" s="23">
        <v>66.6</v>
      </c>
      <c r="F496" s="23">
        <v>77.2</v>
      </c>
      <c r="G496" s="23">
        <f t="shared" si="94"/>
        <v>70.84</v>
      </c>
    </row>
    <row r="497" s="16" customFormat="1" spans="1:7">
      <c r="A497" s="23" t="s">
        <v>24</v>
      </c>
      <c r="B497" s="23" t="str">
        <f>"38"</f>
        <v>38</v>
      </c>
      <c r="C497" s="23" t="str">
        <f>"29"</f>
        <v>29</v>
      </c>
      <c r="D497" s="23" t="str">
        <f>"20210173829"</f>
        <v>20210173829</v>
      </c>
      <c r="E497" s="23">
        <v>51.6</v>
      </c>
      <c r="F497" s="23">
        <v>61.2</v>
      </c>
      <c r="G497" s="23">
        <f t="shared" si="94"/>
        <v>55.44</v>
      </c>
    </row>
    <row r="498" s="16" customFormat="1" spans="1:7">
      <c r="A498" s="23" t="s">
        <v>24</v>
      </c>
      <c r="B498" s="23" t="str">
        <f>"38"</f>
        <v>38</v>
      </c>
      <c r="C498" s="23" t="str">
        <f>"24"</f>
        <v>24</v>
      </c>
      <c r="D498" s="23" t="str">
        <f>"20210173824"</f>
        <v>20210173824</v>
      </c>
      <c r="E498" s="23">
        <v>67.5</v>
      </c>
      <c r="F498" s="23">
        <v>75.4</v>
      </c>
      <c r="G498" s="23">
        <f t="shared" si="94"/>
        <v>70.66</v>
      </c>
    </row>
    <row r="499" s="16" customFormat="1" spans="1:7">
      <c r="A499" s="23" t="s">
        <v>24</v>
      </c>
      <c r="B499" s="23" t="str">
        <f>"38"</f>
        <v>38</v>
      </c>
      <c r="C499" s="23" t="str">
        <f>"16"</f>
        <v>16</v>
      </c>
      <c r="D499" s="23" t="str">
        <f>"20210173816"</f>
        <v>20210173816</v>
      </c>
      <c r="E499" s="23">
        <v>66.2</v>
      </c>
      <c r="F499" s="23">
        <v>82</v>
      </c>
      <c r="G499" s="23">
        <f t="shared" si="94"/>
        <v>72.52</v>
      </c>
    </row>
    <row r="500" s="16" customFormat="1" spans="1:7">
      <c r="A500" s="23" t="s">
        <v>24</v>
      </c>
      <c r="B500" s="23" t="str">
        <f>"37"</f>
        <v>37</v>
      </c>
      <c r="C500" s="23" t="str">
        <f>"09"</f>
        <v>09</v>
      </c>
      <c r="D500" s="23" t="str">
        <f>"20210173709"</f>
        <v>20210173709</v>
      </c>
      <c r="E500" s="23">
        <v>63.7</v>
      </c>
      <c r="F500" s="23">
        <v>84.8</v>
      </c>
      <c r="G500" s="23">
        <f t="shared" si="94"/>
        <v>72.14</v>
      </c>
    </row>
    <row r="501" s="16" customFormat="1" spans="1:7">
      <c r="A501" s="23" t="s">
        <v>24</v>
      </c>
      <c r="B501" s="23" t="str">
        <f>"37"</f>
        <v>37</v>
      </c>
      <c r="C501" s="23" t="str">
        <f>"22"</f>
        <v>22</v>
      </c>
      <c r="D501" s="23" t="str">
        <f>"20210173722"</f>
        <v>20210173722</v>
      </c>
      <c r="E501" s="23">
        <v>60.8</v>
      </c>
      <c r="F501" s="23">
        <v>87</v>
      </c>
      <c r="G501" s="23">
        <f t="shared" si="94"/>
        <v>71.28</v>
      </c>
    </row>
    <row r="502" s="16" customFormat="1" spans="1:7">
      <c r="A502" s="23" t="s">
        <v>24</v>
      </c>
      <c r="B502" s="23" t="str">
        <f>"38"</f>
        <v>38</v>
      </c>
      <c r="C502" s="23" t="str">
        <f>"11"</f>
        <v>11</v>
      </c>
      <c r="D502" s="23" t="str">
        <f>"20210173811"</f>
        <v>20210173811</v>
      </c>
      <c r="E502" s="23">
        <v>67.2</v>
      </c>
      <c r="F502" s="23">
        <v>77.8</v>
      </c>
      <c r="G502" s="23">
        <f t="shared" si="94"/>
        <v>71.44</v>
      </c>
    </row>
    <row r="503" s="16" customFormat="1" spans="1:7">
      <c r="A503" s="23" t="s">
        <v>24</v>
      </c>
      <c r="B503" s="23" t="str">
        <f>"38"</f>
        <v>38</v>
      </c>
      <c r="C503" s="23" t="str">
        <f>"13"</f>
        <v>13</v>
      </c>
      <c r="D503" s="23" t="str">
        <f>"20210173813"</f>
        <v>20210173813</v>
      </c>
      <c r="E503" s="23">
        <v>60.55</v>
      </c>
      <c r="F503" s="23">
        <v>80</v>
      </c>
      <c r="G503" s="23">
        <f t="shared" si="94"/>
        <v>68.33</v>
      </c>
    </row>
    <row r="504" s="16" customFormat="1" spans="1:7">
      <c r="A504" s="23" t="s">
        <v>24</v>
      </c>
      <c r="B504" s="23" t="str">
        <f>"38"</f>
        <v>38</v>
      </c>
      <c r="C504" s="23" t="str">
        <f>"10"</f>
        <v>10</v>
      </c>
      <c r="D504" s="23" t="str">
        <f>"20210173810"</f>
        <v>20210173810</v>
      </c>
      <c r="E504" s="23">
        <v>58</v>
      </c>
      <c r="F504" s="23">
        <v>0</v>
      </c>
      <c r="G504" s="23">
        <f t="shared" si="94"/>
        <v>34.8</v>
      </c>
    </row>
    <row r="505" s="16" customFormat="1" spans="1:7">
      <c r="A505" s="23" t="s">
        <v>25</v>
      </c>
      <c r="B505" s="23" t="str">
        <f t="shared" ref="B505:B510" si="95">"40"</f>
        <v>40</v>
      </c>
      <c r="C505" s="23" t="str">
        <f>"16"</f>
        <v>16</v>
      </c>
      <c r="D505" s="23" t="str">
        <f>"20210184016"</f>
        <v>20210184016</v>
      </c>
      <c r="E505" s="23">
        <v>76.6</v>
      </c>
      <c r="F505" s="23">
        <v>69.8</v>
      </c>
      <c r="G505" s="23">
        <f t="shared" si="94"/>
        <v>73.88</v>
      </c>
    </row>
    <row r="506" s="16" customFormat="1" spans="1:7">
      <c r="A506" s="23" t="s">
        <v>25</v>
      </c>
      <c r="B506" s="23" t="str">
        <f t="shared" si="95"/>
        <v>40</v>
      </c>
      <c r="C506" s="23" t="str">
        <f>"21"</f>
        <v>21</v>
      </c>
      <c r="D506" s="23" t="str">
        <f>"20210184021"</f>
        <v>20210184021</v>
      </c>
      <c r="E506" s="23">
        <v>60.7</v>
      </c>
      <c r="F506" s="23">
        <v>76</v>
      </c>
      <c r="G506" s="23">
        <f t="shared" si="94"/>
        <v>66.82</v>
      </c>
    </row>
    <row r="507" s="16" customFormat="1" spans="1:7">
      <c r="A507" s="23" t="s">
        <v>25</v>
      </c>
      <c r="B507" s="23" t="str">
        <f t="shared" si="95"/>
        <v>40</v>
      </c>
      <c r="C507" s="23" t="str">
        <f>"28"</f>
        <v>28</v>
      </c>
      <c r="D507" s="23" t="str">
        <f>"20210184028"</f>
        <v>20210184028</v>
      </c>
      <c r="E507" s="23">
        <v>59.2</v>
      </c>
      <c r="F507" s="23">
        <v>79.7</v>
      </c>
      <c r="G507" s="23">
        <f t="shared" si="94"/>
        <v>67.4</v>
      </c>
    </row>
    <row r="508" s="16" customFormat="1" spans="1:7">
      <c r="A508" s="23" t="s">
        <v>25</v>
      </c>
      <c r="B508" s="23" t="str">
        <f t="shared" si="95"/>
        <v>40</v>
      </c>
      <c r="C508" s="23" t="str">
        <f>"23"</f>
        <v>23</v>
      </c>
      <c r="D508" s="23" t="str">
        <f>"20210184023"</f>
        <v>20210184023</v>
      </c>
      <c r="E508" s="23">
        <v>61.8</v>
      </c>
      <c r="F508" s="23">
        <v>62.6</v>
      </c>
      <c r="G508" s="23">
        <f t="shared" si="94"/>
        <v>62.12</v>
      </c>
    </row>
    <row r="509" s="16" customFormat="1" spans="1:7">
      <c r="A509" s="23" t="s">
        <v>25</v>
      </c>
      <c r="B509" s="23" t="str">
        <f t="shared" si="95"/>
        <v>40</v>
      </c>
      <c r="C509" s="23" t="str">
        <f>"03"</f>
        <v>03</v>
      </c>
      <c r="D509" s="23" t="str">
        <f>"20210184003"</f>
        <v>20210184003</v>
      </c>
      <c r="E509" s="23">
        <v>63.2</v>
      </c>
      <c r="F509" s="23">
        <v>80.4</v>
      </c>
      <c r="G509" s="23">
        <f t="shared" si="94"/>
        <v>70.08</v>
      </c>
    </row>
    <row r="510" s="16" customFormat="1" spans="1:7">
      <c r="A510" s="23" t="s">
        <v>25</v>
      </c>
      <c r="B510" s="23" t="str">
        <f t="shared" si="95"/>
        <v>40</v>
      </c>
      <c r="C510" s="23" t="str">
        <f>"29"</f>
        <v>29</v>
      </c>
      <c r="D510" s="23" t="str">
        <f>"20210184029"</f>
        <v>20210184029</v>
      </c>
      <c r="E510" s="23">
        <v>67</v>
      </c>
      <c r="F510" s="23">
        <v>79</v>
      </c>
      <c r="G510" s="23">
        <f t="shared" si="94"/>
        <v>71.8</v>
      </c>
    </row>
    <row r="511" s="16" customFormat="1" spans="1:7">
      <c r="A511" s="23" t="s">
        <v>25</v>
      </c>
      <c r="B511" s="23" t="str">
        <f>"39"</f>
        <v>39</v>
      </c>
      <c r="C511" s="23" t="str">
        <f>"13"</f>
        <v>13</v>
      </c>
      <c r="D511" s="23" t="str">
        <f>"20210183913"</f>
        <v>20210183913</v>
      </c>
      <c r="E511" s="23">
        <v>63.8</v>
      </c>
      <c r="F511" s="23">
        <v>75.4</v>
      </c>
      <c r="G511" s="23">
        <f t="shared" si="94"/>
        <v>68.44</v>
      </c>
    </row>
    <row r="512" s="16" customFormat="1" spans="1:7">
      <c r="A512" s="23" t="s">
        <v>25</v>
      </c>
      <c r="B512" s="23" t="str">
        <f>"41"</f>
        <v>41</v>
      </c>
      <c r="C512" s="23" t="str">
        <f>"02"</f>
        <v>02</v>
      </c>
      <c r="D512" s="23" t="str">
        <f>"20210184102"</f>
        <v>20210184102</v>
      </c>
      <c r="E512" s="23">
        <v>82.45</v>
      </c>
      <c r="F512" s="23">
        <v>84.6</v>
      </c>
      <c r="G512" s="23">
        <f t="shared" si="94"/>
        <v>83.31</v>
      </c>
    </row>
    <row r="513" s="16" customFormat="1" spans="1:7">
      <c r="A513" s="23" t="s">
        <v>25</v>
      </c>
      <c r="B513" s="23" t="str">
        <f>"39"</f>
        <v>39</v>
      </c>
      <c r="C513" s="23" t="str">
        <f>"19"</f>
        <v>19</v>
      </c>
      <c r="D513" s="23" t="str">
        <f>"20210183919"</f>
        <v>20210183919</v>
      </c>
      <c r="E513" s="23">
        <v>67</v>
      </c>
      <c r="F513" s="23">
        <v>64.8</v>
      </c>
      <c r="G513" s="23">
        <f t="shared" si="94"/>
        <v>66.12</v>
      </c>
    </row>
    <row r="514" s="16" customFormat="1" spans="1:7">
      <c r="A514" s="23" t="s">
        <v>25</v>
      </c>
      <c r="B514" s="23" t="str">
        <f>"39"</f>
        <v>39</v>
      </c>
      <c r="C514" s="23" t="str">
        <f>"26"</f>
        <v>26</v>
      </c>
      <c r="D514" s="23" t="str">
        <f>"20210183926"</f>
        <v>20210183926</v>
      </c>
      <c r="E514" s="23">
        <v>53.8</v>
      </c>
      <c r="F514" s="23">
        <v>70.6</v>
      </c>
      <c r="G514" s="23">
        <f t="shared" si="94"/>
        <v>60.52</v>
      </c>
    </row>
    <row r="515" s="16" customFormat="1" spans="1:7">
      <c r="A515" s="23" t="s">
        <v>25</v>
      </c>
      <c r="B515" s="23" t="str">
        <f>"40"</f>
        <v>40</v>
      </c>
      <c r="C515" s="23" t="str">
        <f>"07"</f>
        <v>07</v>
      </c>
      <c r="D515" s="23" t="str">
        <f>"20210184007"</f>
        <v>20210184007</v>
      </c>
      <c r="E515" s="23">
        <v>57.8</v>
      </c>
      <c r="F515" s="23">
        <v>73.4</v>
      </c>
      <c r="G515" s="23">
        <f t="shared" si="94"/>
        <v>64.04</v>
      </c>
    </row>
    <row r="516" s="16" customFormat="1" spans="1:7">
      <c r="A516" s="23" t="s">
        <v>25</v>
      </c>
      <c r="B516" s="23" t="str">
        <f>"39"</f>
        <v>39</v>
      </c>
      <c r="C516" s="23" t="str">
        <f>"18"</f>
        <v>18</v>
      </c>
      <c r="D516" s="23" t="str">
        <f>"20210183918"</f>
        <v>20210183918</v>
      </c>
      <c r="E516" s="23">
        <v>51.6</v>
      </c>
      <c r="F516" s="23">
        <v>74</v>
      </c>
      <c r="G516" s="23">
        <f t="shared" si="94"/>
        <v>60.56</v>
      </c>
    </row>
    <row r="517" s="16" customFormat="1" spans="1:7">
      <c r="A517" s="23" t="s">
        <v>25</v>
      </c>
      <c r="B517" s="23" t="str">
        <f>"40"</f>
        <v>40</v>
      </c>
      <c r="C517" s="23" t="str">
        <f>"19"</f>
        <v>19</v>
      </c>
      <c r="D517" s="23" t="str">
        <f>"20210184019"</f>
        <v>20210184019</v>
      </c>
      <c r="E517" s="23">
        <v>66.2</v>
      </c>
      <c r="F517" s="23">
        <v>68.8</v>
      </c>
      <c r="G517" s="23">
        <f t="shared" si="94"/>
        <v>67.24</v>
      </c>
    </row>
    <row r="518" s="16" customFormat="1" spans="1:7">
      <c r="A518" s="23" t="s">
        <v>25</v>
      </c>
      <c r="B518" s="23" t="str">
        <f>"39"</f>
        <v>39</v>
      </c>
      <c r="C518" s="23" t="str">
        <f>"27"</f>
        <v>27</v>
      </c>
      <c r="D518" s="23" t="str">
        <f>"20210183927"</f>
        <v>20210183927</v>
      </c>
      <c r="E518" s="23">
        <v>67.2</v>
      </c>
      <c r="F518" s="23">
        <v>89.2</v>
      </c>
      <c r="G518" s="23">
        <f t="shared" si="94"/>
        <v>76</v>
      </c>
    </row>
    <row r="519" s="16" customFormat="1" spans="1:7">
      <c r="A519" s="23" t="s">
        <v>25</v>
      </c>
      <c r="B519" s="23" t="str">
        <f>"39"</f>
        <v>39</v>
      </c>
      <c r="C519" s="23" t="str">
        <f>"03"</f>
        <v>03</v>
      </c>
      <c r="D519" s="23" t="str">
        <f>"20210183903"</f>
        <v>20210183903</v>
      </c>
      <c r="E519" s="23">
        <v>69.15</v>
      </c>
      <c r="F519" s="23">
        <v>76.8</v>
      </c>
      <c r="G519" s="23">
        <f t="shared" si="94"/>
        <v>72.21</v>
      </c>
    </row>
    <row r="520" s="16" customFormat="1" spans="1:7">
      <c r="A520" s="23" t="s">
        <v>25</v>
      </c>
      <c r="B520" s="23" t="str">
        <f>"40"</f>
        <v>40</v>
      </c>
      <c r="C520" s="23" t="str">
        <f>"05"</f>
        <v>05</v>
      </c>
      <c r="D520" s="23" t="str">
        <f>"20210184005"</f>
        <v>20210184005</v>
      </c>
      <c r="E520" s="23">
        <v>70.8</v>
      </c>
      <c r="F520" s="23">
        <v>77.8</v>
      </c>
      <c r="G520" s="23">
        <f t="shared" si="94"/>
        <v>73.6</v>
      </c>
    </row>
    <row r="521" s="16" customFormat="1" spans="1:7">
      <c r="A521" s="23" t="s">
        <v>25</v>
      </c>
      <c r="B521" s="23" t="str">
        <f>"39"</f>
        <v>39</v>
      </c>
      <c r="C521" s="23" t="str">
        <f>"21"</f>
        <v>21</v>
      </c>
      <c r="D521" s="23" t="str">
        <f>"20210183921"</f>
        <v>20210183921</v>
      </c>
      <c r="E521" s="23">
        <v>77.6</v>
      </c>
      <c r="F521" s="23">
        <v>79.2</v>
      </c>
      <c r="G521" s="23">
        <f t="shared" si="94"/>
        <v>78.24</v>
      </c>
    </row>
    <row r="522" s="16" customFormat="1" spans="1:7">
      <c r="A522" s="23" t="s">
        <v>25</v>
      </c>
      <c r="B522" s="23" t="str">
        <f>"40"</f>
        <v>40</v>
      </c>
      <c r="C522" s="23" t="str">
        <f>"27"</f>
        <v>27</v>
      </c>
      <c r="D522" s="23" t="str">
        <f>"20210184027"</f>
        <v>20210184027</v>
      </c>
      <c r="E522" s="23">
        <v>79.7</v>
      </c>
      <c r="F522" s="23">
        <v>81</v>
      </c>
      <c r="G522" s="23">
        <f t="shared" si="94"/>
        <v>80.22</v>
      </c>
    </row>
    <row r="523" s="16" customFormat="1" spans="1:7">
      <c r="A523" s="23" t="s">
        <v>25</v>
      </c>
      <c r="B523" s="23" t="str">
        <f>"41"</f>
        <v>41</v>
      </c>
      <c r="C523" s="23" t="str">
        <f>"04"</f>
        <v>04</v>
      </c>
      <c r="D523" s="23" t="str">
        <f>"20210184104"</f>
        <v>20210184104</v>
      </c>
      <c r="E523" s="23">
        <v>81.9</v>
      </c>
      <c r="F523" s="23">
        <v>0</v>
      </c>
      <c r="G523" s="23">
        <f t="shared" si="94"/>
        <v>49.14</v>
      </c>
    </row>
    <row r="524" s="16" customFormat="1" spans="1:7">
      <c r="A524" s="23" t="s">
        <v>25</v>
      </c>
      <c r="B524" s="23" t="str">
        <f>"40"</f>
        <v>40</v>
      </c>
      <c r="C524" s="23" t="str">
        <f>"24"</f>
        <v>24</v>
      </c>
      <c r="D524" s="23" t="str">
        <f>"20210184024"</f>
        <v>20210184024</v>
      </c>
      <c r="E524" s="23">
        <v>69.7</v>
      </c>
      <c r="F524" s="23">
        <v>0</v>
      </c>
      <c r="G524" s="23">
        <f t="shared" si="94"/>
        <v>41.82</v>
      </c>
    </row>
    <row r="525" s="16" customFormat="1" spans="1:7">
      <c r="A525" s="23" t="s">
        <v>25</v>
      </c>
      <c r="B525" s="23" t="str">
        <f>"39"</f>
        <v>39</v>
      </c>
      <c r="C525" s="23" t="str">
        <f>"09"</f>
        <v>09</v>
      </c>
      <c r="D525" s="23" t="str">
        <f>"20210183909"</f>
        <v>20210183909</v>
      </c>
      <c r="E525" s="23">
        <v>55.7</v>
      </c>
      <c r="F525" s="23">
        <v>0</v>
      </c>
      <c r="G525" s="23">
        <f t="shared" si="94"/>
        <v>33.42</v>
      </c>
    </row>
    <row r="526" s="16" customFormat="1" spans="1:7">
      <c r="A526" s="23" t="s">
        <v>26</v>
      </c>
      <c r="B526" s="23" t="str">
        <f>"41"</f>
        <v>41</v>
      </c>
      <c r="C526" s="23" t="str">
        <f>"20"</f>
        <v>20</v>
      </c>
      <c r="D526" s="23" t="str">
        <f>"20210194120"</f>
        <v>20210194120</v>
      </c>
      <c r="E526" s="23">
        <v>54</v>
      </c>
      <c r="F526" s="23">
        <v>71.5</v>
      </c>
      <c r="G526" s="23">
        <f t="shared" si="94"/>
        <v>61</v>
      </c>
    </row>
    <row r="527" s="16" customFormat="1" spans="1:7">
      <c r="A527" s="23" t="s">
        <v>26</v>
      </c>
      <c r="B527" s="23" t="str">
        <f>"41"</f>
        <v>41</v>
      </c>
      <c r="C527" s="23" t="str">
        <f>"27"</f>
        <v>27</v>
      </c>
      <c r="D527" s="23" t="str">
        <f>"20210194127"</f>
        <v>20210194127</v>
      </c>
      <c r="E527" s="23">
        <v>69</v>
      </c>
      <c r="F527" s="23">
        <v>75.9</v>
      </c>
      <c r="G527" s="23">
        <f t="shared" si="94"/>
        <v>71.76</v>
      </c>
    </row>
    <row r="528" s="16" customFormat="1" spans="1:7">
      <c r="A528" s="23" t="s">
        <v>26</v>
      </c>
      <c r="B528" s="23" t="str">
        <f>"42"</f>
        <v>42</v>
      </c>
      <c r="C528" s="23" t="str">
        <f>"25"</f>
        <v>25</v>
      </c>
      <c r="D528" s="23" t="str">
        <f>"20210194225"</f>
        <v>20210194225</v>
      </c>
      <c r="E528" s="23">
        <v>54</v>
      </c>
      <c r="F528" s="23">
        <v>73.5</v>
      </c>
      <c r="G528" s="23">
        <f t="shared" si="94"/>
        <v>61.8</v>
      </c>
    </row>
    <row r="529" s="16" customFormat="1" spans="1:7">
      <c r="A529" s="23" t="s">
        <v>26</v>
      </c>
      <c r="B529" s="23" t="str">
        <f>"41"</f>
        <v>41</v>
      </c>
      <c r="C529" s="23" t="str">
        <f>"17"</f>
        <v>17</v>
      </c>
      <c r="D529" s="23" t="str">
        <f>"20210194117"</f>
        <v>20210194117</v>
      </c>
      <c r="E529" s="23">
        <v>53.3</v>
      </c>
      <c r="F529" s="23">
        <v>83.5</v>
      </c>
      <c r="G529" s="23">
        <f t="shared" si="94"/>
        <v>65.38</v>
      </c>
    </row>
    <row r="530" s="16" customFormat="1" spans="1:7">
      <c r="A530" s="23" t="s">
        <v>26</v>
      </c>
      <c r="B530" s="23" t="str">
        <f>"42"</f>
        <v>42</v>
      </c>
      <c r="C530" s="23" t="str">
        <f>"05"</f>
        <v>05</v>
      </c>
      <c r="D530" s="23" t="str">
        <f>"20210194205"</f>
        <v>20210194205</v>
      </c>
      <c r="E530" s="23">
        <v>80.1</v>
      </c>
      <c r="F530" s="23">
        <v>76.3</v>
      </c>
      <c r="G530" s="23">
        <f t="shared" si="94"/>
        <v>78.58</v>
      </c>
    </row>
    <row r="531" s="16" customFormat="1" spans="1:7">
      <c r="A531" s="23" t="s">
        <v>26</v>
      </c>
      <c r="B531" s="23" t="str">
        <f>"41"</f>
        <v>41</v>
      </c>
      <c r="C531" s="23" t="str">
        <f>"13"</f>
        <v>13</v>
      </c>
      <c r="D531" s="23" t="str">
        <f>"20210194113"</f>
        <v>20210194113</v>
      </c>
      <c r="E531" s="23">
        <v>76</v>
      </c>
      <c r="F531" s="23">
        <v>73.6</v>
      </c>
      <c r="G531" s="23">
        <f t="shared" si="94"/>
        <v>75.04</v>
      </c>
    </row>
    <row r="532" s="16" customFormat="1" spans="1:7">
      <c r="A532" s="23" t="s">
        <v>26</v>
      </c>
      <c r="B532" s="23" t="str">
        <f>"41"</f>
        <v>41</v>
      </c>
      <c r="C532" s="23" t="str">
        <f>"23"</f>
        <v>23</v>
      </c>
      <c r="D532" s="23" t="str">
        <f>"20210194123"</f>
        <v>20210194123</v>
      </c>
      <c r="E532" s="23">
        <v>63.05</v>
      </c>
      <c r="F532" s="23">
        <v>64.9</v>
      </c>
      <c r="G532" s="23">
        <f t="shared" si="94"/>
        <v>63.79</v>
      </c>
    </row>
    <row r="533" s="16" customFormat="1" spans="1:7">
      <c r="A533" s="23" t="s">
        <v>26</v>
      </c>
      <c r="B533" s="23" t="str">
        <f>"43"</f>
        <v>43</v>
      </c>
      <c r="C533" s="23" t="str">
        <f>"04"</f>
        <v>04</v>
      </c>
      <c r="D533" s="23" t="str">
        <f>"20210194304"</f>
        <v>20210194304</v>
      </c>
      <c r="E533" s="23">
        <v>64.25</v>
      </c>
      <c r="F533" s="23">
        <v>75.6</v>
      </c>
      <c r="G533" s="23">
        <f t="shared" si="94"/>
        <v>68.79</v>
      </c>
    </row>
    <row r="534" s="16" customFormat="1" spans="1:7">
      <c r="A534" s="23" t="s">
        <v>26</v>
      </c>
      <c r="B534" s="23" t="str">
        <f>"41"</f>
        <v>41</v>
      </c>
      <c r="C534" s="23" t="str">
        <f>"16"</f>
        <v>16</v>
      </c>
      <c r="D534" s="23" t="str">
        <f>"20210194116"</f>
        <v>20210194116</v>
      </c>
      <c r="E534" s="23">
        <v>52.6</v>
      </c>
      <c r="F534" s="23">
        <v>75.1</v>
      </c>
      <c r="G534" s="23">
        <f t="shared" si="94"/>
        <v>61.6</v>
      </c>
    </row>
    <row r="535" s="16" customFormat="1" spans="1:7">
      <c r="A535" s="23" t="s">
        <v>26</v>
      </c>
      <c r="B535" s="23" t="str">
        <f>"42"</f>
        <v>42</v>
      </c>
      <c r="C535" s="23" t="str">
        <f>"01"</f>
        <v>01</v>
      </c>
      <c r="D535" s="23" t="str">
        <f>"20210194201"</f>
        <v>20210194201</v>
      </c>
      <c r="E535" s="23">
        <v>70.8</v>
      </c>
      <c r="F535" s="23">
        <v>81</v>
      </c>
      <c r="G535" s="23">
        <f t="shared" si="94"/>
        <v>74.88</v>
      </c>
    </row>
    <row r="536" s="16" customFormat="1" spans="1:7">
      <c r="A536" s="23" t="s">
        <v>26</v>
      </c>
      <c r="B536" s="23" t="str">
        <f>"42"</f>
        <v>42</v>
      </c>
      <c r="C536" s="23" t="str">
        <f>"02"</f>
        <v>02</v>
      </c>
      <c r="D536" s="23" t="str">
        <f>"20210194202"</f>
        <v>20210194202</v>
      </c>
      <c r="E536" s="23">
        <v>85.5</v>
      </c>
      <c r="F536" s="23">
        <v>73.7</v>
      </c>
      <c r="G536" s="23">
        <f t="shared" si="94"/>
        <v>80.78</v>
      </c>
    </row>
    <row r="537" s="16" customFormat="1" spans="1:7">
      <c r="A537" s="23" t="s">
        <v>26</v>
      </c>
      <c r="B537" s="23" t="str">
        <f>"41"</f>
        <v>41</v>
      </c>
      <c r="C537" s="23" t="str">
        <f>"29"</f>
        <v>29</v>
      </c>
      <c r="D537" s="23" t="str">
        <f>"20210194129"</f>
        <v>20210194129</v>
      </c>
      <c r="E537" s="23">
        <v>72.3</v>
      </c>
      <c r="F537" s="23">
        <v>78.8</v>
      </c>
      <c r="G537" s="23">
        <f t="shared" ref="G537:G600" si="96">E537*0.6+F537*0.4</f>
        <v>74.9</v>
      </c>
    </row>
    <row r="538" s="16" customFormat="1" spans="1:7">
      <c r="A538" s="23" t="s">
        <v>26</v>
      </c>
      <c r="B538" s="23" t="str">
        <f>"42"</f>
        <v>42</v>
      </c>
      <c r="C538" s="23" t="str">
        <f>"28"</f>
        <v>28</v>
      </c>
      <c r="D538" s="23" t="str">
        <f>"20210194228"</f>
        <v>20210194228</v>
      </c>
      <c r="E538" s="23">
        <v>56.3</v>
      </c>
      <c r="F538" s="23">
        <v>77.1</v>
      </c>
      <c r="G538" s="23">
        <f t="shared" si="96"/>
        <v>64.62</v>
      </c>
    </row>
    <row r="539" s="16" customFormat="1" spans="1:7">
      <c r="A539" s="23" t="s">
        <v>26</v>
      </c>
      <c r="B539" s="23" t="str">
        <f>"42"</f>
        <v>42</v>
      </c>
      <c r="C539" s="23" t="str">
        <f>"06"</f>
        <v>06</v>
      </c>
      <c r="D539" s="23" t="str">
        <f>"20210194206"</f>
        <v>20210194206</v>
      </c>
      <c r="E539" s="23">
        <v>68.7</v>
      </c>
      <c r="F539" s="23">
        <v>81.1</v>
      </c>
      <c r="G539" s="23">
        <f t="shared" si="96"/>
        <v>73.66</v>
      </c>
    </row>
    <row r="540" s="16" customFormat="1" spans="1:7">
      <c r="A540" s="23" t="s">
        <v>26</v>
      </c>
      <c r="B540" s="23" t="str">
        <f>"41"</f>
        <v>41</v>
      </c>
      <c r="C540" s="23" t="str">
        <f>"14"</f>
        <v>14</v>
      </c>
      <c r="D540" s="23" t="str">
        <f>"20210194114"</f>
        <v>20210194114</v>
      </c>
      <c r="E540" s="23">
        <v>60.4</v>
      </c>
      <c r="F540" s="23">
        <v>75.3</v>
      </c>
      <c r="G540" s="23">
        <f t="shared" si="96"/>
        <v>66.36</v>
      </c>
    </row>
    <row r="541" s="16" customFormat="1" spans="1:7">
      <c r="A541" s="23" t="s">
        <v>26</v>
      </c>
      <c r="B541" s="23" t="str">
        <f>"42"</f>
        <v>42</v>
      </c>
      <c r="C541" s="23" t="str">
        <f>"22"</f>
        <v>22</v>
      </c>
      <c r="D541" s="23" t="str">
        <f>"20210194222"</f>
        <v>20210194222</v>
      </c>
      <c r="E541" s="23">
        <v>66.3</v>
      </c>
      <c r="F541" s="23">
        <v>73.5</v>
      </c>
      <c r="G541" s="23">
        <f t="shared" si="96"/>
        <v>69.18</v>
      </c>
    </row>
    <row r="542" s="16" customFormat="1" spans="1:7">
      <c r="A542" s="23" t="s">
        <v>26</v>
      </c>
      <c r="B542" s="23" t="str">
        <f>"42"</f>
        <v>42</v>
      </c>
      <c r="C542" s="23" t="str">
        <f>"27"</f>
        <v>27</v>
      </c>
      <c r="D542" s="23" t="str">
        <f>"20210194227"</f>
        <v>20210194227</v>
      </c>
      <c r="E542" s="23">
        <v>61.9</v>
      </c>
      <c r="F542" s="23">
        <v>77.9</v>
      </c>
      <c r="G542" s="23">
        <f t="shared" si="96"/>
        <v>68.3</v>
      </c>
    </row>
    <row r="543" s="16" customFormat="1" spans="1:7">
      <c r="A543" s="23" t="s">
        <v>26</v>
      </c>
      <c r="B543" s="23" t="str">
        <f>"41"</f>
        <v>41</v>
      </c>
      <c r="C543" s="23" t="str">
        <f>"07"</f>
        <v>07</v>
      </c>
      <c r="D543" s="23" t="str">
        <f>"20210194107"</f>
        <v>20210194107</v>
      </c>
      <c r="E543" s="23">
        <v>55.15</v>
      </c>
      <c r="F543" s="23">
        <v>72.2</v>
      </c>
      <c r="G543" s="23">
        <f t="shared" si="96"/>
        <v>61.97</v>
      </c>
    </row>
    <row r="544" s="16" customFormat="1" spans="1:7">
      <c r="A544" s="23" t="s">
        <v>26</v>
      </c>
      <c r="B544" s="23" t="str">
        <f>"41"</f>
        <v>41</v>
      </c>
      <c r="C544" s="23" t="str">
        <f>"24"</f>
        <v>24</v>
      </c>
      <c r="D544" s="23" t="str">
        <f>"20210194124"</f>
        <v>20210194124</v>
      </c>
      <c r="E544" s="23">
        <v>74.4</v>
      </c>
      <c r="F544" s="23">
        <v>61.8</v>
      </c>
      <c r="G544" s="23">
        <f t="shared" si="96"/>
        <v>69.36</v>
      </c>
    </row>
    <row r="545" s="16" customFormat="1" spans="1:7">
      <c r="A545" s="23" t="s">
        <v>26</v>
      </c>
      <c r="B545" s="23" t="str">
        <f>"42"</f>
        <v>42</v>
      </c>
      <c r="C545" s="23" t="str">
        <f>"23"</f>
        <v>23</v>
      </c>
      <c r="D545" s="23" t="str">
        <f>"20210194223"</f>
        <v>20210194223</v>
      </c>
      <c r="E545" s="23">
        <v>52.2</v>
      </c>
      <c r="F545" s="23">
        <v>71.6</v>
      </c>
      <c r="G545" s="23">
        <f t="shared" si="96"/>
        <v>59.96</v>
      </c>
    </row>
    <row r="546" s="16" customFormat="1" spans="1:7">
      <c r="A546" s="23" t="s">
        <v>26</v>
      </c>
      <c r="B546" s="23" t="str">
        <f>"41"</f>
        <v>41</v>
      </c>
      <c r="C546" s="23" t="str">
        <f>"19"</f>
        <v>19</v>
      </c>
      <c r="D546" s="23" t="str">
        <f>"20210194119"</f>
        <v>20210194119</v>
      </c>
      <c r="E546" s="23">
        <v>50.75</v>
      </c>
      <c r="F546" s="23">
        <v>68.7</v>
      </c>
      <c r="G546" s="23">
        <f t="shared" si="96"/>
        <v>57.93</v>
      </c>
    </row>
    <row r="547" s="16" customFormat="1" spans="1:7">
      <c r="A547" s="23" t="s">
        <v>26</v>
      </c>
      <c r="B547" s="23" t="str">
        <f>"42"</f>
        <v>42</v>
      </c>
      <c r="C547" s="23" t="str">
        <f>"17"</f>
        <v>17</v>
      </c>
      <c r="D547" s="23" t="str">
        <f>"20210194217"</f>
        <v>20210194217</v>
      </c>
      <c r="E547" s="23">
        <v>54.6</v>
      </c>
      <c r="F547" s="23">
        <v>84</v>
      </c>
      <c r="G547" s="23">
        <f t="shared" si="96"/>
        <v>66.36</v>
      </c>
    </row>
    <row r="548" s="16" customFormat="1" spans="1:7">
      <c r="A548" s="23" t="s">
        <v>26</v>
      </c>
      <c r="B548" s="23" t="str">
        <f>"42"</f>
        <v>42</v>
      </c>
      <c r="C548" s="23" t="str">
        <f>"21"</f>
        <v>21</v>
      </c>
      <c r="D548" s="23" t="str">
        <f>"20210194221"</f>
        <v>20210194221</v>
      </c>
      <c r="E548" s="23">
        <v>54.5</v>
      </c>
      <c r="F548" s="23">
        <v>76.6</v>
      </c>
      <c r="G548" s="23">
        <f t="shared" si="96"/>
        <v>63.34</v>
      </c>
    </row>
    <row r="549" s="16" customFormat="1" spans="1:7">
      <c r="A549" s="23" t="s">
        <v>26</v>
      </c>
      <c r="B549" s="23" t="str">
        <f>"42"</f>
        <v>42</v>
      </c>
      <c r="C549" s="23" t="str">
        <f>"03"</f>
        <v>03</v>
      </c>
      <c r="D549" s="23" t="str">
        <f>"20210194203"</f>
        <v>20210194203</v>
      </c>
      <c r="E549" s="23">
        <v>69.85</v>
      </c>
      <c r="F549" s="23">
        <v>0</v>
      </c>
      <c r="G549" s="23">
        <f t="shared" si="96"/>
        <v>41.91</v>
      </c>
    </row>
    <row r="550" s="16" customFormat="1" spans="1:7">
      <c r="A550" s="23" t="s">
        <v>26</v>
      </c>
      <c r="B550" s="23" t="str">
        <f>"42"</f>
        <v>42</v>
      </c>
      <c r="C550" s="23" t="str">
        <f>"13"</f>
        <v>13</v>
      </c>
      <c r="D550" s="23" t="str">
        <f>"20210194213"</f>
        <v>20210194213</v>
      </c>
      <c r="E550" s="23">
        <v>61.1</v>
      </c>
      <c r="F550" s="23">
        <v>0</v>
      </c>
      <c r="G550" s="23">
        <f t="shared" si="96"/>
        <v>36.66</v>
      </c>
    </row>
    <row r="551" s="16" customFormat="1" spans="1:7">
      <c r="A551" s="23" t="s">
        <v>26</v>
      </c>
      <c r="B551" s="23" t="str">
        <f>"41"</f>
        <v>41</v>
      </c>
      <c r="C551" s="23" t="str">
        <f>"10"</f>
        <v>10</v>
      </c>
      <c r="D551" s="23" t="str">
        <f>"20210194110"</f>
        <v>20210194110</v>
      </c>
      <c r="E551" s="23">
        <v>58.2</v>
      </c>
      <c r="F551" s="23">
        <v>0</v>
      </c>
      <c r="G551" s="23">
        <f t="shared" si="96"/>
        <v>34.92</v>
      </c>
    </row>
    <row r="552" s="16" customFormat="1" spans="1:7">
      <c r="A552" s="23" t="s">
        <v>27</v>
      </c>
      <c r="B552" s="23" t="str">
        <f>"43"</f>
        <v>43</v>
      </c>
      <c r="C552" s="23" t="str">
        <f>"08"</f>
        <v>08</v>
      </c>
      <c r="D552" s="23" t="str">
        <f>"20210204308"</f>
        <v>20210204308</v>
      </c>
      <c r="E552" s="23">
        <v>53.35</v>
      </c>
      <c r="F552" s="23">
        <v>63.6</v>
      </c>
      <c r="G552" s="23">
        <f t="shared" si="96"/>
        <v>57.45</v>
      </c>
    </row>
    <row r="553" s="16" customFormat="1" spans="1:7">
      <c r="A553" s="23" t="s">
        <v>27</v>
      </c>
      <c r="B553" s="23" t="str">
        <f>"43"</f>
        <v>43</v>
      </c>
      <c r="C553" s="23" t="str">
        <f>"09"</f>
        <v>09</v>
      </c>
      <c r="D553" s="23" t="str">
        <f>"20210204309"</f>
        <v>20210204309</v>
      </c>
      <c r="E553" s="23">
        <v>54.9</v>
      </c>
      <c r="F553" s="23">
        <v>70.2</v>
      </c>
      <c r="G553" s="23">
        <f t="shared" si="96"/>
        <v>61.02</v>
      </c>
    </row>
    <row r="554" s="16" customFormat="1" spans="1:7">
      <c r="A554" s="23" t="s">
        <v>27</v>
      </c>
      <c r="B554" s="23" t="str">
        <f>"44"</f>
        <v>44</v>
      </c>
      <c r="C554" s="23" t="str">
        <f>"03"</f>
        <v>03</v>
      </c>
      <c r="D554" s="23" t="str">
        <f>"20210204403"</f>
        <v>20210204403</v>
      </c>
      <c r="E554" s="23">
        <v>59.25</v>
      </c>
      <c r="F554" s="23">
        <v>72.6</v>
      </c>
      <c r="G554" s="23">
        <f t="shared" si="96"/>
        <v>64.59</v>
      </c>
    </row>
    <row r="555" s="16" customFormat="1" spans="1:7">
      <c r="A555" s="23" t="s">
        <v>27</v>
      </c>
      <c r="B555" s="23" t="str">
        <f>"43"</f>
        <v>43</v>
      </c>
      <c r="C555" s="23" t="str">
        <f>"16"</f>
        <v>16</v>
      </c>
      <c r="D555" s="23" t="str">
        <f>"20210204316"</f>
        <v>20210204316</v>
      </c>
      <c r="E555" s="23">
        <v>55.4</v>
      </c>
      <c r="F555" s="23">
        <v>61.2</v>
      </c>
      <c r="G555" s="23">
        <f t="shared" si="96"/>
        <v>57.72</v>
      </c>
    </row>
    <row r="556" s="16" customFormat="1" spans="1:7">
      <c r="A556" s="23" t="s">
        <v>27</v>
      </c>
      <c r="B556" s="23" t="str">
        <f>"43"</f>
        <v>43</v>
      </c>
      <c r="C556" s="23" t="str">
        <f>"06"</f>
        <v>06</v>
      </c>
      <c r="D556" s="23" t="str">
        <f>"20210204306"</f>
        <v>20210204306</v>
      </c>
      <c r="E556" s="23">
        <v>62.8</v>
      </c>
      <c r="F556" s="23">
        <v>76.8</v>
      </c>
      <c r="G556" s="23">
        <f t="shared" si="96"/>
        <v>68.4</v>
      </c>
    </row>
    <row r="557" s="16" customFormat="1" spans="1:7">
      <c r="A557" s="23" t="s">
        <v>27</v>
      </c>
      <c r="B557" s="23" t="str">
        <f>"43"</f>
        <v>43</v>
      </c>
      <c r="C557" s="23" t="str">
        <f>"15"</f>
        <v>15</v>
      </c>
      <c r="D557" s="23" t="str">
        <f>"20210204315"</f>
        <v>20210204315</v>
      </c>
      <c r="E557" s="23">
        <v>77.5</v>
      </c>
      <c r="F557" s="23">
        <v>85.8</v>
      </c>
      <c r="G557" s="23">
        <f t="shared" si="96"/>
        <v>80.82</v>
      </c>
    </row>
    <row r="558" s="16" customFormat="1" spans="1:7">
      <c r="A558" s="23" t="s">
        <v>27</v>
      </c>
      <c r="B558" s="23" t="str">
        <f>"44"</f>
        <v>44</v>
      </c>
      <c r="C558" s="23" t="str">
        <f>"02"</f>
        <v>02</v>
      </c>
      <c r="D558" s="23" t="str">
        <f>"20210204402"</f>
        <v>20210204402</v>
      </c>
      <c r="E558" s="23">
        <v>72.65</v>
      </c>
      <c r="F558" s="23">
        <v>36</v>
      </c>
      <c r="G558" s="23">
        <f t="shared" si="96"/>
        <v>57.99</v>
      </c>
    </row>
    <row r="559" s="16" customFormat="1" spans="1:7">
      <c r="A559" s="23" t="s">
        <v>28</v>
      </c>
      <c r="B559" s="23" t="str">
        <f>"45"</f>
        <v>45</v>
      </c>
      <c r="C559" s="23" t="str">
        <f>"01"</f>
        <v>01</v>
      </c>
      <c r="D559" s="23" t="str">
        <f>"20210214501"</f>
        <v>20210214501</v>
      </c>
      <c r="E559" s="23">
        <v>73.95</v>
      </c>
      <c r="F559" s="23">
        <v>72.4</v>
      </c>
      <c r="G559" s="23">
        <f t="shared" si="96"/>
        <v>73.33</v>
      </c>
    </row>
    <row r="560" s="16" customFormat="1" spans="1:7">
      <c r="A560" s="23" t="s">
        <v>28</v>
      </c>
      <c r="B560" s="23" t="str">
        <f>"44"</f>
        <v>44</v>
      </c>
      <c r="C560" s="23" t="str">
        <f>"22"</f>
        <v>22</v>
      </c>
      <c r="D560" s="23" t="str">
        <f>"20210214422"</f>
        <v>20210214422</v>
      </c>
      <c r="E560" s="23">
        <v>57.65</v>
      </c>
      <c r="F560" s="23">
        <v>74.1</v>
      </c>
      <c r="G560" s="23">
        <f t="shared" si="96"/>
        <v>64.23</v>
      </c>
    </row>
    <row r="561" s="16" customFormat="1" spans="1:7">
      <c r="A561" s="23" t="s">
        <v>28</v>
      </c>
      <c r="B561" s="23" t="str">
        <f>"44"</f>
        <v>44</v>
      </c>
      <c r="C561" s="23" t="str">
        <f>"07"</f>
        <v>07</v>
      </c>
      <c r="D561" s="23" t="str">
        <f>"20210214407"</f>
        <v>20210214407</v>
      </c>
      <c r="E561" s="23">
        <v>67.55</v>
      </c>
      <c r="F561" s="23">
        <v>71.7</v>
      </c>
      <c r="G561" s="23">
        <f t="shared" si="96"/>
        <v>69.21</v>
      </c>
    </row>
    <row r="562" s="16" customFormat="1" spans="1:7">
      <c r="A562" s="23" t="s">
        <v>28</v>
      </c>
      <c r="B562" s="23" t="str">
        <f>"45"</f>
        <v>45</v>
      </c>
      <c r="C562" s="23" t="str">
        <f>"14"</f>
        <v>14</v>
      </c>
      <c r="D562" s="23" t="str">
        <f>"20210214514"</f>
        <v>20210214514</v>
      </c>
      <c r="E562" s="23">
        <v>67.8</v>
      </c>
      <c r="F562" s="23">
        <v>83.5</v>
      </c>
      <c r="G562" s="23">
        <f t="shared" si="96"/>
        <v>74.08</v>
      </c>
    </row>
    <row r="563" s="16" customFormat="1" spans="1:7">
      <c r="A563" s="23" t="s">
        <v>28</v>
      </c>
      <c r="B563" s="23" t="str">
        <f>"45"</f>
        <v>45</v>
      </c>
      <c r="C563" s="23" t="str">
        <f>"05"</f>
        <v>05</v>
      </c>
      <c r="D563" s="23" t="str">
        <f>"20210214505"</f>
        <v>20210214505</v>
      </c>
      <c r="E563" s="23">
        <v>59.6</v>
      </c>
      <c r="F563" s="23">
        <v>68.7</v>
      </c>
      <c r="G563" s="23">
        <f t="shared" si="96"/>
        <v>63.24</v>
      </c>
    </row>
    <row r="564" s="16" customFormat="1" spans="1:7">
      <c r="A564" s="23" t="s">
        <v>28</v>
      </c>
      <c r="B564" s="23" t="str">
        <f>"44"</f>
        <v>44</v>
      </c>
      <c r="C564" s="23" t="str">
        <f>"10"</f>
        <v>10</v>
      </c>
      <c r="D564" s="23" t="str">
        <f>"20210214410"</f>
        <v>20210214410</v>
      </c>
      <c r="E564" s="23">
        <v>59.6</v>
      </c>
      <c r="F564" s="23">
        <v>82.7</v>
      </c>
      <c r="G564" s="23">
        <f t="shared" si="96"/>
        <v>68.84</v>
      </c>
    </row>
    <row r="565" s="16" customFormat="1" spans="1:7">
      <c r="A565" s="23" t="s">
        <v>28</v>
      </c>
      <c r="B565" s="23" t="str">
        <f>"45"</f>
        <v>45</v>
      </c>
      <c r="C565" s="23" t="str">
        <f>"13"</f>
        <v>13</v>
      </c>
      <c r="D565" s="23" t="str">
        <f>"20210214513"</f>
        <v>20210214513</v>
      </c>
      <c r="E565" s="23">
        <v>66.95</v>
      </c>
      <c r="F565" s="23">
        <v>76.8</v>
      </c>
      <c r="G565" s="23">
        <f t="shared" si="96"/>
        <v>70.89</v>
      </c>
    </row>
    <row r="566" s="16" customFormat="1" spans="1:7">
      <c r="A566" s="23" t="s">
        <v>28</v>
      </c>
      <c r="B566" s="23" t="str">
        <f>"45"</f>
        <v>45</v>
      </c>
      <c r="C566" s="23" t="str">
        <f>"11"</f>
        <v>11</v>
      </c>
      <c r="D566" s="23" t="str">
        <f>"20210214511"</f>
        <v>20210214511</v>
      </c>
      <c r="E566" s="23">
        <v>59.15</v>
      </c>
      <c r="F566" s="23">
        <v>77.9</v>
      </c>
      <c r="G566" s="23">
        <f t="shared" si="96"/>
        <v>66.65</v>
      </c>
    </row>
    <row r="567" s="16" customFormat="1" spans="1:7">
      <c r="A567" s="23" t="s">
        <v>28</v>
      </c>
      <c r="B567" s="23" t="str">
        <f>"44"</f>
        <v>44</v>
      </c>
      <c r="C567" s="23" t="str">
        <f>"24"</f>
        <v>24</v>
      </c>
      <c r="D567" s="23" t="str">
        <f>"20210214424"</f>
        <v>20210214424</v>
      </c>
      <c r="E567" s="23">
        <v>50.15</v>
      </c>
      <c r="F567" s="23">
        <v>69.5</v>
      </c>
      <c r="G567" s="23">
        <f t="shared" si="96"/>
        <v>57.89</v>
      </c>
    </row>
    <row r="568" s="16" customFormat="1" spans="1:7">
      <c r="A568" s="23" t="s">
        <v>28</v>
      </c>
      <c r="B568" s="23" t="str">
        <f>"45"</f>
        <v>45</v>
      </c>
      <c r="C568" s="23" t="str">
        <f>"07"</f>
        <v>07</v>
      </c>
      <c r="D568" s="23" t="str">
        <f>"20210214507"</f>
        <v>20210214507</v>
      </c>
      <c r="E568" s="23">
        <v>74</v>
      </c>
      <c r="F568" s="23">
        <v>70.5</v>
      </c>
      <c r="G568" s="23">
        <f t="shared" si="96"/>
        <v>72.6</v>
      </c>
    </row>
    <row r="569" s="16" customFormat="1" spans="1:7">
      <c r="A569" s="23" t="s">
        <v>28</v>
      </c>
      <c r="B569" s="23" t="str">
        <f t="shared" ref="B569:B577" si="97">"44"</f>
        <v>44</v>
      </c>
      <c r="C569" s="23" t="str">
        <f>"15"</f>
        <v>15</v>
      </c>
      <c r="D569" s="23" t="str">
        <f>"20210214415"</f>
        <v>20210214415</v>
      </c>
      <c r="E569" s="23">
        <v>54.8</v>
      </c>
      <c r="F569" s="23">
        <v>71.6</v>
      </c>
      <c r="G569" s="23">
        <f t="shared" si="96"/>
        <v>61.52</v>
      </c>
    </row>
    <row r="570" s="16" customFormat="1" spans="1:7">
      <c r="A570" s="23" t="s">
        <v>28</v>
      </c>
      <c r="B570" s="23" t="str">
        <f t="shared" si="97"/>
        <v>44</v>
      </c>
      <c r="C570" s="23" t="str">
        <f>"29"</f>
        <v>29</v>
      </c>
      <c r="D570" s="23" t="str">
        <f>"20210214429"</f>
        <v>20210214429</v>
      </c>
      <c r="E570" s="23">
        <v>70.1</v>
      </c>
      <c r="F570" s="23">
        <v>84.3</v>
      </c>
      <c r="G570" s="23">
        <f t="shared" si="96"/>
        <v>75.78</v>
      </c>
    </row>
    <row r="571" s="16" customFormat="1" spans="1:7">
      <c r="A571" s="23" t="s">
        <v>28</v>
      </c>
      <c r="B571" s="23" t="str">
        <f t="shared" si="97"/>
        <v>44</v>
      </c>
      <c r="C571" s="23" t="str">
        <f>"13"</f>
        <v>13</v>
      </c>
      <c r="D571" s="23" t="str">
        <f>"20210214413"</f>
        <v>20210214413</v>
      </c>
      <c r="E571" s="23">
        <v>68.4</v>
      </c>
      <c r="F571" s="23">
        <v>75.1</v>
      </c>
      <c r="G571" s="23">
        <f t="shared" si="96"/>
        <v>71.08</v>
      </c>
    </row>
    <row r="572" s="16" customFormat="1" spans="1:7">
      <c r="A572" s="23" t="s">
        <v>28</v>
      </c>
      <c r="B572" s="23" t="str">
        <f t="shared" si="97"/>
        <v>44</v>
      </c>
      <c r="C572" s="23" t="str">
        <f>"19"</f>
        <v>19</v>
      </c>
      <c r="D572" s="23" t="str">
        <f>"20210214419"</f>
        <v>20210214419</v>
      </c>
      <c r="E572" s="23">
        <v>66.35</v>
      </c>
      <c r="F572" s="23">
        <v>76.1</v>
      </c>
      <c r="G572" s="23">
        <f t="shared" si="96"/>
        <v>70.25</v>
      </c>
    </row>
    <row r="573" s="16" customFormat="1" spans="1:7">
      <c r="A573" s="23" t="s">
        <v>28</v>
      </c>
      <c r="B573" s="23" t="str">
        <f t="shared" si="97"/>
        <v>44</v>
      </c>
      <c r="C573" s="23" t="str">
        <f>"16"</f>
        <v>16</v>
      </c>
      <c r="D573" s="23" t="str">
        <f>"20210214416"</f>
        <v>20210214416</v>
      </c>
      <c r="E573" s="23">
        <v>62.05</v>
      </c>
      <c r="F573" s="23">
        <v>73.9</v>
      </c>
      <c r="G573" s="23">
        <f t="shared" si="96"/>
        <v>66.79</v>
      </c>
    </row>
    <row r="574" s="16" customFormat="1" spans="1:7">
      <c r="A574" s="23" t="s">
        <v>28</v>
      </c>
      <c r="B574" s="23" t="str">
        <f t="shared" si="97"/>
        <v>44</v>
      </c>
      <c r="C574" s="23" t="str">
        <f>"25"</f>
        <v>25</v>
      </c>
      <c r="D574" s="23" t="str">
        <f>"20210214425"</f>
        <v>20210214425</v>
      </c>
      <c r="E574" s="23">
        <v>59.2</v>
      </c>
      <c r="F574" s="23">
        <v>79.4</v>
      </c>
      <c r="G574" s="23">
        <f t="shared" si="96"/>
        <v>67.28</v>
      </c>
    </row>
    <row r="575" s="16" customFormat="1" spans="1:7">
      <c r="A575" s="23" t="s">
        <v>28</v>
      </c>
      <c r="B575" s="23" t="str">
        <f t="shared" si="97"/>
        <v>44</v>
      </c>
      <c r="C575" s="23" t="str">
        <f>"05"</f>
        <v>05</v>
      </c>
      <c r="D575" s="23" t="str">
        <f>"20210214405"</f>
        <v>20210214405</v>
      </c>
      <c r="E575" s="23">
        <v>60.25</v>
      </c>
      <c r="F575" s="23">
        <v>71.6</v>
      </c>
      <c r="G575" s="23">
        <f t="shared" si="96"/>
        <v>64.79</v>
      </c>
    </row>
    <row r="576" s="16" customFormat="1" spans="1:7">
      <c r="A576" s="23" t="s">
        <v>28</v>
      </c>
      <c r="B576" s="23" t="str">
        <f t="shared" si="97"/>
        <v>44</v>
      </c>
      <c r="C576" s="23" t="str">
        <f>"18"</f>
        <v>18</v>
      </c>
      <c r="D576" s="23" t="str">
        <f>"20210214418"</f>
        <v>20210214418</v>
      </c>
      <c r="E576" s="23">
        <v>70.1</v>
      </c>
      <c r="F576" s="23">
        <v>84.1</v>
      </c>
      <c r="G576" s="23">
        <f t="shared" si="96"/>
        <v>75.7</v>
      </c>
    </row>
    <row r="577" s="16" customFormat="1" spans="1:7">
      <c r="A577" s="23" t="s">
        <v>28</v>
      </c>
      <c r="B577" s="23" t="str">
        <f t="shared" si="97"/>
        <v>44</v>
      </c>
      <c r="C577" s="23" t="str">
        <f>"28"</f>
        <v>28</v>
      </c>
      <c r="D577" s="23" t="str">
        <f>"20210214428"</f>
        <v>20210214428</v>
      </c>
      <c r="E577" s="23">
        <v>62.55</v>
      </c>
      <c r="F577" s="23">
        <v>76</v>
      </c>
      <c r="G577" s="23">
        <f t="shared" si="96"/>
        <v>67.93</v>
      </c>
    </row>
    <row r="578" s="16" customFormat="1" spans="1:7">
      <c r="A578" s="23" t="s">
        <v>28</v>
      </c>
      <c r="B578" s="23" t="str">
        <f>"45"</f>
        <v>45</v>
      </c>
      <c r="C578" s="23" t="str">
        <f>"04"</f>
        <v>04</v>
      </c>
      <c r="D578" s="23" t="str">
        <f>"20210214504"</f>
        <v>20210214504</v>
      </c>
      <c r="E578" s="23">
        <v>57.6</v>
      </c>
      <c r="F578" s="23">
        <v>69.9</v>
      </c>
      <c r="G578" s="23">
        <f t="shared" si="96"/>
        <v>62.52</v>
      </c>
    </row>
    <row r="579" s="16" customFormat="1" spans="1:7">
      <c r="A579" s="23" t="s">
        <v>28</v>
      </c>
      <c r="B579" s="23" t="str">
        <f>"44"</f>
        <v>44</v>
      </c>
      <c r="C579" s="23" t="str">
        <f>"23"</f>
        <v>23</v>
      </c>
      <c r="D579" s="23" t="str">
        <f>"20210214423"</f>
        <v>20210214423</v>
      </c>
      <c r="E579" s="23">
        <v>65.85</v>
      </c>
      <c r="F579" s="23">
        <v>76</v>
      </c>
      <c r="G579" s="23">
        <f t="shared" si="96"/>
        <v>69.91</v>
      </c>
    </row>
    <row r="580" s="16" customFormat="1" spans="1:7">
      <c r="A580" s="23" t="s">
        <v>28</v>
      </c>
      <c r="B580" s="23" t="str">
        <f>"45"</f>
        <v>45</v>
      </c>
      <c r="C580" s="23" t="str">
        <f>"03"</f>
        <v>03</v>
      </c>
      <c r="D580" s="23" t="str">
        <f>"20210214503"</f>
        <v>20210214503</v>
      </c>
      <c r="E580" s="23">
        <v>67.5</v>
      </c>
      <c r="F580" s="23">
        <v>72.8</v>
      </c>
      <c r="G580" s="23">
        <f t="shared" si="96"/>
        <v>69.62</v>
      </c>
    </row>
    <row r="581" s="16" customFormat="1" spans="1:7">
      <c r="A581" s="23" t="s">
        <v>28</v>
      </c>
      <c r="B581" s="23" t="str">
        <f>"45"</f>
        <v>45</v>
      </c>
      <c r="C581" s="23" t="str">
        <f>"16"</f>
        <v>16</v>
      </c>
      <c r="D581" s="23" t="str">
        <f>"20210214516"</f>
        <v>20210214516</v>
      </c>
      <c r="E581" s="23">
        <v>50.8</v>
      </c>
      <c r="F581" s="23">
        <v>0</v>
      </c>
      <c r="G581" s="23">
        <f t="shared" si="96"/>
        <v>30.48</v>
      </c>
    </row>
    <row r="582" s="16" customFormat="1" spans="1:7">
      <c r="A582" s="23" t="s">
        <v>29</v>
      </c>
      <c r="B582" s="23" t="str">
        <f>"46"</f>
        <v>46</v>
      </c>
      <c r="C582" s="23" t="str">
        <f>"17"</f>
        <v>17</v>
      </c>
      <c r="D582" s="23" t="str">
        <f>"20210224617"</f>
        <v>20210224617</v>
      </c>
      <c r="E582" s="23">
        <v>55</v>
      </c>
      <c r="F582" s="23">
        <v>66.6</v>
      </c>
      <c r="G582" s="23">
        <f t="shared" si="96"/>
        <v>59.64</v>
      </c>
    </row>
    <row r="583" s="16" customFormat="1" spans="1:7">
      <c r="A583" s="23" t="s">
        <v>29</v>
      </c>
      <c r="B583" s="23" t="str">
        <f>"45"</f>
        <v>45</v>
      </c>
      <c r="C583" s="23" t="str">
        <f>"30"</f>
        <v>30</v>
      </c>
      <c r="D583" s="23" t="str">
        <f>"20210224530"</f>
        <v>20210224530</v>
      </c>
      <c r="E583" s="23">
        <v>55.25</v>
      </c>
      <c r="F583" s="23">
        <v>68.2</v>
      </c>
      <c r="G583" s="23">
        <f t="shared" si="96"/>
        <v>60.43</v>
      </c>
    </row>
    <row r="584" s="16" customFormat="1" spans="1:7">
      <c r="A584" s="23" t="s">
        <v>29</v>
      </c>
      <c r="B584" s="23" t="str">
        <f>"45"</f>
        <v>45</v>
      </c>
      <c r="C584" s="23" t="str">
        <f>"29"</f>
        <v>29</v>
      </c>
      <c r="D584" s="23" t="str">
        <f>"20210224529"</f>
        <v>20210224529</v>
      </c>
      <c r="E584" s="23">
        <v>61.2</v>
      </c>
      <c r="F584" s="23">
        <v>75.6</v>
      </c>
      <c r="G584" s="23">
        <f t="shared" si="96"/>
        <v>66.96</v>
      </c>
    </row>
    <row r="585" s="16" customFormat="1" spans="1:7">
      <c r="A585" s="23" t="s">
        <v>29</v>
      </c>
      <c r="B585" s="23" t="str">
        <f>"46"</f>
        <v>46</v>
      </c>
      <c r="C585" s="23" t="str">
        <f>"11"</f>
        <v>11</v>
      </c>
      <c r="D585" s="23" t="str">
        <f>"20210224611"</f>
        <v>20210224611</v>
      </c>
      <c r="E585" s="23">
        <v>61.4</v>
      </c>
      <c r="F585" s="23">
        <v>76.6</v>
      </c>
      <c r="G585" s="23">
        <f t="shared" si="96"/>
        <v>67.48</v>
      </c>
    </row>
    <row r="586" s="16" customFormat="1" spans="1:7">
      <c r="A586" s="23" t="s">
        <v>29</v>
      </c>
      <c r="B586" s="23" t="str">
        <f>"45"</f>
        <v>45</v>
      </c>
      <c r="C586" s="23" t="str">
        <f>"22"</f>
        <v>22</v>
      </c>
      <c r="D586" s="23" t="str">
        <f>"20210224522"</f>
        <v>20210224522</v>
      </c>
      <c r="E586" s="23">
        <v>57.25</v>
      </c>
      <c r="F586" s="23">
        <v>81.8</v>
      </c>
      <c r="G586" s="23">
        <f t="shared" si="96"/>
        <v>67.07</v>
      </c>
    </row>
    <row r="587" s="16" customFormat="1" spans="1:7">
      <c r="A587" s="23" t="s">
        <v>29</v>
      </c>
      <c r="B587" s="23" t="str">
        <f>"46"</f>
        <v>46</v>
      </c>
      <c r="C587" s="23" t="str">
        <f>"07"</f>
        <v>07</v>
      </c>
      <c r="D587" s="23" t="str">
        <f>"20210224607"</f>
        <v>20210224607</v>
      </c>
      <c r="E587" s="23">
        <v>57.8</v>
      </c>
      <c r="F587" s="23">
        <v>70</v>
      </c>
      <c r="G587" s="23">
        <f t="shared" si="96"/>
        <v>62.68</v>
      </c>
    </row>
    <row r="588" s="16" customFormat="1" spans="1:7">
      <c r="A588" s="23" t="s">
        <v>29</v>
      </c>
      <c r="B588" s="23" t="str">
        <f>"45"</f>
        <v>45</v>
      </c>
      <c r="C588" s="23" t="str">
        <f>"20"</f>
        <v>20</v>
      </c>
      <c r="D588" s="23" t="str">
        <f>"20210224520"</f>
        <v>20210224520</v>
      </c>
      <c r="E588" s="23">
        <v>60.1</v>
      </c>
      <c r="F588" s="23">
        <v>77.4</v>
      </c>
      <c r="G588" s="23">
        <f t="shared" si="96"/>
        <v>67.02</v>
      </c>
    </row>
    <row r="589" s="16" customFormat="1" spans="1:7">
      <c r="A589" s="23" t="s">
        <v>29</v>
      </c>
      <c r="B589" s="23" t="str">
        <f>"45"</f>
        <v>45</v>
      </c>
      <c r="C589" s="23" t="str">
        <f>"18"</f>
        <v>18</v>
      </c>
      <c r="D589" s="23" t="str">
        <f>"20210224518"</f>
        <v>20210224518</v>
      </c>
      <c r="E589" s="23">
        <v>62.3</v>
      </c>
      <c r="F589" s="23">
        <v>76</v>
      </c>
      <c r="G589" s="23">
        <f t="shared" si="96"/>
        <v>67.78</v>
      </c>
    </row>
    <row r="590" s="16" customFormat="1" spans="1:7">
      <c r="A590" s="23" t="s">
        <v>29</v>
      </c>
      <c r="B590" s="23" t="str">
        <f>"46"</f>
        <v>46</v>
      </c>
      <c r="C590" s="23" t="str">
        <f>"01"</f>
        <v>01</v>
      </c>
      <c r="D590" s="23" t="str">
        <f>"20210224601"</f>
        <v>20210224601</v>
      </c>
      <c r="E590" s="23">
        <v>64.2</v>
      </c>
      <c r="F590" s="23">
        <v>76.4</v>
      </c>
      <c r="G590" s="23">
        <f t="shared" si="96"/>
        <v>69.08</v>
      </c>
    </row>
    <row r="591" s="16" customFormat="1" spans="1:7">
      <c r="A591" s="23" t="s">
        <v>29</v>
      </c>
      <c r="B591" s="23" t="str">
        <f>"45"</f>
        <v>45</v>
      </c>
      <c r="C591" s="23" t="str">
        <f>"24"</f>
        <v>24</v>
      </c>
      <c r="D591" s="23" t="str">
        <f>"20210224524"</f>
        <v>20210224524</v>
      </c>
      <c r="E591" s="23">
        <v>66.05</v>
      </c>
      <c r="F591" s="23">
        <v>78.6</v>
      </c>
      <c r="G591" s="23">
        <f t="shared" si="96"/>
        <v>71.07</v>
      </c>
    </row>
    <row r="592" s="16" customFormat="1" spans="1:7">
      <c r="A592" s="23" t="s">
        <v>29</v>
      </c>
      <c r="B592" s="23" t="str">
        <f>"46"</f>
        <v>46</v>
      </c>
      <c r="C592" s="23" t="str">
        <f>"03"</f>
        <v>03</v>
      </c>
      <c r="D592" s="23" t="str">
        <f>"20210224603"</f>
        <v>20210224603</v>
      </c>
      <c r="E592" s="23">
        <v>69.9</v>
      </c>
      <c r="F592" s="23">
        <v>85.2</v>
      </c>
      <c r="G592" s="23">
        <f t="shared" si="96"/>
        <v>76.02</v>
      </c>
    </row>
    <row r="593" s="16" customFormat="1" spans="1:7">
      <c r="A593" s="23" t="s">
        <v>29</v>
      </c>
      <c r="B593" s="23" t="str">
        <f>"45"</f>
        <v>45</v>
      </c>
      <c r="C593" s="23" t="str">
        <f>"21"</f>
        <v>21</v>
      </c>
      <c r="D593" s="23" t="str">
        <f>"20210224521"</f>
        <v>20210224521</v>
      </c>
      <c r="E593" s="23">
        <v>60.8</v>
      </c>
      <c r="F593" s="23">
        <v>72</v>
      </c>
      <c r="G593" s="23">
        <f t="shared" si="96"/>
        <v>65.28</v>
      </c>
    </row>
    <row r="594" s="16" customFormat="1" spans="1:7">
      <c r="A594" s="23" t="s">
        <v>29</v>
      </c>
      <c r="B594" s="23" t="str">
        <f>"46"</f>
        <v>46</v>
      </c>
      <c r="C594" s="23" t="str">
        <f>"06"</f>
        <v>06</v>
      </c>
      <c r="D594" s="23" t="str">
        <f>"20210224606"</f>
        <v>20210224606</v>
      </c>
      <c r="E594" s="23">
        <v>64.05</v>
      </c>
      <c r="F594" s="23">
        <v>80.4</v>
      </c>
      <c r="G594" s="23">
        <f t="shared" si="96"/>
        <v>70.59</v>
      </c>
    </row>
    <row r="595" s="16" customFormat="1" spans="1:7">
      <c r="A595" s="23" t="s">
        <v>29</v>
      </c>
      <c r="B595" s="23" t="str">
        <f>"46"</f>
        <v>46</v>
      </c>
      <c r="C595" s="23" t="str">
        <f>"12"</f>
        <v>12</v>
      </c>
      <c r="D595" s="23" t="str">
        <f>"20210224612"</f>
        <v>20210224612</v>
      </c>
      <c r="E595" s="23">
        <v>54.1</v>
      </c>
      <c r="F595" s="23">
        <v>80.2</v>
      </c>
      <c r="G595" s="23">
        <f t="shared" si="96"/>
        <v>64.54</v>
      </c>
    </row>
    <row r="596" s="16" customFormat="1" spans="1:7">
      <c r="A596" s="23" t="s">
        <v>29</v>
      </c>
      <c r="B596" s="23" t="str">
        <f>"46"</f>
        <v>46</v>
      </c>
      <c r="C596" s="23" t="str">
        <f>"02"</f>
        <v>02</v>
      </c>
      <c r="D596" s="23" t="str">
        <f>"20210224602"</f>
        <v>20210224602</v>
      </c>
      <c r="E596" s="23">
        <v>58.5</v>
      </c>
      <c r="F596" s="23">
        <v>81.4</v>
      </c>
      <c r="G596" s="23">
        <f t="shared" si="96"/>
        <v>67.66</v>
      </c>
    </row>
    <row r="597" s="16" customFormat="1" spans="1:7">
      <c r="A597" s="23" t="s">
        <v>29</v>
      </c>
      <c r="B597" s="23" t="str">
        <f>"46"</f>
        <v>46</v>
      </c>
      <c r="C597" s="23" t="str">
        <f>"15"</f>
        <v>15</v>
      </c>
      <c r="D597" s="23" t="str">
        <f>"20210224615"</f>
        <v>20210224615</v>
      </c>
      <c r="E597" s="23">
        <v>63.8</v>
      </c>
      <c r="F597" s="23">
        <v>70</v>
      </c>
      <c r="G597" s="23">
        <f t="shared" si="96"/>
        <v>66.28</v>
      </c>
    </row>
    <row r="598" s="16" customFormat="1" spans="1:7">
      <c r="A598" s="23" t="s">
        <v>30</v>
      </c>
      <c r="B598" s="23" t="str">
        <f>"47"</f>
        <v>47</v>
      </c>
      <c r="C598" s="23" t="str">
        <f>"13"</f>
        <v>13</v>
      </c>
      <c r="D598" s="23" t="str">
        <f>"20210234713"</f>
        <v>20210234713</v>
      </c>
      <c r="E598" s="23">
        <v>68.2</v>
      </c>
      <c r="F598" s="23">
        <v>80</v>
      </c>
      <c r="G598" s="23">
        <f t="shared" si="96"/>
        <v>72.92</v>
      </c>
    </row>
    <row r="599" s="16" customFormat="1" spans="1:7">
      <c r="A599" s="23" t="s">
        <v>30</v>
      </c>
      <c r="B599" s="23" t="str">
        <f>"47"</f>
        <v>47</v>
      </c>
      <c r="C599" s="23" t="str">
        <f>"01"</f>
        <v>01</v>
      </c>
      <c r="D599" s="23" t="str">
        <f>"20210234701"</f>
        <v>20210234701</v>
      </c>
      <c r="E599" s="23">
        <v>66.7</v>
      </c>
      <c r="F599" s="23">
        <v>79.4</v>
      </c>
      <c r="G599" s="23">
        <f t="shared" si="96"/>
        <v>71.78</v>
      </c>
    </row>
    <row r="600" s="16" customFormat="1" spans="1:7">
      <c r="A600" s="23" t="s">
        <v>30</v>
      </c>
      <c r="B600" s="23" t="str">
        <f>"46"</f>
        <v>46</v>
      </c>
      <c r="C600" s="23" t="str">
        <f>"30"</f>
        <v>30</v>
      </c>
      <c r="D600" s="23" t="str">
        <f>"20210234630"</f>
        <v>20210234630</v>
      </c>
      <c r="E600" s="23">
        <v>60.4</v>
      </c>
      <c r="F600" s="23">
        <v>84.2</v>
      </c>
      <c r="G600" s="23">
        <f t="shared" si="96"/>
        <v>69.92</v>
      </c>
    </row>
    <row r="601" s="16" customFormat="1" spans="1:7">
      <c r="A601" s="23" t="s">
        <v>30</v>
      </c>
      <c r="B601" s="23" t="str">
        <f>"47"</f>
        <v>47</v>
      </c>
      <c r="C601" s="23" t="str">
        <f>"07"</f>
        <v>07</v>
      </c>
      <c r="D601" s="23" t="str">
        <f>"20210234707"</f>
        <v>20210234707</v>
      </c>
      <c r="E601" s="23">
        <v>64.2</v>
      </c>
      <c r="F601" s="23">
        <v>73</v>
      </c>
      <c r="G601" s="23">
        <f t="shared" ref="G601:G664" si="98">E601*0.6+F601*0.4</f>
        <v>67.72</v>
      </c>
    </row>
    <row r="602" s="16" customFormat="1" spans="1:7">
      <c r="A602" s="23" t="s">
        <v>30</v>
      </c>
      <c r="B602" s="23" t="str">
        <f>"47"</f>
        <v>47</v>
      </c>
      <c r="C602" s="23" t="str">
        <f>"11"</f>
        <v>11</v>
      </c>
      <c r="D602" s="23" t="str">
        <f>"20210234711"</f>
        <v>20210234711</v>
      </c>
      <c r="E602" s="23">
        <v>61.9</v>
      </c>
      <c r="F602" s="23">
        <v>67</v>
      </c>
      <c r="G602" s="23">
        <f t="shared" si="98"/>
        <v>63.94</v>
      </c>
    </row>
    <row r="603" s="16" customFormat="1" spans="1:7">
      <c r="A603" s="23" t="s">
        <v>30</v>
      </c>
      <c r="B603" s="23" t="str">
        <f>"47"</f>
        <v>47</v>
      </c>
      <c r="C603" s="23" t="str">
        <f>"26"</f>
        <v>26</v>
      </c>
      <c r="D603" s="23" t="str">
        <f>"20210234726"</f>
        <v>20210234726</v>
      </c>
      <c r="E603" s="23">
        <v>62.15</v>
      </c>
      <c r="F603" s="23">
        <v>66</v>
      </c>
      <c r="G603" s="23">
        <f t="shared" si="98"/>
        <v>63.69</v>
      </c>
    </row>
    <row r="604" s="16" customFormat="1" spans="1:7">
      <c r="A604" s="23" t="s">
        <v>30</v>
      </c>
      <c r="B604" s="23" t="str">
        <f>"46"</f>
        <v>46</v>
      </c>
      <c r="C604" s="23" t="str">
        <f>"28"</f>
        <v>28</v>
      </c>
      <c r="D604" s="23" t="str">
        <f>"20210234628"</f>
        <v>20210234628</v>
      </c>
      <c r="E604" s="23">
        <v>59.6</v>
      </c>
      <c r="F604" s="23">
        <v>80</v>
      </c>
      <c r="G604" s="23">
        <f t="shared" si="98"/>
        <v>67.76</v>
      </c>
    </row>
    <row r="605" s="16" customFormat="1" spans="1:7">
      <c r="A605" s="23" t="s">
        <v>30</v>
      </c>
      <c r="B605" s="23" t="str">
        <f>"47"</f>
        <v>47</v>
      </c>
      <c r="C605" s="23" t="str">
        <f>"20"</f>
        <v>20</v>
      </c>
      <c r="D605" s="23" t="str">
        <f>"20210234720"</f>
        <v>20210234720</v>
      </c>
      <c r="E605" s="23">
        <v>51.5</v>
      </c>
      <c r="F605" s="23">
        <v>77.6</v>
      </c>
      <c r="G605" s="23">
        <f t="shared" si="98"/>
        <v>61.94</v>
      </c>
    </row>
    <row r="606" s="16" customFormat="1" spans="1:7">
      <c r="A606" s="23" t="s">
        <v>30</v>
      </c>
      <c r="B606" s="23" t="str">
        <f>"47"</f>
        <v>47</v>
      </c>
      <c r="C606" s="23" t="str">
        <f>"18"</f>
        <v>18</v>
      </c>
      <c r="D606" s="23" t="str">
        <f>"20210234718"</f>
        <v>20210234718</v>
      </c>
      <c r="E606" s="23">
        <v>59</v>
      </c>
      <c r="F606" s="23">
        <v>74.6</v>
      </c>
      <c r="G606" s="23">
        <f t="shared" si="98"/>
        <v>65.24</v>
      </c>
    </row>
    <row r="607" s="16" customFormat="1" spans="1:7">
      <c r="A607" s="23" t="s">
        <v>30</v>
      </c>
      <c r="B607" s="23" t="str">
        <f>"47"</f>
        <v>47</v>
      </c>
      <c r="C607" s="23" t="str">
        <f>"30"</f>
        <v>30</v>
      </c>
      <c r="D607" s="23" t="str">
        <f>"20210234730"</f>
        <v>20210234730</v>
      </c>
      <c r="E607" s="23">
        <v>57.9</v>
      </c>
      <c r="F607" s="23">
        <v>78.2</v>
      </c>
      <c r="G607" s="23">
        <f t="shared" si="98"/>
        <v>66.02</v>
      </c>
    </row>
    <row r="608" s="16" customFormat="1" ht="15" customHeight="1" spans="1:7">
      <c r="A608" s="23" t="s">
        <v>30</v>
      </c>
      <c r="B608" s="23" t="str">
        <f>"47"</f>
        <v>47</v>
      </c>
      <c r="C608" s="23" t="str">
        <f>"24"</f>
        <v>24</v>
      </c>
      <c r="D608" s="23" t="str">
        <f>"20210234724"</f>
        <v>20210234724</v>
      </c>
      <c r="E608" s="23">
        <v>74.9</v>
      </c>
      <c r="F608" s="23">
        <v>82.8</v>
      </c>
      <c r="G608" s="23">
        <f t="shared" si="98"/>
        <v>78.06</v>
      </c>
    </row>
    <row r="609" s="16" customFormat="1" spans="1:7">
      <c r="A609" s="23" t="s">
        <v>30</v>
      </c>
      <c r="B609" s="23" t="str">
        <f>"46"</f>
        <v>46</v>
      </c>
      <c r="C609" s="23" t="str">
        <f>"21"</f>
        <v>21</v>
      </c>
      <c r="D609" s="23" t="str">
        <f>"20210234621"</f>
        <v>20210234621</v>
      </c>
      <c r="E609" s="23">
        <v>58</v>
      </c>
      <c r="F609" s="23">
        <v>64</v>
      </c>
      <c r="G609" s="23">
        <f t="shared" si="98"/>
        <v>60.4</v>
      </c>
    </row>
    <row r="610" s="16" customFormat="1" spans="1:7">
      <c r="A610" s="23" t="s">
        <v>30</v>
      </c>
      <c r="B610" s="23" t="str">
        <f>"46"</f>
        <v>46</v>
      </c>
      <c r="C610" s="23" t="str">
        <f>"25"</f>
        <v>25</v>
      </c>
      <c r="D610" s="23" t="str">
        <f>"20210234625"</f>
        <v>20210234625</v>
      </c>
      <c r="E610" s="23">
        <v>54.05</v>
      </c>
      <c r="F610" s="23">
        <v>73.8</v>
      </c>
      <c r="G610" s="23">
        <f t="shared" si="98"/>
        <v>61.95</v>
      </c>
    </row>
    <row r="611" s="16" customFormat="1" spans="1:7">
      <c r="A611" s="23" t="s">
        <v>30</v>
      </c>
      <c r="B611" s="23" t="str">
        <f>"47"</f>
        <v>47</v>
      </c>
      <c r="C611" s="23" t="str">
        <f>"29"</f>
        <v>29</v>
      </c>
      <c r="D611" s="23" t="str">
        <f>"20210234729"</f>
        <v>20210234729</v>
      </c>
      <c r="E611" s="23">
        <v>64.9</v>
      </c>
      <c r="F611" s="23">
        <v>75.6</v>
      </c>
      <c r="G611" s="23">
        <f t="shared" si="98"/>
        <v>69.18</v>
      </c>
    </row>
    <row r="612" s="16" customFormat="1" spans="1:7">
      <c r="A612" s="23" t="s">
        <v>30</v>
      </c>
      <c r="B612" s="23" t="str">
        <f>"48"</f>
        <v>48</v>
      </c>
      <c r="C612" s="23" t="str">
        <f>"01"</f>
        <v>01</v>
      </c>
      <c r="D612" s="23" t="str">
        <f>"20210234801"</f>
        <v>20210234801</v>
      </c>
      <c r="E612" s="23">
        <v>72.8</v>
      </c>
      <c r="F612" s="23">
        <v>74.6</v>
      </c>
      <c r="G612" s="23">
        <f t="shared" si="98"/>
        <v>73.52</v>
      </c>
    </row>
    <row r="613" s="16" customFormat="1" spans="1:7">
      <c r="A613" s="23" t="s">
        <v>30</v>
      </c>
      <c r="B613" s="23" t="str">
        <f>"47"</f>
        <v>47</v>
      </c>
      <c r="C613" s="23" t="str">
        <f>"06"</f>
        <v>06</v>
      </c>
      <c r="D613" s="23" t="str">
        <f>"20210234706"</f>
        <v>20210234706</v>
      </c>
      <c r="E613" s="23">
        <v>66.3</v>
      </c>
      <c r="F613" s="23">
        <v>83.2</v>
      </c>
      <c r="G613" s="23">
        <f t="shared" si="98"/>
        <v>73.06</v>
      </c>
    </row>
    <row r="614" s="16" customFormat="1" spans="1:7">
      <c r="A614" s="23" t="s">
        <v>30</v>
      </c>
      <c r="B614" s="23" t="str">
        <f>"47"</f>
        <v>47</v>
      </c>
      <c r="C614" s="23" t="str">
        <f>"12"</f>
        <v>12</v>
      </c>
      <c r="D614" s="23" t="str">
        <f>"20210234712"</f>
        <v>20210234712</v>
      </c>
      <c r="E614" s="23">
        <v>69.5</v>
      </c>
      <c r="F614" s="23">
        <v>74</v>
      </c>
      <c r="G614" s="23">
        <f t="shared" si="98"/>
        <v>71.3</v>
      </c>
    </row>
    <row r="615" s="16" customFormat="1" spans="1:7">
      <c r="A615" s="23" t="s">
        <v>30</v>
      </c>
      <c r="B615" s="23" t="str">
        <f>"47"</f>
        <v>47</v>
      </c>
      <c r="C615" s="23" t="str">
        <f>"02"</f>
        <v>02</v>
      </c>
      <c r="D615" s="23" t="str">
        <f>"20210234702"</f>
        <v>20210234702</v>
      </c>
      <c r="E615" s="23">
        <v>69.55</v>
      </c>
      <c r="F615" s="23">
        <v>81</v>
      </c>
      <c r="G615" s="23">
        <f t="shared" si="98"/>
        <v>74.13</v>
      </c>
    </row>
    <row r="616" s="16" customFormat="1" spans="1:7">
      <c r="A616" s="23" t="s">
        <v>30</v>
      </c>
      <c r="B616" s="23" t="str">
        <f>"47"</f>
        <v>47</v>
      </c>
      <c r="C616" s="23" t="str">
        <f>"04"</f>
        <v>04</v>
      </c>
      <c r="D616" s="23" t="str">
        <f>"20210234704"</f>
        <v>20210234704</v>
      </c>
      <c r="E616" s="23">
        <v>72.3</v>
      </c>
      <c r="F616" s="23">
        <v>81.4</v>
      </c>
      <c r="G616" s="23">
        <f t="shared" si="98"/>
        <v>75.94</v>
      </c>
    </row>
    <row r="617" s="16" customFormat="1" spans="1:7">
      <c r="A617" s="23" t="s">
        <v>31</v>
      </c>
      <c r="B617" s="23" t="str">
        <f>"48"</f>
        <v>48</v>
      </c>
      <c r="C617" s="23" t="str">
        <f>"13"</f>
        <v>13</v>
      </c>
      <c r="D617" s="23" t="str">
        <f>"20210244813"</f>
        <v>20210244813</v>
      </c>
      <c r="E617" s="23">
        <v>62.8</v>
      </c>
      <c r="F617" s="23">
        <v>69.8</v>
      </c>
      <c r="G617" s="23">
        <f t="shared" si="98"/>
        <v>65.6</v>
      </c>
    </row>
    <row r="618" s="16" customFormat="1" spans="1:7">
      <c r="A618" s="23" t="s">
        <v>31</v>
      </c>
      <c r="B618" s="23" t="str">
        <f>"49"</f>
        <v>49</v>
      </c>
      <c r="C618" s="23" t="str">
        <f>"11"</f>
        <v>11</v>
      </c>
      <c r="D618" s="23" t="str">
        <f>"20210244911"</f>
        <v>20210244911</v>
      </c>
      <c r="E618" s="23">
        <v>65.2</v>
      </c>
      <c r="F618" s="23">
        <v>77.8</v>
      </c>
      <c r="G618" s="23">
        <f t="shared" si="98"/>
        <v>70.24</v>
      </c>
    </row>
    <row r="619" s="16" customFormat="1" spans="1:7">
      <c r="A619" s="23" t="s">
        <v>31</v>
      </c>
      <c r="B619" s="23" t="str">
        <f>"49"</f>
        <v>49</v>
      </c>
      <c r="C619" s="23" t="str">
        <f>"23"</f>
        <v>23</v>
      </c>
      <c r="D619" s="23" t="str">
        <f>"20210244923"</f>
        <v>20210244923</v>
      </c>
      <c r="E619" s="23">
        <v>59.25</v>
      </c>
      <c r="F619" s="23">
        <v>84.6</v>
      </c>
      <c r="G619" s="23">
        <f t="shared" si="98"/>
        <v>69.39</v>
      </c>
    </row>
    <row r="620" s="16" customFormat="1" spans="1:7">
      <c r="A620" s="23" t="s">
        <v>31</v>
      </c>
      <c r="B620" s="23" t="str">
        <f>"48"</f>
        <v>48</v>
      </c>
      <c r="C620" s="23" t="str">
        <f>"23"</f>
        <v>23</v>
      </c>
      <c r="D620" s="23" t="str">
        <f>"20210244823"</f>
        <v>20210244823</v>
      </c>
      <c r="E620" s="23">
        <v>52.2</v>
      </c>
      <c r="F620" s="23">
        <v>83.8</v>
      </c>
      <c r="G620" s="23">
        <f t="shared" si="98"/>
        <v>64.84</v>
      </c>
    </row>
    <row r="621" s="16" customFormat="1" spans="1:7">
      <c r="A621" s="23" t="s">
        <v>31</v>
      </c>
      <c r="B621" s="23" t="str">
        <f>"48"</f>
        <v>48</v>
      </c>
      <c r="C621" s="23" t="str">
        <f>"25"</f>
        <v>25</v>
      </c>
      <c r="D621" s="23" t="str">
        <f>"20210244825"</f>
        <v>20210244825</v>
      </c>
      <c r="E621" s="23">
        <v>54.9</v>
      </c>
      <c r="F621" s="23">
        <v>85.3</v>
      </c>
      <c r="G621" s="23">
        <f t="shared" si="98"/>
        <v>67.06</v>
      </c>
    </row>
    <row r="622" s="16" customFormat="1" spans="1:7">
      <c r="A622" s="23" t="s">
        <v>31</v>
      </c>
      <c r="B622" s="23" t="str">
        <f>"49"</f>
        <v>49</v>
      </c>
      <c r="C622" s="23" t="str">
        <f>"16"</f>
        <v>16</v>
      </c>
      <c r="D622" s="23" t="str">
        <f>"20210244916"</f>
        <v>20210244916</v>
      </c>
      <c r="E622" s="23">
        <v>51.95</v>
      </c>
      <c r="F622" s="23">
        <v>78.5</v>
      </c>
      <c r="G622" s="23">
        <f t="shared" si="98"/>
        <v>62.57</v>
      </c>
    </row>
    <row r="623" s="16" customFormat="1" spans="1:7">
      <c r="A623" s="23" t="s">
        <v>31</v>
      </c>
      <c r="B623" s="23" t="str">
        <f>"49"</f>
        <v>49</v>
      </c>
      <c r="C623" s="23" t="str">
        <f>"13"</f>
        <v>13</v>
      </c>
      <c r="D623" s="23" t="str">
        <f>"20210244913"</f>
        <v>20210244913</v>
      </c>
      <c r="E623" s="23">
        <v>55.85</v>
      </c>
      <c r="F623" s="23">
        <v>69.1</v>
      </c>
      <c r="G623" s="23">
        <f t="shared" si="98"/>
        <v>61.15</v>
      </c>
    </row>
    <row r="624" s="16" customFormat="1" spans="1:7">
      <c r="A624" s="23" t="s">
        <v>31</v>
      </c>
      <c r="B624" s="23" t="str">
        <f>"48"</f>
        <v>48</v>
      </c>
      <c r="C624" s="23" t="str">
        <f>"16"</f>
        <v>16</v>
      </c>
      <c r="D624" s="23" t="str">
        <f>"20210244816"</f>
        <v>20210244816</v>
      </c>
      <c r="E624" s="23">
        <v>70.55</v>
      </c>
      <c r="F624" s="23">
        <v>73.8</v>
      </c>
      <c r="G624" s="23">
        <f t="shared" si="98"/>
        <v>71.85</v>
      </c>
    </row>
    <row r="625" s="16" customFormat="1" spans="1:7">
      <c r="A625" s="23" t="s">
        <v>31</v>
      </c>
      <c r="B625" s="23" t="str">
        <f>"49"</f>
        <v>49</v>
      </c>
      <c r="C625" s="23" t="str">
        <f>"03"</f>
        <v>03</v>
      </c>
      <c r="D625" s="23" t="str">
        <f>"20210244903"</f>
        <v>20210244903</v>
      </c>
      <c r="E625" s="23">
        <v>83.6</v>
      </c>
      <c r="F625" s="23">
        <v>80.3</v>
      </c>
      <c r="G625" s="23">
        <f t="shared" si="98"/>
        <v>82.28</v>
      </c>
    </row>
    <row r="626" s="16" customFormat="1" spans="1:7">
      <c r="A626" s="23" t="s">
        <v>31</v>
      </c>
      <c r="B626" s="23" t="str">
        <f>"48"</f>
        <v>48</v>
      </c>
      <c r="C626" s="23" t="str">
        <f>"19"</f>
        <v>19</v>
      </c>
      <c r="D626" s="23" t="str">
        <f>"20210244819"</f>
        <v>20210244819</v>
      </c>
      <c r="E626" s="23">
        <v>64.95</v>
      </c>
      <c r="F626" s="23">
        <v>81.4</v>
      </c>
      <c r="G626" s="23">
        <f t="shared" si="98"/>
        <v>71.53</v>
      </c>
    </row>
    <row r="627" s="16" customFormat="1" spans="1:7">
      <c r="A627" s="23" t="s">
        <v>31</v>
      </c>
      <c r="B627" s="23" t="str">
        <f>"49"</f>
        <v>49</v>
      </c>
      <c r="C627" s="23" t="str">
        <f>"09"</f>
        <v>09</v>
      </c>
      <c r="D627" s="23" t="str">
        <f>"20210244909"</f>
        <v>20210244909</v>
      </c>
      <c r="E627" s="23">
        <v>66.2</v>
      </c>
      <c r="F627" s="23">
        <v>76.8</v>
      </c>
      <c r="G627" s="23">
        <f t="shared" si="98"/>
        <v>70.44</v>
      </c>
    </row>
    <row r="628" s="16" customFormat="1" spans="1:7">
      <c r="A628" s="23" t="s">
        <v>31</v>
      </c>
      <c r="B628" s="23" t="str">
        <f>"48"</f>
        <v>48</v>
      </c>
      <c r="C628" s="23" t="str">
        <f>"05"</f>
        <v>05</v>
      </c>
      <c r="D628" s="23" t="str">
        <f>"20210244805"</f>
        <v>20210244805</v>
      </c>
      <c r="E628" s="23">
        <v>61.1</v>
      </c>
      <c r="F628" s="23">
        <v>76.8</v>
      </c>
      <c r="G628" s="23">
        <f t="shared" si="98"/>
        <v>67.38</v>
      </c>
    </row>
    <row r="629" s="16" customFormat="1" spans="1:7">
      <c r="A629" s="23" t="s">
        <v>31</v>
      </c>
      <c r="B629" s="23" t="str">
        <f>"48"</f>
        <v>48</v>
      </c>
      <c r="C629" s="23" t="str">
        <f>"17"</f>
        <v>17</v>
      </c>
      <c r="D629" s="23" t="str">
        <f>"20210244817"</f>
        <v>20210244817</v>
      </c>
      <c r="E629" s="23">
        <v>63.7</v>
      </c>
      <c r="F629" s="23">
        <v>86.8</v>
      </c>
      <c r="G629" s="23">
        <f t="shared" si="98"/>
        <v>72.94</v>
      </c>
    </row>
    <row r="630" s="16" customFormat="1" spans="1:7">
      <c r="A630" s="23" t="s">
        <v>31</v>
      </c>
      <c r="B630" s="23" t="str">
        <f>"48"</f>
        <v>48</v>
      </c>
      <c r="C630" s="23" t="str">
        <f>"28"</f>
        <v>28</v>
      </c>
      <c r="D630" s="23" t="str">
        <f>"20210244828"</f>
        <v>20210244828</v>
      </c>
      <c r="E630" s="23">
        <v>60.2</v>
      </c>
      <c r="F630" s="23">
        <v>79</v>
      </c>
      <c r="G630" s="23">
        <f t="shared" si="98"/>
        <v>67.72</v>
      </c>
    </row>
    <row r="631" s="16" customFormat="1" spans="1:7">
      <c r="A631" s="23" t="s">
        <v>31</v>
      </c>
      <c r="B631" s="23" t="str">
        <f>"49"</f>
        <v>49</v>
      </c>
      <c r="C631" s="23" t="str">
        <f>"21"</f>
        <v>21</v>
      </c>
      <c r="D631" s="23" t="str">
        <f>"20210244921"</f>
        <v>20210244921</v>
      </c>
      <c r="E631" s="23">
        <v>60.65</v>
      </c>
      <c r="F631" s="23">
        <v>81.6</v>
      </c>
      <c r="G631" s="23">
        <f t="shared" si="98"/>
        <v>69.03</v>
      </c>
    </row>
    <row r="632" s="16" customFormat="1" spans="1:7">
      <c r="A632" s="23" t="s">
        <v>31</v>
      </c>
      <c r="B632" s="23" t="str">
        <f>"48"</f>
        <v>48</v>
      </c>
      <c r="C632" s="23" t="str">
        <f>"06"</f>
        <v>06</v>
      </c>
      <c r="D632" s="23" t="str">
        <f>"20210244806"</f>
        <v>20210244806</v>
      </c>
      <c r="E632" s="23">
        <v>60.85</v>
      </c>
      <c r="F632" s="23">
        <v>78.5</v>
      </c>
      <c r="G632" s="23">
        <f t="shared" si="98"/>
        <v>67.91</v>
      </c>
    </row>
    <row r="633" s="16" customFormat="1" spans="1:7">
      <c r="A633" s="23" t="s">
        <v>31</v>
      </c>
      <c r="B633" s="23" t="str">
        <f>"49"</f>
        <v>49</v>
      </c>
      <c r="C633" s="23" t="str">
        <f>"18"</f>
        <v>18</v>
      </c>
      <c r="D633" s="23" t="str">
        <f>"20210244918"</f>
        <v>20210244918</v>
      </c>
      <c r="E633" s="23">
        <v>58.7</v>
      </c>
      <c r="F633" s="23">
        <v>69.6</v>
      </c>
      <c r="G633" s="23">
        <f t="shared" si="98"/>
        <v>63.06</v>
      </c>
    </row>
    <row r="634" s="16" customFormat="1" spans="1:7">
      <c r="A634" s="23" t="s">
        <v>31</v>
      </c>
      <c r="B634" s="23" t="str">
        <f>"49"</f>
        <v>49</v>
      </c>
      <c r="C634" s="23" t="str">
        <f>"15"</f>
        <v>15</v>
      </c>
      <c r="D634" s="23" t="str">
        <f>"20210244915"</f>
        <v>20210244915</v>
      </c>
      <c r="E634" s="23">
        <v>54.6</v>
      </c>
      <c r="F634" s="23">
        <v>77.4</v>
      </c>
      <c r="G634" s="23">
        <f t="shared" si="98"/>
        <v>63.72</v>
      </c>
    </row>
    <row r="635" s="16" customFormat="1" spans="1:7">
      <c r="A635" s="23" t="s">
        <v>31</v>
      </c>
      <c r="B635" s="23" t="str">
        <f>"49"</f>
        <v>49</v>
      </c>
      <c r="C635" s="23" t="str">
        <f>"07"</f>
        <v>07</v>
      </c>
      <c r="D635" s="23" t="str">
        <f>"20210244907"</f>
        <v>20210244907</v>
      </c>
      <c r="E635" s="23">
        <v>56.65</v>
      </c>
      <c r="F635" s="23">
        <v>82.2</v>
      </c>
      <c r="G635" s="23">
        <f t="shared" si="98"/>
        <v>66.87</v>
      </c>
    </row>
    <row r="636" s="16" customFormat="1" spans="1:7">
      <c r="A636" s="23" t="s">
        <v>31</v>
      </c>
      <c r="B636" s="23" t="str">
        <f>"48"</f>
        <v>48</v>
      </c>
      <c r="C636" s="23" t="str">
        <f>"26"</f>
        <v>26</v>
      </c>
      <c r="D636" s="23" t="str">
        <f>"20210244826"</f>
        <v>20210244826</v>
      </c>
      <c r="E636" s="23">
        <v>64.1</v>
      </c>
      <c r="F636" s="23">
        <v>80.4</v>
      </c>
      <c r="G636" s="23">
        <f t="shared" si="98"/>
        <v>70.62</v>
      </c>
    </row>
    <row r="637" s="16" customFormat="1" spans="1:7">
      <c r="A637" s="23" t="s">
        <v>31</v>
      </c>
      <c r="B637" s="23" t="str">
        <f>"49"</f>
        <v>49</v>
      </c>
      <c r="C637" s="23" t="str">
        <f>"22"</f>
        <v>22</v>
      </c>
      <c r="D637" s="23" t="str">
        <f>"20210244922"</f>
        <v>20210244922</v>
      </c>
      <c r="E637" s="23">
        <v>63.55</v>
      </c>
      <c r="F637" s="23">
        <v>0</v>
      </c>
      <c r="G637" s="23">
        <f t="shared" si="98"/>
        <v>38.13</v>
      </c>
    </row>
    <row r="638" s="16" customFormat="1" spans="1:7">
      <c r="A638" s="23" t="s">
        <v>32</v>
      </c>
      <c r="B638" s="23" t="str">
        <f>"50"</f>
        <v>50</v>
      </c>
      <c r="C638" s="23" t="str">
        <f>"18"</f>
        <v>18</v>
      </c>
      <c r="D638" s="23" t="str">
        <f>"20210255018"</f>
        <v>20210255018</v>
      </c>
      <c r="E638" s="23">
        <v>70.1</v>
      </c>
      <c r="F638" s="23">
        <v>76.2</v>
      </c>
      <c r="G638" s="23">
        <f t="shared" si="98"/>
        <v>72.54</v>
      </c>
    </row>
    <row r="639" s="16" customFormat="1" spans="1:7">
      <c r="A639" s="23" t="s">
        <v>32</v>
      </c>
      <c r="B639" s="23" t="str">
        <f>"49"</f>
        <v>49</v>
      </c>
      <c r="C639" s="23" t="str">
        <f>"29"</f>
        <v>29</v>
      </c>
      <c r="D639" s="23" t="str">
        <f>"20210254929"</f>
        <v>20210254929</v>
      </c>
      <c r="E639" s="23">
        <v>70.8</v>
      </c>
      <c r="F639" s="23">
        <v>75.2</v>
      </c>
      <c r="G639" s="23">
        <f t="shared" si="98"/>
        <v>72.56</v>
      </c>
    </row>
    <row r="640" s="16" customFormat="1" spans="1:7">
      <c r="A640" s="23" t="s">
        <v>32</v>
      </c>
      <c r="B640" s="23" t="str">
        <f>"50"</f>
        <v>50</v>
      </c>
      <c r="C640" s="23" t="str">
        <f>"22"</f>
        <v>22</v>
      </c>
      <c r="D640" s="23" t="str">
        <f>"20210255022"</f>
        <v>20210255022</v>
      </c>
      <c r="E640" s="23">
        <v>56.4</v>
      </c>
      <c r="F640" s="23">
        <v>70.8</v>
      </c>
      <c r="G640" s="23">
        <f t="shared" si="98"/>
        <v>62.16</v>
      </c>
    </row>
    <row r="641" s="16" customFormat="1" spans="1:7">
      <c r="A641" s="23" t="s">
        <v>32</v>
      </c>
      <c r="B641" s="23" t="str">
        <f>"50"</f>
        <v>50</v>
      </c>
      <c r="C641" s="23" t="str">
        <f>"29"</f>
        <v>29</v>
      </c>
      <c r="D641" s="23" t="str">
        <f>"20210255029"</f>
        <v>20210255029</v>
      </c>
      <c r="E641" s="23">
        <v>52.3</v>
      </c>
      <c r="F641" s="23">
        <v>68.2</v>
      </c>
      <c r="G641" s="23">
        <f t="shared" si="98"/>
        <v>58.66</v>
      </c>
    </row>
    <row r="642" s="16" customFormat="1" spans="1:7">
      <c r="A642" s="23" t="s">
        <v>32</v>
      </c>
      <c r="B642" s="23" t="str">
        <f>"51"</f>
        <v>51</v>
      </c>
      <c r="C642" s="23" t="str">
        <f>"05"</f>
        <v>05</v>
      </c>
      <c r="D642" s="23" t="str">
        <f>"20210255105"</f>
        <v>20210255105</v>
      </c>
      <c r="E642" s="23">
        <v>63.8</v>
      </c>
      <c r="F642" s="23">
        <v>72.4</v>
      </c>
      <c r="G642" s="23">
        <f t="shared" si="98"/>
        <v>67.24</v>
      </c>
    </row>
    <row r="643" s="16" customFormat="1" spans="1:7">
      <c r="A643" s="23" t="s">
        <v>32</v>
      </c>
      <c r="B643" s="23" t="str">
        <f>"50"</f>
        <v>50</v>
      </c>
      <c r="C643" s="23" t="str">
        <f>"14"</f>
        <v>14</v>
      </c>
      <c r="D643" s="23" t="str">
        <f>"20210255014"</f>
        <v>20210255014</v>
      </c>
      <c r="E643" s="23">
        <v>57.45</v>
      </c>
      <c r="F643" s="23">
        <v>62.8</v>
      </c>
      <c r="G643" s="23">
        <f t="shared" si="98"/>
        <v>59.59</v>
      </c>
    </row>
    <row r="644" s="16" customFormat="1" spans="1:7">
      <c r="A644" s="23" t="s">
        <v>32</v>
      </c>
      <c r="B644" s="23" t="str">
        <f>"50"</f>
        <v>50</v>
      </c>
      <c r="C644" s="23" t="str">
        <f>"11"</f>
        <v>11</v>
      </c>
      <c r="D644" s="23" t="str">
        <f>"20210255011"</f>
        <v>20210255011</v>
      </c>
      <c r="E644" s="23">
        <v>67.75</v>
      </c>
      <c r="F644" s="23">
        <v>76.8</v>
      </c>
      <c r="G644" s="23">
        <f t="shared" si="98"/>
        <v>71.37</v>
      </c>
    </row>
    <row r="645" s="16" customFormat="1" spans="1:7">
      <c r="A645" s="23" t="s">
        <v>32</v>
      </c>
      <c r="B645" s="23" t="str">
        <f>"49"</f>
        <v>49</v>
      </c>
      <c r="C645" s="23" t="str">
        <f>"26"</f>
        <v>26</v>
      </c>
      <c r="D645" s="23" t="str">
        <f>"20210254926"</f>
        <v>20210254926</v>
      </c>
      <c r="E645" s="23">
        <v>62.95</v>
      </c>
      <c r="F645" s="23">
        <v>80.6</v>
      </c>
      <c r="G645" s="23">
        <f t="shared" si="98"/>
        <v>70.01</v>
      </c>
    </row>
    <row r="646" s="16" customFormat="1" spans="1:7">
      <c r="A646" s="23" t="s">
        <v>32</v>
      </c>
      <c r="B646" s="23" t="str">
        <f>"50"</f>
        <v>50</v>
      </c>
      <c r="C646" s="23" t="str">
        <f>"09"</f>
        <v>09</v>
      </c>
      <c r="D646" s="23" t="str">
        <f>"20210255009"</f>
        <v>20210255009</v>
      </c>
      <c r="E646" s="23">
        <v>81.3</v>
      </c>
      <c r="F646" s="23">
        <v>73.2</v>
      </c>
      <c r="G646" s="23">
        <f t="shared" si="98"/>
        <v>78.06</v>
      </c>
    </row>
    <row r="647" s="16" customFormat="1" spans="1:7">
      <c r="A647" s="23" t="s">
        <v>32</v>
      </c>
      <c r="B647" s="23" t="str">
        <f>"50"</f>
        <v>50</v>
      </c>
      <c r="C647" s="23" t="str">
        <f>"05"</f>
        <v>05</v>
      </c>
      <c r="D647" s="23" t="str">
        <f>"20210255005"</f>
        <v>20210255005</v>
      </c>
      <c r="E647" s="23">
        <v>59.75</v>
      </c>
      <c r="F647" s="23">
        <v>65.2</v>
      </c>
      <c r="G647" s="23">
        <f t="shared" si="98"/>
        <v>61.93</v>
      </c>
    </row>
    <row r="648" s="16" customFormat="1" spans="1:7">
      <c r="A648" s="23" t="s">
        <v>32</v>
      </c>
      <c r="B648" s="23" t="str">
        <f>"50"</f>
        <v>50</v>
      </c>
      <c r="C648" s="23" t="str">
        <f>"24"</f>
        <v>24</v>
      </c>
      <c r="D648" s="23" t="str">
        <f>"20210255024"</f>
        <v>20210255024</v>
      </c>
      <c r="E648" s="23">
        <v>53.8</v>
      </c>
      <c r="F648" s="23">
        <v>68.2</v>
      </c>
      <c r="G648" s="23">
        <f t="shared" si="98"/>
        <v>59.56</v>
      </c>
    </row>
    <row r="649" s="16" customFormat="1" spans="1:7">
      <c r="A649" s="23" t="s">
        <v>32</v>
      </c>
      <c r="B649" s="23" t="str">
        <f>"51"</f>
        <v>51</v>
      </c>
      <c r="C649" s="23" t="str">
        <f>"01"</f>
        <v>01</v>
      </c>
      <c r="D649" s="23" t="str">
        <f>"20210255101"</f>
        <v>20210255101</v>
      </c>
      <c r="E649" s="23">
        <v>70.4</v>
      </c>
      <c r="F649" s="23">
        <v>72.6</v>
      </c>
      <c r="G649" s="23">
        <f t="shared" si="98"/>
        <v>71.28</v>
      </c>
    </row>
    <row r="650" s="16" customFormat="1" spans="1:7">
      <c r="A650" s="23" t="s">
        <v>32</v>
      </c>
      <c r="B650" s="23" t="str">
        <f>"49"</f>
        <v>49</v>
      </c>
      <c r="C650" s="23" t="str">
        <f>"30"</f>
        <v>30</v>
      </c>
      <c r="D650" s="23" t="str">
        <f>"20210254930"</f>
        <v>20210254930</v>
      </c>
      <c r="E650" s="23">
        <v>56.3</v>
      </c>
      <c r="F650" s="23">
        <v>76.8</v>
      </c>
      <c r="G650" s="23">
        <f t="shared" si="98"/>
        <v>64.5</v>
      </c>
    </row>
    <row r="651" s="16" customFormat="1" spans="1:7">
      <c r="A651" s="23" t="s">
        <v>32</v>
      </c>
      <c r="B651" s="23" t="str">
        <f>"51"</f>
        <v>51</v>
      </c>
      <c r="C651" s="23" t="str">
        <f>"04"</f>
        <v>04</v>
      </c>
      <c r="D651" s="23" t="str">
        <f>"20210255104"</f>
        <v>20210255104</v>
      </c>
      <c r="E651" s="23">
        <v>62.8</v>
      </c>
      <c r="F651" s="23">
        <v>70.2</v>
      </c>
      <c r="G651" s="23">
        <f t="shared" si="98"/>
        <v>65.76</v>
      </c>
    </row>
    <row r="652" s="16" customFormat="1" spans="1:7">
      <c r="A652" s="23" t="s">
        <v>32</v>
      </c>
      <c r="B652" s="23" t="str">
        <f>"49"</f>
        <v>49</v>
      </c>
      <c r="C652" s="23" t="str">
        <f>"27"</f>
        <v>27</v>
      </c>
      <c r="D652" s="23" t="str">
        <f>"20210254927"</f>
        <v>20210254927</v>
      </c>
      <c r="E652" s="23">
        <v>55.3</v>
      </c>
      <c r="F652" s="23">
        <v>70.4</v>
      </c>
      <c r="G652" s="23">
        <f t="shared" si="98"/>
        <v>61.34</v>
      </c>
    </row>
    <row r="653" s="16" customFormat="1" spans="1:7">
      <c r="A653" s="23" t="s">
        <v>32</v>
      </c>
      <c r="B653" s="23" t="str">
        <f>"50"</f>
        <v>50</v>
      </c>
      <c r="C653" s="23" t="str">
        <f>"12"</f>
        <v>12</v>
      </c>
      <c r="D653" s="23" t="str">
        <f>"20210255012"</f>
        <v>20210255012</v>
      </c>
      <c r="E653" s="23">
        <v>59</v>
      </c>
      <c r="F653" s="23">
        <v>72.2</v>
      </c>
      <c r="G653" s="23">
        <f t="shared" si="98"/>
        <v>64.28</v>
      </c>
    </row>
    <row r="654" s="16" customFormat="1" spans="1:7">
      <c r="A654" s="23" t="s">
        <v>32</v>
      </c>
      <c r="B654" s="23" t="str">
        <f>"50"</f>
        <v>50</v>
      </c>
      <c r="C654" s="23" t="str">
        <f>"15"</f>
        <v>15</v>
      </c>
      <c r="D654" s="23" t="str">
        <f>"20210255015"</f>
        <v>20210255015</v>
      </c>
      <c r="E654" s="23">
        <v>59.6</v>
      </c>
      <c r="F654" s="23">
        <v>58.4</v>
      </c>
      <c r="G654" s="23">
        <f t="shared" si="98"/>
        <v>59.12</v>
      </c>
    </row>
    <row r="655" s="16" customFormat="1" spans="1:7">
      <c r="A655" s="23" t="s">
        <v>32</v>
      </c>
      <c r="B655" s="23" t="str">
        <f>"51"</f>
        <v>51</v>
      </c>
      <c r="C655" s="23" t="str">
        <f>"03"</f>
        <v>03</v>
      </c>
      <c r="D655" s="23" t="str">
        <f>"20210255103"</f>
        <v>20210255103</v>
      </c>
      <c r="E655" s="23">
        <v>65.35</v>
      </c>
      <c r="F655" s="23">
        <v>64.4</v>
      </c>
      <c r="G655" s="23">
        <f t="shared" si="98"/>
        <v>64.97</v>
      </c>
    </row>
    <row r="656" s="16" customFormat="1" spans="1:7">
      <c r="A656" s="23" t="s">
        <v>32</v>
      </c>
      <c r="B656" s="23" t="str">
        <f>"50"</f>
        <v>50</v>
      </c>
      <c r="C656" s="23" t="str">
        <f>"27"</f>
        <v>27</v>
      </c>
      <c r="D656" s="23" t="str">
        <f>"20210255027"</f>
        <v>20210255027</v>
      </c>
      <c r="E656" s="23">
        <v>54.6</v>
      </c>
      <c r="F656" s="23">
        <v>64.8</v>
      </c>
      <c r="G656" s="23">
        <f t="shared" si="98"/>
        <v>58.68</v>
      </c>
    </row>
    <row r="657" s="16" customFormat="1" spans="1:7">
      <c r="A657" s="23" t="s">
        <v>32</v>
      </c>
      <c r="B657" s="23" t="str">
        <f>"50"</f>
        <v>50</v>
      </c>
      <c r="C657" s="23" t="str">
        <f>"26"</f>
        <v>26</v>
      </c>
      <c r="D657" s="23" t="str">
        <f>"20210255026"</f>
        <v>20210255026</v>
      </c>
      <c r="E657" s="23">
        <v>64.2</v>
      </c>
      <c r="F657" s="23">
        <v>86</v>
      </c>
      <c r="G657" s="23">
        <f t="shared" si="98"/>
        <v>72.92</v>
      </c>
    </row>
    <row r="658" s="16" customFormat="1" spans="1:7">
      <c r="A658" s="23" t="s">
        <v>32</v>
      </c>
      <c r="B658" s="23" t="str">
        <f>"49"</f>
        <v>49</v>
      </c>
      <c r="C658" s="23" t="str">
        <f>"28"</f>
        <v>28</v>
      </c>
      <c r="D658" s="23" t="str">
        <f>"20210254928"</f>
        <v>20210254928</v>
      </c>
      <c r="E658" s="23">
        <v>65.3</v>
      </c>
      <c r="F658" s="23">
        <v>85.2</v>
      </c>
      <c r="G658" s="23">
        <f t="shared" si="98"/>
        <v>73.26</v>
      </c>
    </row>
    <row r="659" s="16" customFormat="1" spans="1:7">
      <c r="A659" s="23" t="s">
        <v>32</v>
      </c>
      <c r="B659" s="23" t="str">
        <f>"50"</f>
        <v>50</v>
      </c>
      <c r="C659" s="23" t="str">
        <f>"04"</f>
        <v>04</v>
      </c>
      <c r="D659" s="23" t="str">
        <f>"20210255004"</f>
        <v>20210255004</v>
      </c>
      <c r="E659" s="23">
        <v>65</v>
      </c>
      <c r="F659" s="23">
        <v>71.6</v>
      </c>
      <c r="G659" s="23">
        <f t="shared" si="98"/>
        <v>67.64</v>
      </c>
    </row>
    <row r="660" s="16" customFormat="1" spans="1:7">
      <c r="A660" s="23" t="s">
        <v>32</v>
      </c>
      <c r="B660" s="23" t="str">
        <f>"50"</f>
        <v>50</v>
      </c>
      <c r="C660" s="23" t="str">
        <f>"03"</f>
        <v>03</v>
      </c>
      <c r="D660" s="23" t="str">
        <f>"20210255003"</f>
        <v>20210255003</v>
      </c>
      <c r="E660" s="23">
        <v>52.45</v>
      </c>
      <c r="F660" s="23">
        <v>71.2</v>
      </c>
      <c r="G660" s="23">
        <f t="shared" si="98"/>
        <v>59.95</v>
      </c>
    </row>
    <row r="661" s="16" customFormat="1" spans="1:7">
      <c r="A661" s="23" t="s">
        <v>32</v>
      </c>
      <c r="B661" s="23" t="str">
        <f>"50"</f>
        <v>50</v>
      </c>
      <c r="C661" s="23" t="str">
        <f>"21"</f>
        <v>21</v>
      </c>
      <c r="D661" s="23" t="str">
        <f>"20210255021"</f>
        <v>20210255021</v>
      </c>
      <c r="E661" s="23">
        <v>57.85</v>
      </c>
      <c r="F661" s="23">
        <v>72.8</v>
      </c>
      <c r="G661" s="23">
        <f t="shared" si="98"/>
        <v>63.83</v>
      </c>
    </row>
    <row r="662" s="16" customFormat="1" spans="1:7">
      <c r="A662" s="23" t="s">
        <v>32</v>
      </c>
      <c r="B662" s="23" t="str">
        <f>"51"</f>
        <v>51</v>
      </c>
      <c r="C662" s="23" t="str">
        <f>"06"</f>
        <v>06</v>
      </c>
      <c r="D662" s="23" t="str">
        <f>"20210255106"</f>
        <v>20210255106</v>
      </c>
      <c r="E662" s="23">
        <v>51.3</v>
      </c>
      <c r="F662" s="23">
        <v>80.6</v>
      </c>
      <c r="G662" s="23">
        <f t="shared" si="98"/>
        <v>63.02</v>
      </c>
    </row>
    <row r="663" s="16" customFormat="1" spans="1:7">
      <c r="A663" s="23" t="s">
        <v>32</v>
      </c>
      <c r="B663" s="23" t="str">
        <f>"50"</f>
        <v>50</v>
      </c>
      <c r="C663" s="23" t="str">
        <f>"13"</f>
        <v>13</v>
      </c>
      <c r="D663" s="23" t="str">
        <f>"20210255013"</f>
        <v>20210255013</v>
      </c>
      <c r="E663" s="23">
        <v>51.3</v>
      </c>
      <c r="F663" s="23">
        <v>0</v>
      </c>
      <c r="G663" s="23">
        <f t="shared" si="98"/>
        <v>30.78</v>
      </c>
    </row>
    <row r="664" s="16" customFormat="1" spans="1:7">
      <c r="A664" s="23" t="s">
        <v>32</v>
      </c>
      <c r="B664" s="23" t="str">
        <f>"50"</f>
        <v>50</v>
      </c>
      <c r="C664" s="23" t="str">
        <f>"16"</f>
        <v>16</v>
      </c>
      <c r="D664" s="23" t="str">
        <f>"20210255016"</f>
        <v>20210255016</v>
      </c>
      <c r="E664" s="23">
        <v>55.3</v>
      </c>
      <c r="F664" s="23">
        <v>0</v>
      </c>
      <c r="G664" s="23">
        <f t="shared" si="98"/>
        <v>33.18</v>
      </c>
    </row>
    <row r="665" s="16" customFormat="1" spans="1:7">
      <c r="A665" s="23" t="s">
        <v>33</v>
      </c>
      <c r="B665" s="23" t="str">
        <f>"52"</f>
        <v>52</v>
      </c>
      <c r="C665" s="23" t="str">
        <f>"21"</f>
        <v>21</v>
      </c>
      <c r="D665" s="23" t="str">
        <f>"20210265221"</f>
        <v>20210265221</v>
      </c>
      <c r="E665" s="23">
        <v>71.25</v>
      </c>
      <c r="F665" s="23">
        <v>85.6</v>
      </c>
      <c r="G665" s="23">
        <f t="shared" ref="G665:G728" si="99">E665*0.6+F665*0.4</f>
        <v>76.99</v>
      </c>
    </row>
    <row r="666" s="16" customFormat="1" spans="1:7">
      <c r="A666" s="23" t="s">
        <v>33</v>
      </c>
      <c r="B666" s="23" t="str">
        <f>"52"</f>
        <v>52</v>
      </c>
      <c r="C666" s="23" t="str">
        <f>"19"</f>
        <v>19</v>
      </c>
      <c r="D666" s="23" t="str">
        <f>"20210265219"</f>
        <v>20210265219</v>
      </c>
      <c r="E666" s="23">
        <v>58.45</v>
      </c>
      <c r="F666" s="23">
        <v>74.4</v>
      </c>
      <c r="G666" s="23">
        <f t="shared" si="99"/>
        <v>64.83</v>
      </c>
    </row>
    <row r="667" s="16" customFormat="1" spans="1:7">
      <c r="A667" s="23" t="s">
        <v>33</v>
      </c>
      <c r="B667" s="23" t="str">
        <f>"51"</f>
        <v>51</v>
      </c>
      <c r="C667" s="23" t="str">
        <f>"26"</f>
        <v>26</v>
      </c>
      <c r="D667" s="23" t="str">
        <f>"20210265126"</f>
        <v>20210265126</v>
      </c>
      <c r="E667" s="23">
        <v>60.35</v>
      </c>
      <c r="F667" s="23">
        <v>63.2</v>
      </c>
      <c r="G667" s="23">
        <f t="shared" si="99"/>
        <v>61.49</v>
      </c>
    </row>
    <row r="668" s="16" customFormat="1" spans="1:7">
      <c r="A668" s="23" t="s">
        <v>33</v>
      </c>
      <c r="B668" s="23" t="str">
        <f>"52"</f>
        <v>52</v>
      </c>
      <c r="C668" s="23" t="str">
        <f>"07"</f>
        <v>07</v>
      </c>
      <c r="D668" s="23" t="str">
        <f>"20210265207"</f>
        <v>20210265207</v>
      </c>
      <c r="E668" s="23">
        <v>60.3</v>
      </c>
      <c r="F668" s="23">
        <v>90.8</v>
      </c>
      <c r="G668" s="23">
        <f t="shared" si="99"/>
        <v>72.5</v>
      </c>
    </row>
    <row r="669" s="16" customFormat="1" spans="1:7">
      <c r="A669" s="23" t="s">
        <v>33</v>
      </c>
      <c r="B669" s="23" t="str">
        <f>"51"</f>
        <v>51</v>
      </c>
      <c r="C669" s="23" t="str">
        <f>"27"</f>
        <v>27</v>
      </c>
      <c r="D669" s="23" t="str">
        <f>"20210265127"</f>
        <v>20210265127</v>
      </c>
      <c r="E669" s="23">
        <v>61.4</v>
      </c>
      <c r="F669" s="23">
        <v>84</v>
      </c>
      <c r="G669" s="23">
        <f t="shared" si="99"/>
        <v>70.44</v>
      </c>
    </row>
    <row r="670" s="16" customFormat="1" spans="1:7">
      <c r="A670" s="23" t="s">
        <v>33</v>
      </c>
      <c r="B670" s="23" t="str">
        <f>"52"</f>
        <v>52</v>
      </c>
      <c r="C670" s="23" t="str">
        <f>"23"</f>
        <v>23</v>
      </c>
      <c r="D670" s="23" t="str">
        <f>"20210265223"</f>
        <v>20210265223</v>
      </c>
      <c r="E670" s="23">
        <v>65.4</v>
      </c>
      <c r="F670" s="23">
        <v>70.4</v>
      </c>
      <c r="G670" s="23">
        <f t="shared" si="99"/>
        <v>67.4</v>
      </c>
    </row>
    <row r="671" s="16" customFormat="1" spans="1:7">
      <c r="A671" s="23" t="s">
        <v>33</v>
      </c>
      <c r="B671" s="23" t="str">
        <f>"51"</f>
        <v>51</v>
      </c>
      <c r="C671" s="23" t="str">
        <f>"28"</f>
        <v>28</v>
      </c>
      <c r="D671" s="23" t="str">
        <f>"20210265128"</f>
        <v>20210265128</v>
      </c>
      <c r="E671" s="23">
        <v>68.2</v>
      </c>
      <c r="F671" s="23">
        <v>88</v>
      </c>
      <c r="G671" s="23">
        <f t="shared" si="99"/>
        <v>76.12</v>
      </c>
    </row>
    <row r="672" s="16" customFormat="1" ht="15.75" customHeight="1" spans="1:7">
      <c r="A672" s="23" t="s">
        <v>33</v>
      </c>
      <c r="B672" s="23" t="str">
        <f>"51"</f>
        <v>51</v>
      </c>
      <c r="C672" s="23" t="str">
        <f>"17"</f>
        <v>17</v>
      </c>
      <c r="D672" s="23" t="str">
        <f>"20210265117"</f>
        <v>20210265117</v>
      </c>
      <c r="E672" s="23">
        <v>50.3</v>
      </c>
      <c r="F672" s="23">
        <v>65.8</v>
      </c>
      <c r="G672" s="23">
        <f t="shared" si="99"/>
        <v>56.5</v>
      </c>
    </row>
    <row r="673" s="16" customFormat="1" spans="1:7">
      <c r="A673" s="23" t="s">
        <v>33</v>
      </c>
      <c r="B673" s="23" t="str">
        <f>"52"</f>
        <v>52</v>
      </c>
      <c r="C673" s="23" t="str">
        <f>"02"</f>
        <v>02</v>
      </c>
      <c r="D673" s="23" t="str">
        <f>"20210265202"</f>
        <v>20210265202</v>
      </c>
      <c r="E673" s="23">
        <v>56.7</v>
      </c>
      <c r="F673" s="23">
        <v>72.8</v>
      </c>
      <c r="G673" s="23">
        <f t="shared" si="99"/>
        <v>63.14</v>
      </c>
    </row>
    <row r="674" s="16" customFormat="1" spans="1:7">
      <c r="A674" s="23" t="s">
        <v>33</v>
      </c>
      <c r="B674" s="23" t="str">
        <f>"51"</f>
        <v>51</v>
      </c>
      <c r="C674" s="23" t="str">
        <f>"09"</f>
        <v>09</v>
      </c>
      <c r="D674" s="23" t="str">
        <f>"20210265109"</f>
        <v>20210265109</v>
      </c>
      <c r="E674" s="23">
        <v>57.35</v>
      </c>
      <c r="F674" s="23">
        <v>65.2</v>
      </c>
      <c r="G674" s="23">
        <f t="shared" si="99"/>
        <v>60.49</v>
      </c>
    </row>
    <row r="675" s="16" customFormat="1" spans="1:7">
      <c r="A675" s="23" t="s">
        <v>33</v>
      </c>
      <c r="B675" s="23" t="str">
        <f>"51"</f>
        <v>51</v>
      </c>
      <c r="C675" s="23" t="str">
        <f>"16"</f>
        <v>16</v>
      </c>
      <c r="D675" s="23" t="str">
        <f>"20210265116"</f>
        <v>20210265116</v>
      </c>
      <c r="E675" s="23">
        <v>64.5</v>
      </c>
      <c r="F675" s="23">
        <v>61.4</v>
      </c>
      <c r="G675" s="23">
        <f t="shared" si="99"/>
        <v>63.26</v>
      </c>
    </row>
    <row r="676" s="16" customFormat="1" spans="1:7">
      <c r="A676" s="23" t="s">
        <v>33</v>
      </c>
      <c r="B676" s="23" t="str">
        <f>"52"</f>
        <v>52</v>
      </c>
      <c r="C676" s="23" t="str">
        <f>"26"</f>
        <v>26</v>
      </c>
      <c r="D676" s="23" t="str">
        <f>"20210265226"</f>
        <v>20210265226</v>
      </c>
      <c r="E676" s="23">
        <v>64.1</v>
      </c>
      <c r="F676" s="23">
        <v>71.2</v>
      </c>
      <c r="G676" s="23">
        <f t="shared" si="99"/>
        <v>66.94</v>
      </c>
    </row>
    <row r="677" s="16" customFormat="1" spans="1:7">
      <c r="A677" s="23" t="s">
        <v>33</v>
      </c>
      <c r="B677" s="23" t="str">
        <f>"52"</f>
        <v>52</v>
      </c>
      <c r="C677" s="23" t="str">
        <f>"08"</f>
        <v>08</v>
      </c>
      <c r="D677" s="23" t="str">
        <f>"20210265208"</f>
        <v>20210265208</v>
      </c>
      <c r="E677" s="23">
        <v>62.65</v>
      </c>
      <c r="F677" s="23">
        <v>69</v>
      </c>
      <c r="G677" s="23">
        <f t="shared" si="99"/>
        <v>65.19</v>
      </c>
    </row>
    <row r="678" s="16" customFormat="1" spans="1:7">
      <c r="A678" s="23" t="s">
        <v>33</v>
      </c>
      <c r="B678" s="23" t="str">
        <f>"51"</f>
        <v>51</v>
      </c>
      <c r="C678" s="23" t="str">
        <f>"24"</f>
        <v>24</v>
      </c>
      <c r="D678" s="23" t="str">
        <f>"20210265124"</f>
        <v>20210265124</v>
      </c>
      <c r="E678" s="23">
        <v>61.9</v>
      </c>
      <c r="F678" s="23">
        <v>74.6</v>
      </c>
      <c r="G678" s="23">
        <f t="shared" si="99"/>
        <v>66.98</v>
      </c>
    </row>
    <row r="679" s="16" customFormat="1" spans="1:7">
      <c r="A679" s="23" t="s">
        <v>33</v>
      </c>
      <c r="B679" s="23" t="str">
        <f>"51"</f>
        <v>51</v>
      </c>
      <c r="C679" s="23" t="str">
        <f>"18"</f>
        <v>18</v>
      </c>
      <c r="D679" s="23" t="str">
        <f>"20210265118"</f>
        <v>20210265118</v>
      </c>
      <c r="E679" s="23">
        <v>60.95</v>
      </c>
      <c r="F679" s="23">
        <v>73.4</v>
      </c>
      <c r="G679" s="23">
        <f t="shared" si="99"/>
        <v>65.93</v>
      </c>
    </row>
    <row r="680" s="16" customFormat="1" spans="1:7">
      <c r="A680" s="23" t="s">
        <v>33</v>
      </c>
      <c r="B680" s="23" t="str">
        <f>"52"</f>
        <v>52</v>
      </c>
      <c r="C680" s="23" t="str">
        <f>"13"</f>
        <v>13</v>
      </c>
      <c r="D680" s="23" t="str">
        <f>"20210265213"</f>
        <v>20210265213</v>
      </c>
      <c r="E680" s="23">
        <v>70.1</v>
      </c>
      <c r="F680" s="23">
        <v>70</v>
      </c>
      <c r="G680" s="23">
        <f t="shared" si="99"/>
        <v>70.06</v>
      </c>
    </row>
    <row r="681" s="16" customFormat="1" spans="1:7">
      <c r="A681" s="23" t="s">
        <v>33</v>
      </c>
      <c r="B681" s="23" t="str">
        <f>"51"</f>
        <v>51</v>
      </c>
      <c r="C681" s="23" t="str">
        <f>"29"</f>
        <v>29</v>
      </c>
      <c r="D681" s="23" t="str">
        <f>"20210265129"</f>
        <v>20210265129</v>
      </c>
      <c r="E681" s="23">
        <v>75.9</v>
      </c>
      <c r="F681" s="23">
        <v>82.2</v>
      </c>
      <c r="G681" s="23">
        <f t="shared" si="99"/>
        <v>78.42</v>
      </c>
    </row>
    <row r="682" s="16" customFormat="1" spans="1:7">
      <c r="A682" s="23" t="s">
        <v>33</v>
      </c>
      <c r="B682" s="23" t="str">
        <f>"52"</f>
        <v>52</v>
      </c>
      <c r="C682" s="23" t="str">
        <f>"18"</f>
        <v>18</v>
      </c>
      <c r="D682" s="23" t="str">
        <f>"20210265218"</f>
        <v>20210265218</v>
      </c>
      <c r="E682" s="23">
        <v>50.1</v>
      </c>
      <c r="F682" s="23">
        <v>73.6</v>
      </c>
      <c r="G682" s="23">
        <f t="shared" si="99"/>
        <v>59.5</v>
      </c>
    </row>
    <row r="683" s="16" customFormat="1" spans="1:7">
      <c r="A683" s="23" t="s">
        <v>33</v>
      </c>
      <c r="B683" s="23" t="str">
        <f>"51"</f>
        <v>51</v>
      </c>
      <c r="C683" s="23" t="str">
        <f>"19"</f>
        <v>19</v>
      </c>
      <c r="D683" s="23" t="str">
        <f>"20210265119"</f>
        <v>20210265119</v>
      </c>
      <c r="E683" s="23">
        <v>50.2</v>
      </c>
      <c r="F683" s="23">
        <v>78.6</v>
      </c>
      <c r="G683" s="23">
        <f t="shared" si="99"/>
        <v>61.56</v>
      </c>
    </row>
    <row r="684" s="16" customFormat="1" spans="1:7">
      <c r="A684" s="23" t="s">
        <v>33</v>
      </c>
      <c r="B684" s="23" t="str">
        <f>"52"</f>
        <v>52</v>
      </c>
      <c r="C684" s="23" t="str">
        <f>"03"</f>
        <v>03</v>
      </c>
      <c r="D684" s="23" t="str">
        <f>"20210265203"</f>
        <v>20210265203</v>
      </c>
      <c r="E684" s="23">
        <v>69.3</v>
      </c>
      <c r="F684" s="23">
        <v>76</v>
      </c>
      <c r="G684" s="23">
        <f t="shared" si="99"/>
        <v>71.98</v>
      </c>
    </row>
    <row r="685" s="16" customFormat="1" spans="1:7">
      <c r="A685" s="23" t="s">
        <v>33</v>
      </c>
      <c r="B685" s="23" t="str">
        <f>"52"</f>
        <v>52</v>
      </c>
      <c r="C685" s="23" t="str">
        <f>"10"</f>
        <v>10</v>
      </c>
      <c r="D685" s="23" t="str">
        <f>"20210265210"</f>
        <v>20210265210</v>
      </c>
      <c r="E685" s="23">
        <v>66.7</v>
      </c>
      <c r="F685" s="23">
        <v>76.6</v>
      </c>
      <c r="G685" s="23">
        <f t="shared" si="99"/>
        <v>70.66</v>
      </c>
    </row>
    <row r="686" s="16" customFormat="1" spans="1:7">
      <c r="A686" s="23" t="s">
        <v>33</v>
      </c>
      <c r="B686" s="23" t="str">
        <f>"52"</f>
        <v>52</v>
      </c>
      <c r="C686" s="23" t="str">
        <f>"01"</f>
        <v>01</v>
      </c>
      <c r="D686" s="23" t="str">
        <f>"20210265201"</f>
        <v>20210265201</v>
      </c>
      <c r="E686" s="23">
        <v>64</v>
      </c>
      <c r="F686" s="23">
        <v>81.8</v>
      </c>
      <c r="G686" s="23">
        <f t="shared" si="99"/>
        <v>71.12</v>
      </c>
    </row>
    <row r="687" s="16" customFormat="1" spans="1:7">
      <c r="A687" s="23" t="s">
        <v>33</v>
      </c>
      <c r="B687" s="23" t="str">
        <f>"51"</f>
        <v>51</v>
      </c>
      <c r="C687" s="23" t="str">
        <f>"10"</f>
        <v>10</v>
      </c>
      <c r="D687" s="23" t="str">
        <f>"20210265110"</f>
        <v>20210265110</v>
      </c>
      <c r="E687" s="23">
        <v>63</v>
      </c>
      <c r="F687" s="23">
        <v>76.2</v>
      </c>
      <c r="G687" s="23">
        <f t="shared" si="99"/>
        <v>68.28</v>
      </c>
    </row>
    <row r="688" s="16" customFormat="1" spans="1:7">
      <c r="A688" s="23" t="s">
        <v>33</v>
      </c>
      <c r="B688" s="23" t="str">
        <f>"51"</f>
        <v>51</v>
      </c>
      <c r="C688" s="23" t="str">
        <f>"30"</f>
        <v>30</v>
      </c>
      <c r="D688" s="23" t="str">
        <f>"20210265130"</f>
        <v>20210265130</v>
      </c>
      <c r="E688" s="23">
        <v>64</v>
      </c>
      <c r="F688" s="23">
        <v>59.8</v>
      </c>
      <c r="G688" s="23">
        <f t="shared" si="99"/>
        <v>62.32</v>
      </c>
    </row>
    <row r="689" s="16" customFormat="1" spans="1:7">
      <c r="A689" s="23" t="s">
        <v>33</v>
      </c>
      <c r="B689" s="23" t="str">
        <f>"52"</f>
        <v>52</v>
      </c>
      <c r="C689" s="23" t="str">
        <f>"16"</f>
        <v>16</v>
      </c>
      <c r="D689" s="23" t="str">
        <f>"20210265216"</f>
        <v>20210265216</v>
      </c>
      <c r="E689" s="23">
        <v>63.1</v>
      </c>
      <c r="F689" s="23">
        <v>0</v>
      </c>
      <c r="G689" s="23">
        <f t="shared" si="99"/>
        <v>37.86</v>
      </c>
    </row>
    <row r="690" s="16" customFormat="1" spans="1:7">
      <c r="A690" s="23" t="s">
        <v>34</v>
      </c>
      <c r="B690" s="23" t="str">
        <f>"52"</f>
        <v>52</v>
      </c>
      <c r="C690" s="23" t="str">
        <f>"28"</f>
        <v>28</v>
      </c>
      <c r="D690" s="23" t="str">
        <f>"20210275228"</f>
        <v>20210275228</v>
      </c>
      <c r="E690" s="23">
        <v>59.95</v>
      </c>
      <c r="F690" s="23">
        <v>81.6</v>
      </c>
      <c r="G690" s="23">
        <f t="shared" si="99"/>
        <v>68.61</v>
      </c>
    </row>
    <row r="691" s="16" customFormat="1" spans="1:7">
      <c r="A691" s="23" t="s">
        <v>34</v>
      </c>
      <c r="B691" s="23" t="str">
        <f>"53"</f>
        <v>53</v>
      </c>
      <c r="C691" s="23" t="str">
        <f>"25"</f>
        <v>25</v>
      </c>
      <c r="D691" s="23" t="str">
        <f>"20210275325"</f>
        <v>20210275325</v>
      </c>
      <c r="E691" s="23">
        <v>64.7</v>
      </c>
      <c r="F691" s="23">
        <v>67.6</v>
      </c>
      <c r="G691" s="23">
        <f t="shared" si="99"/>
        <v>65.86</v>
      </c>
    </row>
    <row r="692" s="16" customFormat="1" spans="1:7">
      <c r="A692" s="23" t="s">
        <v>34</v>
      </c>
      <c r="B692" s="23" t="str">
        <f>"54"</f>
        <v>54</v>
      </c>
      <c r="C692" s="23" t="str">
        <f>"06"</f>
        <v>06</v>
      </c>
      <c r="D692" s="23" t="str">
        <f>"20210275406"</f>
        <v>20210275406</v>
      </c>
      <c r="E692" s="23">
        <v>65.3</v>
      </c>
      <c r="F692" s="23">
        <v>77.7</v>
      </c>
      <c r="G692" s="23">
        <f t="shared" si="99"/>
        <v>70.26</v>
      </c>
    </row>
    <row r="693" s="16" customFormat="1" spans="1:7">
      <c r="A693" s="23" t="s">
        <v>34</v>
      </c>
      <c r="B693" s="23" t="str">
        <f>"53"</f>
        <v>53</v>
      </c>
      <c r="C693" s="23" t="str">
        <f>"17"</f>
        <v>17</v>
      </c>
      <c r="D693" s="23" t="str">
        <f>"20210275317"</f>
        <v>20210275317</v>
      </c>
      <c r="E693" s="23">
        <v>62.9</v>
      </c>
      <c r="F693" s="23">
        <v>78.6</v>
      </c>
      <c r="G693" s="23">
        <f t="shared" si="99"/>
        <v>69.18</v>
      </c>
    </row>
    <row r="694" s="16" customFormat="1" spans="1:7">
      <c r="A694" s="23" t="s">
        <v>34</v>
      </c>
      <c r="B694" s="23" t="str">
        <f>"54"</f>
        <v>54</v>
      </c>
      <c r="C694" s="23" t="str">
        <f>"14"</f>
        <v>14</v>
      </c>
      <c r="D694" s="23" t="str">
        <f>"20210275414"</f>
        <v>20210275414</v>
      </c>
      <c r="E694" s="23">
        <v>50.6</v>
      </c>
      <c r="F694" s="23">
        <v>87.1</v>
      </c>
      <c r="G694" s="23">
        <f t="shared" si="99"/>
        <v>65.2</v>
      </c>
    </row>
    <row r="695" s="16" customFormat="1" spans="1:7">
      <c r="A695" s="23" t="s">
        <v>34</v>
      </c>
      <c r="B695" s="23" t="str">
        <f>"54"</f>
        <v>54</v>
      </c>
      <c r="C695" s="23" t="str">
        <f>"17"</f>
        <v>17</v>
      </c>
      <c r="D695" s="23" t="str">
        <f>"20210275417"</f>
        <v>20210275417</v>
      </c>
      <c r="E695" s="23">
        <v>58.15</v>
      </c>
      <c r="F695" s="23">
        <v>76.7</v>
      </c>
      <c r="G695" s="23">
        <f t="shared" si="99"/>
        <v>65.57</v>
      </c>
    </row>
    <row r="696" s="16" customFormat="1" spans="1:7">
      <c r="A696" s="23" t="s">
        <v>34</v>
      </c>
      <c r="B696" s="23" t="str">
        <f>"53"</f>
        <v>53</v>
      </c>
      <c r="C696" s="23" t="str">
        <f>"13"</f>
        <v>13</v>
      </c>
      <c r="D696" s="23" t="str">
        <f>"20210275313"</f>
        <v>20210275313</v>
      </c>
      <c r="E696" s="23">
        <v>55.3</v>
      </c>
      <c r="F696" s="23">
        <v>77.4</v>
      </c>
      <c r="G696" s="23">
        <f t="shared" si="99"/>
        <v>64.14</v>
      </c>
    </row>
    <row r="697" s="16" customFormat="1" spans="1:7">
      <c r="A697" s="23" t="s">
        <v>34</v>
      </c>
      <c r="B697" s="23" t="str">
        <f>"53"</f>
        <v>53</v>
      </c>
      <c r="C697" s="23" t="str">
        <f>"15"</f>
        <v>15</v>
      </c>
      <c r="D697" s="23" t="str">
        <f>"20210275315"</f>
        <v>20210275315</v>
      </c>
      <c r="E697" s="23">
        <v>51.1</v>
      </c>
      <c r="F697" s="23">
        <v>72.4</v>
      </c>
      <c r="G697" s="23">
        <f t="shared" si="99"/>
        <v>59.62</v>
      </c>
    </row>
    <row r="698" s="16" customFormat="1" spans="1:7">
      <c r="A698" s="23" t="s">
        <v>34</v>
      </c>
      <c r="B698" s="23" t="str">
        <f>"54"</f>
        <v>54</v>
      </c>
      <c r="C698" s="23" t="str">
        <f>"07"</f>
        <v>07</v>
      </c>
      <c r="D698" s="23" t="str">
        <f>"20210275407"</f>
        <v>20210275407</v>
      </c>
      <c r="E698" s="23">
        <v>53.5</v>
      </c>
      <c r="F698" s="23">
        <v>83.6</v>
      </c>
      <c r="G698" s="23">
        <f t="shared" si="99"/>
        <v>65.54</v>
      </c>
    </row>
    <row r="699" s="16" customFormat="1" spans="1:7">
      <c r="A699" s="23" t="s">
        <v>34</v>
      </c>
      <c r="B699" s="23" t="str">
        <f>"53"</f>
        <v>53</v>
      </c>
      <c r="C699" s="23" t="str">
        <f>"04"</f>
        <v>04</v>
      </c>
      <c r="D699" s="23" t="str">
        <f>"20210275304"</f>
        <v>20210275304</v>
      </c>
      <c r="E699" s="23">
        <v>57.25</v>
      </c>
      <c r="F699" s="23">
        <v>64.4</v>
      </c>
      <c r="G699" s="23">
        <f t="shared" si="99"/>
        <v>60.11</v>
      </c>
    </row>
    <row r="700" s="16" customFormat="1" spans="1:7">
      <c r="A700" s="23" t="s">
        <v>34</v>
      </c>
      <c r="B700" s="23" t="str">
        <f>"54"</f>
        <v>54</v>
      </c>
      <c r="C700" s="23" t="str">
        <f>"10"</f>
        <v>10</v>
      </c>
      <c r="D700" s="23" t="str">
        <f>"20210275410"</f>
        <v>20210275410</v>
      </c>
      <c r="E700" s="23">
        <v>62.3</v>
      </c>
      <c r="F700" s="23">
        <v>64.2</v>
      </c>
      <c r="G700" s="23">
        <f t="shared" si="99"/>
        <v>63.06</v>
      </c>
    </row>
    <row r="701" s="16" customFormat="1" spans="1:7">
      <c r="A701" s="23" t="s">
        <v>34</v>
      </c>
      <c r="B701" s="23" t="str">
        <f>"54"</f>
        <v>54</v>
      </c>
      <c r="C701" s="23" t="str">
        <f>"01"</f>
        <v>01</v>
      </c>
      <c r="D701" s="23" t="str">
        <f>"20210275401"</f>
        <v>20210275401</v>
      </c>
      <c r="E701" s="23">
        <v>69.55</v>
      </c>
      <c r="F701" s="23">
        <v>76.2</v>
      </c>
      <c r="G701" s="23">
        <f t="shared" si="99"/>
        <v>72.21</v>
      </c>
    </row>
    <row r="702" s="16" customFormat="1" spans="1:7">
      <c r="A702" s="23" t="s">
        <v>34</v>
      </c>
      <c r="B702" s="23" t="str">
        <f>"53"</f>
        <v>53</v>
      </c>
      <c r="C702" s="23" t="str">
        <f>"26"</f>
        <v>26</v>
      </c>
      <c r="D702" s="23" t="str">
        <f>"20210275326"</f>
        <v>20210275326</v>
      </c>
      <c r="E702" s="23">
        <v>63.9</v>
      </c>
      <c r="F702" s="23">
        <v>72.2</v>
      </c>
      <c r="G702" s="23">
        <f t="shared" si="99"/>
        <v>67.22</v>
      </c>
    </row>
    <row r="703" s="16" customFormat="1" spans="1:7">
      <c r="A703" s="23" t="s">
        <v>34</v>
      </c>
      <c r="B703" s="23" t="str">
        <f>"52"</f>
        <v>52</v>
      </c>
      <c r="C703" s="23" t="str">
        <f>"29"</f>
        <v>29</v>
      </c>
      <c r="D703" s="23" t="str">
        <f>"20210275229"</f>
        <v>20210275229</v>
      </c>
      <c r="E703" s="23">
        <v>55.45</v>
      </c>
      <c r="F703" s="23">
        <v>61</v>
      </c>
      <c r="G703" s="23">
        <f t="shared" si="99"/>
        <v>57.67</v>
      </c>
    </row>
    <row r="704" s="16" customFormat="1" spans="1:7">
      <c r="A704" s="23" t="s">
        <v>34</v>
      </c>
      <c r="B704" s="23" t="str">
        <f>"54"</f>
        <v>54</v>
      </c>
      <c r="C704" s="23" t="str">
        <f>"19"</f>
        <v>19</v>
      </c>
      <c r="D704" s="23" t="str">
        <f>"20210275419"</f>
        <v>20210275419</v>
      </c>
      <c r="E704" s="23">
        <v>59.1</v>
      </c>
      <c r="F704" s="23">
        <v>66.8</v>
      </c>
      <c r="G704" s="23">
        <f t="shared" si="99"/>
        <v>62.18</v>
      </c>
    </row>
    <row r="705" s="16" customFormat="1" spans="1:7">
      <c r="A705" s="23" t="s">
        <v>34</v>
      </c>
      <c r="B705" s="23" t="str">
        <f>"54"</f>
        <v>54</v>
      </c>
      <c r="C705" s="23" t="str">
        <f>"03"</f>
        <v>03</v>
      </c>
      <c r="D705" s="23" t="str">
        <f>"20210275403"</f>
        <v>20210275403</v>
      </c>
      <c r="E705" s="23">
        <v>67.8</v>
      </c>
      <c r="F705" s="23">
        <v>79.3</v>
      </c>
      <c r="G705" s="23">
        <f t="shared" si="99"/>
        <v>72.4</v>
      </c>
    </row>
    <row r="706" s="16" customFormat="1" spans="1:7">
      <c r="A706" s="23" t="s">
        <v>34</v>
      </c>
      <c r="B706" s="23" t="str">
        <f>"52"</f>
        <v>52</v>
      </c>
      <c r="C706" s="23" t="str">
        <f>"30"</f>
        <v>30</v>
      </c>
      <c r="D706" s="23" t="str">
        <f>"20210275230"</f>
        <v>20210275230</v>
      </c>
      <c r="E706" s="23">
        <v>73.1</v>
      </c>
      <c r="F706" s="23">
        <v>75.4</v>
      </c>
      <c r="G706" s="23">
        <f t="shared" si="99"/>
        <v>74.02</v>
      </c>
    </row>
    <row r="707" s="16" customFormat="1" spans="1:7">
      <c r="A707" s="23" t="s">
        <v>34</v>
      </c>
      <c r="B707" s="23" t="str">
        <f>"54"</f>
        <v>54</v>
      </c>
      <c r="C707" s="23" t="str">
        <f>"11"</f>
        <v>11</v>
      </c>
      <c r="D707" s="23" t="str">
        <f>"20210275411"</f>
        <v>20210275411</v>
      </c>
      <c r="E707" s="23">
        <v>82.6</v>
      </c>
      <c r="F707" s="23">
        <v>74.6</v>
      </c>
      <c r="G707" s="23">
        <f t="shared" si="99"/>
        <v>79.4</v>
      </c>
    </row>
    <row r="708" s="16" customFormat="1" spans="1:7">
      <c r="A708" s="23" t="s">
        <v>34</v>
      </c>
      <c r="B708" s="23" t="str">
        <f>"53"</f>
        <v>53</v>
      </c>
      <c r="C708" s="23" t="str">
        <f>"06"</f>
        <v>06</v>
      </c>
      <c r="D708" s="23" t="str">
        <f>"20210275306"</f>
        <v>20210275306</v>
      </c>
      <c r="E708" s="23">
        <v>55.65</v>
      </c>
      <c r="F708" s="23">
        <v>70.7</v>
      </c>
      <c r="G708" s="23">
        <f t="shared" si="99"/>
        <v>61.67</v>
      </c>
    </row>
    <row r="709" s="16" customFormat="1" spans="1:7">
      <c r="A709" s="23" t="s">
        <v>34</v>
      </c>
      <c r="B709" s="23" t="str">
        <f>"53"</f>
        <v>53</v>
      </c>
      <c r="C709" s="23" t="str">
        <f>"01"</f>
        <v>01</v>
      </c>
      <c r="D709" s="23" t="str">
        <f>"20210275301"</f>
        <v>20210275301</v>
      </c>
      <c r="E709" s="23">
        <v>57.2</v>
      </c>
      <c r="F709" s="23">
        <v>68</v>
      </c>
      <c r="G709" s="23">
        <f t="shared" si="99"/>
        <v>61.52</v>
      </c>
    </row>
    <row r="710" s="16" customFormat="1" spans="1:7">
      <c r="A710" s="23" t="s">
        <v>34</v>
      </c>
      <c r="B710" s="23" t="str">
        <f>"53"</f>
        <v>53</v>
      </c>
      <c r="C710" s="23" t="str">
        <f>"09"</f>
        <v>09</v>
      </c>
      <c r="D710" s="23" t="str">
        <f>"20210275309"</f>
        <v>20210275309</v>
      </c>
      <c r="E710" s="23">
        <v>65.1</v>
      </c>
      <c r="F710" s="23">
        <v>82.3</v>
      </c>
      <c r="G710" s="23">
        <f t="shared" si="99"/>
        <v>71.98</v>
      </c>
    </row>
    <row r="711" s="16" customFormat="1" spans="1:7">
      <c r="A711" s="23" t="s">
        <v>34</v>
      </c>
      <c r="B711" s="23" t="str">
        <f>"53"</f>
        <v>53</v>
      </c>
      <c r="C711" s="23" t="str">
        <f>"19"</f>
        <v>19</v>
      </c>
      <c r="D711" s="23" t="str">
        <f>"20210275319"</f>
        <v>20210275319</v>
      </c>
      <c r="E711" s="23">
        <v>69</v>
      </c>
      <c r="F711" s="23">
        <v>78</v>
      </c>
      <c r="G711" s="23">
        <f t="shared" si="99"/>
        <v>72.6</v>
      </c>
    </row>
    <row r="712" s="16" customFormat="1" spans="1:7">
      <c r="A712" s="23" t="s">
        <v>35</v>
      </c>
      <c r="B712" s="23" t="str">
        <f>"54"</f>
        <v>54</v>
      </c>
      <c r="C712" s="23" t="str">
        <f>"20"</f>
        <v>20</v>
      </c>
      <c r="D712" s="23" t="str">
        <f>"20210285420"</f>
        <v>20210285420</v>
      </c>
      <c r="E712" s="23">
        <v>68.55</v>
      </c>
      <c r="F712" s="23">
        <v>79.2</v>
      </c>
      <c r="G712" s="23">
        <f t="shared" si="99"/>
        <v>72.81</v>
      </c>
    </row>
    <row r="713" s="16" customFormat="1" spans="1:7">
      <c r="A713" s="23" t="s">
        <v>35</v>
      </c>
      <c r="B713" s="23" t="str">
        <f t="shared" ref="B713:B718" si="100">"55"</f>
        <v>55</v>
      </c>
      <c r="C713" s="23" t="str">
        <f>"10"</f>
        <v>10</v>
      </c>
      <c r="D713" s="23" t="str">
        <f>"20210285510"</f>
        <v>20210285510</v>
      </c>
      <c r="E713" s="23">
        <v>50.95</v>
      </c>
      <c r="F713" s="23">
        <v>73</v>
      </c>
      <c r="G713" s="23">
        <f t="shared" si="99"/>
        <v>59.77</v>
      </c>
    </row>
    <row r="714" s="16" customFormat="1" spans="1:7">
      <c r="A714" s="23" t="s">
        <v>35</v>
      </c>
      <c r="B714" s="23" t="str">
        <f t="shared" si="100"/>
        <v>55</v>
      </c>
      <c r="C714" s="23" t="str">
        <f>"17"</f>
        <v>17</v>
      </c>
      <c r="D714" s="23" t="str">
        <f>"20210285517"</f>
        <v>20210285517</v>
      </c>
      <c r="E714" s="23">
        <v>57.35</v>
      </c>
      <c r="F714" s="23">
        <v>69.8</v>
      </c>
      <c r="G714" s="23">
        <f t="shared" si="99"/>
        <v>62.33</v>
      </c>
    </row>
    <row r="715" s="16" customFormat="1" spans="1:7">
      <c r="A715" s="23" t="s">
        <v>35</v>
      </c>
      <c r="B715" s="23" t="str">
        <f t="shared" si="100"/>
        <v>55</v>
      </c>
      <c r="C715" s="23" t="str">
        <f>"15"</f>
        <v>15</v>
      </c>
      <c r="D715" s="23" t="str">
        <f>"20210285515"</f>
        <v>20210285515</v>
      </c>
      <c r="E715" s="23">
        <v>56.95</v>
      </c>
      <c r="F715" s="23">
        <v>80</v>
      </c>
      <c r="G715" s="23">
        <f t="shared" si="99"/>
        <v>66.17</v>
      </c>
    </row>
    <row r="716" s="16" customFormat="1" spans="1:7">
      <c r="A716" s="23" t="s">
        <v>35</v>
      </c>
      <c r="B716" s="23" t="str">
        <f t="shared" si="100"/>
        <v>55</v>
      </c>
      <c r="C716" s="23" t="str">
        <f>"25"</f>
        <v>25</v>
      </c>
      <c r="D716" s="23" t="str">
        <f>"20210285525"</f>
        <v>20210285525</v>
      </c>
      <c r="E716" s="23">
        <v>82.5</v>
      </c>
      <c r="F716" s="23">
        <v>76</v>
      </c>
      <c r="G716" s="23">
        <f t="shared" si="99"/>
        <v>79.9</v>
      </c>
    </row>
    <row r="717" s="16" customFormat="1" spans="1:7">
      <c r="A717" s="23" t="s">
        <v>35</v>
      </c>
      <c r="B717" s="23" t="str">
        <f t="shared" si="100"/>
        <v>55</v>
      </c>
      <c r="C717" s="23" t="str">
        <f>"32"</f>
        <v>32</v>
      </c>
      <c r="D717" s="23" t="str">
        <f>"20210285532"</f>
        <v>20210285532</v>
      </c>
      <c r="E717" s="23">
        <v>60.25</v>
      </c>
      <c r="F717" s="23">
        <v>69</v>
      </c>
      <c r="G717" s="23">
        <f t="shared" si="99"/>
        <v>63.75</v>
      </c>
    </row>
    <row r="718" s="16" customFormat="1" spans="1:7">
      <c r="A718" s="23" t="s">
        <v>35</v>
      </c>
      <c r="B718" s="23" t="str">
        <f t="shared" si="100"/>
        <v>55</v>
      </c>
      <c r="C718" s="23" t="str">
        <f>"09"</f>
        <v>09</v>
      </c>
      <c r="D718" s="23" t="str">
        <f>"20210285509"</f>
        <v>20210285509</v>
      </c>
      <c r="E718" s="23">
        <v>63.6</v>
      </c>
      <c r="F718" s="23">
        <v>75.8</v>
      </c>
      <c r="G718" s="23">
        <f t="shared" si="99"/>
        <v>68.48</v>
      </c>
    </row>
    <row r="719" s="16" customFormat="1" spans="1:7">
      <c r="A719" s="23" t="s">
        <v>35</v>
      </c>
      <c r="B719" s="23" t="str">
        <f>"54"</f>
        <v>54</v>
      </c>
      <c r="C719" s="23" t="str">
        <f>"27"</f>
        <v>27</v>
      </c>
      <c r="D719" s="23" t="str">
        <f>"20210285427"</f>
        <v>20210285427</v>
      </c>
      <c r="E719" s="23">
        <v>80</v>
      </c>
      <c r="F719" s="23">
        <v>84.4</v>
      </c>
      <c r="G719" s="23">
        <f t="shared" si="99"/>
        <v>81.76</v>
      </c>
    </row>
    <row r="720" s="16" customFormat="1" spans="1:7">
      <c r="A720" s="23" t="s">
        <v>35</v>
      </c>
      <c r="B720" s="23" t="str">
        <f>"54"</f>
        <v>54</v>
      </c>
      <c r="C720" s="23" t="str">
        <f>"26"</f>
        <v>26</v>
      </c>
      <c r="D720" s="23" t="str">
        <f>"20210285426"</f>
        <v>20210285426</v>
      </c>
      <c r="E720" s="23">
        <v>73.2</v>
      </c>
      <c r="F720" s="23">
        <v>73</v>
      </c>
      <c r="G720" s="23">
        <f t="shared" si="99"/>
        <v>73.12</v>
      </c>
    </row>
    <row r="721" s="16" customFormat="1" spans="1:7">
      <c r="A721" s="23" t="s">
        <v>35</v>
      </c>
      <c r="B721" s="23" t="str">
        <f>"54"</f>
        <v>54</v>
      </c>
      <c r="C721" s="23" t="str">
        <f>"29"</f>
        <v>29</v>
      </c>
      <c r="D721" s="23" t="str">
        <f>"20210285429"</f>
        <v>20210285429</v>
      </c>
      <c r="E721" s="23">
        <v>81.3</v>
      </c>
      <c r="F721" s="23">
        <v>79.8</v>
      </c>
      <c r="G721" s="23">
        <f t="shared" si="99"/>
        <v>80.7</v>
      </c>
    </row>
    <row r="722" s="16" customFormat="1" spans="1:7">
      <c r="A722" s="23" t="s">
        <v>35</v>
      </c>
      <c r="B722" s="23" t="str">
        <f>"55"</f>
        <v>55</v>
      </c>
      <c r="C722" s="23" t="str">
        <f>"01"</f>
        <v>01</v>
      </c>
      <c r="D722" s="23" t="str">
        <f>"20210285501"</f>
        <v>20210285501</v>
      </c>
      <c r="E722" s="23">
        <v>60.75</v>
      </c>
      <c r="F722" s="23">
        <v>80</v>
      </c>
      <c r="G722" s="23">
        <f t="shared" si="99"/>
        <v>68.45</v>
      </c>
    </row>
    <row r="723" s="16" customFormat="1" spans="1:7">
      <c r="A723" s="23" t="s">
        <v>35</v>
      </c>
      <c r="B723" s="23" t="str">
        <f>"55"</f>
        <v>55</v>
      </c>
      <c r="C723" s="23" t="str">
        <f>"12"</f>
        <v>12</v>
      </c>
      <c r="D723" s="23" t="str">
        <f>"20210285512"</f>
        <v>20210285512</v>
      </c>
      <c r="E723" s="23">
        <v>55.9</v>
      </c>
      <c r="F723" s="23">
        <v>63.4</v>
      </c>
      <c r="G723" s="23">
        <f t="shared" si="99"/>
        <v>58.9</v>
      </c>
    </row>
    <row r="724" s="16" customFormat="1" spans="1:7">
      <c r="A724" s="23" t="s">
        <v>35</v>
      </c>
      <c r="B724" s="23" t="str">
        <f>"54"</f>
        <v>54</v>
      </c>
      <c r="C724" s="23" t="str">
        <f>"30"</f>
        <v>30</v>
      </c>
      <c r="D724" s="23" t="str">
        <f>"20210285430"</f>
        <v>20210285430</v>
      </c>
      <c r="E724" s="23">
        <v>64.2</v>
      </c>
      <c r="F724" s="23">
        <v>75</v>
      </c>
      <c r="G724" s="23">
        <f t="shared" si="99"/>
        <v>68.52</v>
      </c>
    </row>
    <row r="725" s="16" customFormat="1" spans="1:7">
      <c r="A725" s="23" t="s">
        <v>35</v>
      </c>
      <c r="B725" s="23" t="str">
        <f>"55"</f>
        <v>55</v>
      </c>
      <c r="C725" s="23" t="str">
        <f>"23"</f>
        <v>23</v>
      </c>
      <c r="D725" s="23" t="str">
        <f>"20210285523"</f>
        <v>20210285523</v>
      </c>
      <c r="E725" s="23">
        <v>56.75</v>
      </c>
      <c r="F725" s="23">
        <v>82.6</v>
      </c>
      <c r="G725" s="23">
        <f t="shared" si="99"/>
        <v>67.09</v>
      </c>
    </row>
    <row r="726" s="16" customFormat="1" spans="1:7">
      <c r="A726" s="23" t="s">
        <v>35</v>
      </c>
      <c r="B726" s="23" t="str">
        <f>"54"</f>
        <v>54</v>
      </c>
      <c r="C726" s="23" t="str">
        <f>"21"</f>
        <v>21</v>
      </c>
      <c r="D726" s="23" t="str">
        <f>"20210285421"</f>
        <v>20210285421</v>
      </c>
      <c r="E726" s="23">
        <v>65</v>
      </c>
      <c r="F726" s="23">
        <v>81.4</v>
      </c>
      <c r="G726" s="23">
        <f t="shared" si="99"/>
        <v>71.56</v>
      </c>
    </row>
    <row r="727" s="16" customFormat="1" spans="1:7">
      <c r="A727" s="23" t="s">
        <v>35</v>
      </c>
      <c r="B727" s="23" t="str">
        <f>"55"</f>
        <v>55</v>
      </c>
      <c r="C727" s="23" t="str">
        <f>"14"</f>
        <v>14</v>
      </c>
      <c r="D727" s="23" t="str">
        <f>"20210285514"</f>
        <v>20210285514</v>
      </c>
      <c r="E727" s="23">
        <v>72.45</v>
      </c>
      <c r="F727" s="23">
        <v>78.4</v>
      </c>
      <c r="G727" s="23">
        <f t="shared" si="99"/>
        <v>74.83</v>
      </c>
    </row>
    <row r="728" s="16" customFormat="1" spans="1:7">
      <c r="A728" s="23" t="s">
        <v>35</v>
      </c>
      <c r="B728" s="23" t="str">
        <f>"55"</f>
        <v>55</v>
      </c>
      <c r="C728" s="23" t="str">
        <f>"18"</f>
        <v>18</v>
      </c>
      <c r="D728" s="23" t="str">
        <f>"20210285518"</f>
        <v>20210285518</v>
      </c>
      <c r="E728" s="23">
        <v>67.25</v>
      </c>
      <c r="F728" s="23">
        <v>80</v>
      </c>
      <c r="G728" s="23">
        <f t="shared" si="99"/>
        <v>72.35</v>
      </c>
    </row>
    <row r="729" s="16" customFormat="1" spans="1:7">
      <c r="A729" s="23" t="s">
        <v>35</v>
      </c>
      <c r="B729" s="23" t="str">
        <f>"55"</f>
        <v>55</v>
      </c>
      <c r="C729" s="23" t="str">
        <f>"22"</f>
        <v>22</v>
      </c>
      <c r="D729" s="23" t="str">
        <f>"20210285522"</f>
        <v>20210285522</v>
      </c>
      <c r="E729" s="23">
        <v>66.2</v>
      </c>
      <c r="F729" s="23">
        <v>78</v>
      </c>
      <c r="G729" s="23">
        <f>E729*0.6+F729*0.4</f>
        <v>70.92</v>
      </c>
    </row>
    <row r="730" s="16" customFormat="1" spans="1:7">
      <c r="A730" s="23" t="s">
        <v>35</v>
      </c>
      <c r="B730" s="23" t="str">
        <f>"55"</f>
        <v>55</v>
      </c>
      <c r="C730" s="23" t="str">
        <f>"30"</f>
        <v>30</v>
      </c>
      <c r="D730" s="23" t="str">
        <f>"20210285530"</f>
        <v>20210285530</v>
      </c>
      <c r="E730" s="23">
        <v>52.8</v>
      </c>
      <c r="F730" s="23">
        <v>79.2</v>
      </c>
      <c r="G730" s="23">
        <f>E730*0.6+F730*0.4</f>
        <v>63.36</v>
      </c>
    </row>
    <row r="731" s="16" customFormat="1" spans="1:7">
      <c r="A731" s="23" t="s">
        <v>35</v>
      </c>
      <c r="B731" s="23" t="str">
        <f>"55"</f>
        <v>55</v>
      </c>
      <c r="C731" s="23" t="str">
        <f>"05"</f>
        <v>05</v>
      </c>
      <c r="D731" s="23" t="str">
        <f>"20210285505"</f>
        <v>20210285505</v>
      </c>
      <c r="E731" s="23">
        <v>58.7</v>
      </c>
      <c r="F731" s="23">
        <v>79.6</v>
      </c>
      <c r="G731" s="23">
        <f>E731*0.6+F731*0.4</f>
        <v>67.06</v>
      </c>
    </row>
    <row r="732" s="17" customFormat="1" spans="16374:16374">
      <c r="XET732" s="24"/>
    </row>
  </sheetData>
  <mergeCells count="1">
    <mergeCell ref="A1:G1"/>
  </mergeCells>
  <printOptions horizontalCentered="1"/>
  <pageMargins left="0.393055555555556" right="0.393055555555556" top="0.393055555555556" bottom="0.39305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751"/>
  <sheetViews>
    <sheetView topLeftCell="A335" workbookViewId="0">
      <selection activeCell="A236" sqref="$A236:$XFD246"/>
    </sheetView>
  </sheetViews>
  <sheetFormatPr defaultColWidth="9" defaultRowHeight="14.25"/>
  <cols>
    <col min="1" max="1" width="9" style="4"/>
    <col min="2" max="2" width="12.75" style="5" customWidth="1"/>
    <col min="3" max="3" width="8.375" style="5" customWidth="1"/>
    <col min="4" max="4" width="11" style="5" customWidth="1"/>
    <col min="5" max="6" width="13.875" style="5" customWidth="1"/>
    <col min="7" max="7" width="10.375" style="5" customWidth="1"/>
    <col min="8" max="16367" width="9" style="5"/>
    <col min="16368" max="16382" width="9" style="4"/>
  </cols>
  <sheetData>
    <row r="1" s="1" customFormat="1" ht="35" customHeight="1" spans="1:7">
      <c r="A1" s="1" t="s">
        <v>36</v>
      </c>
      <c r="B1" s="6" t="s">
        <v>4</v>
      </c>
      <c r="C1" s="6" t="s">
        <v>37</v>
      </c>
      <c r="D1" s="7" t="s">
        <v>1</v>
      </c>
      <c r="E1" s="8" t="s">
        <v>38</v>
      </c>
      <c r="F1" s="8" t="s">
        <v>39</v>
      </c>
      <c r="G1" s="8" t="s">
        <v>5</v>
      </c>
    </row>
    <row r="2" s="2" customFormat="1" spans="1:7">
      <c r="A2" s="2">
        <v>1</v>
      </c>
      <c r="B2" s="9" t="str">
        <f>"20210010128"</f>
        <v>20210010128</v>
      </c>
      <c r="C2" s="9" t="s">
        <v>40</v>
      </c>
      <c r="D2" s="9" t="s">
        <v>8</v>
      </c>
      <c r="E2" s="9">
        <v>75</v>
      </c>
      <c r="F2" s="9">
        <v>85</v>
      </c>
      <c r="G2" s="10">
        <f t="shared" ref="G2:G65" si="0">E2*0.7+F2*0.3</f>
        <v>78</v>
      </c>
    </row>
    <row r="3" s="2" customFormat="1" spans="1:7">
      <c r="A3" s="2">
        <v>2</v>
      </c>
      <c r="B3" s="9" t="str">
        <f>"20210010127"</f>
        <v>20210010127</v>
      </c>
      <c r="C3" s="9" t="s">
        <v>41</v>
      </c>
      <c r="D3" s="9" t="s">
        <v>8</v>
      </c>
      <c r="E3" s="9">
        <v>74</v>
      </c>
      <c r="F3" s="9">
        <v>80</v>
      </c>
      <c r="G3" s="10">
        <f t="shared" si="0"/>
        <v>75.8</v>
      </c>
    </row>
    <row r="4" s="2" customFormat="1" spans="1:7">
      <c r="A4" s="2">
        <v>3</v>
      </c>
      <c r="B4" s="9" t="str">
        <f>"20210010215"</f>
        <v>20210010215</v>
      </c>
      <c r="C4" s="9" t="s">
        <v>42</v>
      </c>
      <c r="D4" s="9" t="s">
        <v>8</v>
      </c>
      <c r="E4" s="9">
        <v>70</v>
      </c>
      <c r="F4" s="9">
        <v>83</v>
      </c>
      <c r="G4" s="10">
        <f t="shared" si="0"/>
        <v>73.9</v>
      </c>
    </row>
    <row r="5" s="2" customFormat="1" spans="1:7">
      <c r="A5" s="2">
        <v>4</v>
      </c>
      <c r="B5" s="9" t="str">
        <f>"20210010211"</f>
        <v>20210010211</v>
      </c>
      <c r="C5" s="9" t="s">
        <v>43</v>
      </c>
      <c r="D5" s="9" t="s">
        <v>8</v>
      </c>
      <c r="E5" s="9">
        <v>71</v>
      </c>
      <c r="F5" s="9">
        <v>73</v>
      </c>
      <c r="G5" s="10">
        <f t="shared" si="0"/>
        <v>71.6</v>
      </c>
    </row>
    <row r="6" s="2" customFormat="1" spans="1:7">
      <c r="A6" s="2">
        <v>5</v>
      </c>
      <c r="B6" s="9" t="str">
        <f>"20210010126"</f>
        <v>20210010126</v>
      </c>
      <c r="C6" s="9" t="s">
        <v>44</v>
      </c>
      <c r="D6" s="9" t="s">
        <v>8</v>
      </c>
      <c r="E6" s="9">
        <v>73</v>
      </c>
      <c r="F6" s="9">
        <v>64</v>
      </c>
      <c r="G6" s="10">
        <f t="shared" si="0"/>
        <v>70.3</v>
      </c>
    </row>
    <row r="7" s="2" customFormat="1" spans="1:7">
      <c r="A7" s="2">
        <v>6</v>
      </c>
      <c r="B7" s="9" t="str">
        <f>"20210010201"</f>
        <v>20210010201</v>
      </c>
      <c r="C7" s="9" t="s">
        <v>45</v>
      </c>
      <c r="D7" s="9" t="s">
        <v>8</v>
      </c>
      <c r="E7" s="9">
        <v>71.5</v>
      </c>
      <c r="F7" s="9">
        <v>67</v>
      </c>
      <c r="G7" s="10">
        <f t="shared" si="0"/>
        <v>70.15</v>
      </c>
    </row>
    <row r="8" s="2" customFormat="1" spans="1:7">
      <c r="A8" s="2">
        <v>7</v>
      </c>
      <c r="B8" s="9" t="str">
        <f>"20210010216"</f>
        <v>20210010216</v>
      </c>
      <c r="C8" s="9" t="s">
        <v>46</v>
      </c>
      <c r="D8" s="9" t="s">
        <v>8</v>
      </c>
      <c r="E8" s="9">
        <v>59</v>
      </c>
      <c r="F8" s="9">
        <v>84</v>
      </c>
      <c r="G8" s="10">
        <f t="shared" si="0"/>
        <v>66.5</v>
      </c>
    </row>
    <row r="9" s="2" customFormat="1" spans="1:7">
      <c r="A9" s="2">
        <v>8</v>
      </c>
      <c r="B9" s="9" t="str">
        <f>"20210010103"</f>
        <v>20210010103</v>
      </c>
      <c r="C9" s="9" t="s">
        <v>47</v>
      </c>
      <c r="D9" s="9" t="s">
        <v>8</v>
      </c>
      <c r="E9" s="9">
        <v>60.5</v>
      </c>
      <c r="F9" s="9">
        <v>80</v>
      </c>
      <c r="G9" s="10">
        <f t="shared" si="0"/>
        <v>66.35</v>
      </c>
    </row>
    <row r="10" s="2" customFormat="1" spans="1:7">
      <c r="A10" s="2">
        <v>9</v>
      </c>
      <c r="B10" s="9" t="str">
        <f>"20210010129"</f>
        <v>20210010129</v>
      </c>
      <c r="C10" s="9" t="s">
        <v>48</v>
      </c>
      <c r="D10" s="9" t="s">
        <v>8</v>
      </c>
      <c r="E10" s="9">
        <v>59.5</v>
      </c>
      <c r="F10" s="9">
        <v>82</v>
      </c>
      <c r="G10" s="10">
        <f t="shared" si="0"/>
        <v>66.25</v>
      </c>
    </row>
    <row r="11" s="2" customFormat="1" spans="1:7">
      <c r="A11" s="2">
        <v>10</v>
      </c>
      <c r="B11" s="9" t="str">
        <f>"20210010219"</f>
        <v>20210010219</v>
      </c>
      <c r="C11" s="9" t="s">
        <v>49</v>
      </c>
      <c r="D11" s="9" t="s">
        <v>8</v>
      </c>
      <c r="E11" s="9">
        <v>63.5</v>
      </c>
      <c r="F11" s="9">
        <v>62</v>
      </c>
      <c r="G11" s="10">
        <f t="shared" si="0"/>
        <v>63.05</v>
      </c>
    </row>
    <row r="12" s="2" customFormat="1" spans="1:7">
      <c r="A12" s="2">
        <v>11</v>
      </c>
      <c r="B12" s="9" t="str">
        <f>"20210010223"</f>
        <v>20210010223</v>
      </c>
      <c r="C12" s="9" t="s">
        <v>50</v>
      </c>
      <c r="D12" s="9" t="s">
        <v>8</v>
      </c>
      <c r="E12" s="9">
        <v>56</v>
      </c>
      <c r="F12" s="9">
        <v>79</v>
      </c>
      <c r="G12" s="10">
        <f t="shared" si="0"/>
        <v>62.9</v>
      </c>
    </row>
    <row r="13" s="2" customFormat="1" spans="1:7">
      <c r="A13" s="2">
        <v>12</v>
      </c>
      <c r="B13" s="9" t="str">
        <f>"20210010206"</f>
        <v>20210010206</v>
      </c>
      <c r="C13" s="9" t="s">
        <v>51</v>
      </c>
      <c r="D13" s="9" t="s">
        <v>8</v>
      </c>
      <c r="E13" s="9">
        <v>57.5</v>
      </c>
      <c r="F13" s="9">
        <v>74</v>
      </c>
      <c r="G13" s="10">
        <f t="shared" si="0"/>
        <v>62.45</v>
      </c>
    </row>
    <row r="14" s="2" customFormat="1" spans="1:7">
      <c r="A14" s="2">
        <v>13</v>
      </c>
      <c r="B14" s="9" t="str">
        <f>"20210010120"</f>
        <v>20210010120</v>
      </c>
      <c r="C14" s="9" t="s">
        <v>52</v>
      </c>
      <c r="D14" s="9" t="s">
        <v>8</v>
      </c>
      <c r="E14" s="9">
        <v>51</v>
      </c>
      <c r="F14" s="9">
        <v>77</v>
      </c>
      <c r="G14" s="10">
        <f t="shared" si="0"/>
        <v>58.8</v>
      </c>
    </row>
    <row r="15" s="2" customFormat="1" spans="1:7">
      <c r="A15" s="2">
        <v>14</v>
      </c>
      <c r="B15" s="9" t="str">
        <f>"20210010209"</f>
        <v>20210010209</v>
      </c>
      <c r="C15" s="9" t="s">
        <v>53</v>
      </c>
      <c r="D15" s="9" t="s">
        <v>8</v>
      </c>
      <c r="E15" s="9">
        <v>53</v>
      </c>
      <c r="F15" s="9">
        <v>66</v>
      </c>
      <c r="G15" s="10">
        <f t="shared" si="0"/>
        <v>56.9</v>
      </c>
    </row>
    <row r="16" s="2" customFormat="1" spans="1:7">
      <c r="A16" s="2">
        <v>15</v>
      </c>
      <c r="B16" s="9" t="str">
        <f>"20210010229"</f>
        <v>20210010229</v>
      </c>
      <c r="C16" s="9" t="s">
        <v>54</v>
      </c>
      <c r="D16" s="9" t="s">
        <v>8</v>
      </c>
      <c r="E16" s="9">
        <v>54.5</v>
      </c>
      <c r="F16" s="9">
        <v>60</v>
      </c>
      <c r="G16" s="10">
        <f t="shared" si="0"/>
        <v>56.15</v>
      </c>
    </row>
    <row r="17" s="2" customFormat="1" spans="1:7">
      <c r="A17" s="2">
        <v>16</v>
      </c>
      <c r="B17" s="9" t="str">
        <f>"20210010225"</f>
        <v>20210010225</v>
      </c>
      <c r="C17" s="9" t="s">
        <v>55</v>
      </c>
      <c r="D17" s="9" t="s">
        <v>8</v>
      </c>
      <c r="E17" s="9">
        <v>51.5</v>
      </c>
      <c r="F17" s="9">
        <v>60</v>
      </c>
      <c r="G17" s="10">
        <f t="shared" si="0"/>
        <v>54.05</v>
      </c>
    </row>
    <row r="18" s="2" customFormat="1" spans="1:7">
      <c r="A18" s="2">
        <v>17</v>
      </c>
      <c r="B18" s="9" t="str">
        <f>"20210010104"</f>
        <v>20210010104</v>
      </c>
      <c r="C18" s="9" t="s">
        <v>56</v>
      </c>
      <c r="D18" s="9" t="s">
        <v>8</v>
      </c>
      <c r="E18" s="9">
        <v>50</v>
      </c>
      <c r="F18" s="9">
        <v>61</v>
      </c>
      <c r="G18" s="10">
        <f t="shared" si="0"/>
        <v>53.3</v>
      </c>
    </row>
    <row r="19" s="2" customFormat="1" spans="1:7">
      <c r="A19" s="2">
        <v>18</v>
      </c>
      <c r="B19" s="9" t="str">
        <f>"20210010305"</f>
        <v>20210010305</v>
      </c>
      <c r="C19" s="9" t="s">
        <v>57</v>
      </c>
      <c r="D19" s="9" t="s">
        <v>8</v>
      </c>
      <c r="E19" s="9">
        <v>54</v>
      </c>
      <c r="F19" s="9">
        <v>47</v>
      </c>
      <c r="G19" s="10">
        <f t="shared" si="0"/>
        <v>51.9</v>
      </c>
    </row>
    <row r="20" s="3" customFormat="1" spans="1:7">
      <c r="A20" s="2">
        <v>603</v>
      </c>
      <c r="B20" s="11" t="str">
        <f>"20210010121"</f>
        <v>20210010121</v>
      </c>
      <c r="C20" s="11" t="s">
        <v>58</v>
      </c>
      <c r="D20" s="11" t="s">
        <v>8</v>
      </c>
      <c r="E20" s="11">
        <v>52</v>
      </c>
      <c r="F20" s="11">
        <v>48</v>
      </c>
      <c r="G20" s="12">
        <f t="shared" si="0"/>
        <v>50.8</v>
      </c>
    </row>
    <row r="21" s="3" customFormat="1" spans="1:7">
      <c r="A21" s="2">
        <v>604</v>
      </c>
      <c r="B21" s="11" t="str">
        <f>"20210010123"</f>
        <v>20210010123</v>
      </c>
      <c r="C21" s="11" t="s">
        <v>59</v>
      </c>
      <c r="D21" s="11" t="s">
        <v>8</v>
      </c>
      <c r="E21" s="11">
        <v>50</v>
      </c>
      <c r="F21" s="11">
        <v>51</v>
      </c>
      <c r="G21" s="12">
        <f t="shared" si="0"/>
        <v>50.3</v>
      </c>
    </row>
    <row r="22" s="3" customFormat="1" spans="1:7">
      <c r="A22" s="2">
        <v>605</v>
      </c>
      <c r="B22" s="11" t="str">
        <f>"20210010202"</f>
        <v>20210010202</v>
      </c>
      <c r="C22" s="11" t="s">
        <v>60</v>
      </c>
      <c r="D22" s="11" t="s">
        <v>8</v>
      </c>
      <c r="E22" s="11">
        <v>47</v>
      </c>
      <c r="F22" s="11">
        <v>58</v>
      </c>
      <c r="G22" s="12">
        <f t="shared" si="0"/>
        <v>50.3</v>
      </c>
    </row>
    <row r="23" s="2" customFormat="1" spans="1:7">
      <c r="A23" s="2">
        <v>19</v>
      </c>
      <c r="B23" s="9" t="str">
        <f>"20210020405"</f>
        <v>20210020405</v>
      </c>
      <c r="C23" s="9" t="s">
        <v>61</v>
      </c>
      <c r="D23" s="9" t="s">
        <v>9</v>
      </c>
      <c r="E23" s="9">
        <v>87</v>
      </c>
      <c r="F23" s="9">
        <v>91</v>
      </c>
      <c r="G23" s="10">
        <f t="shared" si="0"/>
        <v>88.2</v>
      </c>
    </row>
    <row r="24" s="2" customFormat="1" spans="1:7">
      <c r="A24" s="2">
        <v>20</v>
      </c>
      <c r="B24" s="9" t="str">
        <f>"20210020416"</f>
        <v>20210020416</v>
      </c>
      <c r="C24" s="9" t="s">
        <v>62</v>
      </c>
      <c r="D24" s="9" t="s">
        <v>9</v>
      </c>
      <c r="E24" s="9">
        <v>86</v>
      </c>
      <c r="F24" s="9">
        <v>81</v>
      </c>
      <c r="G24" s="10">
        <f t="shared" si="0"/>
        <v>84.5</v>
      </c>
    </row>
    <row r="25" s="2" customFormat="1" spans="1:7">
      <c r="A25" s="2">
        <v>21</v>
      </c>
      <c r="B25" s="9" t="str">
        <f>"20210020407"</f>
        <v>20210020407</v>
      </c>
      <c r="C25" s="9" t="s">
        <v>63</v>
      </c>
      <c r="D25" s="9" t="s">
        <v>9</v>
      </c>
      <c r="E25" s="9">
        <v>82</v>
      </c>
      <c r="F25" s="9">
        <v>84</v>
      </c>
      <c r="G25" s="10">
        <f t="shared" si="0"/>
        <v>82.6</v>
      </c>
    </row>
    <row r="26" s="2" customFormat="1" spans="1:7">
      <c r="A26" s="2">
        <v>22</v>
      </c>
      <c r="B26" s="9" t="str">
        <f>"20210020502"</f>
        <v>20210020502</v>
      </c>
      <c r="C26" s="9" t="s">
        <v>64</v>
      </c>
      <c r="D26" s="9" t="s">
        <v>9</v>
      </c>
      <c r="E26" s="9">
        <v>77</v>
      </c>
      <c r="F26" s="9">
        <v>91</v>
      </c>
      <c r="G26" s="10">
        <f t="shared" si="0"/>
        <v>81.2</v>
      </c>
    </row>
    <row r="27" s="2" customFormat="1" spans="1:7">
      <c r="A27" s="2">
        <v>23</v>
      </c>
      <c r="B27" s="9" t="str">
        <f>"20210020420"</f>
        <v>20210020420</v>
      </c>
      <c r="C27" s="9" t="s">
        <v>65</v>
      </c>
      <c r="D27" s="9" t="s">
        <v>9</v>
      </c>
      <c r="E27" s="9">
        <v>77.5</v>
      </c>
      <c r="F27" s="9">
        <v>83</v>
      </c>
      <c r="G27" s="10">
        <f t="shared" si="0"/>
        <v>79.15</v>
      </c>
    </row>
    <row r="28" s="2" customFormat="1" spans="1:16381">
      <c r="A28" s="2">
        <v>24</v>
      </c>
      <c r="B28" s="9" t="str">
        <f>"20210020421"</f>
        <v>20210020421</v>
      </c>
      <c r="C28" s="9" t="s">
        <v>66</v>
      </c>
      <c r="D28" s="9" t="s">
        <v>9</v>
      </c>
      <c r="E28" s="9">
        <v>80</v>
      </c>
      <c r="F28" s="9">
        <v>75</v>
      </c>
      <c r="G28" s="10">
        <f t="shared" si="0"/>
        <v>78.5</v>
      </c>
      <c r="XEN28" s="13"/>
      <c r="XEO28" s="13"/>
      <c r="XEP28" s="13"/>
      <c r="XEQ28" s="13"/>
      <c r="XER28" s="13"/>
      <c r="XES28" s="13"/>
      <c r="XET28" s="13"/>
      <c r="XEU28" s="13"/>
      <c r="XEV28" s="13"/>
      <c r="XEW28" s="13"/>
      <c r="XEX28" s="13"/>
      <c r="XEY28" s="13"/>
      <c r="XEZ28" s="13"/>
      <c r="XFA28" s="13"/>
    </row>
    <row r="29" s="2" customFormat="1" spans="1:7">
      <c r="A29" s="2">
        <v>25</v>
      </c>
      <c r="B29" s="9" t="str">
        <f>"20210020515"</f>
        <v>20210020515</v>
      </c>
      <c r="C29" s="9" t="s">
        <v>67</v>
      </c>
      <c r="D29" s="9" t="s">
        <v>9</v>
      </c>
      <c r="E29" s="9">
        <v>78</v>
      </c>
      <c r="F29" s="9">
        <v>79</v>
      </c>
      <c r="G29" s="10">
        <f t="shared" si="0"/>
        <v>78.3</v>
      </c>
    </row>
    <row r="30" s="2" customFormat="1" spans="1:7">
      <c r="A30" s="2">
        <v>26</v>
      </c>
      <c r="B30" s="9" t="str">
        <f>"20210020404"</f>
        <v>20210020404</v>
      </c>
      <c r="C30" s="9" t="s">
        <v>68</v>
      </c>
      <c r="D30" s="9" t="s">
        <v>9</v>
      </c>
      <c r="E30" s="9">
        <v>73</v>
      </c>
      <c r="F30" s="9">
        <v>89</v>
      </c>
      <c r="G30" s="10">
        <f t="shared" si="0"/>
        <v>77.8</v>
      </c>
    </row>
    <row r="31" s="2" customFormat="1" spans="1:7">
      <c r="A31" s="2">
        <v>27</v>
      </c>
      <c r="B31" s="9" t="str">
        <f>"20210020510"</f>
        <v>20210020510</v>
      </c>
      <c r="C31" s="9" t="s">
        <v>69</v>
      </c>
      <c r="D31" s="9" t="s">
        <v>9</v>
      </c>
      <c r="E31" s="9">
        <v>73</v>
      </c>
      <c r="F31" s="9">
        <v>88</v>
      </c>
      <c r="G31" s="10">
        <f t="shared" si="0"/>
        <v>77.5</v>
      </c>
    </row>
    <row r="32" s="2" customFormat="1" spans="1:7">
      <c r="A32" s="2">
        <v>28</v>
      </c>
      <c r="B32" s="9" t="str">
        <f>"20210020408"</f>
        <v>20210020408</v>
      </c>
      <c r="C32" s="9" t="s">
        <v>70</v>
      </c>
      <c r="D32" s="9" t="s">
        <v>9</v>
      </c>
      <c r="E32" s="9">
        <v>75</v>
      </c>
      <c r="F32" s="9">
        <v>79</v>
      </c>
      <c r="G32" s="10">
        <f t="shared" si="0"/>
        <v>76.2</v>
      </c>
    </row>
    <row r="33" s="2" customFormat="1" spans="1:7">
      <c r="A33" s="2">
        <v>29</v>
      </c>
      <c r="B33" s="9" t="str">
        <f>"20210020426"</f>
        <v>20210020426</v>
      </c>
      <c r="C33" s="9" t="s">
        <v>71</v>
      </c>
      <c r="D33" s="9" t="s">
        <v>9</v>
      </c>
      <c r="E33" s="9">
        <v>75</v>
      </c>
      <c r="F33" s="9">
        <v>77</v>
      </c>
      <c r="G33" s="10">
        <f t="shared" si="0"/>
        <v>75.6</v>
      </c>
    </row>
    <row r="34" s="2" customFormat="1" spans="1:7">
      <c r="A34" s="2">
        <v>30</v>
      </c>
      <c r="B34" s="9" t="str">
        <f>"20210020409"</f>
        <v>20210020409</v>
      </c>
      <c r="C34" s="9" t="s">
        <v>72</v>
      </c>
      <c r="D34" s="9" t="s">
        <v>9</v>
      </c>
      <c r="E34" s="9">
        <v>73</v>
      </c>
      <c r="F34" s="9">
        <v>79</v>
      </c>
      <c r="G34" s="10">
        <f t="shared" si="0"/>
        <v>74.8</v>
      </c>
    </row>
    <row r="35" s="2" customFormat="1" spans="1:7">
      <c r="A35" s="2">
        <v>31</v>
      </c>
      <c r="B35" s="9" t="str">
        <f>"20210020425"</f>
        <v>20210020425</v>
      </c>
      <c r="C35" s="9" t="s">
        <v>73</v>
      </c>
      <c r="D35" s="9" t="s">
        <v>9</v>
      </c>
      <c r="E35" s="9">
        <v>74</v>
      </c>
      <c r="F35" s="9">
        <v>75</v>
      </c>
      <c r="G35" s="10">
        <f t="shared" si="0"/>
        <v>74.3</v>
      </c>
    </row>
    <row r="36" s="2" customFormat="1" spans="1:7">
      <c r="A36" s="2">
        <v>32</v>
      </c>
      <c r="B36" s="9" t="str">
        <f>"20210020423"</f>
        <v>20210020423</v>
      </c>
      <c r="C36" s="9" t="s">
        <v>74</v>
      </c>
      <c r="D36" s="9" t="s">
        <v>9</v>
      </c>
      <c r="E36" s="9">
        <v>70</v>
      </c>
      <c r="F36" s="9">
        <v>82</v>
      </c>
      <c r="G36" s="10">
        <f t="shared" si="0"/>
        <v>73.6</v>
      </c>
    </row>
    <row r="37" s="2" customFormat="1" spans="1:7">
      <c r="A37" s="2">
        <v>33</v>
      </c>
      <c r="B37" s="9" t="str">
        <f>"20210020428"</f>
        <v>20210020428</v>
      </c>
      <c r="C37" s="9" t="s">
        <v>75</v>
      </c>
      <c r="D37" s="9" t="s">
        <v>9</v>
      </c>
      <c r="E37" s="9">
        <v>68</v>
      </c>
      <c r="F37" s="9">
        <v>75</v>
      </c>
      <c r="G37" s="10">
        <f t="shared" si="0"/>
        <v>70.1</v>
      </c>
    </row>
    <row r="38" s="2" customFormat="1" spans="1:7">
      <c r="A38" s="2">
        <v>34</v>
      </c>
      <c r="B38" s="9" t="str">
        <f>"20210020422"</f>
        <v>20210020422</v>
      </c>
      <c r="C38" s="9" t="s">
        <v>76</v>
      </c>
      <c r="D38" s="9" t="s">
        <v>9</v>
      </c>
      <c r="E38" s="9">
        <v>67</v>
      </c>
      <c r="F38" s="9">
        <v>76</v>
      </c>
      <c r="G38" s="10">
        <f t="shared" si="0"/>
        <v>69.7</v>
      </c>
    </row>
    <row r="39" s="2" customFormat="1" spans="1:7">
      <c r="A39" s="2">
        <v>35</v>
      </c>
      <c r="B39" s="9" t="str">
        <f>"20210020328"</f>
        <v>20210020328</v>
      </c>
      <c r="C39" s="9" t="s">
        <v>77</v>
      </c>
      <c r="D39" s="9" t="s">
        <v>9</v>
      </c>
      <c r="E39" s="9">
        <v>67</v>
      </c>
      <c r="F39" s="9">
        <v>73</v>
      </c>
      <c r="G39" s="10">
        <f t="shared" si="0"/>
        <v>68.8</v>
      </c>
    </row>
    <row r="40" s="2" customFormat="1" spans="1:7">
      <c r="A40" s="2">
        <v>36</v>
      </c>
      <c r="B40" s="9" t="str">
        <f>"20210020427"</f>
        <v>20210020427</v>
      </c>
      <c r="C40" s="9" t="s">
        <v>78</v>
      </c>
      <c r="D40" s="9" t="s">
        <v>9</v>
      </c>
      <c r="E40" s="9">
        <v>70</v>
      </c>
      <c r="F40" s="9">
        <v>61</v>
      </c>
      <c r="G40" s="10">
        <f t="shared" si="0"/>
        <v>67.3</v>
      </c>
    </row>
    <row r="41" s="2" customFormat="1" spans="1:7">
      <c r="A41" s="2">
        <v>37</v>
      </c>
      <c r="B41" s="9" t="str">
        <f>"20210020316"</f>
        <v>20210020316</v>
      </c>
      <c r="C41" s="9" t="s">
        <v>79</v>
      </c>
      <c r="D41" s="9" t="s">
        <v>9</v>
      </c>
      <c r="E41" s="9">
        <v>63.5</v>
      </c>
      <c r="F41" s="9">
        <v>73</v>
      </c>
      <c r="G41" s="10">
        <f t="shared" si="0"/>
        <v>66.35</v>
      </c>
    </row>
    <row r="42" s="2" customFormat="1" spans="1:7">
      <c r="A42" s="2">
        <v>38</v>
      </c>
      <c r="B42" s="9" t="str">
        <f>"20210020313"</f>
        <v>20210020313</v>
      </c>
      <c r="C42" s="9" t="s">
        <v>80</v>
      </c>
      <c r="D42" s="9" t="s">
        <v>9</v>
      </c>
      <c r="E42" s="9">
        <v>64</v>
      </c>
      <c r="F42" s="9">
        <v>71</v>
      </c>
      <c r="G42" s="10">
        <f t="shared" si="0"/>
        <v>66.1</v>
      </c>
    </row>
    <row r="43" s="3" customFormat="1" spans="1:7">
      <c r="A43" s="2">
        <v>606</v>
      </c>
      <c r="B43" s="11" t="str">
        <f>"20210020330"</f>
        <v>20210020330</v>
      </c>
      <c r="C43" s="11" t="s">
        <v>81</v>
      </c>
      <c r="D43" s="11" t="s">
        <v>9</v>
      </c>
      <c r="E43" s="11">
        <v>58</v>
      </c>
      <c r="F43" s="11">
        <v>81</v>
      </c>
      <c r="G43" s="12">
        <f t="shared" si="0"/>
        <v>64.9</v>
      </c>
    </row>
    <row r="44" s="3" customFormat="1" spans="1:7">
      <c r="A44" s="2">
        <v>607</v>
      </c>
      <c r="B44" s="11" t="str">
        <f>"20210020308"</f>
        <v>20210020308</v>
      </c>
      <c r="C44" s="11" t="s">
        <v>82</v>
      </c>
      <c r="D44" s="11" t="s">
        <v>9</v>
      </c>
      <c r="E44" s="11">
        <v>60</v>
      </c>
      <c r="F44" s="11">
        <v>76</v>
      </c>
      <c r="G44" s="12">
        <f t="shared" si="0"/>
        <v>64.8</v>
      </c>
    </row>
    <row r="45" s="3" customFormat="1" spans="1:7">
      <c r="A45" s="2">
        <v>608</v>
      </c>
      <c r="B45" s="11" t="str">
        <f>"20210020413"</f>
        <v>20210020413</v>
      </c>
      <c r="C45" s="11" t="s">
        <v>83</v>
      </c>
      <c r="D45" s="11" t="s">
        <v>9</v>
      </c>
      <c r="E45" s="11">
        <v>63</v>
      </c>
      <c r="F45" s="11">
        <v>69</v>
      </c>
      <c r="G45" s="12">
        <f t="shared" si="0"/>
        <v>64.8</v>
      </c>
    </row>
    <row r="46" s="3" customFormat="1" spans="1:7">
      <c r="A46" s="2">
        <v>609</v>
      </c>
      <c r="B46" s="11" t="str">
        <f>"20210020311"</f>
        <v>20210020311</v>
      </c>
      <c r="C46" s="11" t="s">
        <v>84</v>
      </c>
      <c r="D46" s="11" t="s">
        <v>9</v>
      </c>
      <c r="E46" s="11">
        <v>65</v>
      </c>
      <c r="F46" s="11">
        <v>62</v>
      </c>
      <c r="G46" s="12">
        <f t="shared" si="0"/>
        <v>64.1</v>
      </c>
    </row>
    <row r="47" s="3" customFormat="1" spans="1:7">
      <c r="A47" s="2">
        <v>610</v>
      </c>
      <c r="B47" s="11" t="str">
        <f>"20210020505"</f>
        <v>20210020505</v>
      </c>
      <c r="C47" s="11" t="s">
        <v>85</v>
      </c>
      <c r="D47" s="11" t="s">
        <v>9</v>
      </c>
      <c r="E47" s="11">
        <v>60</v>
      </c>
      <c r="F47" s="11">
        <v>73</v>
      </c>
      <c r="G47" s="12">
        <f t="shared" si="0"/>
        <v>63.9</v>
      </c>
    </row>
    <row r="48" s="3" customFormat="1" spans="1:7">
      <c r="A48" s="2">
        <v>611</v>
      </c>
      <c r="B48" s="11" t="str">
        <f>"20210020509"</f>
        <v>20210020509</v>
      </c>
      <c r="C48" s="11" t="s">
        <v>86</v>
      </c>
      <c r="D48" s="11" t="s">
        <v>9</v>
      </c>
      <c r="E48" s="11">
        <v>62.5</v>
      </c>
      <c r="F48" s="11">
        <v>67</v>
      </c>
      <c r="G48" s="12">
        <f t="shared" si="0"/>
        <v>63.85</v>
      </c>
    </row>
    <row r="49" s="3" customFormat="1" spans="1:7">
      <c r="A49" s="2">
        <v>612</v>
      </c>
      <c r="B49" s="11" t="str">
        <f>"20210020403"</f>
        <v>20210020403</v>
      </c>
      <c r="C49" s="11" t="s">
        <v>87</v>
      </c>
      <c r="D49" s="11" t="s">
        <v>9</v>
      </c>
      <c r="E49" s="11">
        <v>63</v>
      </c>
      <c r="F49" s="11">
        <v>63</v>
      </c>
      <c r="G49" s="12">
        <f t="shared" si="0"/>
        <v>63</v>
      </c>
    </row>
    <row r="50" s="3" customFormat="1" spans="1:7">
      <c r="A50" s="2">
        <v>613</v>
      </c>
      <c r="B50" s="11" t="str">
        <f>"20210020501"</f>
        <v>20210020501</v>
      </c>
      <c r="C50" s="11" t="s">
        <v>88</v>
      </c>
      <c r="D50" s="11" t="s">
        <v>9</v>
      </c>
      <c r="E50" s="11">
        <v>63</v>
      </c>
      <c r="F50" s="11">
        <v>63</v>
      </c>
      <c r="G50" s="12">
        <f t="shared" si="0"/>
        <v>63</v>
      </c>
    </row>
    <row r="51" s="3" customFormat="1" spans="1:7">
      <c r="A51" s="2">
        <v>614</v>
      </c>
      <c r="B51" s="11" t="str">
        <f>"20210020414"</f>
        <v>20210020414</v>
      </c>
      <c r="C51" s="11" t="s">
        <v>89</v>
      </c>
      <c r="D51" s="11" t="s">
        <v>9</v>
      </c>
      <c r="E51" s="11">
        <v>54</v>
      </c>
      <c r="F51" s="11">
        <v>75</v>
      </c>
      <c r="G51" s="12">
        <f t="shared" si="0"/>
        <v>60.3</v>
      </c>
    </row>
    <row r="52" s="3" customFormat="1" spans="1:7">
      <c r="A52" s="2">
        <v>615</v>
      </c>
      <c r="B52" s="11" t="str">
        <f>"20210020327"</f>
        <v>20210020327</v>
      </c>
      <c r="C52" s="11" t="s">
        <v>90</v>
      </c>
      <c r="D52" s="11" t="s">
        <v>9</v>
      </c>
      <c r="E52" s="11">
        <v>59</v>
      </c>
      <c r="F52" s="11">
        <v>62</v>
      </c>
      <c r="G52" s="12">
        <f t="shared" si="0"/>
        <v>59.9</v>
      </c>
    </row>
    <row r="53" s="3" customFormat="1" spans="1:7">
      <c r="A53" s="2">
        <v>616</v>
      </c>
      <c r="B53" s="11" t="str">
        <f>"20210020503"</f>
        <v>20210020503</v>
      </c>
      <c r="C53" s="11" t="s">
        <v>91</v>
      </c>
      <c r="D53" s="11" t="s">
        <v>9</v>
      </c>
      <c r="E53" s="11">
        <v>56.5</v>
      </c>
      <c r="F53" s="11">
        <v>67</v>
      </c>
      <c r="G53" s="12">
        <f t="shared" si="0"/>
        <v>59.65</v>
      </c>
    </row>
    <row r="54" s="3" customFormat="1" spans="1:7">
      <c r="A54" s="2">
        <v>617</v>
      </c>
      <c r="B54" s="11" t="str">
        <f>"20210020514"</f>
        <v>20210020514</v>
      </c>
      <c r="C54" s="11" t="s">
        <v>92</v>
      </c>
      <c r="D54" s="11" t="s">
        <v>9</v>
      </c>
      <c r="E54" s="11">
        <v>55</v>
      </c>
      <c r="F54" s="11">
        <v>69</v>
      </c>
      <c r="G54" s="12">
        <f t="shared" si="0"/>
        <v>59.2</v>
      </c>
    </row>
    <row r="55" s="2" customFormat="1" spans="1:7">
      <c r="A55" s="2">
        <v>39</v>
      </c>
      <c r="B55" s="9" t="str">
        <f>"20210030529"</f>
        <v>20210030529</v>
      </c>
      <c r="C55" s="9" t="s">
        <v>93</v>
      </c>
      <c r="D55" s="9" t="s">
        <v>10</v>
      </c>
      <c r="E55" s="9">
        <v>82</v>
      </c>
      <c r="F55" s="9">
        <v>91</v>
      </c>
      <c r="G55" s="10">
        <f t="shared" si="0"/>
        <v>84.7</v>
      </c>
    </row>
    <row r="56" s="2" customFormat="1" spans="1:7">
      <c r="A56" s="2">
        <v>40</v>
      </c>
      <c r="B56" s="9" t="str">
        <f>"20210030525"</f>
        <v>20210030525</v>
      </c>
      <c r="C56" s="9" t="s">
        <v>94</v>
      </c>
      <c r="D56" s="9" t="s">
        <v>10</v>
      </c>
      <c r="E56" s="9">
        <v>83</v>
      </c>
      <c r="F56" s="9">
        <v>87</v>
      </c>
      <c r="G56" s="10">
        <f t="shared" si="0"/>
        <v>84.2</v>
      </c>
    </row>
    <row r="57" s="2" customFormat="1" spans="1:7">
      <c r="A57" s="2">
        <v>41</v>
      </c>
      <c r="B57" s="9" t="str">
        <f>"20210030523"</f>
        <v>20210030523</v>
      </c>
      <c r="C57" s="9" t="s">
        <v>95</v>
      </c>
      <c r="D57" s="9" t="s">
        <v>10</v>
      </c>
      <c r="E57" s="9">
        <v>79.5</v>
      </c>
      <c r="F57" s="9">
        <v>86</v>
      </c>
      <c r="G57" s="10">
        <f t="shared" si="0"/>
        <v>81.45</v>
      </c>
    </row>
    <row r="58" s="2" customFormat="1" spans="1:7">
      <c r="A58" s="2">
        <v>42</v>
      </c>
      <c r="B58" s="9" t="str">
        <f>"20210030714"</f>
        <v>20210030714</v>
      </c>
      <c r="C58" s="9" t="s">
        <v>96</v>
      </c>
      <c r="D58" s="9" t="s">
        <v>10</v>
      </c>
      <c r="E58" s="9">
        <v>82</v>
      </c>
      <c r="F58" s="9">
        <v>77</v>
      </c>
      <c r="G58" s="10">
        <f t="shared" si="0"/>
        <v>80.5</v>
      </c>
    </row>
    <row r="59" s="2" customFormat="1" spans="1:7">
      <c r="A59" s="2">
        <v>43</v>
      </c>
      <c r="B59" s="9" t="str">
        <f>"20210030530"</f>
        <v>20210030530</v>
      </c>
      <c r="C59" s="9" t="s">
        <v>97</v>
      </c>
      <c r="D59" s="9" t="s">
        <v>10</v>
      </c>
      <c r="E59" s="9">
        <v>77</v>
      </c>
      <c r="F59" s="9">
        <v>88</v>
      </c>
      <c r="G59" s="10">
        <f t="shared" si="0"/>
        <v>80.3</v>
      </c>
    </row>
    <row r="60" s="2" customFormat="1" spans="1:7">
      <c r="A60" s="2">
        <v>44</v>
      </c>
      <c r="B60" s="9" t="str">
        <f>"20210030612"</f>
        <v>20210030612</v>
      </c>
      <c r="C60" s="9" t="s">
        <v>98</v>
      </c>
      <c r="D60" s="9" t="s">
        <v>10</v>
      </c>
      <c r="E60" s="9">
        <v>78</v>
      </c>
      <c r="F60" s="9">
        <v>85</v>
      </c>
      <c r="G60" s="10">
        <f t="shared" si="0"/>
        <v>80.1</v>
      </c>
    </row>
    <row r="61" s="2" customFormat="1" spans="1:7">
      <c r="A61" s="2">
        <v>45</v>
      </c>
      <c r="B61" s="9" t="str">
        <f>"20210030528"</f>
        <v>20210030528</v>
      </c>
      <c r="C61" s="9" t="s">
        <v>99</v>
      </c>
      <c r="D61" s="9" t="s">
        <v>10</v>
      </c>
      <c r="E61" s="9">
        <v>77</v>
      </c>
      <c r="F61" s="9">
        <v>86</v>
      </c>
      <c r="G61" s="10">
        <f t="shared" si="0"/>
        <v>79.7</v>
      </c>
    </row>
    <row r="62" s="2" customFormat="1" spans="1:7">
      <c r="A62" s="2">
        <v>46</v>
      </c>
      <c r="B62" s="9" t="str">
        <f>"20210030519"</f>
        <v>20210030519</v>
      </c>
      <c r="C62" s="9" t="s">
        <v>100</v>
      </c>
      <c r="D62" s="9" t="s">
        <v>10</v>
      </c>
      <c r="E62" s="9">
        <v>73</v>
      </c>
      <c r="F62" s="9">
        <v>88</v>
      </c>
      <c r="G62" s="10">
        <f t="shared" si="0"/>
        <v>77.5</v>
      </c>
    </row>
    <row r="63" s="2" customFormat="1" spans="1:7">
      <c r="A63" s="2">
        <v>47</v>
      </c>
      <c r="B63" s="9" t="str">
        <f>"20210030526"</f>
        <v>20210030526</v>
      </c>
      <c r="C63" s="9" t="s">
        <v>101</v>
      </c>
      <c r="D63" s="9" t="s">
        <v>10</v>
      </c>
      <c r="E63" s="9">
        <v>77</v>
      </c>
      <c r="F63" s="9">
        <v>74</v>
      </c>
      <c r="G63" s="10">
        <f t="shared" si="0"/>
        <v>76.1</v>
      </c>
    </row>
    <row r="64" s="2" customFormat="1" spans="1:7">
      <c r="A64" s="2">
        <v>48</v>
      </c>
      <c r="B64" s="9" t="str">
        <f>"20210030630"</f>
        <v>20210030630</v>
      </c>
      <c r="C64" s="9" t="s">
        <v>102</v>
      </c>
      <c r="D64" s="9" t="s">
        <v>10</v>
      </c>
      <c r="E64" s="9">
        <v>72</v>
      </c>
      <c r="F64" s="9">
        <v>77</v>
      </c>
      <c r="G64" s="10">
        <f t="shared" si="0"/>
        <v>73.5</v>
      </c>
    </row>
    <row r="65" s="2" customFormat="1" spans="1:7">
      <c r="A65" s="2">
        <v>49</v>
      </c>
      <c r="B65" s="9" t="str">
        <f>"20210030629"</f>
        <v>20210030629</v>
      </c>
      <c r="C65" s="9" t="s">
        <v>103</v>
      </c>
      <c r="D65" s="9" t="s">
        <v>10</v>
      </c>
      <c r="E65" s="9">
        <v>73</v>
      </c>
      <c r="F65" s="9">
        <v>74</v>
      </c>
      <c r="G65" s="10">
        <f t="shared" si="0"/>
        <v>73.3</v>
      </c>
    </row>
    <row r="66" s="2" customFormat="1" spans="1:7">
      <c r="A66" s="2">
        <v>50</v>
      </c>
      <c r="B66" s="9" t="str">
        <f>"20210030702"</f>
        <v>20210030702</v>
      </c>
      <c r="C66" s="9" t="s">
        <v>104</v>
      </c>
      <c r="D66" s="9" t="s">
        <v>10</v>
      </c>
      <c r="E66" s="9">
        <v>67</v>
      </c>
      <c r="F66" s="9">
        <v>86</v>
      </c>
      <c r="G66" s="10">
        <f t="shared" ref="G66:G129" si="1">E66*0.7+F66*0.3</f>
        <v>72.7</v>
      </c>
    </row>
    <row r="67" s="2" customFormat="1" spans="1:7">
      <c r="A67" s="2">
        <v>51</v>
      </c>
      <c r="B67" s="9" t="str">
        <f>"20210030522"</f>
        <v>20210030522</v>
      </c>
      <c r="C67" s="9" t="s">
        <v>105</v>
      </c>
      <c r="D67" s="9" t="s">
        <v>10</v>
      </c>
      <c r="E67" s="9">
        <v>72</v>
      </c>
      <c r="F67" s="9">
        <v>73</v>
      </c>
      <c r="G67" s="10">
        <f t="shared" si="1"/>
        <v>72.3</v>
      </c>
    </row>
    <row r="68" s="2" customFormat="1" spans="1:7">
      <c r="A68" s="2">
        <v>52</v>
      </c>
      <c r="B68" s="9" t="str">
        <f>"20210030607"</f>
        <v>20210030607</v>
      </c>
      <c r="C68" s="9" t="s">
        <v>106</v>
      </c>
      <c r="D68" s="9" t="s">
        <v>10</v>
      </c>
      <c r="E68" s="9">
        <v>69</v>
      </c>
      <c r="F68" s="9">
        <v>78</v>
      </c>
      <c r="G68" s="10">
        <f t="shared" si="1"/>
        <v>71.7</v>
      </c>
    </row>
    <row r="69" s="2" customFormat="1" spans="1:7">
      <c r="A69" s="2">
        <v>53</v>
      </c>
      <c r="B69" s="9" t="str">
        <f>"20210030621"</f>
        <v>20210030621</v>
      </c>
      <c r="C69" s="9" t="s">
        <v>107</v>
      </c>
      <c r="D69" s="9" t="s">
        <v>10</v>
      </c>
      <c r="E69" s="9">
        <v>66</v>
      </c>
      <c r="F69" s="9">
        <v>83</v>
      </c>
      <c r="G69" s="10">
        <f t="shared" si="1"/>
        <v>71.1</v>
      </c>
    </row>
    <row r="70" s="2" customFormat="1" spans="1:7">
      <c r="A70" s="2">
        <v>54</v>
      </c>
      <c r="B70" s="9" t="str">
        <f>"20210030620"</f>
        <v>20210030620</v>
      </c>
      <c r="C70" s="9" t="s">
        <v>108</v>
      </c>
      <c r="D70" s="9" t="s">
        <v>10</v>
      </c>
      <c r="E70" s="9">
        <v>64</v>
      </c>
      <c r="F70" s="9">
        <v>83</v>
      </c>
      <c r="G70" s="10">
        <f t="shared" si="1"/>
        <v>69.7</v>
      </c>
    </row>
    <row r="71" s="2" customFormat="1" spans="1:7">
      <c r="A71" s="2">
        <v>55</v>
      </c>
      <c r="B71" s="9" t="str">
        <f>"20210030617"</f>
        <v>20210030617</v>
      </c>
      <c r="C71" s="9" t="s">
        <v>109</v>
      </c>
      <c r="D71" s="9" t="s">
        <v>10</v>
      </c>
      <c r="E71" s="9">
        <v>68</v>
      </c>
      <c r="F71" s="9">
        <v>73</v>
      </c>
      <c r="G71" s="10">
        <f t="shared" si="1"/>
        <v>69.5</v>
      </c>
    </row>
    <row r="72" s="2" customFormat="1" spans="1:7">
      <c r="A72" s="2">
        <v>56</v>
      </c>
      <c r="B72" s="9" t="str">
        <f>"20210030608"</f>
        <v>20210030608</v>
      </c>
      <c r="C72" s="9" t="s">
        <v>110</v>
      </c>
      <c r="D72" s="9" t="s">
        <v>10</v>
      </c>
      <c r="E72" s="9">
        <v>70</v>
      </c>
      <c r="F72" s="9">
        <v>68</v>
      </c>
      <c r="G72" s="10">
        <f t="shared" si="1"/>
        <v>69.4</v>
      </c>
    </row>
    <row r="73" s="2" customFormat="1" spans="1:7">
      <c r="A73" s="2">
        <v>57</v>
      </c>
      <c r="B73" s="9" t="str">
        <f>"20210030604"</f>
        <v>20210030604</v>
      </c>
      <c r="C73" s="9" t="s">
        <v>111</v>
      </c>
      <c r="D73" s="9" t="s">
        <v>10</v>
      </c>
      <c r="E73" s="9">
        <v>61</v>
      </c>
      <c r="F73" s="9">
        <v>82</v>
      </c>
      <c r="G73" s="10">
        <f t="shared" si="1"/>
        <v>67.3</v>
      </c>
    </row>
    <row r="74" s="2" customFormat="1" spans="1:7">
      <c r="A74" s="2">
        <v>58</v>
      </c>
      <c r="B74" s="9" t="str">
        <f>"20210030601"</f>
        <v>20210030601</v>
      </c>
      <c r="C74" s="9" t="s">
        <v>112</v>
      </c>
      <c r="D74" s="9" t="s">
        <v>10</v>
      </c>
      <c r="E74" s="9">
        <v>63</v>
      </c>
      <c r="F74" s="9">
        <v>75</v>
      </c>
      <c r="G74" s="10">
        <f t="shared" si="1"/>
        <v>66.6</v>
      </c>
    </row>
    <row r="75" s="2" customFormat="1" spans="1:7">
      <c r="A75" s="2">
        <v>59</v>
      </c>
      <c r="B75" s="9" t="str">
        <f>"20210030715"</f>
        <v>20210030715</v>
      </c>
      <c r="C75" s="9" t="s">
        <v>113</v>
      </c>
      <c r="D75" s="9" t="s">
        <v>10</v>
      </c>
      <c r="E75" s="9">
        <v>56</v>
      </c>
      <c r="F75" s="9">
        <v>80</v>
      </c>
      <c r="G75" s="10">
        <f t="shared" si="1"/>
        <v>63.2</v>
      </c>
    </row>
    <row r="76" s="2" customFormat="1" spans="1:7">
      <c r="A76" s="2">
        <v>60</v>
      </c>
      <c r="B76" s="9" t="str">
        <f>"20210030524"</f>
        <v>20210030524</v>
      </c>
      <c r="C76" s="9" t="s">
        <v>114</v>
      </c>
      <c r="D76" s="9" t="s">
        <v>10</v>
      </c>
      <c r="E76" s="9">
        <v>65</v>
      </c>
      <c r="F76" s="9">
        <v>58</v>
      </c>
      <c r="G76" s="10">
        <f t="shared" si="1"/>
        <v>62.9</v>
      </c>
    </row>
    <row r="77" s="2" customFormat="1" spans="1:7">
      <c r="A77" s="2">
        <v>61</v>
      </c>
      <c r="B77" s="9" t="str">
        <f>"20210030703"</f>
        <v>20210030703</v>
      </c>
      <c r="C77" s="9" t="s">
        <v>115</v>
      </c>
      <c r="D77" s="9" t="s">
        <v>10</v>
      </c>
      <c r="E77" s="9">
        <v>58</v>
      </c>
      <c r="F77" s="9">
        <v>74</v>
      </c>
      <c r="G77" s="10">
        <f t="shared" si="1"/>
        <v>62.8</v>
      </c>
    </row>
    <row r="78" s="2" customFormat="1" spans="1:7">
      <c r="A78" s="2">
        <v>62</v>
      </c>
      <c r="B78" s="9" t="str">
        <f>"20210030618"</f>
        <v>20210030618</v>
      </c>
      <c r="C78" s="9" t="s">
        <v>116</v>
      </c>
      <c r="D78" s="9" t="s">
        <v>10</v>
      </c>
      <c r="E78" s="9">
        <v>61</v>
      </c>
      <c r="F78" s="9">
        <v>66</v>
      </c>
      <c r="G78" s="10">
        <f t="shared" si="1"/>
        <v>62.5</v>
      </c>
    </row>
    <row r="79" s="2" customFormat="1" spans="1:7">
      <c r="A79" s="2">
        <v>63</v>
      </c>
      <c r="B79" s="9" t="str">
        <f>"20210030521"</f>
        <v>20210030521</v>
      </c>
      <c r="C79" s="9" t="s">
        <v>117</v>
      </c>
      <c r="D79" s="9" t="s">
        <v>10</v>
      </c>
      <c r="E79" s="9">
        <v>56</v>
      </c>
      <c r="F79" s="9">
        <v>77</v>
      </c>
      <c r="G79" s="10">
        <f t="shared" si="1"/>
        <v>62.3</v>
      </c>
    </row>
    <row r="80" s="3" customFormat="1" spans="1:7">
      <c r="A80" s="2">
        <v>618</v>
      </c>
      <c r="B80" s="11" t="str">
        <f>"20210030713"</f>
        <v>20210030713</v>
      </c>
      <c r="C80" s="11" t="s">
        <v>118</v>
      </c>
      <c r="D80" s="11" t="s">
        <v>10</v>
      </c>
      <c r="E80" s="11">
        <v>55</v>
      </c>
      <c r="F80" s="11">
        <v>78</v>
      </c>
      <c r="G80" s="12">
        <f t="shared" si="1"/>
        <v>61.9</v>
      </c>
    </row>
    <row r="81" s="3" customFormat="1" spans="1:7">
      <c r="A81" s="2">
        <v>619</v>
      </c>
      <c r="B81" s="11" t="str">
        <f>"20210030602"</f>
        <v>20210030602</v>
      </c>
      <c r="C81" s="11" t="s">
        <v>119</v>
      </c>
      <c r="D81" s="11" t="s">
        <v>10</v>
      </c>
      <c r="E81" s="11">
        <v>53</v>
      </c>
      <c r="F81" s="11">
        <v>82</v>
      </c>
      <c r="G81" s="12">
        <f t="shared" si="1"/>
        <v>61.7</v>
      </c>
    </row>
    <row r="82" s="3" customFormat="1" spans="1:7">
      <c r="A82" s="2">
        <v>620</v>
      </c>
      <c r="B82" s="11" t="str">
        <f>"20210030718"</f>
        <v>20210030718</v>
      </c>
      <c r="C82" s="11" t="s">
        <v>120</v>
      </c>
      <c r="D82" s="11" t="s">
        <v>10</v>
      </c>
      <c r="E82" s="11">
        <v>53</v>
      </c>
      <c r="F82" s="11">
        <v>81</v>
      </c>
      <c r="G82" s="12">
        <f t="shared" si="1"/>
        <v>61.4</v>
      </c>
    </row>
    <row r="83" s="3" customFormat="1" spans="1:7">
      <c r="A83" s="2">
        <v>621</v>
      </c>
      <c r="B83" s="11" t="str">
        <f>"20210030527"</f>
        <v>20210030527</v>
      </c>
      <c r="C83" s="11" t="s">
        <v>121</v>
      </c>
      <c r="D83" s="11" t="s">
        <v>10</v>
      </c>
      <c r="E83" s="11">
        <v>56</v>
      </c>
      <c r="F83" s="11">
        <v>73</v>
      </c>
      <c r="G83" s="12">
        <f t="shared" si="1"/>
        <v>61.1</v>
      </c>
    </row>
    <row r="84" s="3" customFormat="1" spans="1:7">
      <c r="A84" s="2">
        <v>622</v>
      </c>
      <c r="B84" s="11" t="str">
        <f>"20210030627"</f>
        <v>20210030627</v>
      </c>
      <c r="C84" s="11" t="s">
        <v>122</v>
      </c>
      <c r="D84" s="11" t="s">
        <v>10</v>
      </c>
      <c r="E84" s="11">
        <v>60</v>
      </c>
      <c r="F84" s="11">
        <v>62</v>
      </c>
      <c r="G84" s="12">
        <f t="shared" si="1"/>
        <v>60.6</v>
      </c>
    </row>
    <row r="85" s="3" customFormat="1" spans="1:7">
      <c r="A85" s="2">
        <v>623</v>
      </c>
      <c r="B85" s="11" t="str">
        <f>"20210030712"</f>
        <v>20210030712</v>
      </c>
      <c r="C85" s="11" t="s">
        <v>123</v>
      </c>
      <c r="D85" s="11" t="s">
        <v>10</v>
      </c>
      <c r="E85" s="11">
        <v>56</v>
      </c>
      <c r="F85" s="11">
        <v>70</v>
      </c>
      <c r="G85" s="12">
        <f t="shared" si="1"/>
        <v>60.2</v>
      </c>
    </row>
    <row r="86" s="3" customFormat="1" spans="1:7">
      <c r="A86" s="2">
        <v>624</v>
      </c>
      <c r="B86" s="11" t="str">
        <f>"20210030619"</f>
        <v>20210030619</v>
      </c>
      <c r="C86" s="11" t="s">
        <v>124</v>
      </c>
      <c r="D86" s="11" t="s">
        <v>10</v>
      </c>
      <c r="E86" s="11">
        <v>53.5</v>
      </c>
      <c r="F86" s="11">
        <v>72</v>
      </c>
      <c r="G86" s="12">
        <f t="shared" si="1"/>
        <v>59.05</v>
      </c>
    </row>
    <row r="87" s="2" customFormat="1" spans="1:7">
      <c r="A87" s="2">
        <v>64</v>
      </c>
      <c r="B87" s="9" t="str">
        <f>"20210040812"</f>
        <v>20210040812</v>
      </c>
      <c r="C87" s="9" t="s">
        <v>125</v>
      </c>
      <c r="D87" s="9" t="s">
        <v>11</v>
      </c>
      <c r="E87" s="9">
        <v>83</v>
      </c>
      <c r="F87" s="9">
        <v>81</v>
      </c>
      <c r="G87" s="10">
        <f t="shared" si="1"/>
        <v>82.4</v>
      </c>
    </row>
    <row r="88" s="2" customFormat="1" spans="1:7">
      <c r="A88" s="2">
        <v>65</v>
      </c>
      <c r="B88" s="9" t="str">
        <f>"20210040929"</f>
        <v>20210040929</v>
      </c>
      <c r="C88" s="9" t="s">
        <v>126</v>
      </c>
      <c r="D88" s="9" t="s">
        <v>11</v>
      </c>
      <c r="E88" s="9">
        <v>70</v>
      </c>
      <c r="F88" s="9">
        <v>78</v>
      </c>
      <c r="G88" s="10">
        <f t="shared" si="1"/>
        <v>72.4</v>
      </c>
    </row>
    <row r="89" s="2" customFormat="1" spans="1:7">
      <c r="A89" s="2">
        <v>66</v>
      </c>
      <c r="B89" s="9" t="str">
        <f>"20210040922"</f>
        <v>20210040922</v>
      </c>
      <c r="C89" s="9" t="s">
        <v>127</v>
      </c>
      <c r="D89" s="9" t="s">
        <v>11</v>
      </c>
      <c r="E89" s="9">
        <v>75</v>
      </c>
      <c r="F89" s="9">
        <v>66</v>
      </c>
      <c r="G89" s="10">
        <f t="shared" si="1"/>
        <v>72.3</v>
      </c>
    </row>
    <row r="90" s="2" customFormat="1" spans="1:7">
      <c r="A90" s="2">
        <v>67</v>
      </c>
      <c r="B90" s="9" t="str">
        <f>"20210040816"</f>
        <v>20210040816</v>
      </c>
      <c r="C90" s="9" t="s">
        <v>128</v>
      </c>
      <c r="D90" s="9" t="s">
        <v>11</v>
      </c>
      <c r="E90" s="9">
        <v>65</v>
      </c>
      <c r="F90" s="9">
        <v>86</v>
      </c>
      <c r="G90" s="10">
        <f t="shared" si="1"/>
        <v>71.3</v>
      </c>
    </row>
    <row r="91" s="2" customFormat="1" spans="1:7">
      <c r="A91" s="2">
        <v>68</v>
      </c>
      <c r="B91" s="9" t="str">
        <f>"20210041001"</f>
        <v>20210041001</v>
      </c>
      <c r="C91" s="9" t="s">
        <v>129</v>
      </c>
      <c r="D91" s="9" t="s">
        <v>11</v>
      </c>
      <c r="E91" s="9">
        <v>73</v>
      </c>
      <c r="F91" s="9">
        <v>66</v>
      </c>
      <c r="G91" s="10">
        <f t="shared" si="1"/>
        <v>70.9</v>
      </c>
    </row>
    <row r="92" s="2" customFormat="1" spans="1:7">
      <c r="A92" s="2">
        <v>69</v>
      </c>
      <c r="B92" s="9" t="str">
        <f>"20210040810"</f>
        <v>20210040810</v>
      </c>
      <c r="C92" s="9" t="s">
        <v>130</v>
      </c>
      <c r="D92" s="9" t="s">
        <v>11</v>
      </c>
      <c r="E92" s="9">
        <v>63</v>
      </c>
      <c r="F92" s="9">
        <v>89</v>
      </c>
      <c r="G92" s="10">
        <f t="shared" si="1"/>
        <v>70.8</v>
      </c>
    </row>
    <row r="93" s="2" customFormat="1" spans="1:7">
      <c r="A93" s="2">
        <v>70</v>
      </c>
      <c r="B93" s="9" t="str">
        <f>"20210040823"</f>
        <v>20210040823</v>
      </c>
      <c r="C93" s="9" t="s">
        <v>131</v>
      </c>
      <c r="D93" s="9" t="s">
        <v>11</v>
      </c>
      <c r="E93" s="9">
        <v>66</v>
      </c>
      <c r="F93" s="9">
        <v>82</v>
      </c>
      <c r="G93" s="10">
        <f t="shared" si="1"/>
        <v>70.8</v>
      </c>
    </row>
    <row r="94" s="2" customFormat="1" spans="1:7">
      <c r="A94" s="2">
        <v>71</v>
      </c>
      <c r="B94" s="9" t="str">
        <f>"20210040919"</f>
        <v>20210040919</v>
      </c>
      <c r="C94" s="9" t="s">
        <v>132</v>
      </c>
      <c r="D94" s="9" t="s">
        <v>11</v>
      </c>
      <c r="E94" s="9">
        <v>67</v>
      </c>
      <c r="F94" s="9">
        <v>78</v>
      </c>
      <c r="G94" s="10">
        <f t="shared" si="1"/>
        <v>70.3</v>
      </c>
    </row>
    <row r="95" s="2" customFormat="1" spans="1:7">
      <c r="A95" s="2">
        <v>72</v>
      </c>
      <c r="B95" s="9" t="str">
        <f>"20210040908"</f>
        <v>20210040908</v>
      </c>
      <c r="C95" s="9" t="s">
        <v>133</v>
      </c>
      <c r="D95" s="9" t="s">
        <v>11</v>
      </c>
      <c r="E95" s="9">
        <v>69.5</v>
      </c>
      <c r="F95" s="9">
        <v>70</v>
      </c>
      <c r="G95" s="10">
        <f t="shared" si="1"/>
        <v>69.65</v>
      </c>
    </row>
    <row r="96" s="2" customFormat="1" spans="1:7">
      <c r="A96" s="2">
        <v>73</v>
      </c>
      <c r="B96" s="9" t="str">
        <f>"20210040915"</f>
        <v>20210040915</v>
      </c>
      <c r="C96" s="9" t="s">
        <v>134</v>
      </c>
      <c r="D96" s="9" t="s">
        <v>11</v>
      </c>
      <c r="E96" s="9">
        <v>69</v>
      </c>
      <c r="F96" s="9">
        <v>70</v>
      </c>
      <c r="G96" s="10">
        <f t="shared" si="1"/>
        <v>69.3</v>
      </c>
    </row>
    <row r="97" s="2" customFormat="1" spans="1:7">
      <c r="A97" s="2">
        <v>74</v>
      </c>
      <c r="B97" s="9" t="str">
        <f>"20210040829"</f>
        <v>20210040829</v>
      </c>
      <c r="C97" s="9" t="s">
        <v>135</v>
      </c>
      <c r="D97" s="9" t="s">
        <v>11</v>
      </c>
      <c r="E97" s="9">
        <v>65</v>
      </c>
      <c r="F97" s="9">
        <v>79</v>
      </c>
      <c r="G97" s="10">
        <f t="shared" si="1"/>
        <v>69.2</v>
      </c>
    </row>
    <row r="98" s="2" customFormat="1" spans="1:7">
      <c r="A98" s="2">
        <v>75</v>
      </c>
      <c r="B98" s="9" t="str">
        <f>"20210040824"</f>
        <v>20210040824</v>
      </c>
      <c r="C98" s="9" t="s">
        <v>136</v>
      </c>
      <c r="D98" s="9" t="s">
        <v>11</v>
      </c>
      <c r="E98" s="9">
        <v>63</v>
      </c>
      <c r="F98" s="9">
        <v>81</v>
      </c>
      <c r="G98" s="10">
        <f t="shared" si="1"/>
        <v>68.4</v>
      </c>
    </row>
    <row r="99" s="2" customFormat="1" spans="1:7">
      <c r="A99" s="2">
        <v>76</v>
      </c>
      <c r="B99" s="9" t="str">
        <f>"20210040901"</f>
        <v>20210040901</v>
      </c>
      <c r="C99" s="9" t="s">
        <v>137</v>
      </c>
      <c r="D99" s="9" t="s">
        <v>11</v>
      </c>
      <c r="E99" s="9">
        <v>62</v>
      </c>
      <c r="F99" s="9">
        <v>80</v>
      </c>
      <c r="G99" s="10">
        <f t="shared" si="1"/>
        <v>67.4</v>
      </c>
    </row>
    <row r="100" s="2" customFormat="1" spans="1:7">
      <c r="A100" s="2">
        <v>77</v>
      </c>
      <c r="B100" s="9" t="str">
        <f>"20210040817"</f>
        <v>20210040817</v>
      </c>
      <c r="C100" s="9" t="s">
        <v>138</v>
      </c>
      <c r="D100" s="9" t="s">
        <v>11</v>
      </c>
      <c r="E100" s="9">
        <v>58</v>
      </c>
      <c r="F100" s="9">
        <v>89</v>
      </c>
      <c r="G100" s="10">
        <f t="shared" si="1"/>
        <v>67.3</v>
      </c>
    </row>
    <row r="101" s="2" customFormat="1" spans="1:7">
      <c r="A101" s="2">
        <v>78</v>
      </c>
      <c r="B101" s="9" t="str">
        <f>"20210040809"</f>
        <v>20210040809</v>
      </c>
      <c r="C101" s="9" t="s">
        <v>139</v>
      </c>
      <c r="D101" s="9" t="s">
        <v>11</v>
      </c>
      <c r="E101" s="9">
        <v>61</v>
      </c>
      <c r="F101" s="9">
        <v>78</v>
      </c>
      <c r="G101" s="10">
        <f t="shared" si="1"/>
        <v>66.1</v>
      </c>
    </row>
    <row r="102" s="2" customFormat="1" spans="1:7">
      <c r="A102" s="2">
        <v>79</v>
      </c>
      <c r="B102" s="9" t="str">
        <f>"20210041004"</f>
        <v>20210041004</v>
      </c>
      <c r="C102" s="9" t="s">
        <v>140</v>
      </c>
      <c r="D102" s="9" t="s">
        <v>11</v>
      </c>
      <c r="E102" s="9">
        <v>67</v>
      </c>
      <c r="F102" s="9">
        <v>63</v>
      </c>
      <c r="G102" s="10">
        <f t="shared" si="1"/>
        <v>65.8</v>
      </c>
    </row>
    <row r="103" s="2" customFormat="1" spans="1:7">
      <c r="A103" s="2">
        <v>80</v>
      </c>
      <c r="B103" s="9" t="str">
        <f>"20210040729"</f>
        <v>20210040729</v>
      </c>
      <c r="C103" s="9" t="s">
        <v>141</v>
      </c>
      <c r="D103" s="9" t="s">
        <v>11</v>
      </c>
      <c r="E103" s="9">
        <v>64</v>
      </c>
      <c r="F103" s="9">
        <v>64</v>
      </c>
      <c r="G103" s="10">
        <f t="shared" si="1"/>
        <v>64</v>
      </c>
    </row>
    <row r="104" s="2" customFormat="1" spans="1:7">
      <c r="A104" s="2">
        <v>81</v>
      </c>
      <c r="B104" s="9" t="str">
        <f>"20210040921"</f>
        <v>20210040921</v>
      </c>
      <c r="C104" s="9" t="s">
        <v>142</v>
      </c>
      <c r="D104" s="9" t="s">
        <v>11</v>
      </c>
      <c r="E104" s="9">
        <v>60</v>
      </c>
      <c r="F104" s="9">
        <v>71</v>
      </c>
      <c r="G104" s="10">
        <f t="shared" si="1"/>
        <v>63.3</v>
      </c>
    </row>
    <row r="105" s="2" customFormat="1" spans="1:7">
      <c r="A105" s="2">
        <v>82</v>
      </c>
      <c r="B105" s="9" t="str">
        <f>"20210040820"</f>
        <v>20210040820</v>
      </c>
      <c r="C105" s="9" t="s">
        <v>143</v>
      </c>
      <c r="D105" s="9" t="s">
        <v>11</v>
      </c>
      <c r="E105" s="9">
        <v>62</v>
      </c>
      <c r="F105" s="9">
        <v>66</v>
      </c>
      <c r="G105" s="10">
        <f t="shared" si="1"/>
        <v>63.2</v>
      </c>
    </row>
    <row r="106" s="2" customFormat="1" spans="1:7">
      <c r="A106" s="2">
        <v>83</v>
      </c>
      <c r="B106" s="9" t="str">
        <f>"20210040815"</f>
        <v>20210040815</v>
      </c>
      <c r="C106" s="9" t="s">
        <v>144</v>
      </c>
      <c r="D106" s="9" t="s">
        <v>11</v>
      </c>
      <c r="E106" s="9">
        <v>56</v>
      </c>
      <c r="F106" s="9">
        <v>79</v>
      </c>
      <c r="G106" s="10">
        <f t="shared" si="1"/>
        <v>62.9</v>
      </c>
    </row>
    <row r="107" s="2" customFormat="1" spans="1:7">
      <c r="A107" s="2">
        <v>84</v>
      </c>
      <c r="B107" s="9" t="str">
        <f>"20210040801"</f>
        <v>20210040801</v>
      </c>
      <c r="C107" s="9" t="s">
        <v>145</v>
      </c>
      <c r="D107" s="9" t="s">
        <v>11</v>
      </c>
      <c r="E107" s="9">
        <v>58</v>
      </c>
      <c r="F107" s="9">
        <v>74</v>
      </c>
      <c r="G107" s="10">
        <f t="shared" si="1"/>
        <v>62.8</v>
      </c>
    </row>
    <row r="108" s="2" customFormat="1" spans="1:7">
      <c r="A108" s="2">
        <v>85</v>
      </c>
      <c r="B108" s="9" t="str">
        <f>"20210040808"</f>
        <v>20210040808</v>
      </c>
      <c r="C108" s="9" t="s">
        <v>146</v>
      </c>
      <c r="D108" s="9" t="s">
        <v>11</v>
      </c>
      <c r="E108" s="9">
        <v>60</v>
      </c>
      <c r="F108" s="9">
        <v>69</v>
      </c>
      <c r="G108" s="10">
        <f t="shared" si="1"/>
        <v>62.7</v>
      </c>
    </row>
    <row r="109" s="2" customFormat="1" spans="1:7">
      <c r="A109" s="2">
        <v>86</v>
      </c>
      <c r="B109" s="9" t="str">
        <f>"20210040911"</f>
        <v>20210040911</v>
      </c>
      <c r="C109" s="9" t="s">
        <v>147</v>
      </c>
      <c r="D109" s="9" t="s">
        <v>11</v>
      </c>
      <c r="E109" s="9">
        <v>57</v>
      </c>
      <c r="F109" s="9">
        <v>68</v>
      </c>
      <c r="G109" s="10">
        <f t="shared" si="1"/>
        <v>60.3</v>
      </c>
    </row>
    <row r="110" s="3" customFormat="1" ht="15" customHeight="1" spans="1:7">
      <c r="A110" s="2">
        <v>625</v>
      </c>
      <c r="B110" s="11" t="str">
        <f>"20210040830"</f>
        <v>20210040830</v>
      </c>
      <c r="C110" s="11" t="s">
        <v>148</v>
      </c>
      <c r="D110" s="11" t="s">
        <v>11</v>
      </c>
      <c r="E110" s="11">
        <v>56</v>
      </c>
      <c r="F110" s="11">
        <v>70</v>
      </c>
      <c r="G110" s="12">
        <f t="shared" si="1"/>
        <v>60.2</v>
      </c>
    </row>
    <row r="111" s="3" customFormat="1" spans="1:7">
      <c r="A111" s="2">
        <v>626</v>
      </c>
      <c r="B111" s="11" t="str">
        <f>"20210040821"</f>
        <v>20210040821</v>
      </c>
      <c r="C111" s="11" t="s">
        <v>149</v>
      </c>
      <c r="D111" s="11" t="s">
        <v>11</v>
      </c>
      <c r="E111" s="11">
        <v>53</v>
      </c>
      <c r="F111" s="11">
        <v>76</v>
      </c>
      <c r="G111" s="12">
        <f t="shared" si="1"/>
        <v>59.9</v>
      </c>
    </row>
    <row r="112" s="3" customFormat="1" spans="1:7">
      <c r="A112" s="2">
        <v>627</v>
      </c>
      <c r="B112" s="11" t="str">
        <f>"20210041006"</f>
        <v>20210041006</v>
      </c>
      <c r="C112" s="11" t="s">
        <v>150</v>
      </c>
      <c r="D112" s="11" t="s">
        <v>11</v>
      </c>
      <c r="E112" s="11">
        <v>59</v>
      </c>
      <c r="F112" s="11">
        <v>62</v>
      </c>
      <c r="G112" s="12">
        <f t="shared" si="1"/>
        <v>59.9</v>
      </c>
    </row>
    <row r="113" s="3" customFormat="1" spans="1:7">
      <c r="A113" s="2">
        <v>628</v>
      </c>
      <c r="B113" s="11" t="str">
        <f>"20210040930"</f>
        <v>20210040930</v>
      </c>
      <c r="C113" s="11" t="s">
        <v>151</v>
      </c>
      <c r="D113" s="11" t="s">
        <v>11</v>
      </c>
      <c r="E113" s="11">
        <v>58</v>
      </c>
      <c r="F113" s="11">
        <v>62</v>
      </c>
      <c r="G113" s="12">
        <f t="shared" si="1"/>
        <v>59.2</v>
      </c>
    </row>
    <row r="114" s="3" customFormat="1" spans="1:7">
      <c r="A114" s="2">
        <v>629</v>
      </c>
      <c r="B114" s="11" t="str">
        <f>"20210040803"</f>
        <v>20210040803</v>
      </c>
      <c r="C114" s="11" t="s">
        <v>152</v>
      </c>
      <c r="D114" s="11" t="s">
        <v>11</v>
      </c>
      <c r="E114" s="11">
        <v>58.5</v>
      </c>
      <c r="F114" s="11">
        <v>58</v>
      </c>
      <c r="G114" s="12">
        <f t="shared" si="1"/>
        <v>58.35</v>
      </c>
    </row>
    <row r="115" s="3" customFormat="1" spans="1:7">
      <c r="A115" s="2">
        <v>630</v>
      </c>
      <c r="B115" s="11" t="str">
        <f>"20210040818"</f>
        <v>20210040818</v>
      </c>
      <c r="C115" s="11" t="s">
        <v>153</v>
      </c>
      <c r="D115" s="11" t="s">
        <v>11</v>
      </c>
      <c r="E115" s="11">
        <v>52</v>
      </c>
      <c r="F115" s="11">
        <v>73</v>
      </c>
      <c r="G115" s="12">
        <f t="shared" si="1"/>
        <v>58.3</v>
      </c>
    </row>
    <row r="116" s="3" customFormat="1" spans="1:7">
      <c r="A116" s="2">
        <v>631</v>
      </c>
      <c r="B116" s="11" t="str">
        <f>"20210040906"</f>
        <v>20210040906</v>
      </c>
      <c r="C116" s="11" t="s">
        <v>154</v>
      </c>
      <c r="D116" s="11" t="s">
        <v>11</v>
      </c>
      <c r="E116" s="11">
        <v>56</v>
      </c>
      <c r="F116" s="11">
        <v>60</v>
      </c>
      <c r="G116" s="12">
        <f t="shared" si="1"/>
        <v>57.2</v>
      </c>
    </row>
    <row r="117" s="3" customFormat="1" spans="1:7">
      <c r="A117" s="2">
        <v>632</v>
      </c>
      <c r="B117" s="11" t="str">
        <f>"20210040912"</f>
        <v>20210040912</v>
      </c>
      <c r="C117" s="11" t="s">
        <v>155</v>
      </c>
      <c r="D117" s="11" t="s">
        <v>11</v>
      </c>
      <c r="E117" s="11">
        <v>57.5</v>
      </c>
      <c r="F117" s="11">
        <v>56</v>
      </c>
      <c r="G117" s="12">
        <f t="shared" si="1"/>
        <v>57.05</v>
      </c>
    </row>
    <row r="118" s="3" customFormat="1" spans="1:7">
      <c r="A118" s="2">
        <v>633</v>
      </c>
      <c r="B118" s="11" t="str">
        <f>"20210040826"</f>
        <v>20210040826</v>
      </c>
      <c r="C118" s="11" t="s">
        <v>156</v>
      </c>
      <c r="D118" s="11" t="s">
        <v>11</v>
      </c>
      <c r="E118" s="11">
        <v>53</v>
      </c>
      <c r="F118" s="11">
        <v>61</v>
      </c>
      <c r="G118" s="12">
        <f t="shared" si="1"/>
        <v>55.4</v>
      </c>
    </row>
    <row r="119" s="2" customFormat="1" spans="1:7">
      <c r="A119" s="2">
        <v>87</v>
      </c>
      <c r="B119" s="9" t="str">
        <f>"20210051017"</f>
        <v>20210051017</v>
      </c>
      <c r="C119" s="9" t="s">
        <v>157</v>
      </c>
      <c r="D119" s="9" t="s">
        <v>12</v>
      </c>
      <c r="E119" s="9">
        <v>72</v>
      </c>
      <c r="F119" s="9">
        <v>94</v>
      </c>
      <c r="G119" s="10">
        <f t="shared" si="1"/>
        <v>78.6</v>
      </c>
    </row>
    <row r="120" s="2" customFormat="1" spans="1:7">
      <c r="A120" s="2">
        <v>88</v>
      </c>
      <c r="B120" s="9" t="str">
        <f>"20210051207"</f>
        <v>20210051207</v>
      </c>
      <c r="C120" s="9" t="s">
        <v>158</v>
      </c>
      <c r="D120" s="9" t="s">
        <v>12</v>
      </c>
      <c r="E120" s="9">
        <v>74</v>
      </c>
      <c r="F120" s="9">
        <v>84</v>
      </c>
      <c r="G120" s="10">
        <f t="shared" si="1"/>
        <v>77</v>
      </c>
    </row>
    <row r="121" s="2" customFormat="1" spans="1:7">
      <c r="A121" s="2">
        <v>89</v>
      </c>
      <c r="B121" s="9" t="str">
        <f>"20210051107"</f>
        <v>20210051107</v>
      </c>
      <c r="C121" s="9" t="s">
        <v>159</v>
      </c>
      <c r="D121" s="9" t="s">
        <v>12</v>
      </c>
      <c r="E121" s="9">
        <v>71.5</v>
      </c>
      <c r="F121" s="9">
        <v>80</v>
      </c>
      <c r="G121" s="10">
        <f t="shared" si="1"/>
        <v>74.05</v>
      </c>
    </row>
    <row r="122" s="2" customFormat="1" spans="1:7">
      <c r="A122" s="2">
        <v>90</v>
      </c>
      <c r="B122" s="9" t="str">
        <f>"20210051204"</f>
        <v>20210051204</v>
      </c>
      <c r="C122" s="9" t="s">
        <v>160</v>
      </c>
      <c r="D122" s="9" t="s">
        <v>12</v>
      </c>
      <c r="E122" s="9">
        <v>69.5</v>
      </c>
      <c r="F122" s="9">
        <v>81</v>
      </c>
      <c r="G122" s="10">
        <f t="shared" si="1"/>
        <v>72.95</v>
      </c>
    </row>
    <row r="123" s="2" customFormat="1" spans="1:7">
      <c r="A123" s="2">
        <v>91</v>
      </c>
      <c r="B123" s="9" t="str">
        <f>"20210051205"</f>
        <v>20210051205</v>
      </c>
      <c r="C123" s="9" t="s">
        <v>161</v>
      </c>
      <c r="D123" s="9" t="s">
        <v>12</v>
      </c>
      <c r="E123" s="9">
        <v>70</v>
      </c>
      <c r="F123" s="9">
        <v>77</v>
      </c>
      <c r="G123" s="10">
        <f t="shared" si="1"/>
        <v>72.1</v>
      </c>
    </row>
    <row r="124" s="2" customFormat="1" spans="1:7">
      <c r="A124" s="2">
        <v>92</v>
      </c>
      <c r="B124" s="9" t="str">
        <f>"20210051012"</f>
        <v>20210051012</v>
      </c>
      <c r="C124" s="9" t="s">
        <v>162</v>
      </c>
      <c r="D124" s="9" t="s">
        <v>12</v>
      </c>
      <c r="E124" s="9">
        <v>69</v>
      </c>
      <c r="F124" s="9">
        <v>78</v>
      </c>
      <c r="G124" s="10">
        <f t="shared" si="1"/>
        <v>71.7</v>
      </c>
    </row>
    <row r="125" s="2" customFormat="1" spans="1:7">
      <c r="A125" s="2">
        <v>93</v>
      </c>
      <c r="B125" s="9" t="str">
        <f>"20210051217"</f>
        <v>20210051217</v>
      </c>
      <c r="C125" s="9" t="s">
        <v>163</v>
      </c>
      <c r="D125" s="9" t="s">
        <v>12</v>
      </c>
      <c r="E125" s="9">
        <v>68</v>
      </c>
      <c r="F125" s="9">
        <v>80</v>
      </c>
      <c r="G125" s="10">
        <f t="shared" si="1"/>
        <v>71.6</v>
      </c>
    </row>
    <row r="126" s="2" customFormat="1" spans="1:7">
      <c r="A126" s="2">
        <v>94</v>
      </c>
      <c r="B126" s="9" t="str">
        <f>"20210051203"</f>
        <v>20210051203</v>
      </c>
      <c r="C126" s="9" t="s">
        <v>164</v>
      </c>
      <c r="D126" s="9" t="s">
        <v>12</v>
      </c>
      <c r="E126" s="9">
        <v>67</v>
      </c>
      <c r="F126" s="9">
        <v>81</v>
      </c>
      <c r="G126" s="10">
        <f t="shared" si="1"/>
        <v>71.2</v>
      </c>
    </row>
    <row r="127" s="2" customFormat="1" spans="1:7">
      <c r="A127" s="2">
        <v>95</v>
      </c>
      <c r="B127" s="9" t="str">
        <f>"20210051101"</f>
        <v>20210051101</v>
      </c>
      <c r="C127" s="9" t="s">
        <v>165</v>
      </c>
      <c r="D127" s="9" t="s">
        <v>12</v>
      </c>
      <c r="E127" s="9">
        <v>66.5</v>
      </c>
      <c r="F127" s="9">
        <v>81</v>
      </c>
      <c r="G127" s="10">
        <f t="shared" si="1"/>
        <v>70.85</v>
      </c>
    </row>
    <row r="128" s="2" customFormat="1" spans="1:7">
      <c r="A128" s="2">
        <v>96</v>
      </c>
      <c r="B128" s="9" t="str">
        <f>"20210051202"</f>
        <v>20210051202</v>
      </c>
      <c r="C128" s="9" t="s">
        <v>166</v>
      </c>
      <c r="D128" s="9" t="s">
        <v>12</v>
      </c>
      <c r="E128" s="9">
        <v>65</v>
      </c>
      <c r="F128" s="9">
        <v>84</v>
      </c>
      <c r="G128" s="10">
        <f t="shared" si="1"/>
        <v>70.7</v>
      </c>
    </row>
    <row r="129" s="2" customFormat="1" spans="1:7">
      <c r="A129" s="2">
        <v>97</v>
      </c>
      <c r="B129" s="9" t="str">
        <f>"20210051215"</f>
        <v>20210051215</v>
      </c>
      <c r="C129" s="9" t="s">
        <v>167</v>
      </c>
      <c r="D129" s="9" t="s">
        <v>12</v>
      </c>
      <c r="E129" s="9">
        <v>65</v>
      </c>
      <c r="F129" s="9">
        <v>83</v>
      </c>
      <c r="G129" s="10">
        <f t="shared" si="1"/>
        <v>70.4</v>
      </c>
    </row>
    <row r="130" s="2" customFormat="1" spans="1:7">
      <c r="A130" s="2">
        <v>98</v>
      </c>
      <c r="B130" s="9" t="str">
        <f>"20210051120"</f>
        <v>20210051120</v>
      </c>
      <c r="C130" s="9" t="s">
        <v>168</v>
      </c>
      <c r="D130" s="9" t="s">
        <v>12</v>
      </c>
      <c r="E130" s="9">
        <v>68.5</v>
      </c>
      <c r="F130" s="9">
        <v>73</v>
      </c>
      <c r="G130" s="10">
        <f t="shared" ref="G130:G193" si="2">E130*0.7+F130*0.3</f>
        <v>69.85</v>
      </c>
    </row>
    <row r="131" s="2" customFormat="1" spans="1:7">
      <c r="A131" s="2">
        <v>99</v>
      </c>
      <c r="B131" s="9" t="str">
        <f>"20210051206"</f>
        <v>20210051206</v>
      </c>
      <c r="C131" s="9" t="s">
        <v>169</v>
      </c>
      <c r="D131" s="9" t="s">
        <v>12</v>
      </c>
      <c r="E131" s="9">
        <v>64</v>
      </c>
      <c r="F131" s="9">
        <v>83</v>
      </c>
      <c r="G131" s="10">
        <f t="shared" si="2"/>
        <v>69.7</v>
      </c>
    </row>
    <row r="132" s="2" customFormat="1" spans="1:7">
      <c r="A132" s="2">
        <v>100</v>
      </c>
      <c r="B132" s="9" t="str">
        <f>"20210051013"</f>
        <v>20210051013</v>
      </c>
      <c r="C132" s="9" t="s">
        <v>170</v>
      </c>
      <c r="D132" s="9" t="s">
        <v>12</v>
      </c>
      <c r="E132" s="9">
        <v>75</v>
      </c>
      <c r="F132" s="9">
        <v>54</v>
      </c>
      <c r="G132" s="10">
        <f t="shared" si="2"/>
        <v>68.7</v>
      </c>
    </row>
    <row r="133" s="2" customFormat="1" spans="1:7">
      <c r="A133" s="2">
        <v>101</v>
      </c>
      <c r="B133" s="9" t="str">
        <f>"20210051104"</f>
        <v>20210051104</v>
      </c>
      <c r="C133" s="9" t="s">
        <v>171</v>
      </c>
      <c r="D133" s="9" t="s">
        <v>12</v>
      </c>
      <c r="E133" s="9">
        <v>69</v>
      </c>
      <c r="F133" s="9">
        <v>68</v>
      </c>
      <c r="G133" s="10">
        <f t="shared" si="2"/>
        <v>68.7</v>
      </c>
    </row>
    <row r="134" s="2" customFormat="1" spans="1:7">
      <c r="A134" s="2">
        <v>102</v>
      </c>
      <c r="B134" s="9" t="str">
        <f>"20210051027"</f>
        <v>20210051027</v>
      </c>
      <c r="C134" s="9" t="s">
        <v>172</v>
      </c>
      <c r="D134" s="9" t="s">
        <v>12</v>
      </c>
      <c r="E134" s="9">
        <v>62</v>
      </c>
      <c r="F134" s="9">
        <v>84</v>
      </c>
      <c r="G134" s="10">
        <f t="shared" si="2"/>
        <v>68.6</v>
      </c>
    </row>
    <row r="135" s="2" customFormat="1" spans="1:7">
      <c r="A135" s="2">
        <v>103</v>
      </c>
      <c r="B135" s="9" t="str">
        <f>"20210051018"</f>
        <v>20210051018</v>
      </c>
      <c r="C135" s="9" t="s">
        <v>173</v>
      </c>
      <c r="D135" s="9" t="s">
        <v>12</v>
      </c>
      <c r="E135" s="9">
        <v>65</v>
      </c>
      <c r="F135" s="9">
        <v>76</v>
      </c>
      <c r="G135" s="10">
        <f t="shared" si="2"/>
        <v>68.3</v>
      </c>
    </row>
    <row r="136" s="2" customFormat="1" spans="1:7">
      <c r="A136" s="2">
        <v>104</v>
      </c>
      <c r="B136" s="9" t="str">
        <f>"20210051201"</f>
        <v>20210051201</v>
      </c>
      <c r="C136" s="9" t="s">
        <v>174</v>
      </c>
      <c r="D136" s="9" t="s">
        <v>12</v>
      </c>
      <c r="E136" s="9">
        <v>67</v>
      </c>
      <c r="F136" s="9">
        <v>70</v>
      </c>
      <c r="G136" s="10">
        <f t="shared" si="2"/>
        <v>67.9</v>
      </c>
    </row>
    <row r="137" s="2" customFormat="1" spans="1:7">
      <c r="A137" s="2">
        <v>105</v>
      </c>
      <c r="B137" s="9" t="str">
        <f>"20210051214"</f>
        <v>20210051214</v>
      </c>
      <c r="C137" s="9" t="s">
        <v>175</v>
      </c>
      <c r="D137" s="9" t="s">
        <v>12</v>
      </c>
      <c r="E137" s="9">
        <v>66</v>
      </c>
      <c r="F137" s="9">
        <v>71</v>
      </c>
      <c r="G137" s="10">
        <f t="shared" si="2"/>
        <v>67.5</v>
      </c>
    </row>
    <row r="138" s="2" customFormat="1" spans="1:7">
      <c r="A138" s="2">
        <v>106</v>
      </c>
      <c r="B138" s="9" t="str">
        <f>"20210051128"</f>
        <v>20210051128</v>
      </c>
      <c r="C138" s="9" t="s">
        <v>176</v>
      </c>
      <c r="D138" s="9" t="s">
        <v>12</v>
      </c>
      <c r="E138" s="9">
        <v>61</v>
      </c>
      <c r="F138" s="9">
        <v>80</v>
      </c>
      <c r="G138" s="10">
        <f t="shared" si="2"/>
        <v>66.7</v>
      </c>
    </row>
    <row r="139" s="2" customFormat="1" spans="1:7">
      <c r="A139" s="2">
        <v>107</v>
      </c>
      <c r="B139" s="9" t="str">
        <f>"20210051024"</f>
        <v>20210051024</v>
      </c>
      <c r="C139" s="9" t="s">
        <v>177</v>
      </c>
      <c r="D139" s="9" t="s">
        <v>12</v>
      </c>
      <c r="E139" s="9">
        <v>65</v>
      </c>
      <c r="F139" s="9">
        <v>69</v>
      </c>
      <c r="G139" s="10">
        <f t="shared" si="2"/>
        <v>66.2</v>
      </c>
    </row>
    <row r="140" s="2" customFormat="1" spans="1:7">
      <c r="A140" s="2">
        <v>108</v>
      </c>
      <c r="B140" s="9" t="str">
        <f>"20210051218"</f>
        <v>20210051218</v>
      </c>
      <c r="C140" s="9" t="s">
        <v>178</v>
      </c>
      <c r="D140" s="9" t="s">
        <v>12</v>
      </c>
      <c r="E140" s="9">
        <v>68</v>
      </c>
      <c r="F140" s="9">
        <v>59</v>
      </c>
      <c r="G140" s="10">
        <f t="shared" si="2"/>
        <v>65.3</v>
      </c>
    </row>
    <row r="141" s="2" customFormat="1" spans="1:7">
      <c r="A141" s="2">
        <v>109</v>
      </c>
      <c r="B141" s="9" t="str">
        <f>"20210051112"</f>
        <v>20210051112</v>
      </c>
      <c r="C141" s="9" t="s">
        <v>179</v>
      </c>
      <c r="D141" s="9" t="s">
        <v>12</v>
      </c>
      <c r="E141" s="9">
        <v>59.5</v>
      </c>
      <c r="F141" s="9">
        <v>76</v>
      </c>
      <c r="G141" s="10">
        <f t="shared" si="2"/>
        <v>64.45</v>
      </c>
    </row>
    <row r="142" s="2" customFormat="1" spans="1:7">
      <c r="A142" s="2">
        <v>110</v>
      </c>
      <c r="B142" s="9" t="str">
        <f>"20210051030"</f>
        <v>20210051030</v>
      </c>
      <c r="C142" s="9" t="s">
        <v>180</v>
      </c>
      <c r="D142" s="9" t="s">
        <v>12</v>
      </c>
      <c r="E142" s="9">
        <v>61</v>
      </c>
      <c r="F142" s="9">
        <v>72</v>
      </c>
      <c r="G142" s="10">
        <f t="shared" si="2"/>
        <v>64.3</v>
      </c>
    </row>
    <row r="143" s="2" customFormat="1" spans="1:7">
      <c r="A143" s="2">
        <v>111</v>
      </c>
      <c r="B143" s="9" t="str">
        <f>"20210051117"</f>
        <v>20210051117</v>
      </c>
      <c r="C143" s="9" t="s">
        <v>181</v>
      </c>
      <c r="D143" s="9" t="s">
        <v>12</v>
      </c>
      <c r="E143" s="9">
        <v>62</v>
      </c>
      <c r="F143" s="9">
        <v>68</v>
      </c>
      <c r="G143" s="10">
        <f t="shared" si="2"/>
        <v>63.8</v>
      </c>
    </row>
    <row r="144" s="2" customFormat="1" spans="1:7">
      <c r="A144" s="2">
        <v>112</v>
      </c>
      <c r="B144" s="9" t="str">
        <f>"20210051021"</f>
        <v>20210051021</v>
      </c>
      <c r="C144" s="9" t="s">
        <v>182</v>
      </c>
      <c r="D144" s="9" t="s">
        <v>12</v>
      </c>
      <c r="E144" s="9">
        <v>54</v>
      </c>
      <c r="F144" s="9">
        <v>86</v>
      </c>
      <c r="G144" s="10">
        <f t="shared" si="2"/>
        <v>63.6</v>
      </c>
    </row>
    <row r="145" s="3" customFormat="1" spans="1:7">
      <c r="A145" s="2">
        <v>634</v>
      </c>
      <c r="B145" s="11" t="str">
        <f>"20210051106"</f>
        <v>20210051106</v>
      </c>
      <c r="C145" s="11" t="s">
        <v>183</v>
      </c>
      <c r="D145" s="11" t="s">
        <v>12</v>
      </c>
      <c r="E145" s="11">
        <v>61</v>
      </c>
      <c r="F145" s="11">
        <v>67</v>
      </c>
      <c r="G145" s="12">
        <f t="shared" si="2"/>
        <v>62.8</v>
      </c>
    </row>
    <row r="146" s="3" customFormat="1" spans="1:7">
      <c r="A146" s="2">
        <v>635</v>
      </c>
      <c r="B146" s="11" t="str">
        <f>"20210051130"</f>
        <v>20210051130</v>
      </c>
      <c r="C146" s="11" t="s">
        <v>184</v>
      </c>
      <c r="D146" s="11" t="s">
        <v>12</v>
      </c>
      <c r="E146" s="11">
        <v>60</v>
      </c>
      <c r="F146" s="11">
        <v>68</v>
      </c>
      <c r="G146" s="12">
        <f t="shared" si="2"/>
        <v>62.4</v>
      </c>
    </row>
    <row r="147" s="3" customFormat="1" spans="1:7">
      <c r="A147" s="2">
        <v>636</v>
      </c>
      <c r="B147" s="11" t="str">
        <f>"20210051014"</f>
        <v>20210051014</v>
      </c>
      <c r="C147" s="11" t="s">
        <v>185</v>
      </c>
      <c r="D147" s="11" t="s">
        <v>12</v>
      </c>
      <c r="E147" s="11">
        <v>63</v>
      </c>
      <c r="F147" s="11">
        <v>60</v>
      </c>
      <c r="G147" s="12">
        <f t="shared" si="2"/>
        <v>62.1</v>
      </c>
    </row>
    <row r="148" s="3" customFormat="1" spans="1:7">
      <c r="A148" s="2">
        <v>637</v>
      </c>
      <c r="B148" s="11" t="str">
        <f>"20210051029"</f>
        <v>20210051029</v>
      </c>
      <c r="C148" s="11" t="s">
        <v>186</v>
      </c>
      <c r="D148" s="11" t="s">
        <v>12</v>
      </c>
      <c r="E148" s="11">
        <v>55</v>
      </c>
      <c r="F148" s="11">
        <v>77</v>
      </c>
      <c r="G148" s="12">
        <f t="shared" si="2"/>
        <v>61.6</v>
      </c>
    </row>
    <row r="149" s="3" customFormat="1" spans="1:7">
      <c r="A149" s="2">
        <v>638</v>
      </c>
      <c r="B149" s="11" t="str">
        <f>"20210051009"</f>
        <v>20210051009</v>
      </c>
      <c r="C149" s="11" t="s">
        <v>187</v>
      </c>
      <c r="D149" s="11" t="s">
        <v>12</v>
      </c>
      <c r="E149" s="11">
        <v>58</v>
      </c>
      <c r="F149" s="11">
        <v>67</v>
      </c>
      <c r="G149" s="12">
        <f t="shared" si="2"/>
        <v>60.7</v>
      </c>
    </row>
    <row r="150" s="3" customFormat="1" spans="1:7">
      <c r="A150" s="2">
        <v>639</v>
      </c>
      <c r="B150" s="11" t="str">
        <f>"20210051219"</f>
        <v>20210051219</v>
      </c>
      <c r="C150" s="11" t="s">
        <v>188</v>
      </c>
      <c r="D150" s="11" t="s">
        <v>12</v>
      </c>
      <c r="E150" s="11">
        <v>60.5</v>
      </c>
      <c r="F150" s="11">
        <v>57</v>
      </c>
      <c r="G150" s="12">
        <f t="shared" si="2"/>
        <v>59.45</v>
      </c>
    </row>
    <row r="151" s="2" customFormat="1" spans="1:7">
      <c r="A151" s="2">
        <v>113</v>
      </c>
      <c r="B151" s="9" t="str">
        <f>"20210061411"</f>
        <v>20210061411</v>
      </c>
      <c r="C151" s="9" t="s">
        <v>90</v>
      </c>
      <c r="D151" s="9" t="s">
        <v>13</v>
      </c>
      <c r="E151" s="9">
        <v>80</v>
      </c>
      <c r="F151" s="9">
        <v>80</v>
      </c>
      <c r="G151" s="10">
        <f t="shared" si="2"/>
        <v>80</v>
      </c>
    </row>
    <row r="152" s="2" customFormat="1" spans="1:7">
      <c r="A152" s="2">
        <v>114</v>
      </c>
      <c r="B152" s="9" t="str">
        <f>"20210061317"</f>
        <v>20210061317</v>
      </c>
      <c r="C152" s="9" t="s">
        <v>189</v>
      </c>
      <c r="D152" s="9" t="s">
        <v>13</v>
      </c>
      <c r="E152" s="9">
        <v>76.5</v>
      </c>
      <c r="F152" s="9">
        <v>87</v>
      </c>
      <c r="G152" s="10">
        <f t="shared" si="2"/>
        <v>79.65</v>
      </c>
    </row>
    <row r="153" s="2" customFormat="1" spans="1:7">
      <c r="A153" s="2">
        <v>115</v>
      </c>
      <c r="B153" s="9" t="str">
        <f>"20210061408"</f>
        <v>20210061408</v>
      </c>
      <c r="C153" s="9" t="s">
        <v>190</v>
      </c>
      <c r="D153" s="9" t="s">
        <v>13</v>
      </c>
      <c r="E153" s="9">
        <v>77</v>
      </c>
      <c r="F153" s="9">
        <v>83</v>
      </c>
      <c r="G153" s="10">
        <f t="shared" si="2"/>
        <v>78.8</v>
      </c>
    </row>
    <row r="154" s="2" customFormat="1" spans="1:7">
      <c r="A154" s="2">
        <v>116</v>
      </c>
      <c r="B154" s="9" t="str">
        <f>"20210061416"</f>
        <v>20210061416</v>
      </c>
      <c r="C154" s="9" t="s">
        <v>191</v>
      </c>
      <c r="D154" s="9" t="s">
        <v>13</v>
      </c>
      <c r="E154" s="9">
        <v>77</v>
      </c>
      <c r="F154" s="9">
        <v>80</v>
      </c>
      <c r="G154" s="10">
        <f t="shared" si="2"/>
        <v>77.9</v>
      </c>
    </row>
    <row r="155" s="2" customFormat="1" spans="1:7">
      <c r="A155" s="2">
        <v>117</v>
      </c>
      <c r="B155" s="9" t="str">
        <f>"20210061501"</f>
        <v>20210061501</v>
      </c>
      <c r="C155" s="9" t="s">
        <v>192</v>
      </c>
      <c r="D155" s="9" t="s">
        <v>13</v>
      </c>
      <c r="E155" s="9">
        <v>76</v>
      </c>
      <c r="F155" s="9">
        <v>81</v>
      </c>
      <c r="G155" s="10">
        <f t="shared" si="2"/>
        <v>77.5</v>
      </c>
    </row>
    <row r="156" s="2" customFormat="1" spans="1:7">
      <c r="A156" s="2">
        <v>118</v>
      </c>
      <c r="B156" s="9" t="str">
        <f>"20210061418"</f>
        <v>20210061418</v>
      </c>
      <c r="C156" s="9" t="s">
        <v>193</v>
      </c>
      <c r="D156" s="9" t="s">
        <v>13</v>
      </c>
      <c r="E156" s="9">
        <v>74</v>
      </c>
      <c r="F156" s="9">
        <v>83</v>
      </c>
      <c r="G156" s="10">
        <f t="shared" si="2"/>
        <v>76.7</v>
      </c>
    </row>
    <row r="157" s="2" customFormat="1" spans="1:7">
      <c r="A157" s="2">
        <v>119</v>
      </c>
      <c r="B157" s="9" t="str">
        <f>"20210061302"</f>
        <v>20210061302</v>
      </c>
      <c r="C157" s="9" t="s">
        <v>194</v>
      </c>
      <c r="D157" s="9" t="s">
        <v>13</v>
      </c>
      <c r="E157" s="9">
        <v>73</v>
      </c>
      <c r="F157" s="9">
        <v>82</v>
      </c>
      <c r="G157" s="10">
        <f t="shared" si="2"/>
        <v>75.7</v>
      </c>
    </row>
    <row r="158" s="2" customFormat="1" spans="1:7">
      <c r="A158" s="2">
        <v>120</v>
      </c>
      <c r="B158" s="9" t="str">
        <f>"20210061224"</f>
        <v>20210061224</v>
      </c>
      <c r="C158" s="9" t="s">
        <v>195</v>
      </c>
      <c r="D158" s="9" t="s">
        <v>13</v>
      </c>
      <c r="E158" s="9">
        <v>73</v>
      </c>
      <c r="F158" s="9">
        <v>79</v>
      </c>
      <c r="G158" s="10">
        <f t="shared" si="2"/>
        <v>74.8</v>
      </c>
    </row>
    <row r="159" s="2" customFormat="1" spans="1:7">
      <c r="A159" s="2">
        <v>121</v>
      </c>
      <c r="B159" s="9" t="str">
        <f>"20210061417"</f>
        <v>20210061417</v>
      </c>
      <c r="C159" s="9" t="s">
        <v>196</v>
      </c>
      <c r="D159" s="9" t="s">
        <v>13</v>
      </c>
      <c r="E159" s="9">
        <v>72</v>
      </c>
      <c r="F159" s="9">
        <v>81</v>
      </c>
      <c r="G159" s="10">
        <f t="shared" si="2"/>
        <v>74.7</v>
      </c>
    </row>
    <row r="160" s="2" customFormat="1" spans="1:7">
      <c r="A160" s="2">
        <v>122</v>
      </c>
      <c r="B160" s="9" t="str">
        <f>"20210061221"</f>
        <v>20210061221</v>
      </c>
      <c r="C160" s="9" t="s">
        <v>197</v>
      </c>
      <c r="D160" s="9" t="s">
        <v>13</v>
      </c>
      <c r="E160" s="9">
        <v>72</v>
      </c>
      <c r="F160" s="9">
        <v>78</v>
      </c>
      <c r="G160" s="10">
        <f t="shared" si="2"/>
        <v>73.8</v>
      </c>
    </row>
    <row r="161" s="2" customFormat="1" spans="1:7">
      <c r="A161" s="2">
        <v>123</v>
      </c>
      <c r="B161" s="9" t="str">
        <f>"20210061414"</f>
        <v>20210061414</v>
      </c>
      <c r="C161" s="9" t="s">
        <v>198</v>
      </c>
      <c r="D161" s="9" t="s">
        <v>13</v>
      </c>
      <c r="E161" s="9">
        <v>66</v>
      </c>
      <c r="F161" s="9">
        <v>92</v>
      </c>
      <c r="G161" s="10">
        <f t="shared" si="2"/>
        <v>73.8</v>
      </c>
    </row>
    <row r="162" s="2" customFormat="1" spans="1:7">
      <c r="A162" s="2">
        <v>124</v>
      </c>
      <c r="B162" s="9" t="str">
        <f>"20210061320"</f>
        <v>20210061320</v>
      </c>
      <c r="C162" s="9" t="s">
        <v>199</v>
      </c>
      <c r="D162" s="9" t="s">
        <v>13</v>
      </c>
      <c r="E162" s="9">
        <v>70</v>
      </c>
      <c r="F162" s="9">
        <v>80</v>
      </c>
      <c r="G162" s="10">
        <f t="shared" si="2"/>
        <v>73</v>
      </c>
    </row>
    <row r="163" s="2" customFormat="1" spans="1:7">
      <c r="A163" s="2">
        <v>125</v>
      </c>
      <c r="B163" s="9" t="str">
        <f>"20210061409"</f>
        <v>20210061409</v>
      </c>
      <c r="C163" s="9" t="s">
        <v>200</v>
      </c>
      <c r="D163" s="9" t="s">
        <v>13</v>
      </c>
      <c r="E163" s="9">
        <v>71</v>
      </c>
      <c r="F163" s="9">
        <v>74</v>
      </c>
      <c r="G163" s="10">
        <f t="shared" si="2"/>
        <v>71.9</v>
      </c>
    </row>
    <row r="164" s="2" customFormat="1" spans="1:7">
      <c r="A164" s="2">
        <v>126</v>
      </c>
      <c r="B164" s="9" t="str">
        <f>"20210061426"</f>
        <v>20210061426</v>
      </c>
      <c r="C164" s="9" t="s">
        <v>201</v>
      </c>
      <c r="D164" s="9" t="s">
        <v>13</v>
      </c>
      <c r="E164" s="9">
        <v>69</v>
      </c>
      <c r="F164" s="9">
        <v>78</v>
      </c>
      <c r="G164" s="10">
        <f t="shared" si="2"/>
        <v>71.7</v>
      </c>
    </row>
    <row r="165" s="2" customFormat="1" spans="1:7">
      <c r="A165" s="2">
        <v>127</v>
      </c>
      <c r="B165" s="9" t="str">
        <f>"20210061325"</f>
        <v>20210061325</v>
      </c>
      <c r="C165" s="9" t="s">
        <v>202</v>
      </c>
      <c r="D165" s="9" t="s">
        <v>13</v>
      </c>
      <c r="E165" s="9">
        <v>69.5</v>
      </c>
      <c r="F165" s="9">
        <v>75</v>
      </c>
      <c r="G165" s="10">
        <f t="shared" si="2"/>
        <v>71.15</v>
      </c>
    </row>
    <row r="166" s="2" customFormat="1" spans="1:7">
      <c r="A166" s="2">
        <v>128</v>
      </c>
      <c r="B166" s="9" t="str">
        <f>"20210061309"</f>
        <v>20210061309</v>
      </c>
      <c r="C166" s="9" t="s">
        <v>203</v>
      </c>
      <c r="D166" s="9" t="s">
        <v>13</v>
      </c>
      <c r="E166" s="9">
        <v>69</v>
      </c>
      <c r="F166" s="9">
        <v>76</v>
      </c>
      <c r="G166" s="10">
        <f t="shared" si="2"/>
        <v>71.1</v>
      </c>
    </row>
    <row r="167" s="2" customFormat="1" spans="1:7">
      <c r="A167" s="2">
        <v>129</v>
      </c>
      <c r="B167" s="9" t="str">
        <f>"20210061402"</f>
        <v>20210061402</v>
      </c>
      <c r="C167" s="9" t="s">
        <v>204</v>
      </c>
      <c r="D167" s="9" t="s">
        <v>13</v>
      </c>
      <c r="E167" s="9">
        <v>70</v>
      </c>
      <c r="F167" s="9">
        <v>73</v>
      </c>
      <c r="G167" s="10">
        <f t="shared" si="2"/>
        <v>70.9</v>
      </c>
    </row>
    <row r="168" s="2" customFormat="1" spans="1:7">
      <c r="A168" s="2">
        <v>130</v>
      </c>
      <c r="B168" s="9" t="str">
        <f>"20210061407"</f>
        <v>20210061407</v>
      </c>
      <c r="C168" s="9" t="s">
        <v>205</v>
      </c>
      <c r="D168" s="9" t="s">
        <v>13</v>
      </c>
      <c r="E168" s="9">
        <v>66</v>
      </c>
      <c r="F168" s="9">
        <v>82</v>
      </c>
      <c r="G168" s="10">
        <f t="shared" si="2"/>
        <v>70.8</v>
      </c>
    </row>
    <row r="169" s="2" customFormat="1" spans="1:7">
      <c r="A169" s="2">
        <v>131</v>
      </c>
      <c r="B169" s="9" t="str">
        <f>"20210061304"</f>
        <v>20210061304</v>
      </c>
      <c r="C169" s="9" t="s">
        <v>206</v>
      </c>
      <c r="D169" s="9" t="s">
        <v>13</v>
      </c>
      <c r="E169" s="9">
        <v>64.5</v>
      </c>
      <c r="F169" s="9">
        <v>79</v>
      </c>
      <c r="G169" s="10">
        <f t="shared" si="2"/>
        <v>68.85</v>
      </c>
    </row>
    <row r="170" s="2" customFormat="1" spans="1:7">
      <c r="A170" s="2">
        <v>132</v>
      </c>
      <c r="B170" s="9" t="str">
        <f>"20210061316"</f>
        <v>20210061316</v>
      </c>
      <c r="C170" s="9" t="s">
        <v>207</v>
      </c>
      <c r="D170" s="9" t="s">
        <v>13</v>
      </c>
      <c r="E170" s="9">
        <v>69</v>
      </c>
      <c r="F170" s="9">
        <v>68</v>
      </c>
      <c r="G170" s="10">
        <f t="shared" si="2"/>
        <v>68.7</v>
      </c>
    </row>
    <row r="171" s="2" customFormat="1" spans="1:7">
      <c r="A171" s="2">
        <v>133</v>
      </c>
      <c r="B171" s="9" t="str">
        <f>"20210061315"</f>
        <v>20210061315</v>
      </c>
      <c r="C171" s="9" t="s">
        <v>208</v>
      </c>
      <c r="D171" s="9" t="s">
        <v>13</v>
      </c>
      <c r="E171" s="9">
        <v>70</v>
      </c>
      <c r="F171" s="9">
        <v>63</v>
      </c>
      <c r="G171" s="10">
        <f t="shared" si="2"/>
        <v>67.9</v>
      </c>
    </row>
    <row r="172" s="2" customFormat="1" spans="1:7">
      <c r="A172" s="2">
        <v>134</v>
      </c>
      <c r="B172" s="9" t="str">
        <f>"20210061223"</f>
        <v>20210061223</v>
      </c>
      <c r="C172" s="9" t="s">
        <v>209</v>
      </c>
      <c r="D172" s="9" t="s">
        <v>13</v>
      </c>
      <c r="E172" s="9">
        <v>61</v>
      </c>
      <c r="F172" s="9">
        <v>84</v>
      </c>
      <c r="G172" s="10">
        <f t="shared" si="2"/>
        <v>67.9</v>
      </c>
    </row>
    <row r="173" s="2" customFormat="1" spans="1:7">
      <c r="A173" s="2">
        <v>135</v>
      </c>
      <c r="B173" s="9" t="str">
        <f>"20210061225"</f>
        <v>20210061225</v>
      </c>
      <c r="C173" s="9" t="s">
        <v>210</v>
      </c>
      <c r="D173" s="9" t="s">
        <v>13</v>
      </c>
      <c r="E173" s="9">
        <v>67</v>
      </c>
      <c r="F173" s="9">
        <v>67</v>
      </c>
      <c r="G173" s="10">
        <f t="shared" si="2"/>
        <v>67</v>
      </c>
    </row>
    <row r="174" s="2" customFormat="1" spans="1:7">
      <c r="A174" s="2">
        <v>136</v>
      </c>
      <c r="B174" s="9" t="str">
        <f>"20210061419"</f>
        <v>20210061419</v>
      </c>
      <c r="C174" s="9" t="s">
        <v>211</v>
      </c>
      <c r="D174" s="9" t="s">
        <v>13</v>
      </c>
      <c r="E174" s="9">
        <v>67</v>
      </c>
      <c r="F174" s="9">
        <v>65</v>
      </c>
      <c r="G174" s="10">
        <f t="shared" si="2"/>
        <v>66.4</v>
      </c>
    </row>
    <row r="175" s="2" customFormat="1" spans="1:7">
      <c r="A175" s="2">
        <v>137</v>
      </c>
      <c r="B175" s="9" t="str">
        <f>"20210061428"</f>
        <v>20210061428</v>
      </c>
      <c r="C175" s="9" t="s">
        <v>212</v>
      </c>
      <c r="D175" s="9" t="s">
        <v>13</v>
      </c>
      <c r="E175" s="9">
        <v>67</v>
      </c>
      <c r="F175" s="9">
        <v>65</v>
      </c>
      <c r="G175" s="10">
        <f t="shared" si="2"/>
        <v>66.4</v>
      </c>
    </row>
    <row r="176" s="2" customFormat="1" spans="1:7">
      <c r="A176" s="2">
        <v>138</v>
      </c>
      <c r="B176" s="9" t="str">
        <f>"20210061424"</f>
        <v>20210061424</v>
      </c>
      <c r="C176" s="9" t="s">
        <v>213</v>
      </c>
      <c r="D176" s="9" t="s">
        <v>13</v>
      </c>
      <c r="E176" s="9">
        <v>66</v>
      </c>
      <c r="F176" s="9">
        <v>67</v>
      </c>
      <c r="G176" s="10">
        <f t="shared" si="2"/>
        <v>66.3</v>
      </c>
    </row>
    <row r="177" s="3" customFormat="1" spans="1:7">
      <c r="A177" s="2">
        <v>640</v>
      </c>
      <c r="B177" s="11" t="str">
        <f>"20210061404"</f>
        <v>20210061404</v>
      </c>
      <c r="C177" s="11" t="s">
        <v>214</v>
      </c>
      <c r="D177" s="11" t="s">
        <v>13</v>
      </c>
      <c r="E177" s="11">
        <v>59</v>
      </c>
      <c r="F177" s="11">
        <v>81</v>
      </c>
      <c r="G177" s="12">
        <f t="shared" si="2"/>
        <v>65.6</v>
      </c>
    </row>
    <row r="178" s="3" customFormat="1" spans="1:7">
      <c r="A178" s="2">
        <v>641</v>
      </c>
      <c r="B178" s="11" t="str">
        <f>"20210061405"</f>
        <v>20210061405</v>
      </c>
      <c r="C178" s="11" t="s">
        <v>215</v>
      </c>
      <c r="D178" s="11" t="s">
        <v>13</v>
      </c>
      <c r="E178" s="11">
        <v>59</v>
      </c>
      <c r="F178" s="11">
        <v>81</v>
      </c>
      <c r="G178" s="12">
        <f t="shared" si="2"/>
        <v>65.6</v>
      </c>
    </row>
    <row r="179" s="3" customFormat="1" spans="1:7">
      <c r="A179" s="2">
        <v>642</v>
      </c>
      <c r="B179" s="11" t="str">
        <f>"20210061222"</f>
        <v>20210061222</v>
      </c>
      <c r="C179" s="11" t="s">
        <v>216</v>
      </c>
      <c r="D179" s="11" t="s">
        <v>13</v>
      </c>
      <c r="E179" s="11">
        <v>67</v>
      </c>
      <c r="F179" s="11">
        <v>62</v>
      </c>
      <c r="G179" s="12">
        <f t="shared" si="2"/>
        <v>65.5</v>
      </c>
    </row>
    <row r="180" s="3" customFormat="1" spans="1:7">
      <c r="A180" s="2">
        <v>643</v>
      </c>
      <c r="B180" s="11" t="str">
        <f>"20210061423"</f>
        <v>20210061423</v>
      </c>
      <c r="C180" s="11" t="s">
        <v>217</v>
      </c>
      <c r="D180" s="11" t="s">
        <v>13</v>
      </c>
      <c r="E180" s="11">
        <v>68.5</v>
      </c>
      <c r="F180" s="11">
        <v>57</v>
      </c>
      <c r="G180" s="12">
        <f t="shared" si="2"/>
        <v>65.05</v>
      </c>
    </row>
    <row r="181" s="3" customFormat="1" spans="1:7">
      <c r="A181" s="2">
        <v>644</v>
      </c>
      <c r="B181" s="11" t="str">
        <f>"20210061427"</f>
        <v>20210061427</v>
      </c>
      <c r="C181" s="11" t="s">
        <v>218</v>
      </c>
      <c r="D181" s="11" t="s">
        <v>13</v>
      </c>
      <c r="E181" s="11">
        <v>68.5</v>
      </c>
      <c r="F181" s="11">
        <v>57</v>
      </c>
      <c r="G181" s="12">
        <f t="shared" si="2"/>
        <v>65.05</v>
      </c>
    </row>
    <row r="182" s="3" customFormat="1" spans="1:7">
      <c r="A182" s="2">
        <v>645</v>
      </c>
      <c r="B182" s="11" t="str">
        <f>"20210061307"</f>
        <v>20210061307</v>
      </c>
      <c r="C182" s="11" t="s">
        <v>219</v>
      </c>
      <c r="D182" s="11" t="s">
        <v>13</v>
      </c>
      <c r="E182" s="11">
        <v>66</v>
      </c>
      <c r="F182" s="11">
        <v>62</v>
      </c>
      <c r="G182" s="12">
        <f t="shared" si="2"/>
        <v>64.8</v>
      </c>
    </row>
    <row r="183" s="2" customFormat="1" spans="1:7">
      <c r="A183" s="2">
        <v>139</v>
      </c>
      <c r="B183" s="9" t="str">
        <f>"20210071529"</f>
        <v>20210071529</v>
      </c>
      <c r="C183" s="9" t="s">
        <v>220</v>
      </c>
      <c r="D183" s="9" t="s">
        <v>14</v>
      </c>
      <c r="E183" s="9">
        <v>86</v>
      </c>
      <c r="F183" s="9">
        <v>88</v>
      </c>
      <c r="G183" s="10">
        <f t="shared" si="2"/>
        <v>86.6</v>
      </c>
    </row>
    <row r="184" s="2" customFormat="1" spans="1:7">
      <c r="A184" s="2">
        <v>140</v>
      </c>
      <c r="B184" s="9" t="str">
        <f>"20210071525"</f>
        <v>20210071525</v>
      </c>
      <c r="C184" s="9" t="s">
        <v>221</v>
      </c>
      <c r="D184" s="9" t="s">
        <v>14</v>
      </c>
      <c r="E184" s="9">
        <v>82</v>
      </c>
      <c r="F184" s="9">
        <v>90</v>
      </c>
      <c r="G184" s="10">
        <f t="shared" si="2"/>
        <v>84.4</v>
      </c>
    </row>
    <row r="185" s="2" customFormat="1" spans="1:7">
      <c r="A185" s="2">
        <v>141</v>
      </c>
      <c r="B185" s="9" t="str">
        <f>"20210071522"</f>
        <v>20210071522</v>
      </c>
      <c r="C185" s="9" t="s">
        <v>222</v>
      </c>
      <c r="D185" s="9" t="s">
        <v>14</v>
      </c>
      <c r="E185" s="9">
        <v>82</v>
      </c>
      <c r="F185" s="9">
        <v>88</v>
      </c>
      <c r="G185" s="10">
        <f t="shared" si="2"/>
        <v>83.8</v>
      </c>
    </row>
    <row r="186" s="2" customFormat="1" spans="1:7">
      <c r="A186" s="2">
        <v>142</v>
      </c>
      <c r="B186" s="9" t="str">
        <f>"20210071611"</f>
        <v>20210071611</v>
      </c>
      <c r="C186" s="9" t="s">
        <v>223</v>
      </c>
      <c r="D186" s="9" t="s">
        <v>14</v>
      </c>
      <c r="E186" s="9">
        <v>78</v>
      </c>
      <c r="F186" s="9">
        <v>86</v>
      </c>
      <c r="G186" s="10">
        <f t="shared" si="2"/>
        <v>80.4</v>
      </c>
    </row>
    <row r="187" s="2" customFormat="1" spans="1:7">
      <c r="A187" s="2">
        <v>143</v>
      </c>
      <c r="B187" s="9" t="str">
        <f>"20210071512"</f>
        <v>20210071512</v>
      </c>
      <c r="C187" s="9" t="s">
        <v>224</v>
      </c>
      <c r="D187" s="9" t="s">
        <v>14</v>
      </c>
      <c r="E187" s="9">
        <v>70</v>
      </c>
      <c r="F187" s="9">
        <v>93</v>
      </c>
      <c r="G187" s="10">
        <f t="shared" si="2"/>
        <v>76.9</v>
      </c>
    </row>
    <row r="188" s="2" customFormat="1" spans="1:7">
      <c r="A188" s="2">
        <v>144</v>
      </c>
      <c r="B188" s="9" t="str">
        <f>"20210071621"</f>
        <v>20210071621</v>
      </c>
      <c r="C188" s="9" t="s">
        <v>225</v>
      </c>
      <c r="D188" s="9" t="s">
        <v>14</v>
      </c>
      <c r="E188" s="9">
        <v>78.5</v>
      </c>
      <c r="F188" s="9">
        <v>72</v>
      </c>
      <c r="G188" s="10">
        <f t="shared" si="2"/>
        <v>76.55</v>
      </c>
    </row>
    <row r="189" s="2" customFormat="1" spans="1:7">
      <c r="A189" s="2">
        <v>145</v>
      </c>
      <c r="B189" s="9" t="str">
        <f>"20210071510"</f>
        <v>20210071510</v>
      </c>
      <c r="C189" s="9" t="s">
        <v>167</v>
      </c>
      <c r="D189" s="9" t="s">
        <v>14</v>
      </c>
      <c r="E189" s="9">
        <v>73</v>
      </c>
      <c r="F189" s="9">
        <v>82</v>
      </c>
      <c r="G189" s="10">
        <f t="shared" si="2"/>
        <v>75.7</v>
      </c>
    </row>
    <row r="190" s="2" customFormat="1" spans="1:7">
      <c r="A190" s="2">
        <v>146</v>
      </c>
      <c r="B190" s="9" t="str">
        <f>"20210071706"</f>
        <v>20210071706</v>
      </c>
      <c r="C190" s="9" t="s">
        <v>226</v>
      </c>
      <c r="D190" s="9" t="s">
        <v>14</v>
      </c>
      <c r="E190" s="9">
        <v>73</v>
      </c>
      <c r="F190" s="9">
        <v>80</v>
      </c>
      <c r="G190" s="10">
        <f t="shared" si="2"/>
        <v>75.1</v>
      </c>
    </row>
    <row r="191" s="2" customFormat="1" spans="1:7">
      <c r="A191" s="2">
        <v>147</v>
      </c>
      <c r="B191" s="9" t="str">
        <f>"20210071508"</f>
        <v>20210071508</v>
      </c>
      <c r="C191" s="9" t="s">
        <v>227</v>
      </c>
      <c r="D191" s="9" t="s">
        <v>14</v>
      </c>
      <c r="E191" s="9">
        <v>77</v>
      </c>
      <c r="F191" s="9">
        <v>69</v>
      </c>
      <c r="G191" s="10">
        <f t="shared" si="2"/>
        <v>74.6</v>
      </c>
    </row>
    <row r="192" s="2" customFormat="1" spans="1:7">
      <c r="A192" s="2">
        <v>148</v>
      </c>
      <c r="B192" s="9" t="str">
        <f>"20210071601"</f>
        <v>20210071601</v>
      </c>
      <c r="C192" s="9" t="s">
        <v>228</v>
      </c>
      <c r="D192" s="9" t="s">
        <v>14</v>
      </c>
      <c r="E192" s="9">
        <v>73.5</v>
      </c>
      <c r="F192" s="9">
        <v>77</v>
      </c>
      <c r="G192" s="10">
        <f t="shared" si="2"/>
        <v>74.55</v>
      </c>
    </row>
    <row r="193" s="2" customFormat="1" spans="1:7">
      <c r="A193" s="2">
        <v>149</v>
      </c>
      <c r="B193" s="9" t="str">
        <f>"20210071608"</f>
        <v>20210071608</v>
      </c>
      <c r="C193" s="9" t="s">
        <v>229</v>
      </c>
      <c r="D193" s="9" t="s">
        <v>14</v>
      </c>
      <c r="E193" s="9">
        <v>69.5</v>
      </c>
      <c r="F193" s="9">
        <v>86</v>
      </c>
      <c r="G193" s="10">
        <f t="shared" si="2"/>
        <v>74.45</v>
      </c>
    </row>
    <row r="194" s="2" customFormat="1" spans="1:7">
      <c r="A194" s="2">
        <v>150</v>
      </c>
      <c r="B194" s="9" t="str">
        <f>"20210071625"</f>
        <v>20210071625</v>
      </c>
      <c r="C194" s="9" t="s">
        <v>230</v>
      </c>
      <c r="D194" s="9" t="s">
        <v>14</v>
      </c>
      <c r="E194" s="9">
        <v>74</v>
      </c>
      <c r="F194" s="9">
        <v>73</v>
      </c>
      <c r="G194" s="10">
        <f t="shared" ref="G194:G257" si="3">E194*0.7+F194*0.3</f>
        <v>73.7</v>
      </c>
    </row>
    <row r="195" s="2" customFormat="1" spans="1:7">
      <c r="A195" s="2">
        <v>151</v>
      </c>
      <c r="B195" s="9" t="str">
        <f>"20210071624"</f>
        <v>20210071624</v>
      </c>
      <c r="C195" s="9" t="s">
        <v>231</v>
      </c>
      <c r="D195" s="9" t="s">
        <v>14</v>
      </c>
      <c r="E195" s="9">
        <v>65</v>
      </c>
      <c r="F195" s="9">
        <v>89</v>
      </c>
      <c r="G195" s="10">
        <f t="shared" si="3"/>
        <v>72.2</v>
      </c>
    </row>
    <row r="196" s="2" customFormat="1" spans="1:7">
      <c r="A196" s="2">
        <v>152</v>
      </c>
      <c r="B196" s="9" t="str">
        <f>"20210071614"</f>
        <v>20210071614</v>
      </c>
      <c r="C196" s="9" t="s">
        <v>232</v>
      </c>
      <c r="D196" s="9" t="s">
        <v>14</v>
      </c>
      <c r="E196" s="9">
        <v>70</v>
      </c>
      <c r="F196" s="9">
        <v>77</v>
      </c>
      <c r="G196" s="10">
        <f t="shared" si="3"/>
        <v>72.1</v>
      </c>
    </row>
    <row r="197" s="2" customFormat="1" spans="1:7">
      <c r="A197" s="2">
        <v>153</v>
      </c>
      <c r="B197" s="9" t="str">
        <f>"20210071702"</f>
        <v>20210071702</v>
      </c>
      <c r="C197" s="9" t="s">
        <v>233</v>
      </c>
      <c r="D197" s="9" t="s">
        <v>14</v>
      </c>
      <c r="E197" s="9">
        <v>69</v>
      </c>
      <c r="F197" s="9">
        <v>76</v>
      </c>
      <c r="G197" s="10">
        <f t="shared" si="3"/>
        <v>71.1</v>
      </c>
    </row>
    <row r="198" s="2" customFormat="1" spans="1:7">
      <c r="A198" s="2">
        <v>154</v>
      </c>
      <c r="B198" s="9" t="str">
        <f>"20210071606"</f>
        <v>20210071606</v>
      </c>
      <c r="C198" s="9" t="s">
        <v>234</v>
      </c>
      <c r="D198" s="9" t="s">
        <v>14</v>
      </c>
      <c r="E198" s="9">
        <v>70</v>
      </c>
      <c r="F198" s="9">
        <v>73</v>
      </c>
      <c r="G198" s="10">
        <f t="shared" si="3"/>
        <v>70.9</v>
      </c>
    </row>
    <row r="199" s="2" customFormat="1" spans="1:7">
      <c r="A199" s="2">
        <v>155</v>
      </c>
      <c r="B199" s="9" t="str">
        <f>"20210071517"</f>
        <v>20210071517</v>
      </c>
      <c r="C199" s="9" t="s">
        <v>235</v>
      </c>
      <c r="D199" s="9" t="s">
        <v>14</v>
      </c>
      <c r="E199" s="9">
        <v>68</v>
      </c>
      <c r="F199" s="9">
        <v>76</v>
      </c>
      <c r="G199" s="10">
        <f t="shared" si="3"/>
        <v>70.4</v>
      </c>
    </row>
    <row r="200" s="2" customFormat="1" spans="1:7">
      <c r="A200" s="2">
        <v>156</v>
      </c>
      <c r="B200" s="9" t="str">
        <f>"20210071615"</f>
        <v>20210071615</v>
      </c>
      <c r="C200" s="9" t="s">
        <v>236</v>
      </c>
      <c r="D200" s="9" t="s">
        <v>14</v>
      </c>
      <c r="E200" s="9">
        <v>65</v>
      </c>
      <c r="F200" s="9">
        <v>82</v>
      </c>
      <c r="G200" s="10">
        <f t="shared" si="3"/>
        <v>70.1</v>
      </c>
    </row>
    <row r="201" s="2" customFormat="1" spans="1:7">
      <c r="A201" s="2">
        <v>157</v>
      </c>
      <c r="B201" s="9" t="str">
        <f>"20210071701"</f>
        <v>20210071701</v>
      </c>
      <c r="C201" s="9" t="s">
        <v>237</v>
      </c>
      <c r="D201" s="9" t="s">
        <v>14</v>
      </c>
      <c r="E201" s="9">
        <v>69</v>
      </c>
      <c r="F201" s="9">
        <v>70</v>
      </c>
      <c r="G201" s="10">
        <f t="shared" si="3"/>
        <v>69.3</v>
      </c>
    </row>
    <row r="202" s="2" customFormat="1" spans="1:7">
      <c r="A202" s="2">
        <v>158</v>
      </c>
      <c r="B202" s="9" t="str">
        <f>"20210071620"</f>
        <v>20210071620</v>
      </c>
      <c r="C202" s="9" t="s">
        <v>238</v>
      </c>
      <c r="D202" s="9" t="s">
        <v>14</v>
      </c>
      <c r="E202" s="9">
        <v>63</v>
      </c>
      <c r="F202" s="9">
        <v>82</v>
      </c>
      <c r="G202" s="10">
        <f t="shared" si="3"/>
        <v>68.7</v>
      </c>
    </row>
    <row r="203" s="2" customFormat="1" spans="1:7">
      <c r="A203" s="2">
        <v>159</v>
      </c>
      <c r="B203" s="9" t="str">
        <f>"20210071526"</f>
        <v>20210071526</v>
      </c>
      <c r="C203" s="9" t="s">
        <v>239</v>
      </c>
      <c r="D203" s="9" t="s">
        <v>14</v>
      </c>
      <c r="E203" s="9">
        <v>70</v>
      </c>
      <c r="F203" s="9">
        <v>62</v>
      </c>
      <c r="G203" s="10">
        <f t="shared" si="3"/>
        <v>67.6</v>
      </c>
    </row>
    <row r="204" s="2" customFormat="1" spans="1:7">
      <c r="A204" s="2">
        <v>160</v>
      </c>
      <c r="B204" s="9" t="str">
        <f>"20210071506"</f>
        <v>20210071506</v>
      </c>
      <c r="C204" s="9" t="s">
        <v>240</v>
      </c>
      <c r="D204" s="9" t="s">
        <v>14</v>
      </c>
      <c r="E204" s="9">
        <v>64.5</v>
      </c>
      <c r="F204" s="9">
        <v>74</v>
      </c>
      <c r="G204" s="10">
        <f t="shared" si="3"/>
        <v>67.35</v>
      </c>
    </row>
    <row r="205" s="2" customFormat="1" spans="1:7">
      <c r="A205" s="2">
        <v>161</v>
      </c>
      <c r="B205" s="9" t="str">
        <f>"20210071516"</f>
        <v>20210071516</v>
      </c>
      <c r="C205" s="9" t="s">
        <v>241</v>
      </c>
      <c r="D205" s="9" t="s">
        <v>14</v>
      </c>
      <c r="E205" s="9">
        <v>65</v>
      </c>
      <c r="F205" s="9">
        <v>71</v>
      </c>
      <c r="G205" s="10">
        <f t="shared" si="3"/>
        <v>66.8</v>
      </c>
    </row>
    <row r="206" s="3" customFormat="1" spans="1:7">
      <c r="A206" s="2">
        <v>646</v>
      </c>
      <c r="B206" s="11" t="str">
        <f>"20210071514"</f>
        <v>20210071514</v>
      </c>
      <c r="C206" s="11" t="s">
        <v>242</v>
      </c>
      <c r="D206" s="11" t="s">
        <v>14</v>
      </c>
      <c r="E206" s="11">
        <v>63</v>
      </c>
      <c r="F206" s="11">
        <v>74</v>
      </c>
      <c r="G206" s="12">
        <f t="shared" si="3"/>
        <v>66.3</v>
      </c>
    </row>
    <row r="207" s="3" customFormat="1" spans="1:7">
      <c r="A207" s="2">
        <v>647</v>
      </c>
      <c r="B207" s="11" t="str">
        <f>"20210071623"</f>
        <v>20210071623</v>
      </c>
      <c r="C207" s="11" t="s">
        <v>243</v>
      </c>
      <c r="D207" s="11" t="s">
        <v>14</v>
      </c>
      <c r="E207" s="11">
        <v>63</v>
      </c>
      <c r="F207" s="11">
        <v>73</v>
      </c>
      <c r="G207" s="12">
        <f t="shared" si="3"/>
        <v>66</v>
      </c>
    </row>
    <row r="208" s="3" customFormat="1" spans="1:7">
      <c r="A208" s="2">
        <v>648</v>
      </c>
      <c r="B208" s="11" t="str">
        <f>"20210071627"</f>
        <v>20210071627</v>
      </c>
      <c r="C208" s="11" t="s">
        <v>244</v>
      </c>
      <c r="D208" s="11" t="s">
        <v>14</v>
      </c>
      <c r="E208" s="11">
        <v>65</v>
      </c>
      <c r="F208" s="11">
        <v>66</v>
      </c>
      <c r="G208" s="12">
        <f t="shared" si="3"/>
        <v>65.3</v>
      </c>
    </row>
    <row r="209" s="3" customFormat="1" spans="1:7">
      <c r="A209" s="2">
        <v>649</v>
      </c>
      <c r="B209" s="11" t="str">
        <f>"20210071604"</f>
        <v>20210071604</v>
      </c>
      <c r="C209" s="11" t="s">
        <v>245</v>
      </c>
      <c r="D209" s="11" t="s">
        <v>14</v>
      </c>
      <c r="E209" s="11">
        <v>62.5</v>
      </c>
      <c r="F209" s="11">
        <v>68</v>
      </c>
      <c r="G209" s="12">
        <f t="shared" si="3"/>
        <v>64.15</v>
      </c>
    </row>
    <row r="210" s="3" customFormat="1" spans="1:7">
      <c r="A210" s="2">
        <v>650</v>
      </c>
      <c r="B210" s="11" t="str">
        <f>"20210071629"</f>
        <v>20210071629</v>
      </c>
      <c r="C210" s="11" t="s">
        <v>246</v>
      </c>
      <c r="D210" s="11" t="s">
        <v>14</v>
      </c>
      <c r="E210" s="11">
        <v>58.5</v>
      </c>
      <c r="F210" s="11">
        <v>75</v>
      </c>
      <c r="G210" s="12">
        <f t="shared" si="3"/>
        <v>63.45</v>
      </c>
    </row>
    <row r="211" s="3" customFormat="1" spans="1:7">
      <c r="A211" s="2">
        <v>651</v>
      </c>
      <c r="B211" s="11" t="str">
        <f>"20210071505"</f>
        <v>20210071505</v>
      </c>
      <c r="C211" s="11" t="s">
        <v>247</v>
      </c>
      <c r="D211" s="11" t="s">
        <v>14</v>
      </c>
      <c r="E211" s="11">
        <v>57</v>
      </c>
      <c r="F211" s="11">
        <v>78</v>
      </c>
      <c r="G211" s="12">
        <f t="shared" si="3"/>
        <v>63.3</v>
      </c>
    </row>
    <row r="212" s="3" customFormat="1" spans="1:7">
      <c r="A212" s="2">
        <v>652</v>
      </c>
      <c r="B212" s="11" t="str">
        <f>"20210071617"</f>
        <v>20210071617</v>
      </c>
      <c r="C212" s="11" t="s">
        <v>248</v>
      </c>
      <c r="D212" s="11" t="s">
        <v>14</v>
      </c>
      <c r="E212" s="11">
        <v>51.5</v>
      </c>
      <c r="F212" s="11">
        <v>89</v>
      </c>
      <c r="G212" s="12">
        <f t="shared" si="3"/>
        <v>62.75</v>
      </c>
    </row>
    <row r="213" s="3" customFormat="1" spans="1:7">
      <c r="A213" s="2">
        <v>653</v>
      </c>
      <c r="B213" s="11" t="str">
        <f>"20210071622"</f>
        <v>20210071622</v>
      </c>
      <c r="C213" s="11" t="s">
        <v>249</v>
      </c>
      <c r="D213" s="11" t="s">
        <v>14</v>
      </c>
      <c r="E213" s="11">
        <v>60</v>
      </c>
      <c r="F213" s="11">
        <v>67</v>
      </c>
      <c r="G213" s="12">
        <f t="shared" si="3"/>
        <v>62.1</v>
      </c>
    </row>
    <row r="214" s="3" customFormat="1" spans="1:7">
      <c r="A214" s="2">
        <v>654</v>
      </c>
      <c r="B214" s="11" t="str">
        <f>"20210071518"</f>
        <v>20210071518</v>
      </c>
      <c r="C214" s="11" t="s">
        <v>250</v>
      </c>
      <c r="D214" s="11" t="s">
        <v>14</v>
      </c>
      <c r="E214" s="11">
        <v>64</v>
      </c>
      <c r="F214" s="11">
        <v>51</v>
      </c>
      <c r="G214" s="12">
        <f t="shared" si="3"/>
        <v>60.1</v>
      </c>
    </row>
    <row r="215" s="2" customFormat="1" spans="1:7">
      <c r="A215" s="2">
        <v>162</v>
      </c>
      <c r="B215" s="9" t="str">
        <f>"20210081918"</f>
        <v>20210081918</v>
      </c>
      <c r="C215" s="9" t="s">
        <v>251</v>
      </c>
      <c r="D215" s="9" t="s">
        <v>15</v>
      </c>
      <c r="E215" s="9">
        <v>79</v>
      </c>
      <c r="F215" s="9">
        <v>86</v>
      </c>
      <c r="G215" s="10">
        <f t="shared" si="3"/>
        <v>81.1</v>
      </c>
    </row>
    <row r="216" s="2" customFormat="1" spans="1:7">
      <c r="A216" s="2">
        <v>163</v>
      </c>
      <c r="B216" s="9" t="str">
        <f>"20210081729"</f>
        <v>20210081729</v>
      </c>
      <c r="C216" s="9" t="s">
        <v>252</v>
      </c>
      <c r="D216" s="9" t="s">
        <v>15</v>
      </c>
      <c r="E216" s="9">
        <v>77</v>
      </c>
      <c r="F216" s="9">
        <v>85</v>
      </c>
      <c r="G216" s="10">
        <f t="shared" si="3"/>
        <v>79.4</v>
      </c>
    </row>
    <row r="217" s="2" customFormat="1" spans="1:7">
      <c r="A217" s="2">
        <v>164</v>
      </c>
      <c r="B217" s="9" t="str">
        <f>"20210081811"</f>
        <v>20210081811</v>
      </c>
      <c r="C217" s="9" t="s">
        <v>253</v>
      </c>
      <c r="D217" s="9" t="s">
        <v>15</v>
      </c>
      <c r="E217" s="9">
        <v>78</v>
      </c>
      <c r="F217" s="9">
        <v>76</v>
      </c>
      <c r="G217" s="10">
        <f t="shared" si="3"/>
        <v>77.4</v>
      </c>
    </row>
    <row r="218" s="2" customFormat="1" spans="1:7">
      <c r="A218" s="2">
        <v>165</v>
      </c>
      <c r="B218" s="9" t="str">
        <f>"20210081905"</f>
        <v>20210081905</v>
      </c>
      <c r="C218" s="9" t="s">
        <v>254</v>
      </c>
      <c r="D218" s="9" t="s">
        <v>15</v>
      </c>
      <c r="E218" s="9">
        <v>73</v>
      </c>
      <c r="F218" s="9">
        <v>84</v>
      </c>
      <c r="G218" s="10">
        <f t="shared" si="3"/>
        <v>76.3</v>
      </c>
    </row>
    <row r="219" s="2" customFormat="1" spans="1:7">
      <c r="A219" s="2">
        <v>166</v>
      </c>
      <c r="B219" s="9" t="str">
        <f>"20210081730"</f>
        <v>20210081730</v>
      </c>
      <c r="C219" s="9" t="s">
        <v>255</v>
      </c>
      <c r="D219" s="9" t="s">
        <v>15</v>
      </c>
      <c r="E219" s="9">
        <v>73</v>
      </c>
      <c r="F219" s="9">
        <v>83</v>
      </c>
      <c r="G219" s="10">
        <f t="shared" si="3"/>
        <v>76</v>
      </c>
    </row>
    <row r="220" s="2" customFormat="1" spans="1:7">
      <c r="A220" s="2">
        <v>167</v>
      </c>
      <c r="B220" s="9" t="str">
        <f>"20210081911"</f>
        <v>20210081911</v>
      </c>
      <c r="C220" s="9" t="s">
        <v>256</v>
      </c>
      <c r="D220" s="9" t="s">
        <v>15</v>
      </c>
      <c r="E220" s="9">
        <v>72</v>
      </c>
      <c r="F220" s="9">
        <v>85</v>
      </c>
      <c r="G220" s="10">
        <f t="shared" si="3"/>
        <v>75.9</v>
      </c>
    </row>
    <row r="221" s="2" customFormat="1" spans="1:7">
      <c r="A221" s="2">
        <v>168</v>
      </c>
      <c r="B221" s="9" t="str">
        <f>"20210081826"</f>
        <v>20210081826</v>
      </c>
      <c r="C221" s="9" t="s">
        <v>257</v>
      </c>
      <c r="D221" s="9" t="s">
        <v>15</v>
      </c>
      <c r="E221" s="9">
        <v>76</v>
      </c>
      <c r="F221" s="9">
        <v>72</v>
      </c>
      <c r="G221" s="10">
        <f t="shared" si="3"/>
        <v>74.8</v>
      </c>
    </row>
    <row r="222" s="2" customFormat="1" spans="1:7">
      <c r="A222" s="2">
        <v>169</v>
      </c>
      <c r="B222" s="9" t="str">
        <f>"20210081827"</f>
        <v>20210081827</v>
      </c>
      <c r="C222" s="9" t="s">
        <v>258</v>
      </c>
      <c r="D222" s="9" t="s">
        <v>15</v>
      </c>
      <c r="E222" s="9">
        <v>68</v>
      </c>
      <c r="F222" s="9">
        <v>89</v>
      </c>
      <c r="G222" s="10">
        <f t="shared" si="3"/>
        <v>74.3</v>
      </c>
    </row>
    <row r="223" s="2" customFormat="1" spans="1:7">
      <c r="A223" s="2">
        <v>170</v>
      </c>
      <c r="B223" s="9" t="str">
        <f>"20210081906"</f>
        <v>20210081906</v>
      </c>
      <c r="C223" s="9" t="s">
        <v>259</v>
      </c>
      <c r="D223" s="9" t="s">
        <v>15</v>
      </c>
      <c r="E223" s="9">
        <v>74</v>
      </c>
      <c r="F223" s="9">
        <v>71</v>
      </c>
      <c r="G223" s="10">
        <f t="shared" si="3"/>
        <v>73.1</v>
      </c>
    </row>
    <row r="224" s="2" customFormat="1" spans="1:7">
      <c r="A224" s="2">
        <v>171</v>
      </c>
      <c r="B224" s="9" t="str">
        <f>"20210081720"</f>
        <v>20210081720</v>
      </c>
      <c r="C224" s="9" t="s">
        <v>260</v>
      </c>
      <c r="D224" s="9" t="s">
        <v>15</v>
      </c>
      <c r="E224" s="9">
        <v>68</v>
      </c>
      <c r="F224" s="9">
        <v>83</v>
      </c>
      <c r="G224" s="10">
        <f t="shared" si="3"/>
        <v>72.5</v>
      </c>
    </row>
    <row r="225" s="2" customFormat="1" spans="1:7">
      <c r="A225" s="2">
        <v>172</v>
      </c>
      <c r="B225" s="9" t="str">
        <f>"20210081817"</f>
        <v>20210081817</v>
      </c>
      <c r="C225" s="9" t="s">
        <v>261</v>
      </c>
      <c r="D225" s="9" t="s">
        <v>15</v>
      </c>
      <c r="E225" s="9">
        <v>68.5</v>
      </c>
      <c r="F225" s="9">
        <v>81</v>
      </c>
      <c r="G225" s="10">
        <f t="shared" si="3"/>
        <v>72.25</v>
      </c>
    </row>
    <row r="226" s="2" customFormat="1" spans="1:7">
      <c r="A226" s="2">
        <v>173</v>
      </c>
      <c r="B226" s="9" t="str">
        <f>"20210081903"</f>
        <v>20210081903</v>
      </c>
      <c r="C226" s="9" t="s">
        <v>262</v>
      </c>
      <c r="D226" s="9" t="s">
        <v>15</v>
      </c>
      <c r="E226" s="9">
        <v>72</v>
      </c>
      <c r="F226" s="9">
        <v>71</v>
      </c>
      <c r="G226" s="10">
        <f t="shared" si="3"/>
        <v>71.7</v>
      </c>
    </row>
    <row r="227" s="2" customFormat="1" spans="1:7">
      <c r="A227" s="2">
        <v>174</v>
      </c>
      <c r="B227" s="9" t="str">
        <f>"20210081828"</f>
        <v>20210081828</v>
      </c>
      <c r="C227" s="9" t="s">
        <v>263</v>
      </c>
      <c r="D227" s="9" t="s">
        <v>15</v>
      </c>
      <c r="E227" s="9">
        <v>67</v>
      </c>
      <c r="F227" s="9">
        <v>81</v>
      </c>
      <c r="G227" s="10">
        <f t="shared" si="3"/>
        <v>71.2</v>
      </c>
    </row>
    <row r="228" s="2" customFormat="1" spans="1:7">
      <c r="A228" s="2">
        <v>175</v>
      </c>
      <c r="B228" s="9" t="str">
        <f>"20210081719"</f>
        <v>20210081719</v>
      </c>
      <c r="C228" s="9" t="s">
        <v>264</v>
      </c>
      <c r="D228" s="9" t="s">
        <v>15</v>
      </c>
      <c r="E228" s="9">
        <v>73</v>
      </c>
      <c r="F228" s="9">
        <v>67</v>
      </c>
      <c r="G228" s="10">
        <f t="shared" si="3"/>
        <v>71.2</v>
      </c>
    </row>
    <row r="229" s="2" customFormat="1" spans="1:7">
      <c r="A229" s="2">
        <v>176</v>
      </c>
      <c r="B229" s="9" t="str">
        <f>"20210081809"</f>
        <v>20210081809</v>
      </c>
      <c r="C229" s="9" t="s">
        <v>265</v>
      </c>
      <c r="D229" s="9" t="s">
        <v>15</v>
      </c>
      <c r="E229" s="9">
        <v>70.5</v>
      </c>
      <c r="F229" s="9">
        <v>70</v>
      </c>
      <c r="G229" s="10">
        <f t="shared" si="3"/>
        <v>70.35</v>
      </c>
    </row>
    <row r="230" s="2" customFormat="1" spans="1:7">
      <c r="A230" s="2">
        <v>177</v>
      </c>
      <c r="B230" s="9" t="str">
        <f>"20210081824"</f>
        <v>20210081824</v>
      </c>
      <c r="C230" s="9" t="s">
        <v>266</v>
      </c>
      <c r="D230" s="9" t="s">
        <v>15</v>
      </c>
      <c r="E230" s="9">
        <v>70</v>
      </c>
      <c r="F230" s="9">
        <v>65</v>
      </c>
      <c r="G230" s="10">
        <f t="shared" si="3"/>
        <v>68.5</v>
      </c>
    </row>
    <row r="231" s="2" customFormat="1" spans="1:7">
      <c r="A231" s="2">
        <v>178</v>
      </c>
      <c r="B231" s="9" t="str">
        <f>"20210081724"</f>
        <v>20210081724</v>
      </c>
      <c r="C231" s="9" t="s">
        <v>267</v>
      </c>
      <c r="D231" s="9" t="s">
        <v>15</v>
      </c>
      <c r="E231" s="9">
        <v>63</v>
      </c>
      <c r="F231" s="9">
        <v>75</v>
      </c>
      <c r="G231" s="10">
        <f t="shared" si="3"/>
        <v>66.6</v>
      </c>
    </row>
    <row r="232" s="2" customFormat="1" spans="1:7">
      <c r="A232" s="2">
        <v>179</v>
      </c>
      <c r="B232" s="9" t="str">
        <f>"20210081807"</f>
        <v>20210081807</v>
      </c>
      <c r="C232" s="9" t="s">
        <v>268</v>
      </c>
      <c r="D232" s="9" t="s">
        <v>15</v>
      </c>
      <c r="E232" s="9">
        <v>64</v>
      </c>
      <c r="F232" s="9">
        <v>62</v>
      </c>
      <c r="G232" s="10">
        <f t="shared" si="3"/>
        <v>63.4</v>
      </c>
    </row>
    <row r="233" s="2" customFormat="1" spans="1:7">
      <c r="A233" s="2">
        <v>180</v>
      </c>
      <c r="B233" s="9" t="str">
        <f>"20210081825"</f>
        <v>20210081825</v>
      </c>
      <c r="C233" s="9" t="s">
        <v>269</v>
      </c>
      <c r="D233" s="9" t="s">
        <v>15</v>
      </c>
      <c r="E233" s="9">
        <v>57</v>
      </c>
      <c r="F233" s="9">
        <v>71</v>
      </c>
      <c r="G233" s="10">
        <f t="shared" si="3"/>
        <v>61.2</v>
      </c>
    </row>
    <row r="234" s="2" customFormat="1" spans="1:7">
      <c r="A234" s="2">
        <v>181</v>
      </c>
      <c r="B234" s="9" t="str">
        <f>"20210081917"</f>
        <v>20210081917</v>
      </c>
      <c r="C234" s="9" t="s">
        <v>270</v>
      </c>
      <c r="D234" s="9" t="s">
        <v>15</v>
      </c>
      <c r="E234" s="9">
        <v>60</v>
      </c>
      <c r="F234" s="9">
        <v>64</v>
      </c>
      <c r="G234" s="10">
        <f t="shared" si="3"/>
        <v>61.2</v>
      </c>
    </row>
    <row r="235" s="2" customFormat="1" spans="1:7">
      <c r="A235" s="2">
        <v>182</v>
      </c>
      <c r="B235" s="9" t="str">
        <f>"20210081819"</f>
        <v>20210081819</v>
      </c>
      <c r="C235" s="9" t="s">
        <v>271</v>
      </c>
      <c r="D235" s="9" t="s">
        <v>15</v>
      </c>
      <c r="E235" s="9">
        <v>63</v>
      </c>
      <c r="F235" s="9">
        <v>57</v>
      </c>
      <c r="G235" s="10">
        <f t="shared" si="3"/>
        <v>61.2</v>
      </c>
    </row>
    <row r="236" s="3" customFormat="1" spans="1:7">
      <c r="A236" s="2">
        <v>655</v>
      </c>
      <c r="B236" s="11" t="str">
        <f>"20210081920"</f>
        <v>20210081920</v>
      </c>
      <c r="C236" s="11" t="s">
        <v>272</v>
      </c>
      <c r="D236" s="11" t="s">
        <v>15</v>
      </c>
      <c r="E236" s="11">
        <v>58</v>
      </c>
      <c r="F236" s="11">
        <v>68</v>
      </c>
      <c r="G236" s="12">
        <f t="shared" si="3"/>
        <v>61</v>
      </c>
    </row>
    <row r="237" s="3" customFormat="1" spans="1:7">
      <c r="A237" s="2">
        <v>656</v>
      </c>
      <c r="B237" s="11" t="str">
        <f>"20210081716"</f>
        <v>20210081716</v>
      </c>
      <c r="C237" s="11" t="s">
        <v>273</v>
      </c>
      <c r="D237" s="11" t="s">
        <v>15</v>
      </c>
      <c r="E237" s="11">
        <v>51</v>
      </c>
      <c r="F237" s="11">
        <v>83</v>
      </c>
      <c r="G237" s="12">
        <f t="shared" si="3"/>
        <v>60.6</v>
      </c>
    </row>
    <row r="238" s="3" customFormat="1" spans="1:7">
      <c r="A238" s="2">
        <v>657</v>
      </c>
      <c r="B238" s="11" t="str">
        <f>"20210081717"</f>
        <v>20210081717</v>
      </c>
      <c r="C238" s="11" t="s">
        <v>274</v>
      </c>
      <c r="D238" s="11" t="s">
        <v>15</v>
      </c>
      <c r="E238" s="11">
        <v>57.5</v>
      </c>
      <c r="F238" s="11">
        <v>67</v>
      </c>
      <c r="G238" s="12">
        <f t="shared" si="3"/>
        <v>60.35</v>
      </c>
    </row>
    <row r="239" s="3" customFormat="1" spans="1:7">
      <c r="A239" s="2">
        <v>658</v>
      </c>
      <c r="B239" s="11" t="str">
        <f>"20210081806"</f>
        <v>20210081806</v>
      </c>
      <c r="C239" s="11" t="s">
        <v>275</v>
      </c>
      <c r="D239" s="11" t="s">
        <v>15</v>
      </c>
      <c r="E239" s="11">
        <v>59</v>
      </c>
      <c r="F239" s="11">
        <v>63</v>
      </c>
      <c r="G239" s="12">
        <f t="shared" si="3"/>
        <v>60.2</v>
      </c>
    </row>
    <row r="240" s="3" customFormat="1" spans="1:7">
      <c r="A240" s="2">
        <v>659</v>
      </c>
      <c r="B240" s="11" t="str">
        <f>"20210081913"</f>
        <v>20210081913</v>
      </c>
      <c r="C240" s="11" t="s">
        <v>276</v>
      </c>
      <c r="D240" s="11" t="s">
        <v>15</v>
      </c>
      <c r="E240" s="11">
        <v>56</v>
      </c>
      <c r="F240" s="11">
        <v>70</v>
      </c>
      <c r="G240" s="12">
        <f t="shared" si="3"/>
        <v>60.2</v>
      </c>
    </row>
    <row r="241" s="3" customFormat="1" spans="1:7">
      <c r="A241" s="2">
        <v>660</v>
      </c>
      <c r="B241" s="11" t="str">
        <f>"20210081810"</f>
        <v>20210081810</v>
      </c>
      <c r="C241" s="11" t="s">
        <v>277</v>
      </c>
      <c r="D241" s="11" t="s">
        <v>15</v>
      </c>
      <c r="E241" s="11">
        <v>57</v>
      </c>
      <c r="F241" s="11">
        <v>66</v>
      </c>
      <c r="G241" s="12">
        <f t="shared" si="3"/>
        <v>59.7</v>
      </c>
    </row>
    <row r="242" s="3" customFormat="1" spans="1:7">
      <c r="A242" s="2">
        <v>661</v>
      </c>
      <c r="B242" s="11" t="str">
        <f>"20210081904"</f>
        <v>20210081904</v>
      </c>
      <c r="C242" s="11" t="s">
        <v>95</v>
      </c>
      <c r="D242" s="11" t="s">
        <v>15</v>
      </c>
      <c r="E242" s="11">
        <v>58</v>
      </c>
      <c r="F242" s="11">
        <v>61</v>
      </c>
      <c r="G242" s="12">
        <f t="shared" si="3"/>
        <v>58.9</v>
      </c>
    </row>
    <row r="243" s="3" customFormat="1" spans="1:7">
      <c r="A243" s="2">
        <v>662</v>
      </c>
      <c r="B243" s="11" t="str">
        <f>"20210081907"</f>
        <v>20210081907</v>
      </c>
      <c r="C243" s="11" t="s">
        <v>278</v>
      </c>
      <c r="D243" s="11" t="s">
        <v>15</v>
      </c>
      <c r="E243" s="11">
        <v>57</v>
      </c>
      <c r="F243" s="11">
        <v>61</v>
      </c>
      <c r="G243" s="12">
        <f t="shared" si="3"/>
        <v>58.2</v>
      </c>
    </row>
    <row r="244" s="3" customFormat="1" spans="1:7">
      <c r="A244" s="2">
        <v>663</v>
      </c>
      <c r="B244" s="11" t="str">
        <f>"20210081726"</f>
        <v>20210081726</v>
      </c>
      <c r="C244" s="11" t="s">
        <v>279</v>
      </c>
      <c r="D244" s="11" t="s">
        <v>15</v>
      </c>
      <c r="E244" s="11">
        <v>54</v>
      </c>
      <c r="F244" s="11">
        <v>67</v>
      </c>
      <c r="G244" s="12">
        <f t="shared" si="3"/>
        <v>57.9</v>
      </c>
    </row>
    <row r="245" s="3" customFormat="1" spans="1:7">
      <c r="A245" s="2">
        <v>664</v>
      </c>
      <c r="B245" s="11" t="str">
        <f>"20210081821"</f>
        <v>20210081821</v>
      </c>
      <c r="C245" s="11" t="s">
        <v>280</v>
      </c>
      <c r="D245" s="11" t="s">
        <v>15</v>
      </c>
      <c r="E245" s="11">
        <v>55</v>
      </c>
      <c r="F245" s="11">
        <v>64</v>
      </c>
      <c r="G245" s="12">
        <f t="shared" si="3"/>
        <v>57.7</v>
      </c>
    </row>
    <row r="246" s="3" customFormat="1" spans="1:7">
      <c r="A246" s="2">
        <v>665</v>
      </c>
      <c r="B246" s="11" t="str">
        <f>"20210081801"</f>
        <v>20210081801</v>
      </c>
      <c r="C246" s="11" t="s">
        <v>281</v>
      </c>
      <c r="D246" s="11" t="s">
        <v>15</v>
      </c>
      <c r="E246" s="11">
        <v>53</v>
      </c>
      <c r="F246" s="11">
        <v>66</v>
      </c>
      <c r="G246" s="12">
        <f t="shared" si="3"/>
        <v>56.9</v>
      </c>
    </row>
    <row r="247" s="2" customFormat="1" spans="1:7">
      <c r="A247" s="2">
        <v>183</v>
      </c>
      <c r="B247" s="9" t="str">
        <f>"20210091927"</f>
        <v>20210091927</v>
      </c>
      <c r="C247" s="9" t="s">
        <v>282</v>
      </c>
      <c r="D247" s="9" t="s">
        <v>16</v>
      </c>
      <c r="E247" s="9">
        <v>81</v>
      </c>
      <c r="F247" s="9">
        <v>73</v>
      </c>
      <c r="G247" s="10">
        <f t="shared" si="3"/>
        <v>78.6</v>
      </c>
    </row>
    <row r="248" s="2" customFormat="1" spans="1:7">
      <c r="A248" s="2">
        <v>184</v>
      </c>
      <c r="B248" s="9" t="str">
        <f>"20210092115"</f>
        <v>20210092115</v>
      </c>
      <c r="C248" s="9" t="s">
        <v>283</v>
      </c>
      <c r="D248" s="9" t="s">
        <v>16</v>
      </c>
      <c r="E248" s="9">
        <v>72</v>
      </c>
      <c r="F248" s="9">
        <v>79</v>
      </c>
      <c r="G248" s="10">
        <f t="shared" si="3"/>
        <v>74.1</v>
      </c>
    </row>
    <row r="249" s="2" customFormat="1" spans="1:7">
      <c r="A249" s="2">
        <v>185</v>
      </c>
      <c r="B249" s="9" t="str">
        <f>"20210092030"</f>
        <v>20210092030</v>
      </c>
      <c r="C249" s="9" t="s">
        <v>284</v>
      </c>
      <c r="D249" s="9" t="s">
        <v>16</v>
      </c>
      <c r="E249" s="9">
        <v>73</v>
      </c>
      <c r="F249" s="9">
        <v>73</v>
      </c>
      <c r="G249" s="10">
        <f t="shared" si="3"/>
        <v>73</v>
      </c>
    </row>
    <row r="250" s="2" customFormat="1" spans="1:7">
      <c r="A250" s="2">
        <v>186</v>
      </c>
      <c r="B250" s="9" t="str">
        <f>"20210092026"</f>
        <v>20210092026</v>
      </c>
      <c r="C250" s="9" t="s">
        <v>285</v>
      </c>
      <c r="D250" s="9" t="s">
        <v>16</v>
      </c>
      <c r="E250" s="9">
        <v>70</v>
      </c>
      <c r="F250" s="9">
        <v>77</v>
      </c>
      <c r="G250" s="10">
        <f t="shared" si="3"/>
        <v>72.1</v>
      </c>
    </row>
    <row r="251" s="2" customFormat="1" spans="1:7">
      <c r="A251" s="2">
        <v>187</v>
      </c>
      <c r="B251" s="9" t="str">
        <f>"20210092023"</f>
        <v>20210092023</v>
      </c>
      <c r="C251" s="9" t="s">
        <v>286</v>
      </c>
      <c r="D251" s="9" t="s">
        <v>16</v>
      </c>
      <c r="E251" s="9">
        <v>70</v>
      </c>
      <c r="F251" s="9">
        <v>71</v>
      </c>
      <c r="G251" s="10">
        <f t="shared" si="3"/>
        <v>70.3</v>
      </c>
    </row>
    <row r="252" s="2" customFormat="1" spans="1:7">
      <c r="A252" s="2">
        <v>188</v>
      </c>
      <c r="B252" s="9" t="str">
        <f>"20210092107"</f>
        <v>20210092107</v>
      </c>
      <c r="C252" s="9" t="s">
        <v>287</v>
      </c>
      <c r="D252" s="9" t="s">
        <v>16</v>
      </c>
      <c r="E252" s="9">
        <v>70</v>
      </c>
      <c r="F252" s="9">
        <v>67</v>
      </c>
      <c r="G252" s="10">
        <f t="shared" si="3"/>
        <v>69.1</v>
      </c>
    </row>
    <row r="253" s="2" customFormat="1" spans="1:7">
      <c r="A253" s="2">
        <v>189</v>
      </c>
      <c r="B253" s="9" t="str">
        <f>"20210092012"</f>
        <v>20210092012</v>
      </c>
      <c r="C253" s="9" t="s">
        <v>288</v>
      </c>
      <c r="D253" s="9" t="s">
        <v>16</v>
      </c>
      <c r="E253" s="9">
        <v>67</v>
      </c>
      <c r="F253" s="9">
        <v>68</v>
      </c>
      <c r="G253" s="10">
        <f t="shared" si="3"/>
        <v>67.3</v>
      </c>
    </row>
    <row r="254" s="2" customFormat="1" spans="1:7">
      <c r="A254" s="2">
        <v>190</v>
      </c>
      <c r="B254" s="9" t="str">
        <f>"20210092112"</f>
        <v>20210092112</v>
      </c>
      <c r="C254" s="9" t="s">
        <v>289</v>
      </c>
      <c r="D254" s="9" t="s">
        <v>16</v>
      </c>
      <c r="E254" s="9">
        <v>61</v>
      </c>
      <c r="F254" s="9">
        <v>82</v>
      </c>
      <c r="G254" s="10">
        <f t="shared" si="3"/>
        <v>67.3</v>
      </c>
    </row>
    <row r="255" s="2" customFormat="1" spans="1:7">
      <c r="A255" s="2">
        <v>191</v>
      </c>
      <c r="B255" s="9" t="str">
        <f>"20210092105"</f>
        <v>20210092105</v>
      </c>
      <c r="C255" s="9" t="s">
        <v>290</v>
      </c>
      <c r="D255" s="9" t="s">
        <v>16</v>
      </c>
      <c r="E255" s="9">
        <v>59</v>
      </c>
      <c r="F255" s="9">
        <v>85</v>
      </c>
      <c r="G255" s="10">
        <f t="shared" si="3"/>
        <v>66.8</v>
      </c>
    </row>
    <row r="256" s="2" customFormat="1" spans="1:7">
      <c r="A256" s="2">
        <v>192</v>
      </c>
      <c r="B256" s="9" t="str">
        <f>"20210092109"</f>
        <v>20210092109</v>
      </c>
      <c r="C256" s="9" t="s">
        <v>291</v>
      </c>
      <c r="D256" s="9" t="s">
        <v>16</v>
      </c>
      <c r="E256" s="9">
        <v>62</v>
      </c>
      <c r="F256" s="9">
        <v>77</v>
      </c>
      <c r="G256" s="10">
        <f t="shared" ref="G256:G319" si="4">E256*0.7+F256*0.3</f>
        <v>66.5</v>
      </c>
    </row>
    <row r="257" s="2" customFormat="1" spans="1:7">
      <c r="A257" s="2">
        <v>193</v>
      </c>
      <c r="B257" s="9" t="str">
        <f>"20210092025"</f>
        <v>20210092025</v>
      </c>
      <c r="C257" s="9" t="s">
        <v>292</v>
      </c>
      <c r="D257" s="9" t="s">
        <v>16</v>
      </c>
      <c r="E257" s="9">
        <v>62</v>
      </c>
      <c r="F257" s="9">
        <v>74</v>
      </c>
      <c r="G257" s="10">
        <f t="shared" si="4"/>
        <v>65.6</v>
      </c>
    </row>
    <row r="258" s="2" customFormat="1" spans="1:7">
      <c r="A258" s="2">
        <v>194</v>
      </c>
      <c r="B258" s="9" t="str">
        <f>"20210092006"</f>
        <v>20210092006</v>
      </c>
      <c r="C258" s="9" t="s">
        <v>293</v>
      </c>
      <c r="D258" s="9" t="s">
        <v>16</v>
      </c>
      <c r="E258" s="9">
        <v>66.5</v>
      </c>
      <c r="F258" s="9">
        <v>62</v>
      </c>
      <c r="G258" s="10">
        <f t="shared" si="4"/>
        <v>65.15</v>
      </c>
    </row>
    <row r="259" s="2" customFormat="1" spans="1:7">
      <c r="A259" s="2">
        <v>195</v>
      </c>
      <c r="B259" s="9" t="str">
        <f>"20210092108"</f>
        <v>20210092108</v>
      </c>
      <c r="C259" s="9" t="s">
        <v>294</v>
      </c>
      <c r="D259" s="9" t="s">
        <v>16</v>
      </c>
      <c r="E259" s="9">
        <v>59</v>
      </c>
      <c r="F259" s="9">
        <v>76</v>
      </c>
      <c r="G259" s="10">
        <f t="shared" si="4"/>
        <v>64.1</v>
      </c>
    </row>
    <row r="260" s="2" customFormat="1" spans="1:7">
      <c r="A260" s="2">
        <v>196</v>
      </c>
      <c r="B260" s="9" t="str">
        <f>"20210092007"</f>
        <v>20210092007</v>
      </c>
      <c r="C260" s="9" t="s">
        <v>295</v>
      </c>
      <c r="D260" s="9" t="s">
        <v>16</v>
      </c>
      <c r="E260" s="9">
        <v>54</v>
      </c>
      <c r="F260" s="9">
        <v>84</v>
      </c>
      <c r="G260" s="10">
        <f t="shared" si="4"/>
        <v>63</v>
      </c>
    </row>
    <row r="261" s="2" customFormat="1" spans="1:7">
      <c r="A261" s="2">
        <v>197</v>
      </c>
      <c r="B261" s="9" t="str">
        <f>"20210092101"</f>
        <v>20210092101</v>
      </c>
      <c r="C261" s="9" t="s">
        <v>296</v>
      </c>
      <c r="D261" s="9" t="s">
        <v>16</v>
      </c>
      <c r="E261" s="9">
        <v>60</v>
      </c>
      <c r="F261" s="9">
        <v>65</v>
      </c>
      <c r="G261" s="10">
        <f t="shared" si="4"/>
        <v>61.5</v>
      </c>
    </row>
    <row r="262" s="2" customFormat="1" spans="1:7">
      <c r="A262" s="2">
        <v>198</v>
      </c>
      <c r="B262" s="9" t="str">
        <f>"20210092114"</f>
        <v>20210092114</v>
      </c>
      <c r="C262" s="9" t="s">
        <v>297</v>
      </c>
      <c r="D262" s="9" t="s">
        <v>16</v>
      </c>
      <c r="E262" s="9">
        <v>58</v>
      </c>
      <c r="F262" s="9">
        <v>66</v>
      </c>
      <c r="G262" s="10">
        <f t="shared" si="4"/>
        <v>60.4</v>
      </c>
    </row>
    <row r="263" s="2" customFormat="1" spans="1:7">
      <c r="A263" s="2">
        <v>199</v>
      </c>
      <c r="B263" s="9" t="str">
        <f>"20210092027"</f>
        <v>20210092027</v>
      </c>
      <c r="C263" s="9" t="s">
        <v>298</v>
      </c>
      <c r="D263" s="9" t="s">
        <v>16</v>
      </c>
      <c r="E263" s="9">
        <v>56</v>
      </c>
      <c r="F263" s="9">
        <v>68</v>
      </c>
      <c r="G263" s="10">
        <f t="shared" si="4"/>
        <v>59.6</v>
      </c>
    </row>
    <row r="264" s="2" customFormat="1" spans="1:7">
      <c r="A264" s="2">
        <v>200</v>
      </c>
      <c r="B264" s="9" t="str">
        <f>"20210092111"</f>
        <v>20210092111</v>
      </c>
      <c r="C264" s="9" t="s">
        <v>299</v>
      </c>
      <c r="D264" s="9" t="s">
        <v>16</v>
      </c>
      <c r="E264" s="9">
        <v>52</v>
      </c>
      <c r="F264" s="9">
        <v>74</v>
      </c>
      <c r="G264" s="10">
        <f t="shared" si="4"/>
        <v>58.6</v>
      </c>
    </row>
    <row r="265" s="2" customFormat="1" spans="1:7">
      <c r="A265" s="2">
        <v>201</v>
      </c>
      <c r="B265" s="9" t="str">
        <f>"20210092009"</f>
        <v>20210092009</v>
      </c>
      <c r="C265" s="9" t="s">
        <v>300</v>
      </c>
      <c r="D265" s="9" t="s">
        <v>16</v>
      </c>
      <c r="E265" s="9">
        <v>60.5</v>
      </c>
      <c r="F265" s="9">
        <v>50</v>
      </c>
      <c r="G265" s="10">
        <f t="shared" si="4"/>
        <v>57.35</v>
      </c>
    </row>
    <row r="266" s="2" customFormat="1" spans="1:7">
      <c r="A266" s="2">
        <v>202</v>
      </c>
      <c r="B266" s="9" t="str">
        <f>"20210092002"</f>
        <v>20210092002</v>
      </c>
      <c r="C266" s="9" t="s">
        <v>301</v>
      </c>
      <c r="D266" s="9" t="s">
        <v>16</v>
      </c>
      <c r="E266" s="9">
        <v>50.5</v>
      </c>
      <c r="F266" s="9">
        <v>63</v>
      </c>
      <c r="G266" s="10">
        <f t="shared" si="4"/>
        <v>54.25</v>
      </c>
    </row>
    <row r="267" s="2" customFormat="1" spans="1:7">
      <c r="A267" s="2">
        <v>203</v>
      </c>
      <c r="B267" s="9" t="str">
        <f>"20210102223"</f>
        <v>20210102223</v>
      </c>
      <c r="C267" s="9" t="s">
        <v>302</v>
      </c>
      <c r="D267" s="9" t="s">
        <v>17</v>
      </c>
      <c r="E267" s="9">
        <v>82</v>
      </c>
      <c r="F267" s="9">
        <v>90</v>
      </c>
      <c r="G267" s="10">
        <f t="shared" si="4"/>
        <v>84.4</v>
      </c>
    </row>
    <row r="268" s="2" customFormat="1" spans="1:7">
      <c r="A268" s="2">
        <v>204</v>
      </c>
      <c r="B268" s="9" t="str">
        <f>"20210102318"</f>
        <v>20210102318</v>
      </c>
      <c r="C268" s="9" t="s">
        <v>303</v>
      </c>
      <c r="D268" s="9" t="s">
        <v>17</v>
      </c>
      <c r="E268" s="9">
        <v>71.5</v>
      </c>
      <c r="F268" s="9">
        <v>89</v>
      </c>
      <c r="G268" s="10">
        <f t="shared" si="4"/>
        <v>76.75</v>
      </c>
    </row>
    <row r="269" s="2" customFormat="1" spans="1:7">
      <c r="A269" s="2">
        <v>205</v>
      </c>
      <c r="B269" s="9" t="str">
        <f>"20210102327"</f>
        <v>20210102327</v>
      </c>
      <c r="C269" s="9" t="s">
        <v>304</v>
      </c>
      <c r="D269" s="9" t="s">
        <v>17</v>
      </c>
      <c r="E269" s="9">
        <v>76</v>
      </c>
      <c r="F269" s="9">
        <v>77</v>
      </c>
      <c r="G269" s="10">
        <f t="shared" si="4"/>
        <v>76.3</v>
      </c>
    </row>
    <row r="270" s="2" customFormat="1" spans="1:7">
      <c r="A270" s="2">
        <v>206</v>
      </c>
      <c r="B270" s="9" t="str">
        <f>"20210102323"</f>
        <v>20210102323</v>
      </c>
      <c r="C270" s="9" t="s">
        <v>156</v>
      </c>
      <c r="D270" s="9" t="s">
        <v>17</v>
      </c>
      <c r="E270" s="9">
        <v>70</v>
      </c>
      <c r="F270" s="9">
        <v>88</v>
      </c>
      <c r="G270" s="10">
        <f t="shared" si="4"/>
        <v>75.4</v>
      </c>
    </row>
    <row r="271" s="2" customFormat="1" spans="1:7">
      <c r="A271" s="2">
        <v>207</v>
      </c>
      <c r="B271" s="9" t="str">
        <f>"20210102317"</f>
        <v>20210102317</v>
      </c>
      <c r="C271" s="9" t="s">
        <v>305</v>
      </c>
      <c r="D271" s="9" t="s">
        <v>17</v>
      </c>
      <c r="E271" s="9">
        <v>72</v>
      </c>
      <c r="F271" s="9">
        <v>81</v>
      </c>
      <c r="G271" s="10">
        <f t="shared" si="4"/>
        <v>74.7</v>
      </c>
    </row>
    <row r="272" s="2" customFormat="1" spans="1:7">
      <c r="A272" s="2">
        <v>208</v>
      </c>
      <c r="B272" s="9" t="str">
        <f>"20210102117"</f>
        <v>20210102117</v>
      </c>
      <c r="C272" s="9" t="s">
        <v>306</v>
      </c>
      <c r="D272" s="9" t="s">
        <v>17</v>
      </c>
      <c r="E272" s="9">
        <v>68</v>
      </c>
      <c r="F272" s="9">
        <v>90</v>
      </c>
      <c r="G272" s="10">
        <f t="shared" si="4"/>
        <v>74.6</v>
      </c>
    </row>
    <row r="273" s="2" customFormat="1" spans="1:7">
      <c r="A273" s="2">
        <v>209</v>
      </c>
      <c r="B273" s="9" t="str">
        <f>"20210102116"</f>
        <v>20210102116</v>
      </c>
      <c r="C273" s="9" t="s">
        <v>307</v>
      </c>
      <c r="D273" s="9" t="s">
        <v>17</v>
      </c>
      <c r="E273" s="9">
        <v>74</v>
      </c>
      <c r="F273" s="9">
        <v>75</v>
      </c>
      <c r="G273" s="10">
        <f t="shared" si="4"/>
        <v>74.3</v>
      </c>
    </row>
    <row r="274" s="2" customFormat="1" spans="1:7">
      <c r="A274" s="2">
        <v>210</v>
      </c>
      <c r="B274" s="9" t="str">
        <f>"20210102314"</f>
        <v>20210102314</v>
      </c>
      <c r="C274" s="9" t="s">
        <v>308</v>
      </c>
      <c r="D274" s="9" t="s">
        <v>17</v>
      </c>
      <c r="E274" s="9">
        <v>70</v>
      </c>
      <c r="F274" s="9">
        <v>79</v>
      </c>
      <c r="G274" s="10">
        <f t="shared" si="4"/>
        <v>72.7</v>
      </c>
    </row>
    <row r="275" s="2" customFormat="1" spans="1:7">
      <c r="A275" s="2">
        <v>211</v>
      </c>
      <c r="B275" s="9" t="str">
        <f>"20210102129"</f>
        <v>20210102129</v>
      </c>
      <c r="C275" s="9" t="s">
        <v>309</v>
      </c>
      <c r="D275" s="9" t="s">
        <v>17</v>
      </c>
      <c r="E275" s="9">
        <v>70</v>
      </c>
      <c r="F275" s="9">
        <v>78</v>
      </c>
      <c r="G275" s="10">
        <f t="shared" si="4"/>
        <v>72.4</v>
      </c>
    </row>
    <row r="276" s="2" customFormat="1" spans="1:7">
      <c r="A276" s="2">
        <v>212</v>
      </c>
      <c r="B276" s="9" t="str">
        <f>"20210102306"</f>
        <v>20210102306</v>
      </c>
      <c r="C276" s="9" t="s">
        <v>310</v>
      </c>
      <c r="D276" s="9" t="s">
        <v>17</v>
      </c>
      <c r="E276" s="9">
        <v>72</v>
      </c>
      <c r="F276" s="9">
        <v>70</v>
      </c>
      <c r="G276" s="10">
        <f t="shared" si="4"/>
        <v>71.4</v>
      </c>
    </row>
    <row r="277" s="2" customFormat="1" spans="1:7">
      <c r="A277" s="2">
        <v>213</v>
      </c>
      <c r="B277" s="9" t="str">
        <f>"20210102230"</f>
        <v>20210102230</v>
      </c>
      <c r="C277" s="9" t="s">
        <v>311</v>
      </c>
      <c r="D277" s="9" t="s">
        <v>17</v>
      </c>
      <c r="E277" s="9">
        <v>69</v>
      </c>
      <c r="F277" s="9">
        <v>77</v>
      </c>
      <c r="G277" s="10">
        <f t="shared" si="4"/>
        <v>71.4</v>
      </c>
    </row>
    <row r="278" s="2" customFormat="1" spans="1:7">
      <c r="A278" s="2">
        <v>214</v>
      </c>
      <c r="B278" s="9" t="str">
        <f>"20210102208"</f>
        <v>20210102208</v>
      </c>
      <c r="C278" s="9" t="s">
        <v>312</v>
      </c>
      <c r="D278" s="9" t="s">
        <v>17</v>
      </c>
      <c r="E278" s="9">
        <v>64.5</v>
      </c>
      <c r="F278" s="9">
        <v>83</v>
      </c>
      <c r="G278" s="10">
        <f t="shared" si="4"/>
        <v>70.05</v>
      </c>
    </row>
    <row r="279" s="2" customFormat="1" spans="1:7">
      <c r="A279" s="2">
        <v>215</v>
      </c>
      <c r="B279" s="9" t="str">
        <f>"20210102204"</f>
        <v>20210102204</v>
      </c>
      <c r="C279" s="9" t="s">
        <v>313</v>
      </c>
      <c r="D279" s="9" t="s">
        <v>17</v>
      </c>
      <c r="E279" s="9">
        <v>69.5</v>
      </c>
      <c r="F279" s="9">
        <v>65</v>
      </c>
      <c r="G279" s="10">
        <f t="shared" si="4"/>
        <v>68.15</v>
      </c>
    </row>
    <row r="280" s="2" customFormat="1" spans="1:7">
      <c r="A280" s="2">
        <v>216</v>
      </c>
      <c r="B280" s="9" t="str">
        <f>"20210102206"</f>
        <v>20210102206</v>
      </c>
      <c r="C280" s="9" t="s">
        <v>314</v>
      </c>
      <c r="D280" s="9" t="s">
        <v>17</v>
      </c>
      <c r="E280" s="9">
        <v>64</v>
      </c>
      <c r="F280" s="9">
        <v>77</v>
      </c>
      <c r="G280" s="10">
        <f t="shared" si="4"/>
        <v>67.9</v>
      </c>
    </row>
    <row r="281" s="2" customFormat="1" spans="1:7">
      <c r="A281" s="2">
        <v>217</v>
      </c>
      <c r="B281" s="9" t="str">
        <f>"20210102325"</f>
        <v>20210102325</v>
      </c>
      <c r="C281" s="9" t="s">
        <v>315</v>
      </c>
      <c r="D281" s="9" t="s">
        <v>17</v>
      </c>
      <c r="E281" s="9">
        <v>63</v>
      </c>
      <c r="F281" s="9">
        <v>78</v>
      </c>
      <c r="G281" s="10">
        <f t="shared" si="4"/>
        <v>67.5</v>
      </c>
    </row>
    <row r="282" s="2" customFormat="1" spans="1:7">
      <c r="A282" s="2">
        <v>218</v>
      </c>
      <c r="B282" s="9" t="str">
        <f>"20210102307"</f>
        <v>20210102307</v>
      </c>
      <c r="C282" s="9" t="s">
        <v>316</v>
      </c>
      <c r="D282" s="9" t="s">
        <v>17</v>
      </c>
      <c r="E282" s="9">
        <v>63</v>
      </c>
      <c r="F282" s="9">
        <v>74</v>
      </c>
      <c r="G282" s="10">
        <f t="shared" si="4"/>
        <v>66.3</v>
      </c>
    </row>
    <row r="283" s="2" customFormat="1" spans="1:7">
      <c r="A283" s="2">
        <v>219</v>
      </c>
      <c r="B283" s="9" t="str">
        <f>"20210102302"</f>
        <v>20210102302</v>
      </c>
      <c r="C283" s="9" t="s">
        <v>317</v>
      </c>
      <c r="D283" s="9" t="s">
        <v>17</v>
      </c>
      <c r="E283" s="9">
        <v>61.5</v>
      </c>
      <c r="F283" s="9">
        <v>77</v>
      </c>
      <c r="G283" s="10">
        <f t="shared" si="4"/>
        <v>66.15</v>
      </c>
    </row>
    <row r="284" s="2" customFormat="1" spans="1:7">
      <c r="A284" s="2">
        <v>220</v>
      </c>
      <c r="B284" s="9" t="str">
        <f>"20210102118"</f>
        <v>20210102118</v>
      </c>
      <c r="C284" s="9" t="s">
        <v>318</v>
      </c>
      <c r="D284" s="9" t="s">
        <v>17</v>
      </c>
      <c r="E284" s="9">
        <v>65</v>
      </c>
      <c r="F284" s="9">
        <v>68</v>
      </c>
      <c r="G284" s="10">
        <f t="shared" si="4"/>
        <v>65.9</v>
      </c>
    </row>
    <row r="285" s="2" customFormat="1" spans="1:7">
      <c r="A285" s="2">
        <v>221</v>
      </c>
      <c r="B285" s="9" t="str">
        <f>"20210102212"</f>
        <v>20210102212</v>
      </c>
      <c r="C285" s="9" t="s">
        <v>319</v>
      </c>
      <c r="D285" s="9" t="s">
        <v>17</v>
      </c>
      <c r="E285" s="9">
        <v>57</v>
      </c>
      <c r="F285" s="9">
        <v>83</v>
      </c>
      <c r="G285" s="10">
        <f t="shared" si="4"/>
        <v>64.8</v>
      </c>
    </row>
    <row r="286" s="2" customFormat="1" spans="1:7">
      <c r="A286" s="2">
        <v>222</v>
      </c>
      <c r="B286" s="9" t="str">
        <f>"20210102203"</f>
        <v>20210102203</v>
      </c>
      <c r="C286" s="9" t="s">
        <v>320</v>
      </c>
      <c r="D286" s="9" t="s">
        <v>17</v>
      </c>
      <c r="E286" s="9">
        <v>65</v>
      </c>
      <c r="F286" s="9">
        <v>63</v>
      </c>
      <c r="G286" s="10">
        <f t="shared" si="4"/>
        <v>64.4</v>
      </c>
    </row>
    <row r="287" s="2" customFormat="1" spans="1:7">
      <c r="A287" s="2">
        <v>223</v>
      </c>
      <c r="B287" s="9" t="str">
        <f>"20210102209"</f>
        <v>20210102209</v>
      </c>
      <c r="C287" s="9" t="s">
        <v>321</v>
      </c>
      <c r="D287" s="9" t="s">
        <v>17</v>
      </c>
      <c r="E287" s="9">
        <v>67.5</v>
      </c>
      <c r="F287" s="9">
        <v>56</v>
      </c>
      <c r="G287" s="10">
        <f t="shared" si="4"/>
        <v>64.05</v>
      </c>
    </row>
    <row r="288" s="2" customFormat="1" spans="1:7">
      <c r="A288" s="2">
        <v>224</v>
      </c>
      <c r="B288" s="9" t="str">
        <f>"20210102329"</f>
        <v>20210102329</v>
      </c>
      <c r="C288" s="9" t="s">
        <v>322</v>
      </c>
      <c r="D288" s="9" t="s">
        <v>17</v>
      </c>
      <c r="E288" s="9">
        <v>63.5</v>
      </c>
      <c r="F288" s="9">
        <v>64</v>
      </c>
      <c r="G288" s="10">
        <f t="shared" si="4"/>
        <v>63.65</v>
      </c>
    </row>
    <row r="289" s="3" customFormat="1" spans="1:7">
      <c r="A289" s="2">
        <v>668</v>
      </c>
      <c r="B289" s="11" t="str">
        <f>"20210102215"</f>
        <v>20210102215</v>
      </c>
      <c r="C289" s="11" t="s">
        <v>323</v>
      </c>
      <c r="D289" s="11" t="s">
        <v>17</v>
      </c>
      <c r="E289" s="11">
        <v>56</v>
      </c>
      <c r="F289" s="11">
        <v>77</v>
      </c>
      <c r="G289" s="12">
        <f t="shared" si="4"/>
        <v>62.3</v>
      </c>
    </row>
    <row r="290" s="3" customFormat="1" spans="1:7">
      <c r="A290" s="2">
        <v>669</v>
      </c>
      <c r="B290" s="11" t="str">
        <f>"20210102122"</f>
        <v>20210102122</v>
      </c>
      <c r="C290" s="11" t="s">
        <v>324</v>
      </c>
      <c r="D290" s="11" t="s">
        <v>17</v>
      </c>
      <c r="E290" s="11">
        <v>55</v>
      </c>
      <c r="F290" s="11">
        <v>79</v>
      </c>
      <c r="G290" s="12">
        <f t="shared" si="4"/>
        <v>62.2</v>
      </c>
    </row>
    <row r="291" s="3" customFormat="1" spans="1:7">
      <c r="A291" s="2">
        <v>670</v>
      </c>
      <c r="B291" s="11" t="str">
        <f>"20210102128"</f>
        <v>20210102128</v>
      </c>
      <c r="C291" s="11" t="s">
        <v>325</v>
      </c>
      <c r="D291" s="11" t="s">
        <v>17</v>
      </c>
      <c r="E291" s="11">
        <v>52</v>
      </c>
      <c r="F291" s="11">
        <v>86</v>
      </c>
      <c r="G291" s="12">
        <f t="shared" si="4"/>
        <v>62.2</v>
      </c>
    </row>
    <row r="292" s="3" customFormat="1" spans="1:7">
      <c r="A292" s="2">
        <v>671</v>
      </c>
      <c r="B292" s="11" t="str">
        <f>"20210102229"</f>
        <v>20210102229</v>
      </c>
      <c r="C292" s="11" t="s">
        <v>326</v>
      </c>
      <c r="D292" s="11" t="s">
        <v>17</v>
      </c>
      <c r="E292" s="11">
        <v>58</v>
      </c>
      <c r="F292" s="11">
        <v>72</v>
      </c>
      <c r="G292" s="12">
        <f t="shared" si="4"/>
        <v>62.2</v>
      </c>
    </row>
    <row r="293" s="3" customFormat="1" spans="1:7">
      <c r="A293" s="2">
        <v>672</v>
      </c>
      <c r="B293" s="11" t="str">
        <f>"20210102324"</f>
        <v>20210102324</v>
      </c>
      <c r="C293" s="11" t="s">
        <v>327</v>
      </c>
      <c r="D293" s="11" t="s">
        <v>17</v>
      </c>
      <c r="E293" s="11">
        <v>57.5</v>
      </c>
      <c r="F293" s="11">
        <v>72</v>
      </c>
      <c r="G293" s="12">
        <f t="shared" si="4"/>
        <v>61.85</v>
      </c>
    </row>
    <row r="294" s="3" customFormat="1" spans="1:7">
      <c r="A294" s="2">
        <v>673</v>
      </c>
      <c r="B294" s="11" t="str">
        <f>"20210102216"</f>
        <v>20210102216</v>
      </c>
      <c r="C294" s="11" t="s">
        <v>328</v>
      </c>
      <c r="D294" s="11" t="s">
        <v>17</v>
      </c>
      <c r="E294" s="11">
        <v>60.5</v>
      </c>
      <c r="F294" s="11">
        <v>63</v>
      </c>
      <c r="G294" s="12">
        <f t="shared" si="4"/>
        <v>61.25</v>
      </c>
    </row>
    <row r="295" s="3" customFormat="1" spans="1:7">
      <c r="A295" s="2">
        <v>674</v>
      </c>
      <c r="B295" s="11" t="str">
        <f>"20210102225"</f>
        <v>20210102225</v>
      </c>
      <c r="C295" s="11" t="s">
        <v>329</v>
      </c>
      <c r="D295" s="11" t="s">
        <v>17</v>
      </c>
      <c r="E295" s="11">
        <v>59</v>
      </c>
      <c r="F295" s="11">
        <v>64</v>
      </c>
      <c r="G295" s="12">
        <f t="shared" si="4"/>
        <v>60.5</v>
      </c>
    </row>
    <row r="296" s="3" customFormat="1" spans="1:7">
      <c r="A296" s="2">
        <v>675</v>
      </c>
      <c r="B296" s="11" t="str">
        <f>"20210102227"</f>
        <v>20210102227</v>
      </c>
      <c r="C296" s="11" t="s">
        <v>330</v>
      </c>
      <c r="D296" s="11" t="s">
        <v>17</v>
      </c>
      <c r="E296" s="11">
        <v>55.5</v>
      </c>
      <c r="F296" s="11">
        <v>71</v>
      </c>
      <c r="G296" s="12">
        <f t="shared" si="4"/>
        <v>60.15</v>
      </c>
    </row>
    <row r="297" s="3" customFormat="1" spans="1:7">
      <c r="A297" s="2">
        <v>676</v>
      </c>
      <c r="B297" s="11" t="str">
        <f>"20210102207"</f>
        <v>20210102207</v>
      </c>
      <c r="C297" s="11" t="s">
        <v>331</v>
      </c>
      <c r="D297" s="11" t="s">
        <v>17</v>
      </c>
      <c r="E297" s="11">
        <v>57</v>
      </c>
      <c r="F297" s="11">
        <v>66</v>
      </c>
      <c r="G297" s="12">
        <f t="shared" si="4"/>
        <v>59.7</v>
      </c>
    </row>
    <row r="298" s="3" customFormat="1" spans="1:7">
      <c r="A298" s="2">
        <v>677</v>
      </c>
      <c r="B298" s="11" t="str">
        <f>"20210102301"</f>
        <v>20210102301</v>
      </c>
      <c r="C298" s="11" t="s">
        <v>332</v>
      </c>
      <c r="D298" s="11" t="s">
        <v>17</v>
      </c>
      <c r="E298" s="11">
        <v>56</v>
      </c>
      <c r="F298" s="11">
        <v>67</v>
      </c>
      <c r="G298" s="12">
        <f t="shared" si="4"/>
        <v>59.3</v>
      </c>
    </row>
    <row r="299" s="2" customFormat="1" spans="1:7">
      <c r="A299" s="2">
        <v>225</v>
      </c>
      <c r="B299" s="9" t="str">
        <f>"20210112502"</f>
        <v>20210112502</v>
      </c>
      <c r="C299" s="9" t="s">
        <v>333</v>
      </c>
      <c r="D299" s="9" t="s">
        <v>18</v>
      </c>
      <c r="E299" s="9">
        <v>82.5</v>
      </c>
      <c r="F299" s="9">
        <v>88</v>
      </c>
      <c r="G299" s="10">
        <f t="shared" si="4"/>
        <v>84.15</v>
      </c>
    </row>
    <row r="300" s="2" customFormat="1" spans="1:7">
      <c r="A300" s="2">
        <v>226</v>
      </c>
      <c r="B300" s="9" t="str">
        <f>"20210112518"</f>
        <v>20210112518</v>
      </c>
      <c r="C300" s="9" t="s">
        <v>334</v>
      </c>
      <c r="D300" s="9" t="s">
        <v>18</v>
      </c>
      <c r="E300" s="9">
        <v>78</v>
      </c>
      <c r="F300" s="9">
        <v>88</v>
      </c>
      <c r="G300" s="10">
        <f t="shared" si="4"/>
        <v>81</v>
      </c>
    </row>
    <row r="301" s="2" customFormat="1" spans="1:7">
      <c r="A301" s="2">
        <v>227</v>
      </c>
      <c r="B301" s="9" t="str">
        <f>"20210112526"</f>
        <v>20210112526</v>
      </c>
      <c r="C301" s="9" t="s">
        <v>335</v>
      </c>
      <c r="D301" s="9" t="s">
        <v>18</v>
      </c>
      <c r="E301" s="9">
        <v>78</v>
      </c>
      <c r="F301" s="9">
        <v>88</v>
      </c>
      <c r="G301" s="10">
        <f t="shared" si="4"/>
        <v>81</v>
      </c>
    </row>
    <row r="302" s="2" customFormat="1" spans="1:7">
      <c r="A302" s="2">
        <v>228</v>
      </c>
      <c r="B302" s="9" t="str">
        <f>"20210112422"</f>
        <v>20210112422</v>
      </c>
      <c r="C302" s="9" t="s">
        <v>336</v>
      </c>
      <c r="D302" s="9" t="s">
        <v>18</v>
      </c>
      <c r="E302" s="9">
        <v>78</v>
      </c>
      <c r="F302" s="9">
        <v>84</v>
      </c>
      <c r="G302" s="10">
        <f t="shared" si="4"/>
        <v>79.8</v>
      </c>
    </row>
    <row r="303" s="2" customFormat="1" spans="1:7">
      <c r="A303" s="2">
        <v>229</v>
      </c>
      <c r="B303" s="9" t="str">
        <f>"20210112413"</f>
        <v>20210112413</v>
      </c>
      <c r="C303" s="9" t="s">
        <v>337</v>
      </c>
      <c r="D303" s="9" t="s">
        <v>18</v>
      </c>
      <c r="E303" s="9">
        <v>78</v>
      </c>
      <c r="F303" s="9">
        <v>79</v>
      </c>
      <c r="G303" s="10">
        <f t="shared" si="4"/>
        <v>78.3</v>
      </c>
    </row>
    <row r="304" s="2" customFormat="1" spans="1:7">
      <c r="A304" s="2">
        <v>230</v>
      </c>
      <c r="B304" s="9" t="str">
        <f>"20210112508"</f>
        <v>20210112508</v>
      </c>
      <c r="C304" s="9" t="s">
        <v>338</v>
      </c>
      <c r="D304" s="9" t="s">
        <v>18</v>
      </c>
      <c r="E304" s="9">
        <v>72</v>
      </c>
      <c r="F304" s="9">
        <v>89</v>
      </c>
      <c r="G304" s="10">
        <f t="shared" si="4"/>
        <v>77.1</v>
      </c>
    </row>
    <row r="305" s="2" customFormat="1" spans="1:7">
      <c r="A305" s="2">
        <v>231</v>
      </c>
      <c r="B305" s="9" t="str">
        <f>"20210112404"</f>
        <v>20210112404</v>
      </c>
      <c r="C305" s="9" t="s">
        <v>339</v>
      </c>
      <c r="D305" s="9" t="s">
        <v>18</v>
      </c>
      <c r="E305" s="9">
        <v>76</v>
      </c>
      <c r="F305" s="9">
        <v>79</v>
      </c>
      <c r="G305" s="10">
        <f t="shared" si="4"/>
        <v>76.9</v>
      </c>
    </row>
    <row r="306" s="2" customFormat="1" spans="1:7">
      <c r="A306" s="2">
        <v>232</v>
      </c>
      <c r="B306" s="9" t="str">
        <f>"20210112517"</f>
        <v>20210112517</v>
      </c>
      <c r="C306" s="9" t="s">
        <v>340</v>
      </c>
      <c r="D306" s="9" t="s">
        <v>18</v>
      </c>
      <c r="E306" s="9">
        <v>74</v>
      </c>
      <c r="F306" s="9">
        <v>82</v>
      </c>
      <c r="G306" s="10">
        <f t="shared" si="4"/>
        <v>76.4</v>
      </c>
    </row>
    <row r="307" s="2" customFormat="1" spans="1:7">
      <c r="A307" s="2">
        <v>233</v>
      </c>
      <c r="B307" s="9" t="str">
        <f>"20210112515"</f>
        <v>20210112515</v>
      </c>
      <c r="C307" s="9" t="s">
        <v>341</v>
      </c>
      <c r="D307" s="9" t="s">
        <v>18</v>
      </c>
      <c r="E307" s="9">
        <v>74</v>
      </c>
      <c r="F307" s="9">
        <v>81</v>
      </c>
      <c r="G307" s="10">
        <f t="shared" si="4"/>
        <v>76.1</v>
      </c>
    </row>
    <row r="308" s="2" customFormat="1" spans="1:7">
      <c r="A308" s="2">
        <v>234</v>
      </c>
      <c r="B308" s="9" t="str">
        <f>"20210112503"</f>
        <v>20210112503</v>
      </c>
      <c r="C308" s="9" t="s">
        <v>342</v>
      </c>
      <c r="D308" s="9" t="s">
        <v>18</v>
      </c>
      <c r="E308" s="9">
        <v>74</v>
      </c>
      <c r="F308" s="9">
        <v>78</v>
      </c>
      <c r="G308" s="10">
        <f t="shared" si="4"/>
        <v>75.2</v>
      </c>
    </row>
    <row r="309" s="2" customFormat="1" spans="1:7">
      <c r="A309" s="2">
        <v>235</v>
      </c>
      <c r="B309" s="9" t="str">
        <f>"20210112424"</f>
        <v>20210112424</v>
      </c>
      <c r="C309" s="9" t="s">
        <v>343</v>
      </c>
      <c r="D309" s="9" t="s">
        <v>18</v>
      </c>
      <c r="E309" s="9">
        <v>70.5</v>
      </c>
      <c r="F309" s="9">
        <v>76</v>
      </c>
      <c r="G309" s="10">
        <f t="shared" si="4"/>
        <v>72.15</v>
      </c>
    </row>
    <row r="310" s="2" customFormat="1" spans="1:7">
      <c r="A310" s="2">
        <v>236</v>
      </c>
      <c r="B310" s="9" t="str">
        <f>"20210112421"</f>
        <v>20210112421</v>
      </c>
      <c r="C310" s="9" t="s">
        <v>344</v>
      </c>
      <c r="D310" s="9" t="s">
        <v>18</v>
      </c>
      <c r="E310" s="9">
        <v>69.5</v>
      </c>
      <c r="F310" s="9">
        <v>75</v>
      </c>
      <c r="G310" s="10">
        <f t="shared" si="4"/>
        <v>71.15</v>
      </c>
    </row>
    <row r="311" s="2" customFormat="1" spans="1:7">
      <c r="A311" s="2">
        <v>237</v>
      </c>
      <c r="B311" s="9" t="str">
        <f>"20210112505"</f>
        <v>20210112505</v>
      </c>
      <c r="C311" s="9" t="s">
        <v>345</v>
      </c>
      <c r="D311" s="9" t="s">
        <v>18</v>
      </c>
      <c r="E311" s="9">
        <v>66</v>
      </c>
      <c r="F311" s="9">
        <v>83</v>
      </c>
      <c r="G311" s="10">
        <f t="shared" si="4"/>
        <v>71.1</v>
      </c>
    </row>
    <row r="312" s="2" customFormat="1" spans="1:7">
      <c r="A312" s="2">
        <v>238</v>
      </c>
      <c r="B312" s="9" t="str">
        <f>"20210112425"</f>
        <v>20210112425</v>
      </c>
      <c r="C312" s="9" t="s">
        <v>346</v>
      </c>
      <c r="D312" s="9" t="s">
        <v>18</v>
      </c>
      <c r="E312" s="9">
        <v>71.5</v>
      </c>
      <c r="F312" s="9">
        <v>69</v>
      </c>
      <c r="G312" s="10">
        <f t="shared" si="4"/>
        <v>70.75</v>
      </c>
    </row>
    <row r="313" s="2" customFormat="1" spans="1:7">
      <c r="A313" s="2">
        <v>239</v>
      </c>
      <c r="B313" s="9" t="str">
        <f>"20210112521"</f>
        <v>20210112521</v>
      </c>
      <c r="C313" s="9" t="s">
        <v>347</v>
      </c>
      <c r="D313" s="9" t="s">
        <v>18</v>
      </c>
      <c r="E313" s="9">
        <v>69</v>
      </c>
      <c r="F313" s="9">
        <v>72</v>
      </c>
      <c r="G313" s="10">
        <f t="shared" si="4"/>
        <v>69.9</v>
      </c>
    </row>
    <row r="314" s="2" customFormat="1" spans="1:7">
      <c r="A314" s="2">
        <v>240</v>
      </c>
      <c r="B314" s="9" t="str">
        <f>"20210112607"</f>
        <v>20210112607</v>
      </c>
      <c r="C314" s="9" t="s">
        <v>348</v>
      </c>
      <c r="D314" s="9" t="s">
        <v>18</v>
      </c>
      <c r="E314" s="9">
        <v>68</v>
      </c>
      <c r="F314" s="9">
        <v>73</v>
      </c>
      <c r="G314" s="10">
        <f t="shared" si="4"/>
        <v>69.5</v>
      </c>
    </row>
    <row r="315" s="2" customFormat="1" spans="1:7">
      <c r="A315" s="2">
        <v>241</v>
      </c>
      <c r="B315" s="9" t="str">
        <f>"20210112418"</f>
        <v>20210112418</v>
      </c>
      <c r="C315" s="9" t="s">
        <v>349</v>
      </c>
      <c r="D315" s="9" t="s">
        <v>18</v>
      </c>
      <c r="E315" s="9">
        <v>64</v>
      </c>
      <c r="F315" s="9">
        <v>81</v>
      </c>
      <c r="G315" s="10">
        <f t="shared" si="4"/>
        <v>69.1</v>
      </c>
    </row>
    <row r="316" s="2" customFormat="1" spans="1:7">
      <c r="A316" s="2">
        <v>242</v>
      </c>
      <c r="B316" s="9" t="str">
        <f>"20210112402"</f>
        <v>20210112402</v>
      </c>
      <c r="C316" s="9" t="s">
        <v>350</v>
      </c>
      <c r="D316" s="9" t="s">
        <v>18</v>
      </c>
      <c r="E316" s="9">
        <v>71</v>
      </c>
      <c r="F316" s="9">
        <v>61</v>
      </c>
      <c r="G316" s="10">
        <f t="shared" si="4"/>
        <v>68</v>
      </c>
    </row>
    <row r="317" s="2" customFormat="1" spans="1:7">
      <c r="A317" s="2">
        <v>243</v>
      </c>
      <c r="B317" s="9" t="str">
        <f>"20210112417"</f>
        <v>20210112417</v>
      </c>
      <c r="C317" s="9" t="s">
        <v>351</v>
      </c>
      <c r="D317" s="9" t="s">
        <v>18</v>
      </c>
      <c r="E317" s="9">
        <v>63</v>
      </c>
      <c r="F317" s="9">
        <v>72</v>
      </c>
      <c r="G317" s="10">
        <f t="shared" si="4"/>
        <v>65.7</v>
      </c>
    </row>
    <row r="318" s="2" customFormat="1" spans="1:7">
      <c r="A318" s="2">
        <v>244</v>
      </c>
      <c r="B318" s="9" t="str">
        <f>"20210112419"</f>
        <v>20210112419</v>
      </c>
      <c r="C318" s="9" t="s">
        <v>352</v>
      </c>
      <c r="D318" s="9" t="s">
        <v>18</v>
      </c>
      <c r="E318" s="9">
        <v>60</v>
      </c>
      <c r="F318" s="9">
        <v>78</v>
      </c>
      <c r="G318" s="10">
        <f t="shared" si="4"/>
        <v>65.4</v>
      </c>
    </row>
    <row r="319" s="2" customFormat="1" spans="1:7">
      <c r="A319" s="2">
        <v>245</v>
      </c>
      <c r="B319" s="9" t="str">
        <f>"20210112522"</f>
        <v>20210112522</v>
      </c>
      <c r="C319" s="9" t="s">
        <v>353</v>
      </c>
      <c r="D319" s="9" t="s">
        <v>18</v>
      </c>
      <c r="E319" s="9">
        <v>64</v>
      </c>
      <c r="F319" s="9">
        <v>67</v>
      </c>
      <c r="G319" s="10">
        <f t="shared" si="4"/>
        <v>64.9</v>
      </c>
    </row>
    <row r="320" s="3" customFormat="1" spans="1:7">
      <c r="A320" s="2">
        <v>678</v>
      </c>
      <c r="B320" s="11" t="str">
        <f>"20210112504"</f>
        <v>20210112504</v>
      </c>
      <c r="C320" s="11" t="s">
        <v>354</v>
      </c>
      <c r="D320" s="11" t="s">
        <v>18</v>
      </c>
      <c r="E320" s="11">
        <v>57</v>
      </c>
      <c r="F320" s="11">
        <v>83</v>
      </c>
      <c r="G320" s="12">
        <f t="shared" ref="G320:G383" si="5">E320*0.7+F320*0.3</f>
        <v>64.8</v>
      </c>
    </row>
    <row r="321" s="3" customFormat="1" spans="1:7">
      <c r="A321" s="2">
        <v>679</v>
      </c>
      <c r="B321" s="11" t="str">
        <f>"20210112601"</f>
        <v>20210112601</v>
      </c>
      <c r="C321" s="11" t="s">
        <v>355</v>
      </c>
      <c r="D321" s="11" t="s">
        <v>18</v>
      </c>
      <c r="E321" s="11">
        <v>59</v>
      </c>
      <c r="F321" s="11">
        <v>73</v>
      </c>
      <c r="G321" s="12">
        <f t="shared" si="5"/>
        <v>63.2</v>
      </c>
    </row>
    <row r="322" s="3" customFormat="1" spans="1:7">
      <c r="A322" s="2">
        <v>680</v>
      </c>
      <c r="B322" s="11" t="str">
        <f>"20210112516"</f>
        <v>20210112516</v>
      </c>
      <c r="C322" s="11" t="s">
        <v>356</v>
      </c>
      <c r="D322" s="11" t="s">
        <v>18</v>
      </c>
      <c r="E322" s="11">
        <v>60</v>
      </c>
      <c r="F322" s="11">
        <v>70</v>
      </c>
      <c r="G322" s="12">
        <f t="shared" si="5"/>
        <v>63</v>
      </c>
    </row>
    <row r="323" s="3" customFormat="1" spans="1:7">
      <c r="A323" s="2">
        <v>681</v>
      </c>
      <c r="B323" s="11" t="str">
        <f>"20210112520"</f>
        <v>20210112520</v>
      </c>
      <c r="C323" s="11" t="s">
        <v>357</v>
      </c>
      <c r="D323" s="11" t="s">
        <v>18</v>
      </c>
      <c r="E323" s="11">
        <v>53</v>
      </c>
      <c r="F323" s="11">
        <v>85</v>
      </c>
      <c r="G323" s="12">
        <f t="shared" si="5"/>
        <v>62.6</v>
      </c>
    </row>
    <row r="324" s="3" customFormat="1" spans="1:7">
      <c r="A324" s="2">
        <v>682</v>
      </c>
      <c r="B324" s="11" t="str">
        <f>"20210112407"</f>
        <v>20210112407</v>
      </c>
      <c r="C324" s="11" t="s">
        <v>358</v>
      </c>
      <c r="D324" s="11" t="s">
        <v>18</v>
      </c>
      <c r="E324" s="11">
        <v>61.5</v>
      </c>
      <c r="F324" s="11">
        <v>64</v>
      </c>
      <c r="G324" s="12">
        <f t="shared" si="5"/>
        <v>62.25</v>
      </c>
    </row>
    <row r="325" s="3" customFormat="1" spans="1:7">
      <c r="A325" s="2">
        <v>683</v>
      </c>
      <c r="B325" s="11" t="str">
        <f>"20210112408"</f>
        <v>20210112408</v>
      </c>
      <c r="C325" s="11" t="s">
        <v>359</v>
      </c>
      <c r="D325" s="11" t="s">
        <v>18</v>
      </c>
      <c r="E325" s="11">
        <v>57</v>
      </c>
      <c r="F325" s="11">
        <v>74</v>
      </c>
      <c r="G325" s="12">
        <f t="shared" si="5"/>
        <v>62.1</v>
      </c>
    </row>
    <row r="326" s="3" customFormat="1" spans="1:7">
      <c r="A326" s="2">
        <v>684</v>
      </c>
      <c r="B326" s="11" t="str">
        <f>"20210112430"</f>
        <v>20210112430</v>
      </c>
      <c r="C326" s="11" t="s">
        <v>360</v>
      </c>
      <c r="D326" s="11" t="s">
        <v>18</v>
      </c>
      <c r="E326" s="11">
        <v>55</v>
      </c>
      <c r="F326" s="11">
        <v>74</v>
      </c>
      <c r="G326" s="12">
        <f t="shared" si="5"/>
        <v>60.7</v>
      </c>
    </row>
    <row r="327" s="3" customFormat="1" spans="1:7">
      <c r="A327" s="2">
        <v>685</v>
      </c>
      <c r="B327" s="11" t="str">
        <f>"20210112523"</f>
        <v>20210112523</v>
      </c>
      <c r="C327" s="11" t="s">
        <v>361</v>
      </c>
      <c r="D327" s="11" t="s">
        <v>18</v>
      </c>
      <c r="E327" s="11">
        <v>58</v>
      </c>
      <c r="F327" s="11">
        <v>67</v>
      </c>
      <c r="G327" s="12">
        <f t="shared" si="5"/>
        <v>60.7</v>
      </c>
    </row>
    <row r="328" s="3" customFormat="1" spans="1:7">
      <c r="A328" s="2">
        <v>686</v>
      </c>
      <c r="B328" s="11" t="str">
        <f>"20210112416"</f>
        <v>20210112416</v>
      </c>
      <c r="C328" s="11" t="s">
        <v>362</v>
      </c>
      <c r="D328" s="11" t="s">
        <v>18</v>
      </c>
      <c r="E328" s="11">
        <v>62.5</v>
      </c>
      <c r="F328" s="11">
        <v>56</v>
      </c>
      <c r="G328" s="12">
        <f t="shared" si="5"/>
        <v>60.55</v>
      </c>
    </row>
    <row r="329" s="3" customFormat="1" spans="1:7">
      <c r="A329" s="2">
        <v>687</v>
      </c>
      <c r="B329" s="11" t="str">
        <f>"20210112525"</f>
        <v>20210112525</v>
      </c>
      <c r="C329" s="11" t="s">
        <v>363</v>
      </c>
      <c r="D329" s="11" t="s">
        <v>18</v>
      </c>
      <c r="E329" s="11">
        <v>62.5</v>
      </c>
      <c r="F329" s="11">
        <v>56</v>
      </c>
      <c r="G329" s="12">
        <f t="shared" si="5"/>
        <v>60.55</v>
      </c>
    </row>
    <row r="330" s="3" customFormat="1" spans="1:7">
      <c r="A330" s="2">
        <v>688</v>
      </c>
      <c r="B330" s="11" t="str">
        <f>"20210112514"</f>
        <v>20210112514</v>
      </c>
      <c r="C330" s="11" t="s">
        <v>364</v>
      </c>
      <c r="D330" s="11" t="s">
        <v>18</v>
      </c>
      <c r="E330" s="11">
        <v>59.5</v>
      </c>
      <c r="F330" s="11">
        <v>61</v>
      </c>
      <c r="G330" s="12">
        <f t="shared" si="5"/>
        <v>59.95</v>
      </c>
    </row>
    <row r="331" s="2" customFormat="1" spans="1:7">
      <c r="A331" s="2">
        <v>246</v>
      </c>
      <c r="B331" s="9" t="str">
        <f>"20210122703"</f>
        <v>20210122703</v>
      </c>
      <c r="C331" s="9" t="s">
        <v>365</v>
      </c>
      <c r="D331" s="9" t="s">
        <v>19</v>
      </c>
      <c r="E331" s="9">
        <v>77</v>
      </c>
      <c r="F331" s="9">
        <v>84</v>
      </c>
      <c r="G331" s="10">
        <f t="shared" si="5"/>
        <v>79.1</v>
      </c>
    </row>
    <row r="332" s="2" customFormat="1" spans="1:7">
      <c r="A332" s="2">
        <v>247</v>
      </c>
      <c r="B332" s="9" t="str">
        <f>"20210122802"</f>
        <v>20210122802</v>
      </c>
      <c r="C332" s="9" t="s">
        <v>366</v>
      </c>
      <c r="D332" s="9" t="s">
        <v>19</v>
      </c>
      <c r="E332" s="9">
        <v>69</v>
      </c>
      <c r="F332" s="9">
        <v>86</v>
      </c>
      <c r="G332" s="10">
        <f t="shared" si="5"/>
        <v>74.1</v>
      </c>
    </row>
    <row r="333" s="2" customFormat="1" spans="1:7">
      <c r="A333" s="2">
        <v>248</v>
      </c>
      <c r="B333" s="9" t="str">
        <f>"20210122612"</f>
        <v>20210122612</v>
      </c>
      <c r="C333" s="9" t="s">
        <v>367</v>
      </c>
      <c r="D333" s="9" t="s">
        <v>19</v>
      </c>
      <c r="E333" s="9">
        <v>66</v>
      </c>
      <c r="F333" s="9">
        <v>78</v>
      </c>
      <c r="G333" s="10">
        <f t="shared" si="5"/>
        <v>69.6</v>
      </c>
    </row>
    <row r="334" s="2" customFormat="1" spans="1:7">
      <c r="A334" s="2">
        <v>249</v>
      </c>
      <c r="B334" s="9" t="str">
        <f>"20210122717"</f>
        <v>20210122717</v>
      </c>
      <c r="C334" s="9" t="s">
        <v>368</v>
      </c>
      <c r="D334" s="9" t="s">
        <v>19</v>
      </c>
      <c r="E334" s="9">
        <v>59</v>
      </c>
      <c r="F334" s="9">
        <v>86</v>
      </c>
      <c r="G334" s="10">
        <f t="shared" si="5"/>
        <v>67.1</v>
      </c>
    </row>
    <row r="335" s="2" customFormat="1" spans="1:7">
      <c r="A335" s="2">
        <v>250</v>
      </c>
      <c r="B335" s="9" t="str">
        <f>"20210122629"</f>
        <v>20210122629</v>
      </c>
      <c r="C335" s="9" t="s">
        <v>369</v>
      </c>
      <c r="D335" s="9" t="s">
        <v>19</v>
      </c>
      <c r="E335" s="9">
        <v>60</v>
      </c>
      <c r="F335" s="9">
        <v>81</v>
      </c>
      <c r="G335" s="10">
        <f t="shared" si="5"/>
        <v>66.3</v>
      </c>
    </row>
    <row r="336" s="2" customFormat="1" spans="1:7">
      <c r="A336" s="2">
        <v>251</v>
      </c>
      <c r="B336" s="9" t="str">
        <f>"20210122726"</f>
        <v>20210122726</v>
      </c>
      <c r="C336" s="9" t="s">
        <v>370</v>
      </c>
      <c r="D336" s="9" t="s">
        <v>19</v>
      </c>
      <c r="E336" s="9">
        <v>63</v>
      </c>
      <c r="F336" s="9">
        <v>73</v>
      </c>
      <c r="G336" s="10">
        <f t="shared" si="5"/>
        <v>66</v>
      </c>
    </row>
    <row r="337" s="2" customFormat="1" spans="1:7">
      <c r="A337" s="2">
        <v>252</v>
      </c>
      <c r="B337" s="9" t="str">
        <f>"20210122707"</f>
        <v>20210122707</v>
      </c>
      <c r="C337" s="9" t="s">
        <v>371</v>
      </c>
      <c r="D337" s="9" t="s">
        <v>19</v>
      </c>
      <c r="E337" s="9">
        <v>62</v>
      </c>
      <c r="F337" s="9">
        <v>73</v>
      </c>
      <c r="G337" s="10">
        <f t="shared" si="5"/>
        <v>65.3</v>
      </c>
    </row>
    <row r="338" s="2" customFormat="1" spans="1:7">
      <c r="A338" s="2">
        <v>253</v>
      </c>
      <c r="B338" s="9" t="str">
        <f>"20210122715"</f>
        <v>20210122715</v>
      </c>
      <c r="C338" s="9" t="s">
        <v>356</v>
      </c>
      <c r="D338" s="9" t="s">
        <v>19</v>
      </c>
      <c r="E338" s="9">
        <v>62</v>
      </c>
      <c r="F338" s="9">
        <v>70</v>
      </c>
      <c r="G338" s="10">
        <f t="shared" si="5"/>
        <v>64.4</v>
      </c>
    </row>
    <row r="339" s="2" customFormat="1" spans="1:7">
      <c r="A339" s="2">
        <v>254</v>
      </c>
      <c r="B339" s="9" t="str">
        <f>"20210122617"</f>
        <v>20210122617</v>
      </c>
      <c r="C339" s="9" t="s">
        <v>372</v>
      </c>
      <c r="D339" s="9" t="s">
        <v>19</v>
      </c>
      <c r="E339" s="9">
        <v>59.5</v>
      </c>
      <c r="F339" s="9">
        <v>75</v>
      </c>
      <c r="G339" s="10">
        <f t="shared" si="5"/>
        <v>64.15</v>
      </c>
    </row>
    <row r="340" s="2" customFormat="1" spans="1:7">
      <c r="A340" s="2">
        <v>255</v>
      </c>
      <c r="B340" s="9" t="str">
        <f>"20210122713"</f>
        <v>20210122713</v>
      </c>
      <c r="C340" s="9" t="s">
        <v>373</v>
      </c>
      <c r="D340" s="9" t="s">
        <v>19</v>
      </c>
      <c r="E340" s="9">
        <v>62</v>
      </c>
      <c r="F340" s="9">
        <v>63</v>
      </c>
      <c r="G340" s="10">
        <f t="shared" si="5"/>
        <v>62.3</v>
      </c>
    </row>
    <row r="341" s="2" customFormat="1" spans="1:7">
      <c r="A341" s="2">
        <v>256</v>
      </c>
      <c r="B341" s="9" t="str">
        <f>"20210122616"</f>
        <v>20210122616</v>
      </c>
      <c r="C341" s="9" t="s">
        <v>374</v>
      </c>
      <c r="D341" s="9" t="s">
        <v>19</v>
      </c>
      <c r="E341" s="9">
        <v>56</v>
      </c>
      <c r="F341" s="9">
        <v>75</v>
      </c>
      <c r="G341" s="10">
        <f t="shared" si="5"/>
        <v>61.7</v>
      </c>
    </row>
    <row r="342" s="2" customFormat="1" spans="1:7">
      <c r="A342" s="2">
        <v>257</v>
      </c>
      <c r="B342" s="9" t="str">
        <f>"20210122615"</f>
        <v>20210122615</v>
      </c>
      <c r="C342" s="9" t="s">
        <v>375</v>
      </c>
      <c r="D342" s="9" t="s">
        <v>19</v>
      </c>
      <c r="E342" s="9">
        <v>61</v>
      </c>
      <c r="F342" s="9">
        <v>63</v>
      </c>
      <c r="G342" s="10">
        <f t="shared" si="5"/>
        <v>61.6</v>
      </c>
    </row>
    <row r="343" s="2" customFormat="1" spans="1:7">
      <c r="A343" s="2">
        <v>258</v>
      </c>
      <c r="B343" s="9" t="str">
        <f>"20210122622"</f>
        <v>20210122622</v>
      </c>
      <c r="C343" s="9" t="s">
        <v>376</v>
      </c>
      <c r="D343" s="9" t="s">
        <v>19</v>
      </c>
      <c r="E343" s="9">
        <v>60</v>
      </c>
      <c r="F343" s="9">
        <v>61</v>
      </c>
      <c r="G343" s="10">
        <f t="shared" si="5"/>
        <v>60.3</v>
      </c>
    </row>
    <row r="344" s="2" customFormat="1" spans="1:7">
      <c r="A344" s="2">
        <v>259</v>
      </c>
      <c r="B344" s="9" t="str">
        <f>"20210122708"</f>
        <v>20210122708</v>
      </c>
      <c r="C344" s="9" t="s">
        <v>377</v>
      </c>
      <c r="D344" s="9" t="s">
        <v>19</v>
      </c>
      <c r="E344" s="9">
        <v>51</v>
      </c>
      <c r="F344" s="9">
        <v>78</v>
      </c>
      <c r="G344" s="10">
        <f t="shared" si="5"/>
        <v>59.1</v>
      </c>
    </row>
    <row r="345" s="2" customFormat="1" spans="1:7">
      <c r="A345" s="2">
        <v>260</v>
      </c>
      <c r="B345" s="9" t="str">
        <f>"20210122702"</f>
        <v>20210122702</v>
      </c>
      <c r="C345" s="9" t="s">
        <v>378</v>
      </c>
      <c r="D345" s="9" t="s">
        <v>19</v>
      </c>
      <c r="E345" s="9">
        <v>56</v>
      </c>
      <c r="F345" s="9">
        <v>66</v>
      </c>
      <c r="G345" s="10">
        <f t="shared" si="5"/>
        <v>59</v>
      </c>
    </row>
    <row r="346" s="2" customFormat="1" spans="1:7">
      <c r="A346" s="2">
        <v>261</v>
      </c>
      <c r="B346" s="9" t="str">
        <f>"20210122625"</f>
        <v>20210122625</v>
      </c>
      <c r="C346" s="9" t="s">
        <v>379</v>
      </c>
      <c r="D346" s="9" t="s">
        <v>19</v>
      </c>
      <c r="E346" s="9">
        <v>61</v>
      </c>
      <c r="F346" s="9">
        <v>54</v>
      </c>
      <c r="G346" s="10">
        <f t="shared" si="5"/>
        <v>58.9</v>
      </c>
    </row>
    <row r="347" s="2" customFormat="1" spans="1:7">
      <c r="A347" s="2">
        <v>262</v>
      </c>
      <c r="B347" s="9" t="str">
        <f>"20210122614"</f>
        <v>20210122614</v>
      </c>
      <c r="C347" s="9" t="s">
        <v>380</v>
      </c>
      <c r="D347" s="9" t="s">
        <v>19</v>
      </c>
      <c r="E347" s="9">
        <v>56</v>
      </c>
      <c r="F347" s="9">
        <v>62</v>
      </c>
      <c r="G347" s="10">
        <f t="shared" si="5"/>
        <v>57.8</v>
      </c>
    </row>
    <row r="348" s="2" customFormat="1" spans="1:7">
      <c r="A348" s="2">
        <v>263</v>
      </c>
      <c r="B348" s="9" t="str">
        <f>"20210122705"</f>
        <v>20210122705</v>
      </c>
      <c r="C348" s="9" t="s">
        <v>381</v>
      </c>
      <c r="D348" s="9" t="s">
        <v>19</v>
      </c>
      <c r="E348" s="9">
        <v>52</v>
      </c>
      <c r="F348" s="9">
        <v>69</v>
      </c>
      <c r="G348" s="10">
        <f t="shared" si="5"/>
        <v>57.1</v>
      </c>
    </row>
    <row r="349" s="2" customFormat="1" spans="1:7">
      <c r="A349" s="2">
        <v>264</v>
      </c>
      <c r="B349" s="9" t="str">
        <f>"20210122804"</f>
        <v>20210122804</v>
      </c>
      <c r="C349" s="9" t="s">
        <v>382</v>
      </c>
      <c r="D349" s="9" t="s">
        <v>19</v>
      </c>
      <c r="E349" s="9">
        <v>56.5</v>
      </c>
      <c r="F349" s="9">
        <v>56</v>
      </c>
      <c r="G349" s="10">
        <f t="shared" si="5"/>
        <v>56.35</v>
      </c>
    </row>
    <row r="350" s="2" customFormat="1" spans="1:7">
      <c r="A350" s="2">
        <v>265</v>
      </c>
      <c r="B350" s="9" t="str">
        <f>"20210122628"</f>
        <v>20210122628</v>
      </c>
      <c r="C350" s="9" t="s">
        <v>383</v>
      </c>
      <c r="D350" s="9" t="s">
        <v>19</v>
      </c>
      <c r="E350" s="9">
        <v>52</v>
      </c>
      <c r="F350" s="9">
        <v>65</v>
      </c>
      <c r="G350" s="10">
        <f t="shared" si="5"/>
        <v>55.9</v>
      </c>
    </row>
    <row r="351" s="3" customFormat="1" spans="1:7">
      <c r="A351" s="2">
        <v>689</v>
      </c>
      <c r="B351" s="11" t="str">
        <f>"20210122714"</f>
        <v>20210122714</v>
      </c>
      <c r="C351" s="11" t="s">
        <v>384</v>
      </c>
      <c r="D351" s="11" t="s">
        <v>19</v>
      </c>
      <c r="E351" s="11">
        <v>49.5</v>
      </c>
      <c r="F351" s="11">
        <v>66</v>
      </c>
      <c r="G351" s="12">
        <f t="shared" si="5"/>
        <v>54.45</v>
      </c>
    </row>
    <row r="352" s="3" customFormat="1" spans="1:7">
      <c r="A352" s="2">
        <v>690</v>
      </c>
      <c r="B352" s="11" t="str">
        <f>"20210122723"</f>
        <v>20210122723</v>
      </c>
      <c r="C352" s="11" t="s">
        <v>385</v>
      </c>
      <c r="D352" s="11" t="s">
        <v>19</v>
      </c>
      <c r="E352" s="11">
        <v>55</v>
      </c>
      <c r="F352" s="11">
        <v>52</v>
      </c>
      <c r="G352" s="12">
        <f t="shared" si="5"/>
        <v>54.1</v>
      </c>
    </row>
    <row r="353" s="3" customFormat="1" spans="1:7">
      <c r="A353" s="2">
        <v>691</v>
      </c>
      <c r="B353" s="11" t="str">
        <f>"20210122630"</f>
        <v>20210122630</v>
      </c>
      <c r="C353" s="11" t="s">
        <v>386</v>
      </c>
      <c r="D353" s="11" t="s">
        <v>19</v>
      </c>
      <c r="E353" s="11">
        <v>47.5</v>
      </c>
      <c r="F353" s="11">
        <v>67</v>
      </c>
      <c r="G353" s="12">
        <f t="shared" si="5"/>
        <v>53.35</v>
      </c>
    </row>
    <row r="354" s="3" customFormat="1" spans="1:7">
      <c r="A354" s="2">
        <v>692</v>
      </c>
      <c r="B354" s="11" t="str">
        <f>"20210122719"</f>
        <v>20210122719</v>
      </c>
      <c r="C354" s="11" t="s">
        <v>387</v>
      </c>
      <c r="D354" s="11" t="s">
        <v>19</v>
      </c>
      <c r="E354" s="11">
        <v>55</v>
      </c>
      <c r="F354" s="11">
        <v>49</v>
      </c>
      <c r="G354" s="12">
        <f t="shared" si="5"/>
        <v>53.2</v>
      </c>
    </row>
    <row r="355" s="3" customFormat="1" spans="1:7">
      <c r="A355" s="2">
        <v>693</v>
      </c>
      <c r="B355" s="11" t="str">
        <f>"20210122623"</f>
        <v>20210122623</v>
      </c>
      <c r="C355" s="11" t="s">
        <v>388</v>
      </c>
      <c r="D355" s="11" t="s">
        <v>19</v>
      </c>
      <c r="E355" s="11">
        <v>47</v>
      </c>
      <c r="F355" s="11">
        <v>67</v>
      </c>
      <c r="G355" s="12">
        <f t="shared" si="5"/>
        <v>53</v>
      </c>
    </row>
    <row r="356" s="3" customFormat="1" spans="1:7">
      <c r="A356" s="2">
        <v>694</v>
      </c>
      <c r="B356" s="11" t="str">
        <f>"20210122621"</f>
        <v>20210122621</v>
      </c>
      <c r="C356" s="11" t="s">
        <v>389</v>
      </c>
      <c r="D356" s="11" t="s">
        <v>19</v>
      </c>
      <c r="E356" s="11">
        <v>46</v>
      </c>
      <c r="F356" s="11">
        <v>68</v>
      </c>
      <c r="G356" s="12">
        <f t="shared" si="5"/>
        <v>52.6</v>
      </c>
    </row>
    <row r="357" s="3" customFormat="1" spans="1:7">
      <c r="A357" s="2">
        <v>695</v>
      </c>
      <c r="B357" s="11" t="str">
        <f>"20210122720"</f>
        <v>20210122720</v>
      </c>
      <c r="C357" s="11" t="s">
        <v>390</v>
      </c>
      <c r="D357" s="11" t="s">
        <v>19</v>
      </c>
      <c r="E357" s="11">
        <v>57.5</v>
      </c>
      <c r="F357" s="11">
        <v>41</v>
      </c>
      <c r="G357" s="12">
        <f t="shared" si="5"/>
        <v>52.55</v>
      </c>
    </row>
    <row r="358" s="3" customFormat="1" spans="1:7">
      <c r="A358" s="2">
        <v>696</v>
      </c>
      <c r="B358" s="11" t="str">
        <f>"20210122805"</f>
        <v>20210122805</v>
      </c>
      <c r="C358" s="11" t="s">
        <v>391</v>
      </c>
      <c r="D358" s="11" t="s">
        <v>19</v>
      </c>
      <c r="E358" s="11">
        <v>53.5</v>
      </c>
      <c r="F358" s="11">
        <v>50</v>
      </c>
      <c r="G358" s="12">
        <f t="shared" si="5"/>
        <v>52.45</v>
      </c>
    </row>
    <row r="359" s="3" customFormat="1" spans="1:7">
      <c r="A359" s="2">
        <v>697</v>
      </c>
      <c r="B359" s="11" t="str">
        <f>"20210122624"</f>
        <v>20210122624</v>
      </c>
      <c r="C359" s="11" t="s">
        <v>392</v>
      </c>
      <c r="D359" s="11" t="s">
        <v>19</v>
      </c>
      <c r="E359" s="11">
        <v>50.5</v>
      </c>
      <c r="F359" s="11">
        <v>55</v>
      </c>
      <c r="G359" s="12">
        <f t="shared" si="5"/>
        <v>51.85</v>
      </c>
    </row>
    <row r="360" s="3" customFormat="1" spans="1:7">
      <c r="A360" s="2">
        <v>698</v>
      </c>
      <c r="B360" s="11" t="str">
        <f>"20210122618"</f>
        <v>20210122618</v>
      </c>
      <c r="C360" s="11" t="s">
        <v>393</v>
      </c>
      <c r="D360" s="11" t="s">
        <v>19</v>
      </c>
      <c r="E360" s="11">
        <v>52</v>
      </c>
      <c r="F360" s="11">
        <v>50</v>
      </c>
      <c r="G360" s="12">
        <f t="shared" si="5"/>
        <v>51.4</v>
      </c>
    </row>
    <row r="361" s="3" customFormat="1" spans="1:7">
      <c r="A361" s="2">
        <v>699</v>
      </c>
      <c r="B361" s="11" t="str">
        <f>"20210122728"</f>
        <v>20210122728</v>
      </c>
      <c r="C361" s="11" t="s">
        <v>394</v>
      </c>
      <c r="D361" s="11" t="s">
        <v>19</v>
      </c>
      <c r="E361" s="11">
        <v>57</v>
      </c>
      <c r="F361" s="11">
        <v>38</v>
      </c>
      <c r="G361" s="12">
        <f t="shared" si="5"/>
        <v>51.3</v>
      </c>
    </row>
    <row r="362" s="2" customFormat="1" spans="1:7">
      <c r="A362" s="2">
        <v>266</v>
      </c>
      <c r="B362" s="9" t="str">
        <f>"20210132920"</f>
        <v>20210132920</v>
      </c>
      <c r="C362" s="9" t="s">
        <v>395</v>
      </c>
      <c r="D362" s="9" t="s">
        <v>20</v>
      </c>
      <c r="E362" s="9">
        <v>80</v>
      </c>
      <c r="F362" s="9">
        <v>81</v>
      </c>
      <c r="G362" s="10">
        <f t="shared" si="5"/>
        <v>80.3</v>
      </c>
    </row>
    <row r="363" s="2" customFormat="1" spans="1:7">
      <c r="A363" s="2">
        <v>267</v>
      </c>
      <c r="B363" s="9" t="str">
        <f>"20210132828"</f>
        <v>20210132828</v>
      </c>
      <c r="C363" s="9" t="s">
        <v>396</v>
      </c>
      <c r="D363" s="9" t="s">
        <v>20</v>
      </c>
      <c r="E363" s="9">
        <v>75</v>
      </c>
      <c r="F363" s="9">
        <v>85</v>
      </c>
      <c r="G363" s="10">
        <f t="shared" si="5"/>
        <v>78</v>
      </c>
    </row>
    <row r="364" s="2" customFormat="1" spans="1:7">
      <c r="A364" s="2">
        <v>268</v>
      </c>
      <c r="B364" s="9" t="str">
        <f>"20210132808"</f>
        <v>20210132808</v>
      </c>
      <c r="C364" s="9" t="s">
        <v>397</v>
      </c>
      <c r="D364" s="9" t="s">
        <v>20</v>
      </c>
      <c r="E364" s="9">
        <v>78</v>
      </c>
      <c r="F364" s="9">
        <v>77</v>
      </c>
      <c r="G364" s="10">
        <f t="shared" si="5"/>
        <v>77.7</v>
      </c>
    </row>
    <row r="365" s="2" customFormat="1" spans="1:7">
      <c r="A365" s="2">
        <v>269</v>
      </c>
      <c r="B365" s="9" t="str">
        <f>"20210132905"</f>
        <v>20210132905</v>
      </c>
      <c r="C365" s="9" t="s">
        <v>398</v>
      </c>
      <c r="D365" s="9" t="s">
        <v>20</v>
      </c>
      <c r="E365" s="9">
        <v>82</v>
      </c>
      <c r="F365" s="9">
        <v>61</v>
      </c>
      <c r="G365" s="10">
        <f t="shared" si="5"/>
        <v>75.7</v>
      </c>
    </row>
    <row r="366" s="2" customFormat="1" spans="1:7">
      <c r="A366" s="2">
        <v>270</v>
      </c>
      <c r="B366" s="9" t="str">
        <f>"20210132821"</f>
        <v>20210132821</v>
      </c>
      <c r="C366" s="9" t="s">
        <v>399</v>
      </c>
      <c r="D366" s="9" t="s">
        <v>20</v>
      </c>
      <c r="E366" s="9">
        <v>72</v>
      </c>
      <c r="F366" s="9">
        <v>84</v>
      </c>
      <c r="G366" s="10">
        <f t="shared" si="5"/>
        <v>75.6</v>
      </c>
    </row>
    <row r="367" s="2" customFormat="1" spans="1:7">
      <c r="A367" s="2">
        <v>271</v>
      </c>
      <c r="B367" s="9" t="str">
        <f>"20210132924"</f>
        <v>20210132924</v>
      </c>
      <c r="C367" s="9" t="s">
        <v>400</v>
      </c>
      <c r="D367" s="9" t="s">
        <v>20</v>
      </c>
      <c r="E367" s="9">
        <v>76</v>
      </c>
      <c r="F367" s="9">
        <v>73</v>
      </c>
      <c r="G367" s="10">
        <f t="shared" si="5"/>
        <v>75.1</v>
      </c>
    </row>
    <row r="368" s="2" customFormat="1" spans="1:7">
      <c r="A368" s="2">
        <v>272</v>
      </c>
      <c r="B368" s="9" t="str">
        <f>"20210132926"</f>
        <v>20210132926</v>
      </c>
      <c r="C368" s="9" t="s">
        <v>401</v>
      </c>
      <c r="D368" s="9" t="s">
        <v>20</v>
      </c>
      <c r="E368" s="9">
        <v>79</v>
      </c>
      <c r="F368" s="9">
        <v>66</v>
      </c>
      <c r="G368" s="10">
        <f t="shared" si="5"/>
        <v>75.1</v>
      </c>
    </row>
    <row r="369" s="2" customFormat="1" spans="1:7">
      <c r="A369" s="2">
        <v>273</v>
      </c>
      <c r="B369" s="9" t="str">
        <f>"20210132820"</f>
        <v>20210132820</v>
      </c>
      <c r="C369" s="9" t="s">
        <v>402</v>
      </c>
      <c r="D369" s="9" t="s">
        <v>20</v>
      </c>
      <c r="E369" s="9">
        <v>74</v>
      </c>
      <c r="F369" s="9">
        <v>75</v>
      </c>
      <c r="G369" s="10">
        <f t="shared" si="5"/>
        <v>74.3</v>
      </c>
    </row>
    <row r="370" s="2" customFormat="1" spans="1:7">
      <c r="A370" s="2">
        <v>274</v>
      </c>
      <c r="B370" s="9" t="str">
        <f>"20210132904"</f>
        <v>20210132904</v>
      </c>
      <c r="C370" s="9" t="s">
        <v>403</v>
      </c>
      <c r="D370" s="9" t="s">
        <v>20</v>
      </c>
      <c r="E370" s="9">
        <v>73</v>
      </c>
      <c r="F370" s="9">
        <v>76</v>
      </c>
      <c r="G370" s="10">
        <f t="shared" si="5"/>
        <v>73.9</v>
      </c>
    </row>
    <row r="371" s="2" customFormat="1" spans="1:7">
      <c r="A371" s="2">
        <v>275</v>
      </c>
      <c r="B371" s="9" t="str">
        <f>"20210132911"</f>
        <v>20210132911</v>
      </c>
      <c r="C371" s="9" t="s">
        <v>404</v>
      </c>
      <c r="D371" s="9" t="s">
        <v>20</v>
      </c>
      <c r="E371" s="9">
        <v>73.5</v>
      </c>
      <c r="F371" s="9">
        <v>74</v>
      </c>
      <c r="G371" s="10">
        <f t="shared" si="5"/>
        <v>73.65</v>
      </c>
    </row>
    <row r="372" s="2" customFormat="1" spans="1:7">
      <c r="A372" s="2">
        <v>276</v>
      </c>
      <c r="B372" s="9" t="str">
        <f>"20210132928"</f>
        <v>20210132928</v>
      </c>
      <c r="C372" s="9" t="s">
        <v>405</v>
      </c>
      <c r="D372" s="9" t="s">
        <v>20</v>
      </c>
      <c r="E372" s="9">
        <v>73</v>
      </c>
      <c r="F372" s="9">
        <v>72</v>
      </c>
      <c r="G372" s="10">
        <f t="shared" si="5"/>
        <v>72.7</v>
      </c>
    </row>
    <row r="373" s="2" customFormat="1" spans="1:7">
      <c r="A373" s="2">
        <v>277</v>
      </c>
      <c r="B373" s="9" t="str">
        <f>"20210132817"</f>
        <v>20210132817</v>
      </c>
      <c r="C373" s="9" t="s">
        <v>406</v>
      </c>
      <c r="D373" s="9" t="s">
        <v>20</v>
      </c>
      <c r="E373" s="9">
        <v>71</v>
      </c>
      <c r="F373" s="9">
        <v>75</v>
      </c>
      <c r="G373" s="10">
        <f t="shared" si="5"/>
        <v>72.2</v>
      </c>
    </row>
    <row r="374" s="2" customFormat="1" spans="1:7">
      <c r="A374" s="2">
        <v>278</v>
      </c>
      <c r="B374" s="9" t="str">
        <f>"20210132816"</f>
        <v>20210132816</v>
      </c>
      <c r="C374" s="9" t="s">
        <v>407</v>
      </c>
      <c r="D374" s="9" t="s">
        <v>20</v>
      </c>
      <c r="E374" s="9">
        <v>70.5</v>
      </c>
      <c r="F374" s="9">
        <v>76</v>
      </c>
      <c r="G374" s="10">
        <f t="shared" si="5"/>
        <v>72.15</v>
      </c>
    </row>
    <row r="375" s="2" customFormat="1" spans="1:7">
      <c r="A375" s="2">
        <v>279</v>
      </c>
      <c r="B375" s="9" t="str">
        <f>"20210132822"</f>
        <v>20210132822</v>
      </c>
      <c r="C375" s="9" t="s">
        <v>408</v>
      </c>
      <c r="D375" s="9" t="s">
        <v>20</v>
      </c>
      <c r="E375" s="9">
        <v>69</v>
      </c>
      <c r="F375" s="9">
        <v>79</v>
      </c>
      <c r="G375" s="10">
        <f t="shared" si="5"/>
        <v>72</v>
      </c>
    </row>
    <row r="376" s="2" customFormat="1" spans="1:7">
      <c r="A376" s="2">
        <v>280</v>
      </c>
      <c r="B376" s="9" t="str">
        <f>"20210132927"</f>
        <v>20210132927</v>
      </c>
      <c r="C376" s="9" t="s">
        <v>409</v>
      </c>
      <c r="D376" s="9" t="s">
        <v>20</v>
      </c>
      <c r="E376" s="9">
        <v>69.5</v>
      </c>
      <c r="F376" s="9">
        <v>76</v>
      </c>
      <c r="G376" s="10">
        <f t="shared" si="5"/>
        <v>71.45</v>
      </c>
    </row>
    <row r="377" s="2" customFormat="1" spans="1:7">
      <c r="A377" s="2">
        <v>281</v>
      </c>
      <c r="B377" s="9" t="str">
        <f>"20210133004"</f>
        <v>20210133004</v>
      </c>
      <c r="C377" s="9" t="s">
        <v>410</v>
      </c>
      <c r="D377" s="9" t="s">
        <v>20</v>
      </c>
      <c r="E377" s="9">
        <v>74</v>
      </c>
      <c r="F377" s="9">
        <v>61</v>
      </c>
      <c r="G377" s="10">
        <f t="shared" si="5"/>
        <v>70.1</v>
      </c>
    </row>
    <row r="378" s="2" customFormat="1" spans="1:7">
      <c r="A378" s="2">
        <v>282</v>
      </c>
      <c r="B378" s="9" t="str">
        <f>"20210133001"</f>
        <v>20210133001</v>
      </c>
      <c r="C378" s="9" t="s">
        <v>411</v>
      </c>
      <c r="D378" s="9" t="s">
        <v>20</v>
      </c>
      <c r="E378" s="9">
        <v>65</v>
      </c>
      <c r="F378" s="9">
        <v>77</v>
      </c>
      <c r="G378" s="10">
        <f t="shared" si="5"/>
        <v>68.6</v>
      </c>
    </row>
    <row r="379" s="2" customFormat="1" spans="1:7">
      <c r="A379" s="2">
        <v>283</v>
      </c>
      <c r="B379" s="9" t="str">
        <f>"20210132830"</f>
        <v>20210132830</v>
      </c>
      <c r="C379" s="9" t="s">
        <v>412</v>
      </c>
      <c r="D379" s="9" t="s">
        <v>20</v>
      </c>
      <c r="E379" s="9">
        <v>69</v>
      </c>
      <c r="F379" s="9">
        <v>67</v>
      </c>
      <c r="G379" s="10">
        <f t="shared" si="5"/>
        <v>68.4</v>
      </c>
    </row>
    <row r="380" s="2" customFormat="1" spans="1:7">
      <c r="A380" s="2">
        <v>284</v>
      </c>
      <c r="B380" s="9" t="str">
        <f>"20210132810"</f>
        <v>20210132810</v>
      </c>
      <c r="C380" s="9" t="s">
        <v>398</v>
      </c>
      <c r="D380" s="9" t="s">
        <v>20</v>
      </c>
      <c r="E380" s="9">
        <v>67.5</v>
      </c>
      <c r="F380" s="9">
        <v>69</v>
      </c>
      <c r="G380" s="10">
        <f t="shared" si="5"/>
        <v>67.95</v>
      </c>
    </row>
    <row r="381" s="2" customFormat="1" spans="1:7">
      <c r="A381" s="2">
        <v>285</v>
      </c>
      <c r="B381" s="9" t="str">
        <f>"20210132906"</f>
        <v>20210132906</v>
      </c>
      <c r="C381" s="9" t="s">
        <v>413</v>
      </c>
      <c r="D381" s="9" t="s">
        <v>20</v>
      </c>
      <c r="E381" s="9">
        <v>67.5</v>
      </c>
      <c r="F381" s="9">
        <v>68</v>
      </c>
      <c r="G381" s="10">
        <f t="shared" si="5"/>
        <v>67.65</v>
      </c>
    </row>
    <row r="382" s="2" customFormat="1" spans="1:7">
      <c r="A382" s="2">
        <v>286</v>
      </c>
      <c r="B382" s="9" t="str">
        <f>"20210132930"</f>
        <v>20210132930</v>
      </c>
      <c r="C382" s="9" t="s">
        <v>414</v>
      </c>
      <c r="D382" s="9" t="s">
        <v>20</v>
      </c>
      <c r="E382" s="9">
        <v>62</v>
      </c>
      <c r="F382" s="9">
        <v>77</v>
      </c>
      <c r="G382" s="10">
        <f t="shared" si="5"/>
        <v>66.5</v>
      </c>
    </row>
    <row r="383" s="2" customFormat="1" spans="1:7">
      <c r="A383" s="2">
        <v>287</v>
      </c>
      <c r="B383" s="9" t="str">
        <f>"20210132916"</f>
        <v>20210132916</v>
      </c>
      <c r="C383" s="9" t="s">
        <v>415</v>
      </c>
      <c r="D383" s="9" t="s">
        <v>20</v>
      </c>
      <c r="E383" s="9">
        <v>67.5</v>
      </c>
      <c r="F383" s="9">
        <v>58</v>
      </c>
      <c r="G383" s="10">
        <f t="shared" si="5"/>
        <v>64.65</v>
      </c>
    </row>
    <row r="384" s="2" customFormat="1" spans="1:7">
      <c r="A384" s="2">
        <v>288</v>
      </c>
      <c r="B384" s="9" t="str">
        <f>"20210132829"</f>
        <v>20210132829</v>
      </c>
      <c r="C384" s="9" t="s">
        <v>416</v>
      </c>
      <c r="D384" s="9" t="s">
        <v>20</v>
      </c>
      <c r="E384" s="9">
        <v>62</v>
      </c>
      <c r="F384" s="9">
        <v>69</v>
      </c>
      <c r="G384" s="10">
        <f t="shared" ref="G384:G447" si="6">E384*0.7+F384*0.3</f>
        <v>64.1</v>
      </c>
    </row>
    <row r="385" s="2" customFormat="1" spans="1:7">
      <c r="A385" s="2">
        <v>289</v>
      </c>
      <c r="B385" s="9" t="str">
        <f>"20210132925"</f>
        <v>20210132925</v>
      </c>
      <c r="C385" s="9" t="s">
        <v>417</v>
      </c>
      <c r="D385" s="9" t="s">
        <v>20</v>
      </c>
      <c r="E385" s="9">
        <v>64.5</v>
      </c>
      <c r="F385" s="9">
        <v>61</v>
      </c>
      <c r="G385" s="10">
        <f t="shared" si="6"/>
        <v>63.45</v>
      </c>
    </row>
    <row r="386" s="2" customFormat="1" spans="1:7">
      <c r="A386" s="2">
        <v>290</v>
      </c>
      <c r="B386" s="9" t="str">
        <f>"20210132812"</f>
        <v>20210132812</v>
      </c>
      <c r="C386" s="9" t="s">
        <v>418</v>
      </c>
      <c r="D386" s="9" t="s">
        <v>20</v>
      </c>
      <c r="E386" s="9">
        <v>62</v>
      </c>
      <c r="F386" s="9">
        <v>65</v>
      </c>
      <c r="G386" s="10">
        <f t="shared" si="6"/>
        <v>62.9</v>
      </c>
    </row>
    <row r="387" s="3" customFormat="1" spans="1:7">
      <c r="A387" s="2">
        <v>700</v>
      </c>
      <c r="B387" s="11" t="str">
        <f>"20210132823"</f>
        <v>20210132823</v>
      </c>
      <c r="C387" s="11" t="s">
        <v>419</v>
      </c>
      <c r="D387" s="11" t="s">
        <v>20</v>
      </c>
      <c r="E387" s="11">
        <v>68.5</v>
      </c>
      <c r="F387" s="11">
        <v>49</v>
      </c>
      <c r="G387" s="12">
        <f t="shared" si="6"/>
        <v>62.65</v>
      </c>
    </row>
    <row r="388" s="3" customFormat="1" spans="1:7">
      <c r="A388" s="2">
        <v>701</v>
      </c>
      <c r="B388" s="11" t="str">
        <f>"20210132824"</f>
        <v>20210132824</v>
      </c>
      <c r="C388" s="11" t="s">
        <v>420</v>
      </c>
      <c r="D388" s="11" t="s">
        <v>20</v>
      </c>
      <c r="E388" s="11">
        <v>57.5</v>
      </c>
      <c r="F388" s="11">
        <v>74</v>
      </c>
      <c r="G388" s="12">
        <f t="shared" si="6"/>
        <v>62.45</v>
      </c>
    </row>
    <row r="389" s="3" customFormat="1" spans="1:7">
      <c r="A389" s="2">
        <v>702</v>
      </c>
      <c r="B389" s="11" t="str">
        <f>"20210133009"</f>
        <v>20210133009</v>
      </c>
      <c r="C389" s="11" t="s">
        <v>421</v>
      </c>
      <c r="D389" s="11" t="s">
        <v>20</v>
      </c>
      <c r="E389" s="11">
        <v>61</v>
      </c>
      <c r="F389" s="11">
        <v>65</v>
      </c>
      <c r="G389" s="12">
        <f t="shared" si="6"/>
        <v>62.2</v>
      </c>
    </row>
    <row r="390" s="3" customFormat="1" spans="1:7">
      <c r="A390" s="2">
        <v>703</v>
      </c>
      <c r="B390" s="11" t="str">
        <f>"20210132825"</f>
        <v>20210132825</v>
      </c>
      <c r="C390" s="11" t="s">
        <v>422</v>
      </c>
      <c r="D390" s="11" t="s">
        <v>20</v>
      </c>
      <c r="E390" s="11">
        <v>55</v>
      </c>
      <c r="F390" s="11">
        <v>77</v>
      </c>
      <c r="G390" s="12">
        <f t="shared" si="6"/>
        <v>61.6</v>
      </c>
    </row>
    <row r="391" s="3" customFormat="1" spans="1:7">
      <c r="A391" s="2">
        <v>704</v>
      </c>
      <c r="B391" s="11" t="str">
        <f>"20210132923"</f>
        <v>20210132923</v>
      </c>
      <c r="C391" s="11" t="s">
        <v>423</v>
      </c>
      <c r="D391" s="11" t="s">
        <v>20</v>
      </c>
      <c r="E391" s="11">
        <v>60</v>
      </c>
      <c r="F391" s="11">
        <v>65</v>
      </c>
      <c r="G391" s="12">
        <f t="shared" si="6"/>
        <v>61.5</v>
      </c>
    </row>
    <row r="392" s="3" customFormat="1" spans="1:7">
      <c r="A392" s="2">
        <v>705</v>
      </c>
      <c r="B392" s="11" t="str">
        <f>"20210132918"</f>
        <v>20210132918</v>
      </c>
      <c r="C392" s="11" t="s">
        <v>424</v>
      </c>
      <c r="D392" s="11" t="s">
        <v>20</v>
      </c>
      <c r="E392" s="11">
        <v>60</v>
      </c>
      <c r="F392" s="11">
        <v>64</v>
      </c>
      <c r="G392" s="12">
        <f t="shared" si="6"/>
        <v>61.2</v>
      </c>
    </row>
    <row r="393" s="3" customFormat="1" spans="1:7">
      <c r="A393" s="2">
        <v>706</v>
      </c>
      <c r="B393" s="11" t="str">
        <f>"20210132814"</f>
        <v>20210132814</v>
      </c>
      <c r="C393" s="11" t="s">
        <v>425</v>
      </c>
      <c r="D393" s="11" t="s">
        <v>20</v>
      </c>
      <c r="E393" s="11">
        <v>53.5</v>
      </c>
      <c r="F393" s="11">
        <v>79</v>
      </c>
      <c r="G393" s="12">
        <f t="shared" si="6"/>
        <v>61.15</v>
      </c>
    </row>
    <row r="394" s="2" customFormat="1" spans="1:7">
      <c r="A394" s="2">
        <v>291</v>
      </c>
      <c r="B394" s="9" t="str">
        <f>"20210143123"</f>
        <v>20210143123</v>
      </c>
      <c r="C394" s="9" t="s">
        <v>426</v>
      </c>
      <c r="D394" s="9" t="s">
        <v>21</v>
      </c>
      <c r="E394" s="9">
        <v>74</v>
      </c>
      <c r="F394" s="9">
        <v>84</v>
      </c>
      <c r="G394" s="10">
        <f t="shared" si="6"/>
        <v>77</v>
      </c>
    </row>
    <row r="395" s="2" customFormat="1" spans="1:7">
      <c r="A395" s="2">
        <v>292</v>
      </c>
      <c r="B395" s="9" t="str">
        <f>"20210143215"</f>
        <v>20210143215</v>
      </c>
      <c r="C395" s="9" t="s">
        <v>427</v>
      </c>
      <c r="D395" s="9" t="s">
        <v>21</v>
      </c>
      <c r="E395" s="9">
        <v>75</v>
      </c>
      <c r="F395" s="9">
        <v>77</v>
      </c>
      <c r="G395" s="10">
        <f t="shared" si="6"/>
        <v>75.6</v>
      </c>
    </row>
    <row r="396" s="2" customFormat="1" spans="1:7">
      <c r="A396" s="2">
        <v>293</v>
      </c>
      <c r="B396" s="9" t="str">
        <f>"20210143124"</f>
        <v>20210143124</v>
      </c>
      <c r="C396" s="9" t="s">
        <v>428</v>
      </c>
      <c r="D396" s="9" t="s">
        <v>21</v>
      </c>
      <c r="E396" s="9">
        <v>71</v>
      </c>
      <c r="F396" s="9">
        <v>85</v>
      </c>
      <c r="G396" s="10">
        <f t="shared" si="6"/>
        <v>75.2</v>
      </c>
    </row>
    <row r="397" s="2" customFormat="1" spans="1:7">
      <c r="A397" s="2">
        <v>294</v>
      </c>
      <c r="B397" s="9" t="str">
        <f>"20210143120"</f>
        <v>20210143120</v>
      </c>
      <c r="C397" s="9" t="s">
        <v>429</v>
      </c>
      <c r="D397" s="9" t="s">
        <v>21</v>
      </c>
      <c r="E397" s="9">
        <v>69.5</v>
      </c>
      <c r="F397" s="9">
        <v>80</v>
      </c>
      <c r="G397" s="10">
        <f t="shared" si="6"/>
        <v>72.65</v>
      </c>
    </row>
    <row r="398" s="2" customFormat="1" spans="1:7">
      <c r="A398" s="2">
        <v>295</v>
      </c>
      <c r="B398" s="9" t="str">
        <f>"20210143126"</f>
        <v>20210143126</v>
      </c>
      <c r="C398" s="9" t="s">
        <v>430</v>
      </c>
      <c r="D398" s="9" t="s">
        <v>21</v>
      </c>
      <c r="E398" s="9">
        <v>69</v>
      </c>
      <c r="F398" s="9">
        <v>81</v>
      </c>
      <c r="G398" s="10">
        <f t="shared" si="6"/>
        <v>72.6</v>
      </c>
    </row>
    <row r="399" s="2" customFormat="1" spans="1:7">
      <c r="A399" s="2">
        <v>296</v>
      </c>
      <c r="B399" s="9" t="str">
        <f>"20210143016"</f>
        <v>20210143016</v>
      </c>
      <c r="C399" s="9" t="s">
        <v>431</v>
      </c>
      <c r="D399" s="9" t="s">
        <v>21</v>
      </c>
      <c r="E399" s="9">
        <v>71</v>
      </c>
      <c r="F399" s="9">
        <v>76</v>
      </c>
      <c r="G399" s="10">
        <f t="shared" si="6"/>
        <v>72.5</v>
      </c>
    </row>
    <row r="400" s="2" customFormat="1" spans="1:7">
      <c r="A400" s="2">
        <v>297</v>
      </c>
      <c r="B400" s="9" t="str">
        <f>"20210143122"</f>
        <v>20210143122</v>
      </c>
      <c r="C400" s="9" t="s">
        <v>432</v>
      </c>
      <c r="D400" s="9" t="s">
        <v>21</v>
      </c>
      <c r="E400" s="9">
        <v>67</v>
      </c>
      <c r="F400" s="9">
        <v>84</v>
      </c>
      <c r="G400" s="10">
        <f t="shared" si="6"/>
        <v>72.1</v>
      </c>
    </row>
    <row r="401" s="2" customFormat="1" spans="1:7">
      <c r="A401" s="2">
        <v>298</v>
      </c>
      <c r="B401" s="9" t="str">
        <f>"20210143209"</f>
        <v>20210143209</v>
      </c>
      <c r="C401" s="9" t="s">
        <v>433</v>
      </c>
      <c r="D401" s="9" t="s">
        <v>21</v>
      </c>
      <c r="E401" s="9">
        <v>69.5</v>
      </c>
      <c r="F401" s="9">
        <v>76</v>
      </c>
      <c r="G401" s="10">
        <f t="shared" si="6"/>
        <v>71.45</v>
      </c>
    </row>
    <row r="402" s="2" customFormat="1" spans="1:7">
      <c r="A402" s="2">
        <v>299</v>
      </c>
      <c r="B402" s="9" t="str">
        <f>"20210143218"</f>
        <v>20210143218</v>
      </c>
      <c r="C402" s="9" t="s">
        <v>434</v>
      </c>
      <c r="D402" s="9" t="s">
        <v>21</v>
      </c>
      <c r="E402" s="9">
        <v>62</v>
      </c>
      <c r="F402" s="9">
        <v>86</v>
      </c>
      <c r="G402" s="10">
        <f t="shared" si="6"/>
        <v>69.2</v>
      </c>
    </row>
    <row r="403" s="2" customFormat="1" spans="1:7">
      <c r="A403" s="2">
        <v>300</v>
      </c>
      <c r="B403" s="9" t="str">
        <f>"20210143121"</f>
        <v>20210143121</v>
      </c>
      <c r="C403" s="9" t="s">
        <v>435</v>
      </c>
      <c r="D403" s="9" t="s">
        <v>21</v>
      </c>
      <c r="E403" s="9">
        <v>65</v>
      </c>
      <c r="F403" s="9">
        <v>78</v>
      </c>
      <c r="G403" s="10">
        <f t="shared" si="6"/>
        <v>68.9</v>
      </c>
    </row>
    <row r="404" s="2" customFormat="1" spans="1:7">
      <c r="A404" s="2">
        <v>301</v>
      </c>
      <c r="B404" s="9" t="str">
        <f>"20210143220"</f>
        <v>20210143220</v>
      </c>
      <c r="C404" s="9" t="s">
        <v>436</v>
      </c>
      <c r="D404" s="9" t="s">
        <v>21</v>
      </c>
      <c r="E404" s="9">
        <v>63</v>
      </c>
      <c r="F404" s="9">
        <v>82</v>
      </c>
      <c r="G404" s="10">
        <f t="shared" si="6"/>
        <v>68.7</v>
      </c>
    </row>
    <row r="405" s="2" customFormat="1" spans="1:7">
      <c r="A405" s="2">
        <v>302</v>
      </c>
      <c r="B405" s="9" t="str">
        <f>"20210143102"</f>
        <v>20210143102</v>
      </c>
      <c r="C405" s="9" t="s">
        <v>437</v>
      </c>
      <c r="D405" s="9" t="s">
        <v>21</v>
      </c>
      <c r="E405" s="9">
        <v>69.5</v>
      </c>
      <c r="F405" s="9">
        <v>63</v>
      </c>
      <c r="G405" s="10">
        <f t="shared" si="6"/>
        <v>67.55</v>
      </c>
    </row>
    <row r="406" s="2" customFormat="1" spans="1:7">
      <c r="A406" s="2">
        <v>303</v>
      </c>
      <c r="B406" s="9" t="str">
        <f>"20210143213"</f>
        <v>20210143213</v>
      </c>
      <c r="C406" s="9" t="s">
        <v>438</v>
      </c>
      <c r="D406" s="9" t="s">
        <v>21</v>
      </c>
      <c r="E406" s="9">
        <v>59</v>
      </c>
      <c r="F406" s="9">
        <v>85</v>
      </c>
      <c r="G406" s="10">
        <f t="shared" si="6"/>
        <v>66.8</v>
      </c>
    </row>
    <row r="407" s="2" customFormat="1" spans="1:7">
      <c r="A407" s="2">
        <v>304</v>
      </c>
      <c r="B407" s="9" t="str">
        <f>"20210143107"</f>
        <v>20210143107</v>
      </c>
      <c r="C407" s="9" t="s">
        <v>439</v>
      </c>
      <c r="D407" s="9" t="s">
        <v>21</v>
      </c>
      <c r="E407" s="9">
        <v>69</v>
      </c>
      <c r="F407" s="9">
        <v>61</v>
      </c>
      <c r="G407" s="10">
        <f t="shared" si="6"/>
        <v>66.6</v>
      </c>
    </row>
    <row r="408" s="2" customFormat="1" spans="1:7">
      <c r="A408" s="2">
        <v>305</v>
      </c>
      <c r="B408" s="9" t="str">
        <f>"20210143105"</f>
        <v>20210143105</v>
      </c>
      <c r="C408" s="9" t="s">
        <v>440</v>
      </c>
      <c r="D408" s="9" t="s">
        <v>21</v>
      </c>
      <c r="E408" s="9">
        <v>59</v>
      </c>
      <c r="F408" s="9">
        <v>80</v>
      </c>
      <c r="G408" s="10">
        <f t="shared" si="6"/>
        <v>65.3</v>
      </c>
    </row>
    <row r="409" s="2" customFormat="1" spans="1:7">
      <c r="A409" s="2">
        <v>306</v>
      </c>
      <c r="B409" s="9" t="str">
        <f>"20210143119"</f>
        <v>20210143119</v>
      </c>
      <c r="C409" s="9" t="s">
        <v>441</v>
      </c>
      <c r="D409" s="9" t="s">
        <v>21</v>
      </c>
      <c r="E409" s="9">
        <v>61</v>
      </c>
      <c r="F409" s="9">
        <v>72</v>
      </c>
      <c r="G409" s="10">
        <f t="shared" si="6"/>
        <v>64.3</v>
      </c>
    </row>
    <row r="410" s="2" customFormat="1" spans="1:7">
      <c r="A410" s="2">
        <v>307</v>
      </c>
      <c r="B410" s="9" t="str">
        <f>"20210143115"</f>
        <v>20210143115</v>
      </c>
      <c r="C410" s="9" t="s">
        <v>442</v>
      </c>
      <c r="D410" s="9" t="s">
        <v>21</v>
      </c>
      <c r="E410" s="9">
        <v>65</v>
      </c>
      <c r="F410" s="9">
        <v>62</v>
      </c>
      <c r="G410" s="10">
        <f t="shared" si="6"/>
        <v>64.1</v>
      </c>
    </row>
    <row r="411" s="2" customFormat="1" spans="1:7">
      <c r="A411" s="2">
        <v>308</v>
      </c>
      <c r="B411" s="9" t="str">
        <f>"20210143108"</f>
        <v>20210143108</v>
      </c>
      <c r="C411" s="9" t="s">
        <v>443</v>
      </c>
      <c r="D411" s="9" t="s">
        <v>21</v>
      </c>
      <c r="E411" s="9">
        <v>58</v>
      </c>
      <c r="F411" s="9">
        <v>74</v>
      </c>
      <c r="G411" s="10">
        <f t="shared" si="6"/>
        <v>62.8</v>
      </c>
    </row>
    <row r="412" s="2" customFormat="1" spans="1:7">
      <c r="A412" s="2">
        <v>309</v>
      </c>
      <c r="B412" s="9" t="str">
        <f>"20210143106"</f>
        <v>20210143106</v>
      </c>
      <c r="C412" s="9" t="s">
        <v>444</v>
      </c>
      <c r="D412" s="9" t="s">
        <v>21</v>
      </c>
      <c r="E412" s="9">
        <v>57</v>
      </c>
      <c r="F412" s="9">
        <v>74</v>
      </c>
      <c r="G412" s="10">
        <f t="shared" si="6"/>
        <v>62.1</v>
      </c>
    </row>
    <row r="413" s="2" customFormat="1" spans="1:7">
      <c r="A413" s="2">
        <v>310</v>
      </c>
      <c r="B413" s="9" t="str">
        <f>"20210143206"</f>
        <v>20210143206</v>
      </c>
      <c r="C413" s="9" t="s">
        <v>445</v>
      </c>
      <c r="D413" s="9" t="s">
        <v>21</v>
      </c>
      <c r="E413" s="9">
        <v>58.5</v>
      </c>
      <c r="F413" s="9">
        <v>70</v>
      </c>
      <c r="G413" s="10">
        <f t="shared" si="6"/>
        <v>61.95</v>
      </c>
    </row>
    <row r="414" s="2" customFormat="1" spans="1:7">
      <c r="A414" s="2">
        <v>311</v>
      </c>
      <c r="B414" s="9" t="str">
        <f>"20210143204"</f>
        <v>20210143204</v>
      </c>
      <c r="C414" s="9" t="s">
        <v>446</v>
      </c>
      <c r="D414" s="9" t="s">
        <v>21</v>
      </c>
      <c r="E414" s="9">
        <v>58</v>
      </c>
      <c r="F414" s="9">
        <v>70</v>
      </c>
      <c r="G414" s="10">
        <f t="shared" si="6"/>
        <v>61.6</v>
      </c>
    </row>
    <row r="415" s="2" customFormat="1" spans="1:7">
      <c r="A415" s="2">
        <v>312</v>
      </c>
      <c r="B415" s="9" t="str">
        <f>"20210143103"</f>
        <v>20210143103</v>
      </c>
      <c r="C415" s="9" t="s">
        <v>447</v>
      </c>
      <c r="D415" s="9" t="s">
        <v>21</v>
      </c>
      <c r="E415" s="9">
        <v>51</v>
      </c>
      <c r="F415" s="9">
        <v>83</v>
      </c>
      <c r="G415" s="10">
        <f t="shared" si="6"/>
        <v>60.6</v>
      </c>
    </row>
    <row r="416" s="2" customFormat="1" spans="1:7">
      <c r="A416" s="2">
        <v>313</v>
      </c>
      <c r="B416" s="9" t="str">
        <f>"20210143214"</f>
        <v>20210143214</v>
      </c>
      <c r="C416" s="9" t="s">
        <v>448</v>
      </c>
      <c r="D416" s="9" t="s">
        <v>21</v>
      </c>
      <c r="E416" s="9">
        <v>58</v>
      </c>
      <c r="F416" s="9">
        <v>64</v>
      </c>
      <c r="G416" s="10">
        <f t="shared" si="6"/>
        <v>59.8</v>
      </c>
    </row>
    <row r="417" s="2" customFormat="1" spans="1:7">
      <c r="A417" s="2">
        <v>314</v>
      </c>
      <c r="B417" s="9" t="str">
        <f>"20210143112"</f>
        <v>20210143112</v>
      </c>
      <c r="C417" s="9" t="s">
        <v>449</v>
      </c>
      <c r="D417" s="9" t="s">
        <v>21</v>
      </c>
      <c r="E417" s="9">
        <v>57</v>
      </c>
      <c r="F417" s="9">
        <v>61</v>
      </c>
      <c r="G417" s="10">
        <f t="shared" si="6"/>
        <v>58.2</v>
      </c>
    </row>
    <row r="418" s="3" customFormat="1" spans="1:7">
      <c r="A418" s="2">
        <v>707</v>
      </c>
      <c r="B418" s="11" t="str">
        <f>"20210143027"</f>
        <v>20210143027</v>
      </c>
      <c r="C418" s="11" t="s">
        <v>450</v>
      </c>
      <c r="D418" s="11" t="s">
        <v>21</v>
      </c>
      <c r="E418" s="11">
        <v>59.5</v>
      </c>
      <c r="F418" s="11">
        <v>54</v>
      </c>
      <c r="G418" s="12">
        <f t="shared" si="6"/>
        <v>57.85</v>
      </c>
    </row>
    <row r="419" s="3" customFormat="1" spans="1:7">
      <c r="A419" s="2">
        <v>708</v>
      </c>
      <c r="B419" s="11" t="str">
        <f>"20210143219"</f>
        <v>20210143219</v>
      </c>
      <c r="C419" s="11" t="s">
        <v>451</v>
      </c>
      <c r="D419" s="11" t="s">
        <v>21</v>
      </c>
      <c r="E419" s="11">
        <v>52</v>
      </c>
      <c r="F419" s="11">
        <v>70</v>
      </c>
      <c r="G419" s="12">
        <f t="shared" si="6"/>
        <v>57.4</v>
      </c>
    </row>
    <row r="420" s="3" customFormat="1" spans="1:7">
      <c r="A420" s="2">
        <v>709</v>
      </c>
      <c r="B420" s="11" t="str">
        <f>"20210143118"</f>
        <v>20210143118</v>
      </c>
      <c r="C420" s="11" t="s">
        <v>452</v>
      </c>
      <c r="D420" s="11" t="s">
        <v>21</v>
      </c>
      <c r="E420" s="11">
        <v>58</v>
      </c>
      <c r="F420" s="11">
        <v>56</v>
      </c>
      <c r="G420" s="12">
        <f t="shared" si="6"/>
        <v>57.4</v>
      </c>
    </row>
    <row r="421" s="3" customFormat="1" spans="1:7">
      <c r="A421" s="2">
        <v>710</v>
      </c>
      <c r="B421" s="11" t="str">
        <f>"20210143104"</f>
        <v>20210143104</v>
      </c>
      <c r="C421" s="11" t="s">
        <v>453</v>
      </c>
      <c r="D421" s="11" t="s">
        <v>21</v>
      </c>
      <c r="E421" s="11">
        <v>58</v>
      </c>
      <c r="F421" s="11">
        <v>53</v>
      </c>
      <c r="G421" s="12">
        <f t="shared" si="6"/>
        <v>56.5</v>
      </c>
    </row>
    <row r="422" s="3" customFormat="1" spans="1:7">
      <c r="A422" s="2">
        <v>711</v>
      </c>
      <c r="B422" s="11" t="str">
        <f>"20210143101"</f>
        <v>20210143101</v>
      </c>
      <c r="C422" s="11" t="s">
        <v>454</v>
      </c>
      <c r="D422" s="11" t="s">
        <v>21</v>
      </c>
      <c r="E422" s="11">
        <v>46.5</v>
      </c>
      <c r="F422" s="11">
        <v>78</v>
      </c>
      <c r="G422" s="12">
        <f t="shared" si="6"/>
        <v>55.95</v>
      </c>
    </row>
    <row r="423" s="3" customFormat="1" spans="1:7">
      <c r="A423" s="2">
        <v>712</v>
      </c>
      <c r="B423" s="11" t="str">
        <f>"20210143013"</f>
        <v>20210143013</v>
      </c>
      <c r="C423" s="11" t="s">
        <v>455</v>
      </c>
      <c r="D423" s="11" t="s">
        <v>21</v>
      </c>
      <c r="E423" s="11">
        <v>53</v>
      </c>
      <c r="F423" s="11">
        <v>62</v>
      </c>
      <c r="G423" s="12">
        <f t="shared" si="6"/>
        <v>55.7</v>
      </c>
    </row>
    <row r="424" s="3" customFormat="1" spans="1:7">
      <c r="A424" s="2">
        <v>713</v>
      </c>
      <c r="B424" s="11" t="str">
        <f>"20210143025"</f>
        <v>20210143025</v>
      </c>
      <c r="C424" s="11" t="s">
        <v>456</v>
      </c>
      <c r="D424" s="11" t="s">
        <v>21</v>
      </c>
      <c r="E424" s="11">
        <v>52</v>
      </c>
      <c r="F424" s="11">
        <v>62</v>
      </c>
      <c r="G424" s="12">
        <f t="shared" si="6"/>
        <v>55</v>
      </c>
    </row>
    <row r="425" s="3" customFormat="1" spans="1:7">
      <c r="A425" s="2">
        <v>714</v>
      </c>
      <c r="B425" s="11" t="str">
        <f>"20210143201"</f>
        <v>20210143201</v>
      </c>
      <c r="C425" s="11" t="s">
        <v>457</v>
      </c>
      <c r="D425" s="11" t="s">
        <v>21</v>
      </c>
      <c r="E425" s="11">
        <v>45</v>
      </c>
      <c r="F425" s="11">
        <v>78</v>
      </c>
      <c r="G425" s="12">
        <f t="shared" si="6"/>
        <v>54.9</v>
      </c>
    </row>
    <row r="426" s="2" customFormat="1" spans="1:7">
      <c r="A426" s="2">
        <v>315</v>
      </c>
      <c r="B426" s="9" t="str">
        <f>"20210153307"</f>
        <v>20210153307</v>
      </c>
      <c r="C426" s="9" t="s">
        <v>458</v>
      </c>
      <c r="D426" s="9" t="s">
        <v>22</v>
      </c>
      <c r="E426" s="9">
        <v>89</v>
      </c>
      <c r="F426" s="9">
        <v>82</v>
      </c>
      <c r="G426" s="10">
        <f t="shared" si="6"/>
        <v>86.9</v>
      </c>
    </row>
    <row r="427" s="2" customFormat="1" spans="1:7">
      <c r="A427" s="2">
        <v>316</v>
      </c>
      <c r="B427" s="9" t="str">
        <f>"20210153329"</f>
        <v>20210153329</v>
      </c>
      <c r="C427" s="9" t="s">
        <v>459</v>
      </c>
      <c r="D427" s="9" t="s">
        <v>22</v>
      </c>
      <c r="E427" s="9">
        <v>82</v>
      </c>
      <c r="F427" s="9">
        <v>90</v>
      </c>
      <c r="G427" s="10">
        <f t="shared" si="6"/>
        <v>84.4</v>
      </c>
    </row>
    <row r="428" s="2" customFormat="1" spans="1:7">
      <c r="A428" s="2">
        <v>317</v>
      </c>
      <c r="B428" s="9" t="str">
        <f>"20210153314"</f>
        <v>20210153314</v>
      </c>
      <c r="C428" s="9" t="s">
        <v>460</v>
      </c>
      <c r="D428" s="9" t="s">
        <v>22</v>
      </c>
      <c r="E428" s="9">
        <v>83</v>
      </c>
      <c r="F428" s="9">
        <v>85</v>
      </c>
      <c r="G428" s="10">
        <f t="shared" si="6"/>
        <v>83.6</v>
      </c>
    </row>
    <row r="429" s="2" customFormat="1" spans="1:7">
      <c r="A429" s="2">
        <v>318</v>
      </c>
      <c r="B429" s="9" t="str">
        <f>"20210153421"</f>
        <v>20210153421</v>
      </c>
      <c r="C429" s="9" t="s">
        <v>461</v>
      </c>
      <c r="D429" s="9" t="s">
        <v>22</v>
      </c>
      <c r="E429" s="9">
        <v>81</v>
      </c>
      <c r="F429" s="9">
        <v>77</v>
      </c>
      <c r="G429" s="10">
        <f t="shared" si="6"/>
        <v>79.8</v>
      </c>
    </row>
    <row r="430" s="2" customFormat="1" spans="1:7">
      <c r="A430" s="2">
        <v>319</v>
      </c>
      <c r="B430" s="9" t="str">
        <f>"20210153501"</f>
        <v>20210153501</v>
      </c>
      <c r="C430" s="9" t="s">
        <v>156</v>
      </c>
      <c r="D430" s="9" t="s">
        <v>22</v>
      </c>
      <c r="E430" s="9">
        <v>77</v>
      </c>
      <c r="F430" s="9">
        <v>86</v>
      </c>
      <c r="G430" s="10">
        <f t="shared" si="6"/>
        <v>79.7</v>
      </c>
    </row>
    <row r="431" s="2" customFormat="1" spans="1:7">
      <c r="A431" s="2">
        <v>320</v>
      </c>
      <c r="B431" s="9" t="str">
        <f>"20210153413"</f>
        <v>20210153413</v>
      </c>
      <c r="C431" s="9" t="s">
        <v>462</v>
      </c>
      <c r="D431" s="9" t="s">
        <v>22</v>
      </c>
      <c r="E431" s="9">
        <v>79</v>
      </c>
      <c r="F431" s="9">
        <v>80</v>
      </c>
      <c r="G431" s="10">
        <f t="shared" si="6"/>
        <v>79.3</v>
      </c>
    </row>
    <row r="432" s="2" customFormat="1" spans="1:7">
      <c r="A432" s="2">
        <v>321</v>
      </c>
      <c r="B432" s="9" t="str">
        <f>"20210153419"</f>
        <v>20210153419</v>
      </c>
      <c r="C432" s="9" t="s">
        <v>92</v>
      </c>
      <c r="D432" s="9" t="s">
        <v>22</v>
      </c>
      <c r="E432" s="9">
        <v>76</v>
      </c>
      <c r="F432" s="9">
        <v>79</v>
      </c>
      <c r="G432" s="10">
        <f t="shared" si="6"/>
        <v>76.9</v>
      </c>
    </row>
    <row r="433" s="2" customFormat="1" spans="1:7">
      <c r="A433" s="2">
        <v>322</v>
      </c>
      <c r="B433" s="9" t="str">
        <f>"20210153301"</f>
        <v>20210153301</v>
      </c>
      <c r="C433" s="9" t="s">
        <v>463</v>
      </c>
      <c r="D433" s="9" t="s">
        <v>22</v>
      </c>
      <c r="E433" s="9">
        <v>73</v>
      </c>
      <c r="F433" s="9">
        <v>80</v>
      </c>
      <c r="G433" s="10">
        <f t="shared" si="6"/>
        <v>75.1</v>
      </c>
    </row>
    <row r="434" s="2" customFormat="1" spans="1:7">
      <c r="A434" s="2">
        <v>323</v>
      </c>
      <c r="B434" s="9" t="str">
        <f>"20210153315"</f>
        <v>20210153315</v>
      </c>
      <c r="C434" s="9" t="s">
        <v>464</v>
      </c>
      <c r="D434" s="9" t="s">
        <v>22</v>
      </c>
      <c r="E434" s="9">
        <v>72</v>
      </c>
      <c r="F434" s="9">
        <v>73</v>
      </c>
      <c r="G434" s="10">
        <f t="shared" si="6"/>
        <v>72.3</v>
      </c>
    </row>
    <row r="435" s="2" customFormat="1" spans="1:7">
      <c r="A435" s="2">
        <v>324</v>
      </c>
      <c r="B435" s="9" t="str">
        <f>"20210153503"</f>
        <v>20210153503</v>
      </c>
      <c r="C435" s="9" t="s">
        <v>465</v>
      </c>
      <c r="D435" s="9" t="s">
        <v>22</v>
      </c>
      <c r="E435" s="9">
        <v>70</v>
      </c>
      <c r="F435" s="9">
        <v>76</v>
      </c>
      <c r="G435" s="10">
        <f t="shared" si="6"/>
        <v>71.8</v>
      </c>
    </row>
    <row r="436" s="2" customFormat="1" spans="1:7">
      <c r="A436" s="2">
        <v>325</v>
      </c>
      <c r="B436" s="9" t="str">
        <f>"20210153317"</f>
        <v>20210153317</v>
      </c>
      <c r="C436" s="9" t="s">
        <v>466</v>
      </c>
      <c r="D436" s="9" t="s">
        <v>22</v>
      </c>
      <c r="E436" s="9">
        <v>69</v>
      </c>
      <c r="F436" s="9">
        <v>77</v>
      </c>
      <c r="G436" s="10">
        <f t="shared" si="6"/>
        <v>71.4</v>
      </c>
    </row>
    <row r="437" s="2" customFormat="1" spans="1:7">
      <c r="A437" s="2">
        <v>326</v>
      </c>
      <c r="B437" s="9" t="str">
        <f>"20210153311"</f>
        <v>20210153311</v>
      </c>
      <c r="C437" s="9" t="s">
        <v>467</v>
      </c>
      <c r="D437" s="9" t="s">
        <v>22</v>
      </c>
      <c r="E437" s="9">
        <v>64</v>
      </c>
      <c r="F437" s="9">
        <v>81</v>
      </c>
      <c r="G437" s="10">
        <f t="shared" si="6"/>
        <v>69.1</v>
      </c>
    </row>
    <row r="438" s="2" customFormat="1" spans="1:7">
      <c r="A438" s="2">
        <v>327</v>
      </c>
      <c r="B438" s="9" t="str">
        <f>"20210153412"</f>
        <v>20210153412</v>
      </c>
      <c r="C438" s="9" t="s">
        <v>468</v>
      </c>
      <c r="D438" s="9" t="s">
        <v>22</v>
      </c>
      <c r="E438" s="9">
        <v>66</v>
      </c>
      <c r="F438" s="9">
        <v>76</v>
      </c>
      <c r="G438" s="10">
        <f t="shared" si="6"/>
        <v>69</v>
      </c>
    </row>
    <row r="439" s="2" customFormat="1" spans="1:7">
      <c r="A439" s="2">
        <v>328</v>
      </c>
      <c r="B439" s="9" t="str">
        <f>"20210153429"</f>
        <v>20210153429</v>
      </c>
      <c r="C439" s="9" t="s">
        <v>469</v>
      </c>
      <c r="D439" s="9" t="s">
        <v>22</v>
      </c>
      <c r="E439" s="9">
        <v>73</v>
      </c>
      <c r="F439" s="9">
        <v>59</v>
      </c>
      <c r="G439" s="10">
        <f t="shared" si="6"/>
        <v>68.8</v>
      </c>
    </row>
    <row r="440" s="2" customFormat="1" spans="1:7">
      <c r="A440" s="2">
        <v>329</v>
      </c>
      <c r="B440" s="9" t="str">
        <f>"20210153322"</f>
        <v>20210153322</v>
      </c>
      <c r="C440" s="9" t="s">
        <v>470</v>
      </c>
      <c r="D440" s="9" t="s">
        <v>22</v>
      </c>
      <c r="E440" s="9">
        <v>69</v>
      </c>
      <c r="F440" s="9">
        <v>64</v>
      </c>
      <c r="G440" s="10">
        <f t="shared" si="6"/>
        <v>67.5</v>
      </c>
    </row>
    <row r="441" s="2" customFormat="1" spans="1:7">
      <c r="A441" s="2">
        <v>330</v>
      </c>
      <c r="B441" s="9" t="str">
        <f>"20210153403"</f>
        <v>20210153403</v>
      </c>
      <c r="C441" s="9" t="s">
        <v>471</v>
      </c>
      <c r="D441" s="9" t="s">
        <v>22</v>
      </c>
      <c r="E441" s="9">
        <v>65</v>
      </c>
      <c r="F441" s="9">
        <v>73</v>
      </c>
      <c r="G441" s="10">
        <f t="shared" si="6"/>
        <v>67.4</v>
      </c>
    </row>
    <row r="442" s="2" customFormat="1" spans="1:7">
      <c r="A442" s="2">
        <v>331</v>
      </c>
      <c r="B442" s="9" t="str">
        <f>"20210153430"</f>
        <v>20210153430</v>
      </c>
      <c r="C442" s="9" t="s">
        <v>472</v>
      </c>
      <c r="D442" s="9" t="s">
        <v>22</v>
      </c>
      <c r="E442" s="9">
        <v>69</v>
      </c>
      <c r="F442" s="9">
        <v>63</v>
      </c>
      <c r="G442" s="10">
        <f t="shared" si="6"/>
        <v>67.2</v>
      </c>
    </row>
    <row r="443" s="2" customFormat="1" spans="1:7">
      <c r="A443" s="2">
        <v>332</v>
      </c>
      <c r="B443" s="9" t="str">
        <f>"20210153414"</f>
        <v>20210153414</v>
      </c>
      <c r="C443" s="9" t="s">
        <v>473</v>
      </c>
      <c r="D443" s="9" t="s">
        <v>22</v>
      </c>
      <c r="E443" s="9">
        <v>64</v>
      </c>
      <c r="F443" s="9">
        <v>72</v>
      </c>
      <c r="G443" s="10">
        <f t="shared" si="6"/>
        <v>66.4</v>
      </c>
    </row>
    <row r="444" s="2" customFormat="1" spans="1:7">
      <c r="A444" s="2">
        <v>333</v>
      </c>
      <c r="B444" s="9" t="str">
        <f>"20210153425"</f>
        <v>20210153425</v>
      </c>
      <c r="C444" s="9" t="s">
        <v>474</v>
      </c>
      <c r="D444" s="9" t="s">
        <v>22</v>
      </c>
      <c r="E444" s="9">
        <v>60</v>
      </c>
      <c r="F444" s="9">
        <v>80</v>
      </c>
      <c r="G444" s="10">
        <f t="shared" si="6"/>
        <v>66</v>
      </c>
    </row>
    <row r="445" s="2" customFormat="1" spans="1:7">
      <c r="A445" s="2">
        <v>334</v>
      </c>
      <c r="B445" s="9" t="str">
        <f>"20210153502"</f>
        <v>20210153502</v>
      </c>
      <c r="C445" s="9" t="s">
        <v>475</v>
      </c>
      <c r="D445" s="9" t="s">
        <v>22</v>
      </c>
      <c r="E445" s="9">
        <v>67</v>
      </c>
      <c r="F445" s="9">
        <v>63</v>
      </c>
      <c r="G445" s="10">
        <f t="shared" si="6"/>
        <v>65.8</v>
      </c>
    </row>
    <row r="446" s="2" customFormat="1" spans="1:7">
      <c r="A446" s="2">
        <v>335</v>
      </c>
      <c r="B446" s="9" t="str">
        <f>"20210153423"</f>
        <v>20210153423</v>
      </c>
      <c r="C446" s="9" t="s">
        <v>476</v>
      </c>
      <c r="D446" s="9" t="s">
        <v>22</v>
      </c>
      <c r="E446" s="9">
        <v>66.5</v>
      </c>
      <c r="F446" s="9">
        <v>52</v>
      </c>
      <c r="G446" s="10">
        <f t="shared" si="6"/>
        <v>62.15</v>
      </c>
    </row>
    <row r="447" s="2" customFormat="1" spans="1:7">
      <c r="A447" s="2">
        <v>336</v>
      </c>
      <c r="B447" s="9" t="str">
        <f>"20210153223"</f>
        <v>20210153223</v>
      </c>
      <c r="C447" s="9" t="s">
        <v>477</v>
      </c>
      <c r="D447" s="9" t="s">
        <v>22</v>
      </c>
      <c r="E447" s="9">
        <v>61</v>
      </c>
      <c r="F447" s="9">
        <v>63</v>
      </c>
      <c r="G447" s="10">
        <f t="shared" si="6"/>
        <v>61.6</v>
      </c>
    </row>
    <row r="448" s="2" customFormat="1" spans="1:7">
      <c r="A448" s="2">
        <v>337</v>
      </c>
      <c r="B448" s="9" t="str">
        <f>"20210153410"</f>
        <v>20210153410</v>
      </c>
      <c r="C448" s="9" t="s">
        <v>478</v>
      </c>
      <c r="D448" s="9" t="s">
        <v>22</v>
      </c>
      <c r="E448" s="9">
        <v>61</v>
      </c>
      <c r="F448" s="9">
        <v>63</v>
      </c>
      <c r="G448" s="10">
        <f t="shared" ref="G448:G511" si="7">E448*0.7+F448*0.3</f>
        <v>61.6</v>
      </c>
    </row>
    <row r="449" s="3" customFormat="1" spans="1:7">
      <c r="A449" s="2">
        <v>715</v>
      </c>
      <c r="B449" s="11" t="str">
        <f>"20210153418"</f>
        <v>20210153418</v>
      </c>
      <c r="C449" s="11" t="s">
        <v>479</v>
      </c>
      <c r="D449" s="11" t="s">
        <v>22</v>
      </c>
      <c r="E449" s="11">
        <v>59</v>
      </c>
      <c r="F449" s="11">
        <v>65</v>
      </c>
      <c r="G449" s="12">
        <f t="shared" si="7"/>
        <v>60.8</v>
      </c>
    </row>
    <row r="450" s="3" customFormat="1" spans="1:7">
      <c r="A450" s="2">
        <v>716</v>
      </c>
      <c r="B450" s="11" t="str">
        <f>"20210153424"</f>
        <v>20210153424</v>
      </c>
      <c r="C450" s="11" t="s">
        <v>480</v>
      </c>
      <c r="D450" s="11" t="s">
        <v>22</v>
      </c>
      <c r="E450" s="11">
        <v>59</v>
      </c>
      <c r="F450" s="11">
        <v>65</v>
      </c>
      <c r="G450" s="12">
        <f t="shared" si="7"/>
        <v>60.8</v>
      </c>
    </row>
    <row r="451" s="3" customFormat="1" spans="1:7">
      <c r="A451" s="2">
        <v>717</v>
      </c>
      <c r="B451" s="11" t="str">
        <f>"20210153226"</f>
        <v>20210153226</v>
      </c>
      <c r="C451" s="11" t="s">
        <v>481</v>
      </c>
      <c r="D451" s="11" t="s">
        <v>22</v>
      </c>
      <c r="E451" s="11">
        <v>53</v>
      </c>
      <c r="F451" s="11">
        <v>77</v>
      </c>
      <c r="G451" s="12">
        <f t="shared" si="7"/>
        <v>60.2</v>
      </c>
    </row>
    <row r="452" s="3" customFormat="1" spans="1:7">
      <c r="A452" s="2">
        <v>718</v>
      </c>
      <c r="B452" s="11" t="str">
        <f>"20210153320"</f>
        <v>20210153320</v>
      </c>
      <c r="C452" s="11" t="s">
        <v>482</v>
      </c>
      <c r="D452" s="11" t="s">
        <v>22</v>
      </c>
      <c r="E452" s="11">
        <v>54</v>
      </c>
      <c r="F452" s="11">
        <v>74</v>
      </c>
      <c r="G452" s="12">
        <f t="shared" si="7"/>
        <v>60</v>
      </c>
    </row>
    <row r="453" s="3" customFormat="1" spans="1:7">
      <c r="A453" s="2">
        <v>719</v>
      </c>
      <c r="B453" s="11" t="str">
        <f>"20210153328"</f>
        <v>20210153328</v>
      </c>
      <c r="C453" s="11" t="s">
        <v>483</v>
      </c>
      <c r="D453" s="11" t="s">
        <v>22</v>
      </c>
      <c r="E453" s="11">
        <v>61</v>
      </c>
      <c r="F453" s="11">
        <v>56</v>
      </c>
      <c r="G453" s="12">
        <f t="shared" si="7"/>
        <v>59.5</v>
      </c>
    </row>
    <row r="454" s="3" customFormat="1" spans="1:7">
      <c r="A454" s="2">
        <v>720</v>
      </c>
      <c r="B454" s="11" t="str">
        <f>"20210153422"</f>
        <v>20210153422</v>
      </c>
      <c r="C454" s="11" t="s">
        <v>484</v>
      </c>
      <c r="D454" s="11" t="s">
        <v>22</v>
      </c>
      <c r="E454" s="11">
        <v>52</v>
      </c>
      <c r="F454" s="11">
        <v>75</v>
      </c>
      <c r="G454" s="12">
        <f t="shared" si="7"/>
        <v>58.9</v>
      </c>
    </row>
    <row r="455" s="3" customFormat="1" spans="1:7">
      <c r="A455" s="2">
        <v>721</v>
      </c>
      <c r="B455" s="11" t="str">
        <f>"20210153405"</f>
        <v>20210153405</v>
      </c>
      <c r="C455" s="11" t="s">
        <v>485</v>
      </c>
      <c r="D455" s="11" t="s">
        <v>22</v>
      </c>
      <c r="E455" s="11">
        <v>62</v>
      </c>
      <c r="F455" s="11">
        <v>49</v>
      </c>
      <c r="G455" s="12">
        <f t="shared" si="7"/>
        <v>58.1</v>
      </c>
    </row>
    <row r="456" s="3" customFormat="1" spans="1:7">
      <c r="A456" s="2">
        <v>722</v>
      </c>
      <c r="B456" s="11" t="str">
        <f>"20210153417"</f>
        <v>20210153417</v>
      </c>
      <c r="C456" s="11" t="s">
        <v>486</v>
      </c>
      <c r="D456" s="11" t="s">
        <v>22</v>
      </c>
      <c r="E456" s="11">
        <v>55.5</v>
      </c>
      <c r="F456" s="11">
        <v>63</v>
      </c>
      <c r="G456" s="12">
        <f t="shared" si="7"/>
        <v>57.75</v>
      </c>
    </row>
    <row r="457" s="3" customFormat="1" spans="1:7">
      <c r="A457" s="2">
        <v>723</v>
      </c>
      <c r="B457" s="11" t="str">
        <f>"20210153230"</f>
        <v>20210153230</v>
      </c>
      <c r="C457" s="11" t="s">
        <v>487</v>
      </c>
      <c r="D457" s="11" t="s">
        <v>22</v>
      </c>
      <c r="E457" s="11">
        <v>60</v>
      </c>
      <c r="F457" s="11">
        <v>49</v>
      </c>
      <c r="G457" s="12">
        <f t="shared" si="7"/>
        <v>56.7</v>
      </c>
    </row>
    <row r="458" s="2" customFormat="1" spans="1:7">
      <c r="A458" s="2">
        <v>338</v>
      </c>
      <c r="B458" s="9" t="str">
        <f>"20210163611"</f>
        <v>20210163611</v>
      </c>
      <c r="C458" s="9" t="s">
        <v>488</v>
      </c>
      <c r="D458" s="9" t="s">
        <v>23</v>
      </c>
      <c r="E458" s="9">
        <v>86</v>
      </c>
      <c r="F458" s="9">
        <v>82</v>
      </c>
      <c r="G458" s="10">
        <f t="shared" si="7"/>
        <v>84.8</v>
      </c>
    </row>
    <row r="459" s="2" customFormat="1" spans="1:7">
      <c r="A459" s="2">
        <v>339</v>
      </c>
      <c r="B459" s="9" t="str">
        <f>"20210163701"</f>
        <v>20210163701</v>
      </c>
      <c r="C459" s="9" t="s">
        <v>489</v>
      </c>
      <c r="D459" s="9" t="s">
        <v>23</v>
      </c>
      <c r="E459" s="9">
        <v>78</v>
      </c>
      <c r="F459" s="9">
        <v>88</v>
      </c>
      <c r="G459" s="10">
        <f t="shared" si="7"/>
        <v>81</v>
      </c>
    </row>
    <row r="460" s="2" customFormat="1" spans="1:7">
      <c r="A460" s="2">
        <v>340</v>
      </c>
      <c r="B460" s="9" t="str">
        <f>"20210163514"</f>
        <v>20210163514</v>
      </c>
      <c r="C460" s="9" t="s">
        <v>490</v>
      </c>
      <c r="D460" s="9" t="s">
        <v>23</v>
      </c>
      <c r="E460" s="9">
        <v>75</v>
      </c>
      <c r="F460" s="9">
        <v>88</v>
      </c>
      <c r="G460" s="10">
        <f t="shared" si="7"/>
        <v>78.9</v>
      </c>
    </row>
    <row r="461" s="2" customFormat="1" spans="1:7">
      <c r="A461" s="2">
        <v>341</v>
      </c>
      <c r="B461" s="9" t="str">
        <f>"20210163603"</f>
        <v>20210163603</v>
      </c>
      <c r="C461" s="9" t="s">
        <v>491</v>
      </c>
      <c r="D461" s="9" t="s">
        <v>23</v>
      </c>
      <c r="E461" s="9">
        <v>77</v>
      </c>
      <c r="F461" s="9">
        <v>81</v>
      </c>
      <c r="G461" s="10">
        <f t="shared" si="7"/>
        <v>78.2</v>
      </c>
    </row>
    <row r="462" s="2" customFormat="1" spans="1:7">
      <c r="A462" s="2">
        <v>342</v>
      </c>
      <c r="B462" s="9" t="str">
        <f>"20210163607"</f>
        <v>20210163607</v>
      </c>
      <c r="C462" s="9" t="s">
        <v>492</v>
      </c>
      <c r="D462" s="9" t="s">
        <v>23</v>
      </c>
      <c r="E462" s="9">
        <v>71</v>
      </c>
      <c r="F462" s="9">
        <v>82</v>
      </c>
      <c r="G462" s="10">
        <f t="shared" si="7"/>
        <v>74.3</v>
      </c>
    </row>
    <row r="463" s="2" customFormat="1" spans="1:7">
      <c r="A463" s="2">
        <v>343</v>
      </c>
      <c r="B463" s="9" t="str">
        <f>"20210163516"</f>
        <v>20210163516</v>
      </c>
      <c r="C463" s="9" t="s">
        <v>493</v>
      </c>
      <c r="D463" s="9" t="s">
        <v>23</v>
      </c>
      <c r="E463" s="9">
        <v>67</v>
      </c>
      <c r="F463" s="9">
        <v>87</v>
      </c>
      <c r="G463" s="10">
        <f t="shared" si="7"/>
        <v>73</v>
      </c>
    </row>
    <row r="464" s="2" customFormat="1" spans="1:7">
      <c r="A464" s="2">
        <v>344</v>
      </c>
      <c r="B464" s="9" t="str">
        <f>"20210163619"</f>
        <v>20210163619</v>
      </c>
      <c r="C464" s="9" t="s">
        <v>494</v>
      </c>
      <c r="D464" s="9" t="s">
        <v>23</v>
      </c>
      <c r="E464" s="9">
        <v>72</v>
      </c>
      <c r="F464" s="9">
        <v>68</v>
      </c>
      <c r="G464" s="10">
        <f t="shared" si="7"/>
        <v>70.8</v>
      </c>
    </row>
    <row r="465" s="2" customFormat="1" spans="1:7">
      <c r="A465" s="2">
        <v>345</v>
      </c>
      <c r="B465" s="9" t="str">
        <f>"20210163613"</f>
        <v>20210163613</v>
      </c>
      <c r="C465" s="9" t="s">
        <v>495</v>
      </c>
      <c r="D465" s="9" t="s">
        <v>23</v>
      </c>
      <c r="E465" s="9">
        <v>66</v>
      </c>
      <c r="F465" s="9">
        <v>81</v>
      </c>
      <c r="G465" s="10">
        <f t="shared" si="7"/>
        <v>70.5</v>
      </c>
    </row>
    <row r="466" s="2" customFormat="1" spans="1:7">
      <c r="A466" s="2">
        <v>346</v>
      </c>
      <c r="B466" s="9" t="str">
        <f>"20210163524"</f>
        <v>20210163524</v>
      </c>
      <c r="C466" s="9" t="s">
        <v>496</v>
      </c>
      <c r="D466" s="9" t="s">
        <v>23</v>
      </c>
      <c r="E466" s="9">
        <v>71.5</v>
      </c>
      <c r="F466" s="9">
        <v>68</v>
      </c>
      <c r="G466" s="10">
        <f t="shared" si="7"/>
        <v>70.45</v>
      </c>
    </row>
    <row r="467" s="2" customFormat="1" spans="1:7">
      <c r="A467" s="2">
        <v>347</v>
      </c>
      <c r="B467" s="9" t="str">
        <f>"20210163506"</f>
        <v>20210163506</v>
      </c>
      <c r="C467" s="9" t="s">
        <v>497</v>
      </c>
      <c r="D467" s="9" t="s">
        <v>23</v>
      </c>
      <c r="E467" s="9">
        <v>70</v>
      </c>
      <c r="F467" s="9">
        <v>71</v>
      </c>
      <c r="G467" s="10">
        <f t="shared" si="7"/>
        <v>70.3</v>
      </c>
    </row>
    <row r="468" s="2" customFormat="1" spans="1:7">
      <c r="A468" s="2">
        <v>348</v>
      </c>
      <c r="B468" s="9" t="str">
        <f>"20210163606"</f>
        <v>20210163606</v>
      </c>
      <c r="C468" s="9" t="s">
        <v>498</v>
      </c>
      <c r="D468" s="9" t="s">
        <v>23</v>
      </c>
      <c r="E468" s="9">
        <v>69</v>
      </c>
      <c r="F468" s="9">
        <v>73</v>
      </c>
      <c r="G468" s="10">
        <f t="shared" si="7"/>
        <v>70.2</v>
      </c>
    </row>
    <row r="469" s="2" customFormat="1" spans="1:7">
      <c r="A469" s="2">
        <v>349</v>
      </c>
      <c r="B469" s="9" t="str">
        <f>"20210163610"</f>
        <v>20210163610</v>
      </c>
      <c r="C469" s="9" t="s">
        <v>499</v>
      </c>
      <c r="D469" s="9" t="s">
        <v>23</v>
      </c>
      <c r="E469" s="9">
        <v>73</v>
      </c>
      <c r="F469" s="9">
        <v>63</v>
      </c>
      <c r="G469" s="10">
        <f t="shared" si="7"/>
        <v>70</v>
      </c>
    </row>
    <row r="470" s="2" customFormat="1" spans="1:7">
      <c r="A470" s="2">
        <v>350</v>
      </c>
      <c r="B470" s="9" t="str">
        <f>"20210163512"</f>
        <v>20210163512</v>
      </c>
      <c r="C470" s="9" t="s">
        <v>500</v>
      </c>
      <c r="D470" s="9" t="s">
        <v>23</v>
      </c>
      <c r="E470" s="9">
        <v>64</v>
      </c>
      <c r="F470" s="9">
        <v>77</v>
      </c>
      <c r="G470" s="10">
        <f t="shared" si="7"/>
        <v>67.9</v>
      </c>
    </row>
    <row r="471" s="2" customFormat="1" spans="1:7">
      <c r="A471" s="2">
        <v>351</v>
      </c>
      <c r="B471" s="9" t="str">
        <f>"20210163609"</f>
        <v>20210163609</v>
      </c>
      <c r="C471" s="9" t="s">
        <v>122</v>
      </c>
      <c r="D471" s="9" t="s">
        <v>23</v>
      </c>
      <c r="E471" s="9">
        <v>66</v>
      </c>
      <c r="F471" s="9">
        <v>66</v>
      </c>
      <c r="G471" s="10">
        <f t="shared" si="7"/>
        <v>66</v>
      </c>
    </row>
    <row r="472" s="2" customFormat="1" spans="1:7">
      <c r="A472" s="2">
        <v>352</v>
      </c>
      <c r="B472" s="9" t="str">
        <f>"20210163604"</f>
        <v>20210163604</v>
      </c>
      <c r="C472" s="9" t="s">
        <v>501</v>
      </c>
      <c r="D472" s="9" t="s">
        <v>23</v>
      </c>
      <c r="E472" s="9">
        <v>62</v>
      </c>
      <c r="F472" s="9">
        <v>72</v>
      </c>
      <c r="G472" s="10">
        <f t="shared" si="7"/>
        <v>65</v>
      </c>
    </row>
    <row r="473" s="2" customFormat="1" spans="1:7">
      <c r="A473" s="2">
        <v>353</v>
      </c>
      <c r="B473" s="9" t="str">
        <f>"20210163530"</f>
        <v>20210163530</v>
      </c>
      <c r="C473" s="9" t="s">
        <v>502</v>
      </c>
      <c r="D473" s="9" t="s">
        <v>23</v>
      </c>
      <c r="E473" s="9">
        <v>56</v>
      </c>
      <c r="F473" s="9">
        <v>85</v>
      </c>
      <c r="G473" s="10">
        <f t="shared" si="7"/>
        <v>64.7</v>
      </c>
    </row>
    <row r="474" s="2" customFormat="1" spans="1:7">
      <c r="A474" s="2">
        <v>354</v>
      </c>
      <c r="B474" s="9" t="str">
        <f>"20210163526"</f>
        <v>20210163526</v>
      </c>
      <c r="C474" s="9" t="s">
        <v>503</v>
      </c>
      <c r="D474" s="9" t="s">
        <v>23</v>
      </c>
      <c r="E474" s="9">
        <v>69</v>
      </c>
      <c r="F474" s="9">
        <v>52</v>
      </c>
      <c r="G474" s="10">
        <f t="shared" si="7"/>
        <v>63.9</v>
      </c>
    </row>
    <row r="475" s="2" customFormat="1" spans="1:7">
      <c r="A475" s="2">
        <v>355</v>
      </c>
      <c r="B475" s="9" t="str">
        <f>"20210163521"</f>
        <v>20210163521</v>
      </c>
      <c r="C475" s="9" t="s">
        <v>504</v>
      </c>
      <c r="D475" s="9" t="s">
        <v>23</v>
      </c>
      <c r="E475" s="9">
        <v>61.5</v>
      </c>
      <c r="F475" s="9">
        <v>65</v>
      </c>
      <c r="G475" s="10">
        <f t="shared" si="7"/>
        <v>62.55</v>
      </c>
    </row>
    <row r="476" s="2" customFormat="1" spans="1:7">
      <c r="A476" s="2">
        <v>356</v>
      </c>
      <c r="B476" s="9" t="str">
        <f>"20210163618"</f>
        <v>20210163618</v>
      </c>
      <c r="C476" s="9" t="s">
        <v>505</v>
      </c>
      <c r="D476" s="9" t="s">
        <v>23</v>
      </c>
      <c r="E476" s="9">
        <v>67.5</v>
      </c>
      <c r="F476" s="9">
        <v>51</v>
      </c>
      <c r="G476" s="10">
        <f t="shared" si="7"/>
        <v>62.55</v>
      </c>
    </row>
    <row r="477" s="2" customFormat="1" spans="1:7">
      <c r="A477" s="2">
        <v>357</v>
      </c>
      <c r="B477" s="9" t="str">
        <f>"20210163508"</f>
        <v>20210163508</v>
      </c>
      <c r="C477" s="9" t="s">
        <v>506</v>
      </c>
      <c r="D477" s="9" t="s">
        <v>23</v>
      </c>
      <c r="E477" s="9">
        <v>63</v>
      </c>
      <c r="F477" s="9">
        <v>61</v>
      </c>
      <c r="G477" s="10">
        <f t="shared" si="7"/>
        <v>62.4</v>
      </c>
    </row>
    <row r="478" s="2" customFormat="1" spans="1:7">
      <c r="A478" s="2">
        <v>358</v>
      </c>
      <c r="B478" s="9" t="str">
        <f>"20210163511"</f>
        <v>20210163511</v>
      </c>
      <c r="C478" s="9" t="s">
        <v>507</v>
      </c>
      <c r="D478" s="9" t="s">
        <v>23</v>
      </c>
      <c r="E478" s="9">
        <v>62.5</v>
      </c>
      <c r="F478" s="9">
        <v>61</v>
      </c>
      <c r="G478" s="10">
        <f t="shared" si="7"/>
        <v>62.05</v>
      </c>
    </row>
    <row r="479" s="2" customFormat="1" spans="1:7">
      <c r="A479" s="2">
        <v>359</v>
      </c>
      <c r="B479" s="9" t="str">
        <f>"20210163505"</f>
        <v>20210163505</v>
      </c>
      <c r="C479" s="9" t="s">
        <v>508</v>
      </c>
      <c r="D479" s="9" t="s">
        <v>23</v>
      </c>
      <c r="E479" s="9">
        <v>55.5</v>
      </c>
      <c r="F479" s="9">
        <v>77</v>
      </c>
      <c r="G479" s="10">
        <f t="shared" si="7"/>
        <v>61.95</v>
      </c>
    </row>
    <row r="480" s="2" customFormat="1" spans="1:7">
      <c r="A480" s="2">
        <v>360</v>
      </c>
      <c r="B480" s="9" t="str">
        <f>"20210163625"</f>
        <v>20210163625</v>
      </c>
      <c r="C480" s="9" t="s">
        <v>509</v>
      </c>
      <c r="D480" s="9" t="s">
        <v>23</v>
      </c>
      <c r="E480" s="9">
        <v>64</v>
      </c>
      <c r="F480" s="9">
        <v>50</v>
      </c>
      <c r="G480" s="10">
        <f t="shared" si="7"/>
        <v>59.8</v>
      </c>
    </row>
    <row r="481" s="3" customFormat="1" spans="1:7">
      <c r="A481" s="2">
        <v>724</v>
      </c>
      <c r="B481" s="11" t="str">
        <f>"20210163629"</f>
        <v>20210163629</v>
      </c>
      <c r="C481" s="11" t="s">
        <v>510</v>
      </c>
      <c r="D481" s="11" t="s">
        <v>23</v>
      </c>
      <c r="E481" s="11">
        <v>55</v>
      </c>
      <c r="F481" s="11">
        <v>70</v>
      </c>
      <c r="G481" s="12">
        <f t="shared" si="7"/>
        <v>59.5</v>
      </c>
    </row>
    <row r="482" s="3" customFormat="1" spans="1:7">
      <c r="A482" s="2">
        <v>725</v>
      </c>
      <c r="B482" s="11" t="str">
        <f>"20210163525"</f>
        <v>20210163525</v>
      </c>
      <c r="C482" s="11" t="s">
        <v>511</v>
      </c>
      <c r="D482" s="11" t="s">
        <v>23</v>
      </c>
      <c r="E482" s="11">
        <v>57.5</v>
      </c>
      <c r="F482" s="11">
        <v>64</v>
      </c>
      <c r="G482" s="12">
        <f t="shared" si="7"/>
        <v>59.45</v>
      </c>
    </row>
    <row r="483" s="3" customFormat="1" spans="1:7">
      <c r="A483" s="2">
        <v>726</v>
      </c>
      <c r="B483" s="11" t="str">
        <f>"20210163510"</f>
        <v>20210163510</v>
      </c>
      <c r="C483" s="11" t="s">
        <v>512</v>
      </c>
      <c r="D483" s="11" t="s">
        <v>23</v>
      </c>
      <c r="E483" s="11">
        <v>59</v>
      </c>
      <c r="F483" s="11">
        <v>59</v>
      </c>
      <c r="G483" s="12">
        <f t="shared" si="7"/>
        <v>59</v>
      </c>
    </row>
    <row r="484" s="3" customFormat="1" spans="1:7">
      <c r="A484" s="2">
        <v>727</v>
      </c>
      <c r="B484" s="11" t="str">
        <f>"20210163616"</f>
        <v>20210163616</v>
      </c>
      <c r="C484" s="11" t="s">
        <v>513</v>
      </c>
      <c r="D484" s="11" t="s">
        <v>23</v>
      </c>
      <c r="E484" s="11">
        <v>53</v>
      </c>
      <c r="F484" s="11">
        <v>73</v>
      </c>
      <c r="G484" s="12">
        <f t="shared" si="7"/>
        <v>59</v>
      </c>
    </row>
    <row r="485" s="3" customFormat="1" spans="1:7">
      <c r="A485" s="2">
        <v>728</v>
      </c>
      <c r="B485" s="11" t="str">
        <f>"20210163520"</f>
        <v>20210163520</v>
      </c>
      <c r="C485" s="11" t="s">
        <v>514</v>
      </c>
      <c r="D485" s="11" t="s">
        <v>23</v>
      </c>
      <c r="E485" s="11">
        <v>55.5</v>
      </c>
      <c r="F485" s="11">
        <v>59</v>
      </c>
      <c r="G485" s="12">
        <f t="shared" si="7"/>
        <v>56.55</v>
      </c>
    </row>
    <row r="486" s="3" customFormat="1" spans="1:7">
      <c r="A486" s="2">
        <v>729</v>
      </c>
      <c r="B486" s="11" t="str">
        <f>"20210163507"</f>
        <v>20210163507</v>
      </c>
      <c r="C486" s="11" t="s">
        <v>515</v>
      </c>
      <c r="D486" s="11" t="s">
        <v>23</v>
      </c>
      <c r="E486" s="11">
        <v>56</v>
      </c>
      <c r="F486" s="11">
        <v>56</v>
      </c>
      <c r="G486" s="12">
        <f t="shared" si="7"/>
        <v>56</v>
      </c>
    </row>
    <row r="487" s="3" customFormat="1" spans="1:7">
      <c r="A487" s="2">
        <v>730</v>
      </c>
      <c r="B487" s="11" t="str">
        <f>"20210163528"</f>
        <v>20210163528</v>
      </c>
      <c r="C487" s="11" t="s">
        <v>516</v>
      </c>
      <c r="D487" s="11" t="s">
        <v>23</v>
      </c>
      <c r="E487" s="11">
        <v>56</v>
      </c>
      <c r="F487" s="11">
        <v>54</v>
      </c>
      <c r="G487" s="12">
        <f t="shared" si="7"/>
        <v>55.4</v>
      </c>
    </row>
    <row r="488" s="2" customFormat="1" spans="1:7">
      <c r="A488" s="2">
        <v>361</v>
      </c>
      <c r="B488" s="9" t="str">
        <f>"20210173724"</f>
        <v>20210173724</v>
      </c>
      <c r="C488" s="9" t="s">
        <v>517</v>
      </c>
      <c r="D488" s="9" t="s">
        <v>24</v>
      </c>
      <c r="E488" s="9">
        <v>70.5</v>
      </c>
      <c r="F488" s="9">
        <v>79</v>
      </c>
      <c r="G488" s="10">
        <f t="shared" si="7"/>
        <v>73.05</v>
      </c>
    </row>
    <row r="489" s="2" customFormat="1" spans="1:7">
      <c r="A489" s="2">
        <v>362</v>
      </c>
      <c r="B489" s="9" t="str">
        <f>"20210173726"</f>
        <v>20210173726</v>
      </c>
      <c r="C489" s="9" t="s">
        <v>518</v>
      </c>
      <c r="D489" s="9" t="s">
        <v>24</v>
      </c>
      <c r="E489" s="9">
        <v>64</v>
      </c>
      <c r="F489" s="9">
        <v>88</v>
      </c>
      <c r="G489" s="10">
        <f t="shared" si="7"/>
        <v>71.2</v>
      </c>
    </row>
    <row r="490" s="2" customFormat="1" spans="1:7">
      <c r="A490" s="2">
        <v>363</v>
      </c>
      <c r="B490" s="9" t="str">
        <f>"20210173715"</f>
        <v>20210173715</v>
      </c>
      <c r="C490" s="9" t="s">
        <v>519</v>
      </c>
      <c r="D490" s="9" t="s">
        <v>24</v>
      </c>
      <c r="E490" s="9">
        <v>71</v>
      </c>
      <c r="F490" s="9">
        <v>69</v>
      </c>
      <c r="G490" s="10">
        <f t="shared" si="7"/>
        <v>70.4</v>
      </c>
    </row>
    <row r="491" s="2" customFormat="1" spans="1:7">
      <c r="A491" s="2">
        <v>364</v>
      </c>
      <c r="B491" s="9" t="str">
        <f>"20210173824"</f>
        <v>20210173824</v>
      </c>
      <c r="C491" s="9" t="s">
        <v>520</v>
      </c>
      <c r="D491" s="9" t="s">
        <v>24</v>
      </c>
      <c r="E491" s="9">
        <v>57</v>
      </c>
      <c r="F491" s="9">
        <v>92</v>
      </c>
      <c r="G491" s="10">
        <f t="shared" si="7"/>
        <v>67.5</v>
      </c>
    </row>
    <row r="492" s="2" customFormat="1" spans="1:7">
      <c r="A492" s="2">
        <v>365</v>
      </c>
      <c r="B492" s="9" t="str">
        <f>"20210173826"</f>
        <v>20210173826</v>
      </c>
      <c r="C492" s="9" t="s">
        <v>521</v>
      </c>
      <c r="D492" s="9" t="s">
        <v>24</v>
      </c>
      <c r="E492" s="9">
        <v>62</v>
      </c>
      <c r="F492" s="9">
        <v>80</v>
      </c>
      <c r="G492" s="10">
        <f t="shared" si="7"/>
        <v>67.4</v>
      </c>
    </row>
    <row r="493" s="2" customFormat="1" spans="1:7">
      <c r="A493" s="2">
        <v>366</v>
      </c>
      <c r="B493" s="9" t="str">
        <f>"20210173811"</f>
        <v>20210173811</v>
      </c>
      <c r="C493" s="9" t="s">
        <v>522</v>
      </c>
      <c r="D493" s="9" t="s">
        <v>24</v>
      </c>
      <c r="E493" s="9">
        <v>63</v>
      </c>
      <c r="F493" s="9">
        <v>77</v>
      </c>
      <c r="G493" s="10">
        <f t="shared" si="7"/>
        <v>67.2</v>
      </c>
    </row>
    <row r="494" s="2" customFormat="1" spans="1:7">
      <c r="A494" s="2">
        <v>367</v>
      </c>
      <c r="B494" s="9" t="str">
        <f>"20210173707"</f>
        <v>20210173707</v>
      </c>
      <c r="C494" s="9" t="s">
        <v>523</v>
      </c>
      <c r="D494" s="9" t="s">
        <v>24</v>
      </c>
      <c r="E494" s="9">
        <v>63</v>
      </c>
      <c r="F494" s="9">
        <v>75</v>
      </c>
      <c r="G494" s="10">
        <f t="shared" si="7"/>
        <v>66.6</v>
      </c>
    </row>
    <row r="495" s="2" customFormat="1" spans="1:7">
      <c r="A495" s="2">
        <v>368</v>
      </c>
      <c r="B495" s="9" t="str">
        <f>"20210173816"</f>
        <v>20210173816</v>
      </c>
      <c r="C495" s="9" t="s">
        <v>524</v>
      </c>
      <c r="D495" s="9" t="s">
        <v>24</v>
      </c>
      <c r="E495" s="9">
        <v>71</v>
      </c>
      <c r="F495" s="9">
        <v>55</v>
      </c>
      <c r="G495" s="10">
        <f t="shared" si="7"/>
        <v>66.2</v>
      </c>
    </row>
    <row r="496" s="2" customFormat="1" spans="1:7">
      <c r="A496" s="2">
        <v>369</v>
      </c>
      <c r="B496" s="9" t="str">
        <f>"20210173712"</f>
        <v>20210173712</v>
      </c>
      <c r="C496" s="9" t="s">
        <v>525</v>
      </c>
      <c r="D496" s="9" t="s">
        <v>24</v>
      </c>
      <c r="E496" s="9">
        <v>64</v>
      </c>
      <c r="F496" s="9">
        <v>67</v>
      </c>
      <c r="G496" s="10">
        <f t="shared" si="7"/>
        <v>64.9</v>
      </c>
    </row>
    <row r="497" s="2" customFormat="1" spans="1:7">
      <c r="A497" s="2">
        <v>370</v>
      </c>
      <c r="B497" s="9" t="str">
        <f>"20210173808"</f>
        <v>20210173808</v>
      </c>
      <c r="C497" s="9" t="s">
        <v>526</v>
      </c>
      <c r="D497" s="9" t="s">
        <v>24</v>
      </c>
      <c r="E497" s="9">
        <v>61</v>
      </c>
      <c r="F497" s="9">
        <v>74</v>
      </c>
      <c r="G497" s="10">
        <f t="shared" si="7"/>
        <v>64.9</v>
      </c>
    </row>
    <row r="498" s="2" customFormat="1" spans="1:7">
      <c r="A498" s="2">
        <v>371</v>
      </c>
      <c r="B498" s="9" t="str">
        <f>"20210173823"</f>
        <v>20210173823</v>
      </c>
      <c r="C498" s="9" t="s">
        <v>527</v>
      </c>
      <c r="D498" s="9" t="s">
        <v>24</v>
      </c>
      <c r="E498" s="9">
        <v>57</v>
      </c>
      <c r="F498" s="9">
        <v>81</v>
      </c>
      <c r="G498" s="10">
        <f t="shared" si="7"/>
        <v>64.2</v>
      </c>
    </row>
    <row r="499" s="2" customFormat="1" spans="1:7">
      <c r="A499" s="2">
        <v>372</v>
      </c>
      <c r="B499" s="9" t="str">
        <f>"20210173709"</f>
        <v>20210173709</v>
      </c>
      <c r="C499" s="9" t="s">
        <v>528</v>
      </c>
      <c r="D499" s="9" t="s">
        <v>24</v>
      </c>
      <c r="E499" s="9">
        <v>55</v>
      </c>
      <c r="F499" s="9">
        <v>84</v>
      </c>
      <c r="G499" s="10">
        <f t="shared" si="7"/>
        <v>63.7</v>
      </c>
    </row>
    <row r="500" s="2" customFormat="1" spans="1:7">
      <c r="A500" s="2">
        <v>373</v>
      </c>
      <c r="B500" s="9" t="str">
        <f>"20210173722"</f>
        <v>20210173722</v>
      </c>
      <c r="C500" s="9" t="s">
        <v>529</v>
      </c>
      <c r="D500" s="9" t="s">
        <v>24</v>
      </c>
      <c r="E500" s="9">
        <v>53</v>
      </c>
      <c r="F500" s="9">
        <v>79</v>
      </c>
      <c r="G500" s="10">
        <f t="shared" si="7"/>
        <v>60.8</v>
      </c>
    </row>
    <row r="501" s="2" customFormat="1" spans="1:7">
      <c r="A501" s="2">
        <v>374</v>
      </c>
      <c r="B501" s="9" t="str">
        <f>"20210173813"</f>
        <v>20210173813</v>
      </c>
      <c r="C501" s="9" t="s">
        <v>530</v>
      </c>
      <c r="D501" s="9" t="s">
        <v>24</v>
      </c>
      <c r="E501" s="9">
        <v>62.5</v>
      </c>
      <c r="F501" s="9">
        <v>56</v>
      </c>
      <c r="G501" s="10">
        <f t="shared" si="7"/>
        <v>60.55</v>
      </c>
    </row>
    <row r="502" s="2" customFormat="1" spans="1:7">
      <c r="A502" s="2">
        <v>375</v>
      </c>
      <c r="B502" s="9" t="str">
        <f>"20210173730"</f>
        <v>20210173730</v>
      </c>
      <c r="C502" s="9" t="s">
        <v>531</v>
      </c>
      <c r="D502" s="9" t="s">
        <v>24</v>
      </c>
      <c r="E502" s="9">
        <v>52</v>
      </c>
      <c r="F502" s="9">
        <v>79</v>
      </c>
      <c r="G502" s="10">
        <f t="shared" si="7"/>
        <v>60.1</v>
      </c>
    </row>
    <row r="503" s="2" customFormat="1" spans="1:7">
      <c r="A503" s="2">
        <v>376</v>
      </c>
      <c r="B503" s="9" t="str">
        <f>"20210173720"</f>
        <v>20210173720</v>
      </c>
      <c r="C503" s="9" t="s">
        <v>532</v>
      </c>
      <c r="D503" s="9" t="s">
        <v>24</v>
      </c>
      <c r="E503" s="9">
        <v>54</v>
      </c>
      <c r="F503" s="9">
        <v>74</v>
      </c>
      <c r="G503" s="10">
        <f t="shared" si="7"/>
        <v>60</v>
      </c>
    </row>
    <row r="504" s="2" customFormat="1" spans="1:7">
      <c r="A504" s="2">
        <v>377</v>
      </c>
      <c r="B504" s="9" t="str">
        <f>"20210173727"</f>
        <v>20210173727</v>
      </c>
      <c r="C504" s="9" t="s">
        <v>533</v>
      </c>
      <c r="D504" s="9" t="s">
        <v>24</v>
      </c>
      <c r="E504" s="9">
        <v>59</v>
      </c>
      <c r="F504" s="9">
        <v>60</v>
      </c>
      <c r="G504" s="10">
        <f t="shared" si="7"/>
        <v>59.3</v>
      </c>
    </row>
    <row r="505" s="2" customFormat="1" spans="1:7">
      <c r="A505" s="2">
        <v>378</v>
      </c>
      <c r="B505" s="9" t="str">
        <f>"20210173711"</f>
        <v>20210173711</v>
      </c>
      <c r="C505" s="9" t="s">
        <v>534</v>
      </c>
      <c r="D505" s="9" t="s">
        <v>24</v>
      </c>
      <c r="E505" s="9">
        <v>61.5</v>
      </c>
      <c r="F505" s="9">
        <v>54</v>
      </c>
      <c r="G505" s="10">
        <f t="shared" si="7"/>
        <v>59.25</v>
      </c>
    </row>
    <row r="506" s="2" customFormat="1" spans="1:7">
      <c r="A506" s="2">
        <v>379</v>
      </c>
      <c r="B506" s="9" t="str">
        <f>"20210173716"</f>
        <v>20210173716</v>
      </c>
      <c r="C506" s="9" t="s">
        <v>535</v>
      </c>
      <c r="D506" s="9" t="s">
        <v>24</v>
      </c>
      <c r="E506" s="9">
        <v>53</v>
      </c>
      <c r="F506" s="9">
        <v>72</v>
      </c>
      <c r="G506" s="10">
        <f t="shared" si="7"/>
        <v>58.7</v>
      </c>
    </row>
    <row r="507" s="2" customFormat="1" spans="1:7">
      <c r="A507" s="2">
        <v>380</v>
      </c>
      <c r="B507" s="9" t="str">
        <f>"20210173810"</f>
        <v>20210173810</v>
      </c>
      <c r="C507" s="9" t="s">
        <v>536</v>
      </c>
      <c r="D507" s="9" t="s">
        <v>24</v>
      </c>
      <c r="E507" s="9">
        <v>58</v>
      </c>
      <c r="F507" s="9">
        <v>58</v>
      </c>
      <c r="G507" s="10">
        <f t="shared" si="7"/>
        <v>58</v>
      </c>
    </row>
    <row r="508" s="3" customFormat="1" spans="1:7">
      <c r="A508" s="2">
        <v>731</v>
      </c>
      <c r="B508" s="11" t="str">
        <f>"20210173714"</f>
        <v>20210173714</v>
      </c>
      <c r="C508" s="11" t="s">
        <v>537</v>
      </c>
      <c r="D508" s="11" t="s">
        <v>24</v>
      </c>
      <c r="E508" s="11">
        <v>52.5</v>
      </c>
      <c r="F508" s="11">
        <v>63</v>
      </c>
      <c r="G508" s="12">
        <f t="shared" si="7"/>
        <v>55.65</v>
      </c>
    </row>
    <row r="509" s="3" customFormat="1" spans="1:7">
      <c r="A509" s="2">
        <v>732</v>
      </c>
      <c r="B509" s="11" t="str">
        <f>"20210173827"</f>
        <v>20210173827</v>
      </c>
      <c r="C509" s="11" t="s">
        <v>538</v>
      </c>
      <c r="D509" s="11" t="s">
        <v>24</v>
      </c>
      <c r="E509" s="11">
        <v>52</v>
      </c>
      <c r="F509" s="11">
        <v>62</v>
      </c>
      <c r="G509" s="12">
        <f t="shared" si="7"/>
        <v>55</v>
      </c>
    </row>
    <row r="510" s="3" customFormat="1" spans="1:7">
      <c r="A510" s="2">
        <v>733</v>
      </c>
      <c r="B510" s="11" t="str">
        <f>"20210173814"</f>
        <v>20210173814</v>
      </c>
      <c r="C510" s="11" t="s">
        <v>539</v>
      </c>
      <c r="D510" s="11" t="s">
        <v>24</v>
      </c>
      <c r="E510" s="11">
        <v>52</v>
      </c>
      <c r="F510" s="11">
        <v>61</v>
      </c>
      <c r="G510" s="12">
        <f t="shared" si="7"/>
        <v>54.7</v>
      </c>
    </row>
    <row r="511" s="3" customFormat="1" spans="1:7">
      <c r="A511" s="2">
        <v>734</v>
      </c>
      <c r="B511" s="11" t="str">
        <f>"20210173820"</f>
        <v>20210173820</v>
      </c>
      <c r="C511" s="11" t="s">
        <v>356</v>
      </c>
      <c r="D511" s="11" t="s">
        <v>24</v>
      </c>
      <c r="E511" s="11">
        <v>48</v>
      </c>
      <c r="F511" s="11">
        <v>68</v>
      </c>
      <c r="G511" s="12">
        <f t="shared" si="7"/>
        <v>54</v>
      </c>
    </row>
    <row r="512" s="3" customFormat="1" spans="1:7">
      <c r="A512" s="2">
        <v>735</v>
      </c>
      <c r="B512" s="11" t="str">
        <f>"20210173718"</f>
        <v>20210173718</v>
      </c>
      <c r="C512" s="11" t="s">
        <v>540</v>
      </c>
      <c r="D512" s="11" t="s">
        <v>24</v>
      </c>
      <c r="E512" s="11">
        <v>51</v>
      </c>
      <c r="F512" s="11">
        <v>59</v>
      </c>
      <c r="G512" s="12">
        <f t="shared" ref="G512:G575" si="8">E512*0.7+F512*0.3</f>
        <v>53.4</v>
      </c>
    </row>
    <row r="513" s="3" customFormat="1" spans="1:7">
      <c r="A513" s="2">
        <v>736</v>
      </c>
      <c r="B513" s="11" t="str">
        <f>"20210173807"</f>
        <v>20210173807</v>
      </c>
      <c r="C513" s="11" t="s">
        <v>541</v>
      </c>
      <c r="D513" s="11" t="s">
        <v>24</v>
      </c>
      <c r="E513" s="11">
        <v>51</v>
      </c>
      <c r="F513" s="11">
        <v>54</v>
      </c>
      <c r="G513" s="12">
        <f t="shared" si="8"/>
        <v>51.9</v>
      </c>
    </row>
    <row r="514" s="3" customFormat="1" spans="1:7">
      <c r="A514" s="2">
        <v>737</v>
      </c>
      <c r="B514" s="11" t="str">
        <f>"20210173829"</f>
        <v>20210173829</v>
      </c>
      <c r="C514" s="11" t="s">
        <v>542</v>
      </c>
      <c r="D514" s="11" t="s">
        <v>24</v>
      </c>
      <c r="E514" s="11">
        <v>54</v>
      </c>
      <c r="F514" s="11">
        <v>46</v>
      </c>
      <c r="G514" s="12">
        <f t="shared" si="8"/>
        <v>51.6</v>
      </c>
    </row>
    <row r="515" s="3" customFormat="1" spans="1:7">
      <c r="A515" s="2">
        <v>738</v>
      </c>
      <c r="B515" s="11" t="str">
        <f>"20210173815"</f>
        <v>20210173815</v>
      </c>
      <c r="C515" s="11" t="s">
        <v>543</v>
      </c>
      <c r="D515" s="11" t="s">
        <v>24</v>
      </c>
      <c r="E515" s="11">
        <v>49</v>
      </c>
      <c r="F515" s="11">
        <v>54</v>
      </c>
      <c r="G515" s="12">
        <f t="shared" si="8"/>
        <v>50.5</v>
      </c>
    </row>
    <row r="516" s="3" customFormat="1" spans="1:7">
      <c r="A516" s="2">
        <v>739</v>
      </c>
      <c r="B516" s="11" t="str">
        <f>"20210173705"</f>
        <v>20210173705</v>
      </c>
      <c r="C516" s="11" t="s">
        <v>544</v>
      </c>
      <c r="D516" s="11" t="s">
        <v>24</v>
      </c>
      <c r="E516" s="11">
        <v>47</v>
      </c>
      <c r="F516" s="11">
        <v>58</v>
      </c>
      <c r="G516" s="12">
        <f t="shared" si="8"/>
        <v>50.3</v>
      </c>
    </row>
    <row r="517" s="2" customFormat="1" spans="1:7">
      <c r="A517" s="2">
        <v>381</v>
      </c>
      <c r="B517" s="9" t="str">
        <f>"20210184102"</f>
        <v>20210184102</v>
      </c>
      <c r="C517" s="9" t="s">
        <v>545</v>
      </c>
      <c r="D517" s="9" t="s">
        <v>25</v>
      </c>
      <c r="E517" s="9">
        <v>80.5</v>
      </c>
      <c r="F517" s="9">
        <v>87</v>
      </c>
      <c r="G517" s="10">
        <f t="shared" si="8"/>
        <v>82.45</v>
      </c>
    </row>
    <row r="518" s="2" customFormat="1" spans="1:7">
      <c r="A518" s="2">
        <v>382</v>
      </c>
      <c r="B518" s="9" t="str">
        <f>"20210184104"</f>
        <v>20210184104</v>
      </c>
      <c r="C518" s="9" t="s">
        <v>546</v>
      </c>
      <c r="D518" s="9" t="s">
        <v>25</v>
      </c>
      <c r="E518" s="9">
        <v>81</v>
      </c>
      <c r="F518" s="9">
        <v>84</v>
      </c>
      <c r="G518" s="10">
        <f t="shared" si="8"/>
        <v>81.9</v>
      </c>
    </row>
    <row r="519" s="2" customFormat="1" spans="1:7">
      <c r="A519" s="2">
        <v>383</v>
      </c>
      <c r="B519" s="9" t="str">
        <f>"20210184027"</f>
        <v>20210184027</v>
      </c>
      <c r="C519" s="9" t="s">
        <v>547</v>
      </c>
      <c r="D519" s="9" t="s">
        <v>25</v>
      </c>
      <c r="E519" s="9">
        <v>77</v>
      </c>
      <c r="F519" s="9">
        <v>86</v>
      </c>
      <c r="G519" s="10">
        <f t="shared" si="8"/>
        <v>79.7</v>
      </c>
    </row>
    <row r="520" s="2" customFormat="1" spans="1:7">
      <c r="A520" s="2">
        <v>384</v>
      </c>
      <c r="B520" s="9" t="str">
        <f>"20210183921"</f>
        <v>20210183921</v>
      </c>
      <c r="C520" s="9" t="s">
        <v>548</v>
      </c>
      <c r="D520" s="9" t="s">
        <v>25</v>
      </c>
      <c r="E520" s="9">
        <v>71</v>
      </c>
      <c r="F520" s="9">
        <v>93</v>
      </c>
      <c r="G520" s="10">
        <f t="shared" si="8"/>
        <v>77.6</v>
      </c>
    </row>
    <row r="521" s="2" customFormat="1" spans="1:7">
      <c r="A521" s="2">
        <v>385</v>
      </c>
      <c r="B521" s="9" t="str">
        <f>"20210184016"</f>
        <v>20210184016</v>
      </c>
      <c r="C521" s="9" t="s">
        <v>549</v>
      </c>
      <c r="D521" s="9" t="s">
        <v>25</v>
      </c>
      <c r="E521" s="9">
        <v>73</v>
      </c>
      <c r="F521" s="9">
        <v>85</v>
      </c>
      <c r="G521" s="10">
        <f t="shared" si="8"/>
        <v>76.6</v>
      </c>
    </row>
    <row r="522" s="2" customFormat="1" spans="1:7">
      <c r="A522" s="2">
        <v>386</v>
      </c>
      <c r="B522" s="9" t="str">
        <f>"20210184005"</f>
        <v>20210184005</v>
      </c>
      <c r="C522" s="9" t="s">
        <v>550</v>
      </c>
      <c r="D522" s="9" t="s">
        <v>25</v>
      </c>
      <c r="E522" s="9">
        <v>63</v>
      </c>
      <c r="F522" s="9">
        <v>89</v>
      </c>
      <c r="G522" s="10">
        <f t="shared" si="8"/>
        <v>70.8</v>
      </c>
    </row>
    <row r="523" s="2" customFormat="1" spans="1:7">
      <c r="A523" s="2">
        <v>387</v>
      </c>
      <c r="B523" s="9" t="str">
        <f>"20210184024"</f>
        <v>20210184024</v>
      </c>
      <c r="C523" s="9" t="s">
        <v>551</v>
      </c>
      <c r="D523" s="9" t="s">
        <v>25</v>
      </c>
      <c r="E523" s="9">
        <v>67</v>
      </c>
      <c r="F523" s="9">
        <v>76</v>
      </c>
      <c r="G523" s="10">
        <f t="shared" si="8"/>
        <v>69.7</v>
      </c>
    </row>
    <row r="524" s="2" customFormat="1" spans="1:7">
      <c r="A524" s="2">
        <v>388</v>
      </c>
      <c r="B524" s="9" t="str">
        <f>"20210183903"</f>
        <v>20210183903</v>
      </c>
      <c r="C524" s="9" t="s">
        <v>552</v>
      </c>
      <c r="D524" s="9" t="s">
        <v>25</v>
      </c>
      <c r="E524" s="9">
        <v>70.5</v>
      </c>
      <c r="F524" s="9">
        <v>66</v>
      </c>
      <c r="G524" s="10">
        <f t="shared" si="8"/>
        <v>69.15</v>
      </c>
    </row>
    <row r="525" s="2" customFormat="1" spans="1:7">
      <c r="A525" s="2">
        <v>389</v>
      </c>
      <c r="B525" s="9" t="str">
        <f>"20210183927"</f>
        <v>20210183927</v>
      </c>
      <c r="C525" s="9" t="s">
        <v>553</v>
      </c>
      <c r="D525" s="9" t="s">
        <v>25</v>
      </c>
      <c r="E525" s="9">
        <v>69</v>
      </c>
      <c r="F525" s="9">
        <v>63</v>
      </c>
      <c r="G525" s="10">
        <f t="shared" si="8"/>
        <v>67.2</v>
      </c>
    </row>
    <row r="526" s="2" customFormat="1" spans="1:7">
      <c r="A526" s="2">
        <v>390</v>
      </c>
      <c r="B526" s="9" t="str">
        <f>"20210183919"</f>
        <v>20210183919</v>
      </c>
      <c r="C526" s="9" t="s">
        <v>554</v>
      </c>
      <c r="D526" s="9" t="s">
        <v>25</v>
      </c>
      <c r="E526" s="9">
        <v>61</v>
      </c>
      <c r="F526" s="9">
        <v>81</v>
      </c>
      <c r="G526" s="10">
        <f t="shared" si="8"/>
        <v>67</v>
      </c>
    </row>
    <row r="527" s="2" customFormat="1" spans="1:7">
      <c r="A527" s="2">
        <v>391</v>
      </c>
      <c r="B527" s="9" t="str">
        <f>"20210184029"</f>
        <v>20210184029</v>
      </c>
      <c r="C527" s="9" t="s">
        <v>555</v>
      </c>
      <c r="D527" s="9" t="s">
        <v>25</v>
      </c>
      <c r="E527" s="9">
        <v>67</v>
      </c>
      <c r="F527" s="9">
        <v>67</v>
      </c>
      <c r="G527" s="10">
        <f t="shared" si="8"/>
        <v>67</v>
      </c>
    </row>
    <row r="528" s="2" customFormat="1" spans="1:7">
      <c r="A528" s="2">
        <v>392</v>
      </c>
      <c r="B528" s="9" t="str">
        <f>"20210184019"</f>
        <v>20210184019</v>
      </c>
      <c r="C528" s="9" t="s">
        <v>556</v>
      </c>
      <c r="D528" s="9" t="s">
        <v>25</v>
      </c>
      <c r="E528" s="9">
        <v>68</v>
      </c>
      <c r="F528" s="9">
        <v>62</v>
      </c>
      <c r="G528" s="10">
        <f t="shared" si="8"/>
        <v>66.2</v>
      </c>
    </row>
    <row r="529" s="2" customFormat="1" spans="1:7">
      <c r="A529" s="2">
        <v>393</v>
      </c>
      <c r="B529" s="9" t="str">
        <f>"20210183913"</f>
        <v>20210183913</v>
      </c>
      <c r="C529" s="9" t="s">
        <v>557</v>
      </c>
      <c r="D529" s="9" t="s">
        <v>25</v>
      </c>
      <c r="E529" s="9">
        <v>65</v>
      </c>
      <c r="F529" s="9">
        <v>61</v>
      </c>
      <c r="G529" s="10">
        <f t="shared" si="8"/>
        <v>63.8</v>
      </c>
    </row>
    <row r="530" s="2" customFormat="1" spans="1:7">
      <c r="A530" s="2">
        <v>394</v>
      </c>
      <c r="B530" s="9" t="str">
        <f>"20210184003"</f>
        <v>20210184003</v>
      </c>
      <c r="C530" s="9" t="s">
        <v>558</v>
      </c>
      <c r="D530" s="9" t="s">
        <v>25</v>
      </c>
      <c r="E530" s="9">
        <v>56</v>
      </c>
      <c r="F530" s="9">
        <v>80</v>
      </c>
      <c r="G530" s="10">
        <f t="shared" si="8"/>
        <v>63.2</v>
      </c>
    </row>
    <row r="531" s="2" customFormat="1" spans="1:7">
      <c r="A531" s="2">
        <v>395</v>
      </c>
      <c r="B531" s="9" t="str">
        <f>"20210184023"</f>
        <v>20210184023</v>
      </c>
      <c r="C531" s="9" t="s">
        <v>559</v>
      </c>
      <c r="D531" s="9" t="s">
        <v>25</v>
      </c>
      <c r="E531" s="9">
        <v>54</v>
      </c>
      <c r="F531" s="9">
        <v>80</v>
      </c>
      <c r="G531" s="10">
        <f t="shared" si="8"/>
        <v>61.8</v>
      </c>
    </row>
    <row r="532" s="2" customFormat="1" spans="1:7">
      <c r="A532" s="2">
        <v>396</v>
      </c>
      <c r="B532" s="9" t="str">
        <f>"20210184021"</f>
        <v>20210184021</v>
      </c>
      <c r="C532" s="9" t="s">
        <v>560</v>
      </c>
      <c r="D532" s="9" t="s">
        <v>25</v>
      </c>
      <c r="E532" s="9">
        <v>55</v>
      </c>
      <c r="F532" s="9">
        <v>74</v>
      </c>
      <c r="G532" s="10">
        <f t="shared" si="8"/>
        <v>60.7</v>
      </c>
    </row>
    <row r="533" s="2" customFormat="1" spans="1:7">
      <c r="A533" s="2">
        <v>397</v>
      </c>
      <c r="B533" s="9" t="str">
        <f>"20210184028"</f>
        <v>20210184028</v>
      </c>
      <c r="C533" s="9" t="s">
        <v>561</v>
      </c>
      <c r="D533" s="9" t="s">
        <v>25</v>
      </c>
      <c r="E533" s="9">
        <v>46</v>
      </c>
      <c r="F533" s="9">
        <v>90</v>
      </c>
      <c r="G533" s="10">
        <f t="shared" si="8"/>
        <v>59.2</v>
      </c>
    </row>
    <row r="534" s="2" customFormat="1" spans="1:7">
      <c r="A534" s="2">
        <v>398</v>
      </c>
      <c r="B534" s="9" t="str">
        <f>"20210184007"</f>
        <v>20210184007</v>
      </c>
      <c r="C534" s="9" t="s">
        <v>562</v>
      </c>
      <c r="D534" s="9" t="s">
        <v>25</v>
      </c>
      <c r="E534" s="9">
        <v>56</v>
      </c>
      <c r="F534" s="9">
        <v>62</v>
      </c>
      <c r="G534" s="10">
        <f t="shared" si="8"/>
        <v>57.8</v>
      </c>
    </row>
    <row r="535" s="2" customFormat="1" spans="1:7">
      <c r="A535" s="2">
        <v>399</v>
      </c>
      <c r="B535" s="9" t="str">
        <f>"20210183909"</f>
        <v>20210183909</v>
      </c>
      <c r="C535" s="9" t="s">
        <v>563</v>
      </c>
      <c r="D535" s="9" t="s">
        <v>25</v>
      </c>
      <c r="E535" s="9">
        <v>59</v>
      </c>
      <c r="F535" s="9">
        <v>48</v>
      </c>
      <c r="G535" s="10">
        <f t="shared" si="8"/>
        <v>55.7</v>
      </c>
    </row>
    <row r="536" s="3" customFormat="1" spans="1:7">
      <c r="A536" s="2">
        <v>740</v>
      </c>
      <c r="B536" s="11" t="str">
        <f>"20210184022"</f>
        <v>20210184022</v>
      </c>
      <c r="C536" s="11" t="s">
        <v>564</v>
      </c>
      <c r="D536" s="11" t="s">
        <v>25</v>
      </c>
      <c r="E536" s="11">
        <v>50.5</v>
      </c>
      <c r="F536" s="11">
        <v>67</v>
      </c>
      <c r="G536" s="12">
        <f t="shared" si="8"/>
        <v>55.45</v>
      </c>
    </row>
    <row r="537" s="3" customFormat="1" spans="1:7">
      <c r="A537" s="2">
        <v>741</v>
      </c>
      <c r="B537" s="11" t="str">
        <f>"20210183926"</f>
        <v>20210183926</v>
      </c>
      <c r="C537" s="11" t="s">
        <v>565</v>
      </c>
      <c r="D537" s="11" t="s">
        <v>25</v>
      </c>
      <c r="E537" s="11">
        <v>52</v>
      </c>
      <c r="F537" s="11">
        <v>58</v>
      </c>
      <c r="G537" s="12">
        <f t="shared" si="8"/>
        <v>53.8</v>
      </c>
    </row>
    <row r="538" s="3" customFormat="1" spans="1:7">
      <c r="A538" s="2">
        <v>742</v>
      </c>
      <c r="B538" s="11" t="str">
        <f>"20210183902"</f>
        <v>20210183902</v>
      </c>
      <c r="C538" s="11" t="s">
        <v>566</v>
      </c>
      <c r="D538" s="11" t="s">
        <v>25</v>
      </c>
      <c r="E538" s="11">
        <v>51</v>
      </c>
      <c r="F538" s="11">
        <v>59</v>
      </c>
      <c r="G538" s="12">
        <f t="shared" si="8"/>
        <v>53.4</v>
      </c>
    </row>
    <row r="539" s="3" customFormat="1" spans="1:7">
      <c r="A539" s="2">
        <v>743</v>
      </c>
      <c r="B539" s="11" t="str">
        <f>"20210183929"</f>
        <v>20210183929</v>
      </c>
      <c r="C539" s="11" t="s">
        <v>567</v>
      </c>
      <c r="D539" s="11" t="s">
        <v>25</v>
      </c>
      <c r="E539" s="11">
        <v>57.5</v>
      </c>
      <c r="F539" s="11">
        <v>42</v>
      </c>
      <c r="G539" s="12">
        <f t="shared" si="8"/>
        <v>52.85</v>
      </c>
    </row>
    <row r="540" s="3" customFormat="1" spans="1:7">
      <c r="A540" s="2">
        <v>744</v>
      </c>
      <c r="B540" s="11" t="str">
        <f>"20210184011"</f>
        <v>20210184011</v>
      </c>
      <c r="C540" s="11" t="s">
        <v>568</v>
      </c>
      <c r="D540" s="11" t="s">
        <v>25</v>
      </c>
      <c r="E540" s="11">
        <v>49</v>
      </c>
      <c r="F540" s="11">
        <v>61</v>
      </c>
      <c r="G540" s="12">
        <f t="shared" si="8"/>
        <v>52.6</v>
      </c>
    </row>
    <row r="541" s="3" customFormat="1" spans="1:7">
      <c r="A541" s="2">
        <v>745</v>
      </c>
      <c r="B541" s="11" t="str">
        <f>"20210183918"</f>
        <v>20210183918</v>
      </c>
      <c r="C541" s="11" t="s">
        <v>569</v>
      </c>
      <c r="D541" s="11" t="s">
        <v>25</v>
      </c>
      <c r="E541" s="11">
        <v>48</v>
      </c>
      <c r="F541" s="11">
        <v>60</v>
      </c>
      <c r="G541" s="12">
        <f t="shared" si="8"/>
        <v>51.6</v>
      </c>
    </row>
    <row r="542" s="3" customFormat="1" spans="1:7">
      <c r="A542" s="2">
        <v>746</v>
      </c>
      <c r="B542" s="11" t="str">
        <f>"20210184006"</f>
        <v>20210184006</v>
      </c>
      <c r="C542" s="11" t="s">
        <v>570</v>
      </c>
      <c r="D542" s="11" t="s">
        <v>25</v>
      </c>
      <c r="E542" s="11">
        <v>54</v>
      </c>
      <c r="F542" s="11">
        <v>46</v>
      </c>
      <c r="G542" s="12">
        <f t="shared" si="8"/>
        <v>51.6</v>
      </c>
    </row>
    <row r="543" s="2" customFormat="1" spans="1:7">
      <c r="A543" s="2">
        <v>400</v>
      </c>
      <c r="B543" s="9" t="str">
        <f>"20210194202"</f>
        <v>20210194202</v>
      </c>
      <c r="C543" s="9" t="s">
        <v>571</v>
      </c>
      <c r="D543" s="9" t="s">
        <v>26</v>
      </c>
      <c r="E543" s="9">
        <v>81</v>
      </c>
      <c r="F543" s="9">
        <v>96</v>
      </c>
      <c r="G543" s="10">
        <f t="shared" si="8"/>
        <v>85.5</v>
      </c>
    </row>
    <row r="544" s="2" customFormat="1" spans="1:7">
      <c r="A544" s="2">
        <v>401</v>
      </c>
      <c r="B544" s="9" t="str">
        <f>"20210194205"</f>
        <v>20210194205</v>
      </c>
      <c r="C544" s="9" t="s">
        <v>572</v>
      </c>
      <c r="D544" s="9" t="s">
        <v>26</v>
      </c>
      <c r="E544" s="9">
        <v>81</v>
      </c>
      <c r="F544" s="9">
        <v>78</v>
      </c>
      <c r="G544" s="10">
        <f t="shared" si="8"/>
        <v>80.1</v>
      </c>
    </row>
    <row r="545" s="2" customFormat="1" spans="1:7">
      <c r="A545" s="2">
        <v>402</v>
      </c>
      <c r="B545" s="9" t="str">
        <f>"20210194113"</f>
        <v>20210194113</v>
      </c>
      <c r="C545" s="9" t="s">
        <v>180</v>
      </c>
      <c r="D545" s="9" t="s">
        <v>26</v>
      </c>
      <c r="E545" s="9">
        <v>70</v>
      </c>
      <c r="F545" s="9">
        <v>90</v>
      </c>
      <c r="G545" s="10">
        <f t="shared" si="8"/>
        <v>76</v>
      </c>
    </row>
    <row r="546" s="2" customFormat="1" spans="1:7">
      <c r="A546" s="2">
        <v>403</v>
      </c>
      <c r="B546" s="9" t="str">
        <f>"20210194124"</f>
        <v>20210194124</v>
      </c>
      <c r="C546" s="9" t="s">
        <v>573</v>
      </c>
      <c r="D546" s="9" t="s">
        <v>26</v>
      </c>
      <c r="E546" s="9">
        <v>69</v>
      </c>
      <c r="F546" s="9">
        <v>87</v>
      </c>
      <c r="G546" s="10">
        <f t="shared" si="8"/>
        <v>74.4</v>
      </c>
    </row>
    <row r="547" s="2" customFormat="1" spans="1:7">
      <c r="A547" s="2">
        <v>404</v>
      </c>
      <c r="B547" s="9" t="str">
        <f>"20210194129"</f>
        <v>20210194129</v>
      </c>
      <c r="C547" s="9" t="s">
        <v>574</v>
      </c>
      <c r="D547" s="9" t="s">
        <v>26</v>
      </c>
      <c r="E547" s="9">
        <v>69</v>
      </c>
      <c r="F547" s="9">
        <v>80</v>
      </c>
      <c r="G547" s="10">
        <f t="shared" si="8"/>
        <v>72.3</v>
      </c>
    </row>
    <row r="548" s="2" customFormat="1" spans="1:7">
      <c r="A548" s="2">
        <v>405</v>
      </c>
      <c r="B548" s="9" t="str">
        <f>"20210194201"</f>
        <v>20210194201</v>
      </c>
      <c r="C548" s="9" t="s">
        <v>575</v>
      </c>
      <c r="D548" s="9" t="s">
        <v>26</v>
      </c>
      <c r="E548" s="9">
        <v>66</v>
      </c>
      <c r="F548" s="9">
        <v>82</v>
      </c>
      <c r="G548" s="10">
        <f t="shared" si="8"/>
        <v>70.8</v>
      </c>
    </row>
    <row r="549" s="2" customFormat="1" spans="1:7">
      <c r="A549" s="2">
        <v>406</v>
      </c>
      <c r="B549" s="9" t="str">
        <f>"20210194203"</f>
        <v>20210194203</v>
      </c>
      <c r="C549" s="9" t="s">
        <v>576</v>
      </c>
      <c r="D549" s="9" t="s">
        <v>26</v>
      </c>
      <c r="E549" s="9">
        <v>68.5</v>
      </c>
      <c r="F549" s="9">
        <v>73</v>
      </c>
      <c r="G549" s="10">
        <f t="shared" si="8"/>
        <v>69.85</v>
      </c>
    </row>
    <row r="550" s="2" customFormat="1" spans="1:7">
      <c r="A550" s="2">
        <v>407</v>
      </c>
      <c r="B550" s="9" t="str">
        <f>"20210194127"</f>
        <v>20210194127</v>
      </c>
      <c r="C550" s="9" t="s">
        <v>577</v>
      </c>
      <c r="D550" s="9" t="s">
        <v>26</v>
      </c>
      <c r="E550" s="9">
        <v>66</v>
      </c>
      <c r="F550" s="9">
        <v>76</v>
      </c>
      <c r="G550" s="10">
        <f t="shared" si="8"/>
        <v>69</v>
      </c>
    </row>
    <row r="551" s="2" customFormat="1" spans="1:7">
      <c r="A551" s="2">
        <v>408</v>
      </c>
      <c r="B551" s="9" t="str">
        <f>"20210194206"</f>
        <v>20210194206</v>
      </c>
      <c r="C551" s="9" t="s">
        <v>578</v>
      </c>
      <c r="D551" s="9" t="s">
        <v>26</v>
      </c>
      <c r="E551" s="9">
        <v>63</v>
      </c>
      <c r="F551" s="9">
        <v>82</v>
      </c>
      <c r="G551" s="10">
        <f t="shared" si="8"/>
        <v>68.7</v>
      </c>
    </row>
    <row r="552" s="2" customFormat="1" spans="1:7">
      <c r="A552" s="2">
        <v>409</v>
      </c>
      <c r="B552" s="9" t="str">
        <f>"20210194222"</f>
        <v>20210194222</v>
      </c>
      <c r="C552" s="9" t="s">
        <v>579</v>
      </c>
      <c r="D552" s="9" t="s">
        <v>26</v>
      </c>
      <c r="E552" s="9">
        <v>57</v>
      </c>
      <c r="F552" s="9">
        <v>88</v>
      </c>
      <c r="G552" s="10">
        <f t="shared" si="8"/>
        <v>66.3</v>
      </c>
    </row>
    <row r="553" s="2" customFormat="1" spans="1:7">
      <c r="A553" s="2">
        <v>410</v>
      </c>
      <c r="B553" s="9" t="str">
        <f>"20210194304"</f>
        <v>20210194304</v>
      </c>
      <c r="C553" s="9" t="s">
        <v>580</v>
      </c>
      <c r="D553" s="9" t="s">
        <v>26</v>
      </c>
      <c r="E553" s="9">
        <v>60.5</v>
      </c>
      <c r="F553" s="9">
        <v>73</v>
      </c>
      <c r="G553" s="10">
        <f t="shared" si="8"/>
        <v>64.25</v>
      </c>
    </row>
    <row r="554" s="2" customFormat="1" spans="1:7">
      <c r="A554" s="2">
        <v>411</v>
      </c>
      <c r="B554" s="9" t="str">
        <f>"20210194123"</f>
        <v>20210194123</v>
      </c>
      <c r="C554" s="9" t="s">
        <v>581</v>
      </c>
      <c r="D554" s="9" t="s">
        <v>26</v>
      </c>
      <c r="E554" s="9">
        <v>66.5</v>
      </c>
      <c r="F554" s="9">
        <v>55</v>
      </c>
      <c r="G554" s="10">
        <f t="shared" si="8"/>
        <v>63.05</v>
      </c>
    </row>
    <row r="555" s="2" customFormat="1" spans="1:7">
      <c r="A555" s="2">
        <v>412</v>
      </c>
      <c r="B555" s="9" t="str">
        <f>"20210194227"</f>
        <v>20210194227</v>
      </c>
      <c r="C555" s="9" t="s">
        <v>582</v>
      </c>
      <c r="D555" s="9" t="s">
        <v>26</v>
      </c>
      <c r="E555" s="9">
        <v>58</v>
      </c>
      <c r="F555" s="9">
        <v>71</v>
      </c>
      <c r="G555" s="10">
        <f t="shared" si="8"/>
        <v>61.9</v>
      </c>
    </row>
    <row r="556" s="2" customFormat="1" spans="1:7">
      <c r="A556" s="2">
        <v>413</v>
      </c>
      <c r="B556" s="9" t="str">
        <f>"20210194213"</f>
        <v>20210194213</v>
      </c>
      <c r="C556" s="9" t="s">
        <v>583</v>
      </c>
      <c r="D556" s="9" t="s">
        <v>26</v>
      </c>
      <c r="E556" s="9">
        <v>65</v>
      </c>
      <c r="F556" s="9">
        <v>52</v>
      </c>
      <c r="G556" s="10">
        <f t="shared" si="8"/>
        <v>61.1</v>
      </c>
    </row>
    <row r="557" s="2" customFormat="1" spans="1:7">
      <c r="A557" s="2">
        <v>414</v>
      </c>
      <c r="B557" s="9" t="str">
        <f>"20210194114"</f>
        <v>20210194114</v>
      </c>
      <c r="C557" s="9" t="s">
        <v>584</v>
      </c>
      <c r="D557" s="9" t="s">
        <v>26</v>
      </c>
      <c r="E557" s="9">
        <v>58</v>
      </c>
      <c r="F557" s="9">
        <v>66</v>
      </c>
      <c r="G557" s="10">
        <f t="shared" si="8"/>
        <v>60.4</v>
      </c>
    </row>
    <row r="558" s="2" customFormat="1" spans="1:7">
      <c r="A558" s="2">
        <v>415</v>
      </c>
      <c r="B558" s="9" t="str">
        <f>"20210194110"</f>
        <v>20210194110</v>
      </c>
      <c r="C558" s="9" t="s">
        <v>585</v>
      </c>
      <c r="D558" s="9" t="s">
        <v>26</v>
      </c>
      <c r="E558" s="9">
        <v>51</v>
      </c>
      <c r="F558" s="14">
        <v>75</v>
      </c>
      <c r="G558" s="10">
        <f t="shared" si="8"/>
        <v>58.2</v>
      </c>
    </row>
    <row r="559" s="2" customFormat="1" spans="1:7">
      <c r="A559" s="2">
        <v>416</v>
      </c>
      <c r="B559" s="9" t="str">
        <f>"20210194228"</f>
        <v>20210194228</v>
      </c>
      <c r="C559" s="9" t="s">
        <v>586</v>
      </c>
      <c r="D559" s="9" t="s">
        <v>26</v>
      </c>
      <c r="E559" s="9">
        <v>56</v>
      </c>
      <c r="F559" s="9">
        <v>57</v>
      </c>
      <c r="G559" s="10">
        <f t="shared" si="8"/>
        <v>56.3</v>
      </c>
    </row>
    <row r="560" s="2" customFormat="1" spans="1:7">
      <c r="A560" s="2">
        <v>417</v>
      </c>
      <c r="B560" s="9" t="str">
        <f>"20210194107"</f>
        <v>20210194107</v>
      </c>
      <c r="C560" s="9" t="s">
        <v>587</v>
      </c>
      <c r="D560" s="9" t="s">
        <v>26</v>
      </c>
      <c r="E560" s="9">
        <v>50.5</v>
      </c>
      <c r="F560" s="9">
        <v>66</v>
      </c>
      <c r="G560" s="10">
        <f t="shared" si="8"/>
        <v>55.15</v>
      </c>
    </row>
    <row r="561" s="2" customFormat="1" spans="1:7">
      <c r="A561" s="2">
        <v>418</v>
      </c>
      <c r="B561" s="9" t="str">
        <f>"20210194217"</f>
        <v>20210194217</v>
      </c>
      <c r="C561" s="9" t="s">
        <v>588</v>
      </c>
      <c r="D561" s="9" t="s">
        <v>26</v>
      </c>
      <c r="E561" s="9">
        <v>51</v>
      </c>
      <c r="F561" s="9">
        <v>63</v>
      </c>
      <c r="G561" s="10">
        <f t="shared" si="8"/>
        <v>54.6</v>
      </c>
    </row>
    <row r="562" s="2" customFormat="1" spans="1:7">
      <c r="A562" s="2">
        <v>419</v>
      </c>
      <c r="B562" s="9" t="str">
        <f>"20210194221"</f>
        <v>20210194221</v>
      </c>
      <c r="C562" s="9" t="s">
        <v>589</v>
      </c>
      <c r="D562" s="9" t="s">
        <v>26</v>
      </c>
      <c r="E562" s="9">
        <v>50</v>
      </c>
      <c r="F562" s="9">
        <v>65</v>
      </c>
      <c r="G562" s="10">
        <f t="shared" si="8"/>
        <v>54.5</v>
      </c>
    </row>
    <row r="563" s="2" customFormat="1" spans="1:7">
      <c r="A563" s="2">
        <v>420</v>
      </c>
      <c r="B563" s="9" t="str">
        <f>"20210194120"</f>
        <v>20210194120</v>
      </c>
      <c r="C563" s="9" t="s">
        <v>590</v>
      </c>
      <c r="D563" s="9" t="s">
        <v>26</v>
      </c>
      <c r="E563" s="9">
        <v>54</v>
      </c>
      <c r="F563" s="9">
        <v>54</v>
      </c>
      <c r="G563" s="10">
        <f t="shared" si="8"/>
        <v>54</v>
      </c>
    </row>
    <row r="564" s="2" customFormat="1" spans="1:7">
      <c r="A564" s="2">
        <v>421</v>
      </c>
      <c r="B564" s="9" t="str">
        <f>"20210194225"</f>
        <v>20210194225</v>
      </c>
      <c r="C564" s="9" t="s">
        <v>591</v>
      </c>
      <c r="D564" s="9" t="s">
        <v>26</v>
      </c>
      <c r="E564" s="9">
        <v>51</v>
      </c>
      <c r="F564" s="9">
        <v>61</v>
      </c>
      <c r="G564" s="10">
        <f t="shared" si="8"/>
        <v>54</v>
      </c>
    </row>
    <row r="565" s="2" customFormat="1" spans="1:7">
      <c r="A565" s="2">
        <v>422</v>
      </c>
      <c r="B565" s="9" t="str">
        <f>"20210194117"</f>
        <v>20210194117</v>
      </c>
      <c r="C565" s="9" t="s">
        <v>592</v>
      </c>
      <c r="D565" s="9" t="s">
        <v>26</v>
      </c>
      <c r="E565" s="9">
        <v>47</v>
      </c>
      <c r="F565" s="9">
        <v>68</v>
      </c>
      <c r="G565" s="10">
        <f t="shared" si="8"/>
        <v>53.3</v>
      </c>
    </row>
    <row r="566" s="2" customFormat="1" spans="1:7">
      <c r="A566" s="2">
        <v>423</v>
      </c>
      <c r="B566" s="9" t="str">
        <f>"20210194116"</f>
        <v>20210194116</v>
      </c>
      <c r="C566" s="9" t="s">
        <v>593</v>
      </c>
      <c r="D566" s="9" t="s">
        <v>26</v>
      </c>
      <c r="E566" s="9">
        <v>49</v>
      </c>
      <c r="F566" s="9">
        <v>61</v>
      </c>
      <c r="G566" s="10">
        <f t="shared" si="8"/>
        <v>52.6</v>
      </c>
    </row>
    <row r="567" s="3" customFormat="1" spans="1:7">
      <c r="A567" s="2">
        <v>747</v>
      </c>
      <c r="B567" s="11" t="str">
        <f>"20210194223"</f>
        <v>20210194223</v>
      </c>
      <c r="C567" s="11" t="s">
        <v>594</v>
      </c>
      <c r="D567" s="11" t="s">
        <v>26</v>
      </c>
      <c r="E567" s="11">
        <v>54</v>
      </c>
      <c r="F567" s="11">
        <v>48</v>
      </c>
      <c r="G567" s="12">
        <f t="shared" si="8"/>
        <v>52.2</v>
      </c>
    </row>
    <row r="568" s="3" customFormat="1" spans="1:7">
      <c r="A568" s="2">
        <v>748</v>
      </c>
      <c r="B568" s="11" t="str">
        <f>"20210194119"</f>
        <v>20210194119</v>
      </c>
      <c r="C568" s="11" t="s">
        <v>595</v>
      </c>
      <c r="D568" s="11" t="s">
        <v>26</v>
      </c>
      <c r="E568" s="11">
        <v>45.5</v>
      </c>
      <c r="F568" s="11">
        <v>63</v>
      </c>
      <c r="G568" s="12">
        <f t="shared" si="8"/>
        <v>50.75</v>
      </c>
    </row>
    <row r="569" s="3" customFormat="1" spans="1:7">
      <c r="A569" s="2">
        <v>749</v>
      </c>
      <c r="B569" s="11" t="str">
        <f>"20210194122"</f>
        <v>20210194122</v>
      </c>
      <c r="C569" s="11" t="s">
        <v>596</v>
      </c>
      <c r="D569" s="11" t="s">
        <v>26</v>
      </c>
      <c r="E569" s="11">
        <v>43.5</v>
      </c>
      <c r="F569" s="11">
        <v>66</v>
      </c>
      <c r="G569" s="12">
        <f t="shared" si="8"/>
        <v>50.25</v>
      </c>
    </row>
    <row r="570" s="2" customFormat="1" spans="1:7">
      <c r="A570" s="2">
        <v>424</v>
      </c>
      <c r="B570" s="9" t="str">
        <f>"20210204315"</f>
        <v>20210204315</v>
      </c>
      <c r="C570" s="9" t="s">
        <v>597</v>
      </c>
      <c r="D570" s="9" t="s">
        <v>27</v>
      </c>
      <c r="E570" s="9">
        <v>73</v>
      </c>
      <c r="F570" s="9">
        <v>88</v>
      </c>
      <c r="G570" s="10">
        <f t="shared" si="8"/>
        <v>77.5</v>
      </c>
    </row>
    <row r="571" s="2" customFormat="1" spans="1:7">
      <c r="A571" s="2">
        <v>425</v>
      </c>
      <c r="B571" s="9" t="str">
        <f>"20210204402"</f>
        <v>20210204402</v>
      </c>
      <c r="C571" s="9" t="s">
        <v>598</v>
      </c>
      <c r="D571" s="9" t="s">
        <v>27</v>
      </c>
      <c r="E571" s="9">
        <v>66.5</v>
      </c>
      <c r="F571" s="9">
        <v>87</v>
      </c>
      <c r="G571" s="10">
        <f t="shared" si="8"/>
        <v>72.65</v>
      </c>
    </row>
    <row r="572" s="2" customFormat="1" spans="1:7">
      <c r="A572" s="2">
        <v>426</v>
      </c>
      <c r="B572" s="9" t="str">
        <f>"20210204306"</f>
        <v>20210204306</v>
      </c>
      <c r="C572" s="9" t="s">
        <v>599</v>
      </c>
      <c r="D572" s="9" t="s">
        <v>27</v>
      </c>
      <c r="E572" s="9">
        <v>61</v>
      </c>
      <c r="F572" s="9">
        <v>67</v>
      </c>
      <c r="G572" s="10">
        <f t="shared" si="8"/>
        <v>62.8</v>
      </c>
    </row>
    <row r="573" s="2" customFormat="1" spans="1:7">
      <c r="A573" s="2">
        <v>427</v>
      </c>
      <c r="B573" s="9" t="str">
        <f>"20210204403"</f>
        <v>20210204403</v>
      </c>
      <c r="C573" s="9" t="s">
        <v>600</v>
      </c>
      <c r="D573" s="9" t="s">
        <v>27</v>
      </c>
      <c r="E573" s="9">
        <v>58.5</v>
      </c>
      <c r="F573" s="9">
        <v>61</v>
      </c>
      <c r="G573" s="10">
        <f t="shared" si="8"/>
        <v>59.25</v>
      </c>
    </row>
    <row r="574" s="2" customFormat="1" spans="1:7">
      <c r="A574" s="2">
        <v>428</v>
      </c>
      <c r="B574" s="9" t="str">
        <f>"20210204316"</f>
        <v>20210204316</v>
      </c>
      <c r="C574" s="9" t="s">
        <v>601</v>
      </c>
      <c r="D574" s="9" t="s">
        <v>27</v>
      </c>
      <c r="E574" s="9">
        <v>53</v>
      </c>
      <c r="F574" s="9">
        <v>61</v>
      </c>
      <c r="G574" s="10">
        <f t="shared" si="8"/>
        <v>55.4</v>
      </c>
    </row>
    <row r="575" s="2" customFormat="1" spans="1:7">
      <c r="A575" s="2">
        <v>429</v>
      </c>
      <c r="B575" s="9" t="str">
        <f>"20210204309"</f>
        <v>20210204309</v>
      </c>
      <c r="C575" s="9" t="s">
        <v>602</v>
      </c>
      <c r="D575" s="9" t="s">
        <v>27</v>
      </c>
      <c r="E575" s="9">
        <v>51</v>
      </c>
      <c r="F575" s="9">
        <v>64</v>
      </c>
      <c r="G575" s="10">
        <f t="shared" si="8"/>
        <v>54.9</v>
      </c>
    </row>
    <row r="576" s="3" customFormat="1" spans="1:7">
      <c r="A576" s="2">
        <v>750</v>
      </c>
      <c r="B576" s="11" t="str">
        <f>"20210204308"</f>
        <v>20210204308</v>
      </c>
      <c r="C576" s="11" t="s">
        <v>603</v>
      </c>
      <c r="D576" s="11" t="s">
        <v>27</v>
      </c>
      <c r="E576" s="11">
        <v>50.5</v>
      </c>
      <c r="F576" s="11">
        <v>60</v>
      </c>
      <c r="G576" s="12">
        <f t="shared" ref="G576:G639" si="9">E576*0.7+F576*0.3</f>
        <v>53.35</v>
      </c>
    </row>
    <row r="577" s="2" customFormat="1" spans="1:7">
      <c r="A577" s="2">
        <v>430</v>
      </c>
      <c r="B577" s="9" t="str">
        <f>"20210214507"</f>
        <v>20210214507</v>
      </c>
      <c r="C577" s="9" t="s">
        <v>604</v>
      </c>
      <c r="D577" s="9" t="s">
        <v>28</v>
      </c>
      <c r="E577" s="9">
        <v>77</v>
      </c>
      <c r="F577" s="9">
        <v>67</v>
      </c>
      <c r="G577" s="10">
        <f t="shared" si="9"/>
        <v>74</v>
      </c>
    </row>
    <row r="578" s="2" customFormat="1" spans="1:7">
      <c r="A578" s="2">
        <v>431</v>
      </c>
      <c r="B578" s="9" t="str">
        <f>"20210214501"</f>
        <v>20210214501</v>
      </c>
      <c r="C578" s="9" t="s">
        <v>605</v>
      </c>
      <c r="D578" s="9" t="s">
        <v>28</v>
      </c>
      <c r="E578" s="9">
        <v>67.5</v>
      </c>
      <c r="F578" s="9">
        <v>89</v>
      </c>
      <c r="G578" s="10">
        <f t="shared" si="9"/>
        <v>73.95</v>
      </c>
    </row>
    <row r="579" s="2" customFormat="1" spans="1:7">
      <c r="A579" s="2">
        <v>432</v>
      </c>
      <c r="B579" s="9" t="str">
        <f>"20210214418"</f>
        <v>20210214418</v>
      </c>
      <c r="C579" s="9" t="s">
        <v>606</v>
      </c>
      <c r="D579" s="9" t="s">
        <v>28</v>
      </c>
      <c r="E579" s="9">
        <v>68</v>
      </c>
      <c r="F579" s="9">
        <v>75</v>
      </c>
      <c r="G579" s="10">
        <f t="shared" si="9"/>
        <v>70.1</v>
      </c>
    </row>
    <row r="580" s="2" customFormat="1" spans="1:7">
      <c r="A580" s="2">
        <v>433</v>
      </c>
      <c r="B580" s="9" t="str">
        <f>"20210214429"</f>
        <v>20210214429</v>
      </c>
      <c r="C580" s="9" t="s">
        <v>607</v>
      </c>
      <c r="D580" s="9" t="s">
        <v>28</v>
      </c>
      <c r="E580" s="9">
        <v>71</v>
      </c>
      <c r="F580" s="9">
        <v>68</v>
      </c>
      <c r="G580" s="10">
        <f t="shared" si="9"/>
        <v>70.1</v>
      </c>
    </row>
    <row r="581" s="2" customFormat="1" spans="1:7">
      <c r="A581" s="2">
        <v>434</v>
      </c>
      <c r="B581" s="9" t="str">
        <f>"20210214413"</f>
        <v>20210214413</v>
      </c>
      <c r="C581" s="9" t="s">
        <v>608</v>
      </c>
      <c r="D581" s="9" t="s">
        <v>28</v>
      </c>
      <c r="E581" s="9">
        <v>66</v>
      </c>
      <c r="F581" s="9">
        <v>74</v>
      </c>
      <c r="G581" s="10">
        <f t="shared" si="9"/>
        <v>68.4</v>
      </c>
    </row>
    <row r="582" s="2" customFormat="1" spans="1:7">
      <c r="A582" s="2">
        <v>435</v>
      </c>
      <c r="B582" s="9" t="str">
        <f>"20210214514"</f>
        <v>20210214514</v>
      </c>
      <c r="C582" s="9" t="s">
        <v>609</v>
      </c>
      <c r="D582" s="9" t="s">
        <v>28</v>
      </c>
      <c r="E582" s="9">
        <v>66</v>
      </c>
      <c r="F582" s="9">
        <v>72</v>
      </c>
      <c r="G582" s="10">
        <f t="shared" si="9"/>
        <v>67.8</v>
      </c>
    </row>
    <row r="583" s="2" customFormat="1" spans="1:7">
      <c r="A583" s="2">
        <v>436</v>
      </c>
      <c r="B583" s="9" t="str">
        <f>"20210214407"</f>
        <v>20210214407</v>
      </c>
      <c r="C583" s="9" t="s">
        <v>610</v>
      </c>
      <c r="D583" s="9" t="s">
        <v>28</v>
      </c>
      <c r="E583" s="9">
        <v>72.5</v>
      </c>
      <c r="F583" s="9">
        <v>56</v>
      </c>
      <c r="G583" s="10">
        <f t="shared" si="9"/>
        <v>67.55</v>
      </c>
    </row>
    <row r="584" s="2" customFormat="1" spans="1:7">
      <c r="A584" s="2">
        <v>437</v>
      </c>
      <c r="B584" s="9" t="str">
        <f>"20210214503"</f>
        <v>20210214503</v>
      </c>
      <c r="C584" s="9" t="s">
        <v>611</v>
      </c>
      <c r="D584" s="9" t="s">
        <v>28</v>
      </c>
      <c r="E584" s="9">
        <v>66</v>
      </c>
      <c r="F584" s="9">
        <v>71</v>
      </c>
      <c r="G584" s="10">
        <f t="shared" si="9"/>
        <v>67.5</v>
      </c>
    </row>
    <row r="585" s="2" customFormat="1" spans="1:7">
      <c r="A585" s="2">
        <v>438</v>
      </c>
      <c r="B585" s="9" t="str">
        <f>"20210214513"</f>
        <v>20210214513</v>
      </c>
      <c r="C585" s="9" t="s">
        <v>612</v>
      </c>
      <c r="D585" s="9" t="s">
        <v>28</v>
      </c>
      <c r="E585" s="9">
        <v>63.5</v>
      </c>
      <c r="F585" s="9">
        <v>75</v>
      </c>
      <c r="G585" s="10">
        <f t="shared" si="9"/>
        <v>66.95</v>
      </c>
    </row>
    <row r="586" s="2" customFormat="1" spans="1:7">
      <c r="A586" s="2">
        <v>439</v>
      </c>
      <c r="B586" s="9" t="str">
        <f>"20210214419"</f>
        <v>20210214419</v>
      </c>
      <c r="C586" s="9" t="s">
        <v>613</v>
      </c>
      <c r="D586" s="9" t="s">
        <v>28</v>
      </c>
      <c r="E586" s="9">
        <v>66.5</v>
      </c>
      <c r="F586" s="9">
        <v>66</v>
      </c>
      <c r="G586" s="10">
        <f t="shared" si="9"/>
        <v>66.35</v>
      </c>
    </row>
    <row r="587" s="2" customFormat="1" spans="1:7">
      <c r="A587" s="2">
        <v>440</v>
      </c>
      <c r="B587" s="9" t="str">
        <f>"20210214423"</f>
        <v>20210214423</v>
      </c>
      <c r="C587" s="9" t="s">
        <v>614</v>
      </c>
      <c r="D587" s="9" t="s">
        <v>28</v>
      </c>
      <c r="E587" s="9">
        <v>67.5</v>
      </c>
      <c r="F587" s="9">
        <v>62</v>
      </c>
      <c r="G587" s="10">
        <f t="shared" si="9"/>
        <v>65.85</v>
      </c>
    </row>
    <row r="588" s="2" customFormat="1" spans="1:7">
      <c r="A588" s="2">
        <v>441</v>
      </c>
      <c r="B588" s="9" t="str">
        <f>"20210214428"</f>
        <v>20210214428</v>
      </c>
      <c r="C588" s="9" t="s">
        <v>615</v>
      </c>
      <c r="D588" s="9" t="s">
        <v>28</v>
      </c>
      <c r="E588" s="9">
        <v>58.5</v>
      </c>
      <c r="F588" s="9">
        <v>72</v>
      </c>
      <c r="G588" s="10">
        <f t="shared" si="9"/>
        <v>62.55</v>
      </c>
    </row>
    <row r="589" s="2" customFormat="1" spans="1:7">
      <c r="A589" s="2">
        <v>442</v>
      </c>
      <c r="B589" s="9" t="str">
        <f>"20210214416"</f>
        <v>20210214416</v>
      </c>
      <c r="C589" s="9" t="s">
        <v>616</v>
      </c>
      <c r="D589" s="9" t="s">
        <v>28</v>
      </c>
      <c r="E589" s="9">
        <v>62.5</v>
      </c>
      <c r="F589" s="9">
        <v>61</v>
      </c>
      <c r="G589" s="10">
        <f t="shared" si="9"/>
        <v>62.05</v>
      </c>
    </row>
    <row r="590" s="2" customFormat="1" spans="1:7">
      <c r="A590" s="2">
        <v>443</v>
      </c>
      <c r="B590" s="9" t="str">
        <f>"20210214405"</f>
        <v>20210214405</v>
      </c>
      <c r="C590" s="9" t="s">
        <v>419</v>
      </c>
      <c r="D590" s="9" t="s">
        <v>28</v>
      </c>
      <c r="E590" s="9">
        <v>62.5</v>
      </c>
      <c r="F590" s="9">
        <v>55</v>
      </c>
      <c r="G590" s="10">
        <f t="shared" si="9"/>
        <v>60.25</v>
      </c>
    </row>
    <row r="591" s="2" customFormat="1" spans="1:7">
      <c r="A591" s="2">
        <v>444</v>
      </c>
      <c r="B591" s="9" t="str">
        <f>"20210214410"</f>
        <v>20210214410</v>
      </c>
      <c r="C591" s="9" t="s">
        <v>617</v>
      </c>
      <c r="D591" s="9" t="s">
        <v>28</v>
      </c>
      <c r="E591" s="9">
        <v>53</v>
      </c>
      <c r="F591" s="9">
        <v>75</v>
      </c>
      <c r="G591" s="10">
        <f t="shared" si="9"/>
        <v>59.6</v>
      </c>
    </row>
    <row r="592" s="2" customFormat="1" spans="1:7">
      <c r="A592" s="2">
        <v>445</v>
      </c>
      <c r="B592" s="9" t="str">
        <f>"20210214505"</f>
        <v>20210214505</v>
      </c>
      <c r="C592" s="9" t="s">
        <v>618</v>
      </c>
      <c r="D592" s="9" t="s">
        <v>28</v>
      </c>
      <c r="E592" s="9">
        <v>56</v>
      </c>
      <c r="F592" s="9">
        <v>68</v>
      </c>
      <c r="G592" s="10">
        <f t="shared" si="9"/>
        <v>59.6</v>
      </c>
    </row>
    <row r="593" s="2" customFormat="1" spans="1:7">
      <c r="A593" s="2">
        <v>446</v>
      </c>
      <c r="B593" s="9" t="str">
        <f>"20210214425"</f>
        <v>20210214425</v>
      </c>
      <c r="C593" s="9" t="s">
        <v>619</v>
      </c>
      <c r="D593" s="9" t="s">
        <v>28</v>
      </c>
      <c r="E593" s="9">
        <v>55</v>
      </c>
      <c r="F593" s="9">
        <v>69</v>
      </c>
      <c r="G593" s="10">
        <f t="shared" si="9"/>
        <v>59.2</v>
      </c>
    </row>
    <row r="594" s="2" customFormat="1" spans="1:7">
      <c r="A594" s="2">
        <v>447</v>
      </c>
      <c r="B594" s="9" t="str">
        <f>"20210214511"</f>
        <v>20210214511</v>
      </c>
      <c r="C594" s="9" t="s">
        <v>620</v>
      </c>
      <c r="D594" s="9" t="s">
        <v>28</v>
      </c>
      <c r="E594" s="9">
        <v>57.5</v>
      </c>
      <c r="F594" s="9">
        <v>63</v>
      </c>
      <c r="G594" s="10">
        <f t="shared" si="9"/>
        <v>59.15</v>
      </c>
    </row>
    <row r="595" s="2" customFormat="1" spans="1:7">
      <c r="A595" s="2">
        <v>448</v>
      </c>
      <c r="B595" s="9" t="str">
        <f>"20210214422"</f>
        <v>20210214422</v>
      </c>
      <c r="C595" s="9" t="s">
        <v>621</v>
      </c>
      <c r="D595" s="9" t="s">
        <v>28</v>
      </c>
      <c r="E595" s="9">
        <v>60.5</v>
      </c>
      <c r="F595" s="9">
        <v>51</v>
      </c>
      <c r="G595" s="10">
        <f t="shared" si="9"/>
        <v>57.65</v>
      </c>
    </row>
    <row r="596" s="2" customFormat="1" spans="1:7">
      <c r="A596" s="2">
        <v>449</v>
      </c>
      <c r="B596" s="9" t="str">
        <f>"20210214504"</f>
        <v>20210214504</v>
      </c>
      <c r="C596" s="9" t="s">
        <v>622</v>
      </c>
      <c r="D596" s="9" t="s">
        <v>28</v>
      </c>
      <c r="E596" s="9">
        <v>51</v>
      </c>
      <c r="F596" s="9">
        <v>73</v>
      </c>
      <c r="G596" s="10">
        <f t="shared" si="9"/>
        <v>57.6</v>
      </c>
    </row>
    <row r="597" s="2" customFormat="1" spans="1:7">
      <c r="A597" s="2">
        <v>450</v>
      </c>
      <c r="B597" s="9" t="str">
        <f>"20210214415"</f>
        <v>20210214415</v>
      </c>
      <c r="C597" s="9" t="s">
        <v>623</v>
      </c>
      <c r="D597" s="9" t="s">
        <v>28</v>
      </c>
      <c r="E597" s="9">
        <v>56</v>
      </c>
      <c r="F597" s="9">
        <v>52</v>
      </c>
      <c r="G597" s="10">
        <f t="shared" si="9"/>
        <v>54.8</v>
      </c>
    </row>
    <row r="598" s="2" customFormat="1" spans="1:7">
      <c r="A598" s="2">
        <v>451</v>
      </c>
      <c r="B598" s="9" t="str">
        <f>"20210214516"</f>
        <v>20210214516</v>
      </c>
      <c r="C598" s="9" t="s">
        <v>624</v>
      </c>
      <c r="D598" s="9" t="s">
        <v>28</v>
      </c>
      <c r="E598" s="9">
        <v>52</v>
      </c>
      <c r="F598" s="9">
        <v>48</v>
      </c>
      <c r="G598" s="10">
        <f t="shared" si="9"/>
        <v>50.8</v>
      </c>
    </row>
    <row r="599" s="2" customFormat="1" spans="1:7">
      <c r="A599" s="2">
        <v>452</v>
      </c>
      <c r="B599" s="9" t="str">
        <f>"20210214424"</f>
        <v>20210214424</v>
      </c>
      <c r="C599" s="9" t="s">
        <v>625</v>
      </c>
      <c r="D599" s="9" t="s">
        <v>28</v>
      </c>
      <c r="E599" s="9">
        <v>45.5</v>
      </c>
      <c r="F599" s="9">
        <v>61</v>
      </c>
      <c r="G599" s="10">
        <f t="shared" si="9"/>
        <v>50.15</v>
      </c>
    </row>
    <row r="600" s="2" customFormat="1" spans="1:7">
      <c r="A600" s="2">
        <v>453</v>
      </c>
      <c r="B600" s="9" t="str">
        <f>"20210224603"</f>
        <v>20210224603</v>
      </c>
      <c r="C600" s="9" t="s">
        <v>626</v>
      </c>
      <c r="D600" s="9" t="s">
        <v>29</v>
      </c>
      <c r="E600" s="9">
        <v>72</v>
      </c>
      <c r="F600" s="9">
        <v>65</v>
      </c>
      <c r="G600" s="10">
        <f t="shared" si="9"/>
        <v>69.9</v>
      </c>
    </row>
    <row r="601" s="2" customFormat="1" spans="1:7">
      <c r="A601" s="2">
        <v>454</v>
      </c>
      <c r="B601" s="9" t="str">
        <f>"20210224524"</f>
        <v>20210224524</v>
      </c>
      <c r="C601" s="9" t="s">
        <v>627</v>
      </c>
      <c r="D601" s="9" t="s">
        <v>29</v>
      </c>
      <c r="E601" s="9">
        <v>63.5</v>
      </c>
      <c r="F601" s="9">
        <v>72</v>
      </c>
      <c r="G601" s="10">
        <f t="shared" si="9"/>
        <v>66.05</v>
      </c>
    </row>
    <row r="602" s="2" customFormat="1" spans="1:7">
      <c r="A602" s="2">
        <v>455</v>
      </c>
      <c r="B602" s="9" t="str">
        <f>"20210224601"</f>
        <v>20210224601</v>
      </c>
      <c r="C602" s="9" t="s">
        <v>628</v>
      </c>
      <c r="D602" s="9" t="s">
        <v>29</v>
      </c>
      <c r="E602" s="9">
        <v>66</v>
      </c>
      <c r="F602" s="9">
        <v>60</v>
      </c>
      <c r="G602" s="10">
        <f t="shared" si="9"/>
        <v>64.2</v>
      </c>
    </row>
    <row r="603" s="2" customFormat="1" spans="1:7">
      <c r="A603" s="2">
        <v>456</v>
      </c>
      <c r="B603" s="9" t="str">
        <f>"20210224606"</f>
        <v>20210224606</v>
      </c>
      <c r="C603" s="9" t="s">
        <v>629</v>
      </c>
      <c r="D603" s="9" t="s">
        <v>29</v>
      </c>
      <c r="E603" s="9">
        <v>64.5</v>
      </c>
      <c r="F603" s="9">
        <v>63</v>
      </c>
      <c r="G603" s="10">
        <f t="shared" si="9"/>
        <v>64.05</v>
      </c>
    </row>
    <row r="604" s="2" customFormat="1" spans="1:7">
      <c r="A604" s="2">
        <v>457</v>
      </c>
      <c r="B604" s="9" t="str">
        <f>"20210224615"</f>
        <v>20210224615</v>
      </c>
      <c r="C604" s="9" t="s">
        <v>630</v>
      </c>
      <c r="D604" s="9" t="s">
        <v>29</v>
      </c>
      <c r="E604" s="9">
        <v>65</v>
      </c>
      <c r="F604" s="9">
        <v>61</v>
      </c>
      <c r="G604" s="10">
        <f t="shared" si="9"/>
        <v>63.8</v>
      </c>
    </row>
    <row r="605" s="2" customFormat="1" spans="1:7">
      <c r="A605" s="2">
        <v>458</v>
      </c>
      <c r="B605" s="9" t="str">
        <f>"20210224518"</f>
        <v>20210224518</v>
      </c>
      <c r="C605" s="9" t="s">
        <v>631</v>
      </c>
      <c r="D605" s="9" t="s">
        <v>29</v>
      </c>
      <c r="E605" s="9">
        <v>59</v>
      </c>
      <c r="F605" s="9">
        <v>70</v>
      </c>
      <c r="G605" s="10">
        <f t="shared" si="9"/>
        <v>62.3</v>
      </c>
    </row>
    <row r="606" s="2" customFormat="1" spans="1:7">
      <c r="A606" s="2">
        <v>459</v>
      </c>
      <c r="B606" s="9" t="str">
        <f>"20210224611"</f>
        <v>20210224611</v>
      </c>
      <c r="C606" s="9" t="s">
        <v>632</v>
      </c>
      <c r="D606" s="9" t="s">
        <v>29</v>
      </c>
      <c r="E606" s="9">
        <v>62</v>
      </c>
      <c r="F606" s="9">
        <v>60</v>
      </c>
      <c r="G606" s="10">
        <f t="shared" si="9"/>
        <v>61.4</v>
      </c>
    </row>
    <row r="607" s="2" customFormat="1" spans="1:7">
      <c r="A607" s="2">
        <v>460</v>
      </c>
      <c r="B607" s="9" t="str">
        <f>"20210224529"</f>
        <v>20210224529</v>
      </c>
      <c r="C607" s="9" t="s">
        <v>633</v>
      </c>
      <c r="D607" s="9" t="s">
        <v>29</v>
      </c>
      <c r="E607" s="9">
        <v>54</v>
      </c>
      <c r="F607" s="9">
        <v>78</v>
      </c>
      <c r="G607" s="10">
        <f t="shared" si="9"/>
        <v>61.2</v>
      </c>
    </row>
    <row r="608" s="2" customFormat="1" spans="1:7">
      <c r="A608" s="2">
        <v>461</v>
      </c>
      <c r="B608" s="9" t="str">
        <f>"20210224521"</f>
        <v>20210224521</v>
      </c>
      <c r="C608" s="9" t="s">
        <v>634</v>
      </c>
      <c r="D608" s="9" t="s">
        <v>29</v>
      </c>
      <c r="E608" s="9">
        <v>62</v>
      </c>
      <c r="F608" s="9">
        <v>58</v>
      </c>
      <c r="G608" s="10">
        <f t="shared" si="9"/>
        <v>60.8</v>
      </c>
    </row>
    <row r="609" s="2" customFormat="1" spans="1:7">
      <c r="A609" s="2">
        <v>462</v>
      </c>
      <c r="B609" s="9" t="str">
        <f>"20210224520"</f>
        <v>20210224520</v>
      </c>
      <c r="C609" s="9" t="s">
        <v>635</v>
      </c>
      <c r="D609" s="9" t="s">
        <v>29</v>
      </c>
      <c r="E609" s="9">
        <v>55</v>
      </c>
      <c r="F609" s="9">
        <v>72</v>
      </c>
      <c r="G609" s="10">
        <f t="shared" si="9"/>
        <v>60.1</v>
      </c>
    </row>
    <row r="610" s="2" customFormat="1" spans="1:7">
      <c r="A610" s="2">
        <v>463</v>
      </c>
      <c r="B610" s="9" t="str">
        <f>"20210224602"</f>
        <v>20210224602</v>
      </c>
      <c r="C610" s="9" t="s">
        <v>636</v>
      </c>
      <c r="D610" s="9" t="s">
        <v>29</v>
      </c>
      <c r="E610" s="9">
        <v>60</v>
      </c>
      <c r="F610" s="9">
        <v>55</v>
      </c>
      <c r="G610" s="10">
        <f t="shared" si="9"/>
        <v>58.5</v>
      </c>
    </row>
    <row r="611" s="2" customFormat="1" spans="1:7">
      <c r="A611" s="2">
        <v>464</v>
      </c>
      <c r="B611" s="9" t="str">
        <f>"20210224607"</f>
        <v>20210224607</v>
      </c>
      <c r="C611" s="9" t="s">
        <v>637</v>
      </c>
      <c r="D611" s="9" t="s">
        <v>29</v>
      </c>
      <c r="E611" s="9">
        <v>53</v>
      </c>
      <c r="F611" s="9">
        <v>69</v>
      </c>
      <c r="G611" s="10">
        <f t="shared" si="9"/>
        <v>57.8</v>
      </c>
    </row>
    <row r="612" s="2" customFormat="1" spans="1:7">
      <c r="A612" s="2">
        <v>465</v>
      </c>
      <c r="B612" s="9" t="str">
        <f>"20210224522"</f>
        <v>20210224522</v>
      </c>
      <c r="C612" s="9" t="s">
        <v>638</v>
      </c>
      <c r="D612" s="9" t="s">
        <v>29</v>
      </c>
      <c r="E612" s="9">
        <v>62.5</v>
      </c>
      <c r="F612" s="9">
        <v>45</v>
      </c>
      <c r="G612" s="10">
        <f t="shared" si="9"/>
        <v>57.25</v>
      </c>
    </row>
    <row r="613" s="2" customFormat="1" spans="1:7">
      <c r="A613" s="2">
        <v>466</v>
      </c>
      <c r="B613" s="9" t="str">
        <f>"20210224530"</f>
        <v>20210224530</v>
      </c>
      <c r="C613" s="9" t="s">
        <v>639</v>
      </c>
      <c r="D613" s="9" t="s">
        <v>29</v>
      </c>
      <c r="E613" s="9">
        <v>60.5</v>
      </c>
      <c r="F613" s="9">
        <v>43</v>
      </c>
      <c r="G613" s="10">
        <f t="shared" si="9"/>
        <v>55.25</v>
      </c>
    </row>
    <row r="614" s="2" customFormat="1" spans="1:7">
      <c r="A614" s="2">
        <v>467</v>
      </c>
      <c r="B614" s="9" t="str">
        <f>"20210224617"</f>
        <v>20210224617</v>
      </c>
      <c r="C614" s="9" t="s">
        <v>640</v>
      </c>
      <c r="D614" s="9" t="s">
        <v>29</v>
      </c>
      <c r="E614" s="9">
        <v>55</v>
      </c>
      <c r="F614" s="9">
        <v>55</v>
      </c>
      <c r="G614" s="10">
        <f t="shared" si="9"/>
        <v>55</v>
      </c>
    </row>
    <row r="615" s="2" customFormat="1" spans="1:7">
      <c r="A615" s="2">
        <v>468</v>
      </c>
      <c r="B615" s="9" t="str">
        <f>"20210224612"</f>
        <v>20210224612</v>
      </c>
      <c r="C615" s="9" t="s">
        <v>641</v>
      </c>
      <c r="D615" s="9" t="s">
        <v>29</v>
      </c>
      <c r="E615" s="9">
        <v>52</v>
      </c>
      <c r="F615" s="9">
        <v>59</v>
      </c>
      <c r="G615" s="10">
        <f t="shared" si="9"/>
        <v>54.1</v>
      </c>
    </row>
    <row r="616" s="2" customFormat="1" ht="15" customHeight="1" spans="1:7">
      <c r="A616" s="2">
        <v>469</v>
      </c>
      <c r="B616" s="9" t="str">
        <f>"20210234724"</f>
        <v>20210234724</v>
      </c>
      <c r="C616" s="9" t="s">
        <v>642</v>
      </c>
      <c r="D616" s="9" t="s">
        <v>30</v>
      </c>
      <c r="E616" s="9">
        <v>74</v>
      </c>
      <c r="F616" s="9">
        <v>77</v>
      </c>
      <c r="G616" s="10">
        <f t="shared" si="9"/>
        <v>74.9</v>
      </c>
    </row>
    <row r="617" s="2" customFormat="1" spans="1:7">
      <c r="A617" s="2">
        <v>470</v>
      </c>
      <c r="B617" s="9" t="str">
        <f>"20210234801"</f>
        <v>20210234801</v>
      </c>
      <c r="C617" s="9" t="s">
        <v>643</v>
      </c>
      <c r="D617" s="9" t="s">
        <v>30</v>
      </c>
      <c r="E617" s="9">
        <v>68</v>
      </c>
      <c r="F617" s="9">
        <v>84</v>
      </c>
      <c r="G617" s="10">
        <f t="shared" si="9"/>
        <v>72.8</v>
      </c>
    </row>
    <row r="618" s="2" customFormat="1" spans="1:7">
      <c r="A618" s="2">
        <v>471</v>
      </c>
      <c r="B618" s="9" t="str">
        <f>"20210234704"</f>
        <v>20210234704</v>
      </c>
      <c r="C618" s="9" t="s">
        <v>644</v>
      </c>
      <c r="D618" s="9" t="s">
        <v>30</v>
      </c>
      <c r="E618" s="9">
        <v>69</v>
      </c>
      <c r="F618" s="9">
        <v>80</v>
      </c>
      <c r="G618" s="10">
        <f t="shared" si="9"/>
        <v>72.3</v>
      </c>
    </row>
    <row r="619" s="2" customFormat="1" spans="1:7">
      <c r="A619" s="2">
        <v>472</v>
      </c>
      <c r="B619" s="9" t="str">
        <f>"20210234702"</f>
        <v>20210234702</v>
      </c>
      <c r="C619" s="9" t="s">
        <v>645</v>
      </c>
      <c r="D619" s="9" t="s">
        <v>30</v>
      </c>
      <c r="E619" s="9">
        <v>68.5</v>
      </c>
      <c r="F619" s="9">
        <v>72</v>
      </c>
      <c r="G619" s="10">
        <f t="shared" si="9"/>
        <v>69.55</v>
      </c>
    </row>
    <row r="620" s="2" customFormat="1" spans="1:7">
      <c r="A620" s="2">
        <v>473</v>
      </c>
      <c r="B620" s="9" t="str">
        <f>"20210234712"</f>
        <v>20210234712</v>
      </c>
      <c r="C620" s="9" t="s">
        <v>646</v>
      </c>
      <c r="D620" s="9" t="s">
        <v>30</v>
      </c>
      <c r="E620" s="9">
        <v>68</v>
      </c>
      <c r="F620" s="9">
        <v>73</v>
      </c>
      <c r="G620" s="10">
        <f t="shared" si="9"/>
        <v>69.5</v>
      </c>
    </row>
    <row r="621" s="2" customFormat="1" spans="1:7">
      <c r="A621" s="2">
        <v>474</v>
      </c>
      <c r="B621" s="9" t="str">
        <f>"20210234713"</f>
        <v>20210234713</v>
      </c>
      <c r="C621" s="9" t="s">
        <v>647</v>
      </c>
      <c r="D621" s="9" t="s">
        <v>30</v>
      </c>
      <c r="E621" s="9">
        <v>70</v>
      </c>
      <c r="F621" s="9">
        <v>64</v>
      </c>
      <c r="G621" s="10">
        <f t="shared" si="9"/>
        <v>68.2</v>
      </c>
    </row>
    <row r="622" s="2" customFormat="1" spans="1:7">
      <c r="A622" s="2">
        <v>475</v>
      </c>
      <c r="B622" s="9" t="str">
        <f>"20210234701"</f>
        <v>20210234701</v>
      </c>
      <c r="C622" s="9" t="s">
        <v>648</v>
      </c>
      <c r="D622" s="9" t="s">
        <v>30</v>
      </c>
      <c r="E622" s="9">
        <v>61</v>
      </c>
      <c r="F622" s="9">
        <v>80</v>
      </c>
      <c r="G622" s="10">
        <f t="shared" si="9"/>
        <v>66.7</v>
      </c>
    </row>
    <row r="623" s="2" customFormat="1" spans="1:7">
      <c r="A623" s="2">
        <v>476</v>
      </c>
      <c r="B623" s="9" t="str">
        <f>"20210234706"</f>
        <v>20210234706</v>
      </c>
      <c r="C623" s="9" t="s">
        <v>649</v>
      </c>
      <c r="D623" s="9" t="s">
        <v>30</v>
      </c>
      <c r="E623" s="9">
        <v>60</v>
      </c>
      <c r="F623" s="9">
        <v>81</v>
      </c>
      <c r="G623" s="10">
        <f t="shared" si="9"/>
        <v>66.3</v>
      </c>
    </row>
    <row r="624" s="2" customFormat="1" spans="1:7">
      <c r="A624" s="2">
        <v>477</v>
      </c>
      <c r="B624" s="9" t="str">
        <f>"20210234729"</f>
        <v>20210234729</v>
      </c>
      <c r="C624" s="9" t="s">
        <v>650</v>
      </c>
      <c r="D624" s="9" t="s">
        <v>30</v>
      </c>
      <c r="E624" s="9">
        <v>64</v>
      </c>
      <c r="F624" s="9">
        <v>67</v>
      </c>
      <c r="G624" s="10">
        <f t="shared" si="9"/>
        <v>64.9</v>
      </c>
    </row>
    <row r="625" s="2" customFormat="1" spans="1:7">
      <c r="A625" s="2">
        <v>478</v>
      </c>
      <c r="B625" s="9" t="str">
        <f>"20210234707"</f>
        <v>20210234707</v>
      </c>
      <c r="C625" s="9" t="s">
        <v>651</v>
      </c>
      <c r="D625" s="9" t="s">
        <v>30</v>
      </c>
      <c r="E625" s="9">
        <v>66</v>
      </c>
      <c r="F625" s="9">
        <v>60</v>
      </c>
      <c r="G625" s="10">
        <f t="shared" si="9"/>
        <v>64.2</v>
      </c>
    </row>
    <row r="626" s="2" customFormat="1" spans="1:7">
      <c r="A626" s="2">
        <v>479</v>
      </c>
      <c r="B626" s="9" t="str">
        <f>"20210234726"</f>
        <v>20210234726</v>
      </c>
      <c r="C626" s="9" t="s">
        <v>652</v>
      </c>
      <c r="D626" s="9" t="s">
        <v>30</v>
      </c>
      <c r="E626" s="9">
        <v>63.5</v>
      </c>
      <c r="F626" s="9">
        <v>59</v>
      </c>
      <c r="G626" s="10">
        <f t="shared" si="9"/>
        <v>62.15</v>
      </c>
    </row>
    <row r="627" s="2" customFormat="1" spans="1:7">
      <c r="A627" s="2">
        <v>480</v>
      </c>
      <c r="B627" s="9" t="str">
        <f>"20210234711"</f>
        <v>20210234711</v>
      </c>
      <c r="C627" s="9" t="s">
        <v>525</v>
      </c>
      <c r="D627" s="9" t="s">
        <v>30</v>
      </c>
      <c r="E627" s="9">
        <v>55</v>
      </c>
      <c r="F627" s="9">
        <v>78</v>
      </c>
      <c r="G627" s="10">
        <f t="shared" si="9"/>
        <v>61.9</v>
      </c>
    </row>
    <row r="628" s="2" customFormat="1" spans="1:7">
      <c r="A628" s="2">
        <v>481</v>
      </c>
      <c r="B628" s="9" t="str">
        <f>"20210234630"</f>
        <v>20210234630</v>
      </c>
      <c r="C628" s="9" t="s">
        <v>653</v>
      </c>
      <c r="D628" s="9" t="s">
        <v>30</v>
      </c>
      <c r="E628" s="9">
        <v>58</v>
      </c>
      <c r="F628" s="9">
        <v>66</v>
      </c>
      <c r="G628" s="10">
        <f t="shared" si="9"/>
        <v>60.4</v>
      </c>
    </row>
    <row r="629" s="2" customFormat="1" spans="1:7">
      <c r="A629" s="2">
        <v>482</v>
      </c>
      <c r="B629" s="9" t="str">
        <f>"20210234628"</f>
        <v>20210234628</v>
      </c>
      <c r="C629" s="9" t="s">
        <v>654</v>
      </c>
      <c r="D629" s="9" t="s">
        <v>30</v>
      </c>
      <c r="E629" s="9">
        <v>53</v>
      </c>
      <c r="F629" s="9">
        <v>75</v>
      </c>
      <c r="G629" s="10">
        <f t="shared" si="9"/>
        <v>59.6</v>
      </c>
    </row>
    <row r="630" s="2" customFormat="1" spans="1:7">
      <c r="A630" s="2">
        <v>483</v>
      </c>
      <c r="B630" s="9" t="str">
        <f>"20210234718"</f>
        <v>20210234718</v>
      </c>
      <c r="C630" s="9" t="s">
        <v>655</v>
      </c>
      <c r="D630" s="9" t="s">
        <v>30</v>
      </c>
      <c r="E630" s="9">
        <v>56</v>
      </c>
      <c r="F630" s="9">
        <v>66</v>
      </c>
      <c r="G630" s="10">
        <f t="shared" si="9"/>
        <v>59</v>
      </c>
    </row>
    <row r="631" s="2" customFormat="1" spans="1:7">
      <c r="A631" s="2">
        <v>484</v>
      </c>
      <c r="B631" s="9" t="str">
        <f>"20210234621"</f>
        <v>20210234621</v>
      </c>
      <c r="C631" s="9" t="s">
        <v>656</v>
      </c>
      <c r="D631" s="9" t="s">
        <v>30</v>
      </c>
      <c r="E631" s="9">
        <v>64</v>
      </c>
      <c r="F631" s="9">
        <v>44</v>
      </c>
      <c r="G631" s="10">
        <f t="shared" si="9"/>
        <v>58</v>
      </c>
    </row>
    <row r="632" s="2" customFormat="1" spans="1:7">
      <c r="A632" s="2">
        <v>485</v>
      </c>
      <c r="B632" s="9" t="str">
        <f>"20210234730"</f>
        <v>20210234730</v>
      </c>
      <c r="C632" s="9" t="s">
        <v>657</v>
      </c>
      <c r="D632" s="9" t="s">
        <v>30</v>
      </c>
      <c r="E632" s="9">
        <v>51</v>
      </c>
      <c r="F632" s="9">
        <v>74</v>
      </c>
      <c r="G632" s="10">
        <f t="shared" si="9"/>
        <v>57.9</v>
      </c>
    </row>
    <row r="633" s="2" customFormat="1" spans="1:7">
      <c r="A633" s="2">
        <v>486</v>
      </c>
      <c r="B633" s="9" t="str">
        <f>"20210234625"</f>
        <v>20210234625</v>
      </c>
      <c r="C633" s="9" t="s">
        <v>595</v>
      </c>
      <c r="D633" s="9" t="s">
        <v>30</v>
      </c>
      <c r="E633" s="9">
        <v>51.5</v>
      </c>
      <c r="F633" s="9">
        <v>60</v>
      </c>
      <c r="G633" s="10">
        <f t="shared" si="9"/>
        <v>54.05</v>
      </c>
    </row>
    <row r="634" s="2" customFormat="1" spans="1:7">
      <c r="A634" s="2">
        <v>487</v>
      </c>
      <c r="B634" s="9" t="str">
        <f>"20210234720"</f>
        <v>20210234720</v>
      </c>
      <c r="C634" s="9" t="s">
        <v>658</v>
      </c>
      <c r="D634" s="9" t="s">
        <v>30</v>
      </c>
      <c r="E634" s="9">
        <v>53</v>
      </c>
      <c r="F634" s="9">
        <v>48</v>
      </c>
      <c r="G634" s="10">
        <f t="shared" si="9"/>
        <v>51.5</v>
      </c>
    </row>
    <row r="635" s="2" customFormat="1" spans="1:7">
      <c r="A635" s="2">
        <v>488</v>
      </c>
      <c r="B635" s="9" t="str">
        <f>"20210244903"</f>
        <v>20210244903</v>
      </c>
      <c r="C635" s="9" t="s">
        <v>659</v>
      </c>
      <c r="D635" s="9" t="s">
        <v>31</v>
      </c>
      <c r="E635" s="9">
        <v>86</v>
      </c>
      <c r="F635" s="9">
        <v>78</v>
      </c>
      <c r="G635" s="10">
        <f t="shared" si="9"/>
        <v>83.6</v>
      </c>
    </row>
    <row r="636" s="2" customFormat="1" spans="1:7">
      <c r="A636" s="2">
        <v>489</v>
      </c>
      <c r="B636" s="9" t="str">
        <f>"20210244816"</f>
        <v>20210244816</v>
      </c>
      <c r="C636" s="9" t="s">
        <v>660</v>
      </c>
      <c r="D636" s="9" t="s">
        <v>31</v>
      </c>
      <c r="E636" s="9">
        <v>69.5</v>
      </c>
      <c r="F636" s="9">
        <v>73</v>
      </c>
      <c r="G636" s="10">
        <f t="shared" si="9"/>
        <v>70.55</v>
      </c>
    </row>
    <row r="637" s="2" customFormat="1" spans="1:7">
      <c r="A637" s="2">
        <v>490</v>
      </c>
      <c r="B637" s="9" t="str">
        <f>"20210244909"</f>
        <v>20210244909</v>
      </c>
      <c r="C637" s="9" t="s">
        <v>661</v>
      </c>
      <c r="D637" s="9" t="s">
        <v>31</v>
      </c>
      <c r="E637" s="9">
        <v>59</v>
      </c>
      <c r="F637" s="9">
        <v>83</v>
      </c>
      <c r="G637" s="10">
        <f t="shared" si="9"/>
        <v>66.2</v>
      </c>
    </row>
    <row r="638" s="2" customFormat="1" spans="1:7">
      <c r="A638" s="2">
        <v>491</v>
      </c>
      <c r="B638" s="9" t="str">
        <f>"20210244911"</f>
        <v>20210244911</v>
      </c>
      <c r="C638" s="9" t="s">
        <v>662</v>
      </c>
      <c r="D638" s="9" t="s">
        <v>31</v>
      </c>
      <c r="E638" s="9">
        <v>61</v>
      </c>
      <c r="F638" s="9">
        <v>75</v>
      </c>
      <c r="G638" s="10">
        <f t="shared" si="9"/>
        <v>65.2</v>
      </c>
    </row>
    <row r="639" s="2" customFormat="1" spans="1:7">
      <c r="A639" s="2">
        <v>492</v>
      </c>
      <c r="B639" s="9" t="str">
        <f>"20210244819"</f>
        <v>20210244819</v>
      </c>
      <c r="C639" s="9" t="s">
        <v>663</v>
      </c>
      <c r="D639" s="9" t="s">
        <v>31</v>
      </c>
      <c r="E639" s="9">
        <v>61.5</v>
      </c>
      <c r="F639" s="9">
        <v>73</v>
      </c>
      <c r="G639" s="10">
        <f t="shared" si="9"/>
        <v>64.95</v>
      </c>
    </row>
    <row r="640" s="2" customFormat="1" spans="1:7">
      <c r="A640" s="2">
        <v>493</v>
      </c>
      <c r="B640" s="9" t="str">
        <f>"20210244826"</f>
        <v>20210244826</v>
      </c>
      <c r="C640" s="9" t="s">
        <v>664</v>
      </c>
      <c r="D640" s="9" t="s">
        <v>31</v>
      </c>
      <c r="E640" s="9">
        <v>62</v>
      </c>
      <c r="F640" s="9">
        <v>69</v>
      </c>
      <c r="G640" s="10">
        <f t="shared" ref="G640:G703" si="10">E640*0.7+F640*0.3</f>
        <v>64.1</v>
      </c>
    </row>
    <row r="641" s="2" customFormat="1" spans="1:7">
      <c r="A641" s="2">
        <v>494</v>
      </c>
      <c r="B641" s="9" t="str">
        <f>"20210244817"</f>
        <v>20210244817</v>
      </c>
      <c r="C641" s="9" t="s">
        <v>665</v>
      </c>
      <c r="D641" s="9" t="s">
        <v>31</v>
      </c>
      <c r="E641" s="9">
        <v>61</v>
      </c>
      <c r="F641" s="9">
        <v>70</v>
      </c>
      <c r="G641" s="10">
        <f t="shared" si="10"/>
        <v>63.7</v>
      </c>
    </row>
    <row r="642" s="2" customFormat="1" spans="1:7">
      <c r="A642" s="2">
        <v>495</v>
      </c>
      <c r="B642" s="9" t="str">
        <f>"20210244922"</f>
        <v>20210244922</v>
      </c>
      <c r="C642" s="9" t="s">
        <v>666</v>
      </c>
      <c r="D642" s="9" t="s">
        <v>31</v>
      </c>
      <c r="E642" s="9">
        <v>62.5</v>
      </c>
      <c r="F642" s="9">
        <v>66</v>
      </c>
      <c r="G642" s="10">
        <f t="shared" si="10"/>
        <v>63.55</v>
      </c>
    </row>
    <row r="643" s="2" customFormat="1" spans="1:7">
      <c r="A643" s="2">
        <v>496</v>
      </c>
      <c r="B643" s="9" t="str">
        <f>"20210244813"</f>
        <v>20210244813</v>
      </c>
      <c r="C643" s="9" t="s">
        <v>667</v>
      </c>
      <c r="D643" s="9" t="s">
        <v>31</v>
      </c>
      <c r="E643" s="9">
        <v>58</v>
      </c>
      <c r="F643" s="9">
        <v>74</v>
      </c>
      <c r="G643" s="10">
        <f t="shared" si="10"/>
        <v>62.8</v>
      </c>
    </row>
    <row r="644" s="2" customFormat="1" spans="1:7">
      <c r="A644" s="2">
        <v>497</v>
      </c>
      <c r="B644" s="9" t="str">
        <f>"20210244805"</f>
        <v>20210244805</v>
      </c>
      <c r="C644" s="9" t="s">
        <v>668</v>
      </c>
      <c r="D644" s="9" t="s">
        <v>31</v>
      </c>
      <c r="E644" s="9">
        <v>59</v>
      </c>
      <c r="F644" s="9">
        <v>66</v>
      </c>
      <c r="G644" s="10">
        <f t="shared" si="10"/>
        <v>61.1</v>
      </c>
    </row>
    <row r="645" s="2" customFormat="1" spans="1:7">
      <c r="A645" s="2">
        <v>498</v>
      </c>
      <c r="B645" s="9" t="str">
        <f>"20210244806"</f>
        <v>20210244806</v>
      </c>
      <c r="C645" s="9" t="s">
        <v>669</v>
      </c>
      <c r="D645" s="9" t="s">
        <v>31</v>
      </c>
      <c r="E645" s="9">
        <v>65.5</v>
      </c>
      <c r="F645" s="9">
        <v>50</v>
      </c>
      <c r="G645" s="10">
        <f t="shared" si="10"/>
        <v>60.85</v>
      </c>
    </row>
    <row r="646" s="2" customFormat="1" spans="1:7">
      <c r="A646" s="2">
        <v>499</v>
      </c>
      <c r="B646" s="9" t="str">
        <f>"20210244921"</f>
        <v>20210244921</v>
      </c>
      <c r="C646" s="9" t="s">
        <v>670</v>
      </c>
      <c r="D646" s="9" t="s">
        <v>31</v>
      </c>
      <c r="E646" s="9">
        <v>63.5</v>
      </c>
      <c r="F646" s="9">
        <v>54</v>
      </c>
      <c r="G646" s="10">
        <f t="shared" si="10"/>
        <v>60.65</v>
      </c>
    </row>
    <row r="647" s="2" customFormat="1" spans="1:7">
      <c r="A647" s="2">
        <v>500</v>
      </c>
      <c r="B647" s="9" t="str">
        <f>"20210244828"</f>
        <v>20210244828</v>
      </c>
      <c r="C647" s="9" t="s">
        <v>671</v>
      </c>
      <c r="D647" s="9" t="s">
        <v>31</v>
      </c>
      <c r="E647" s="9">
        <v>53</v>
      </c>
      <c r="F647" s="9">
        <v>77</v>
      </c>
      <c r="G647" s="10">
        <f t="shared" si="10"/>
        <v>60.2</v>
      </c>
    </row>
    <row r="648" s="2" customFormat="1" spans="1:7">
      <c r="A648" s="2">
        <v>501</v>
      </c>
      <c r="B648" s="9" t="str">
        <f>"20210244923"</f>
        <v>20210244923</v>
      </c>
      <c r="C648" s="9" t="s">
        <v>672</v>
      </c>
      <c r="D648" s="9" t="s">
        <v>31</v>
      </c>
      <c r="E648" s="9">
        <v>58.5</v>
      </c>
      <c r="F648" s="9">
        <v>61</v>
      </c>
      <c r="G648" s="10">
        <f t="shared" si="10"/>
        <v>59.25</v>
      </c>
    </row>
    <row r="649" s="2" customFormat="1" spans="1:7">
      <c r="A649" s="2">
        <v>502</v>
      </c>
      <c r="B649" s="9" t="str">
        <f>"20210244918"</f>
        <v>20210244918</v>
      </c>
      <c r="C649" s="9" t="s">
        <v>673</v>
      </c>
      <c r="D649" s="9" t="s">
        <v>31</v>
      </c>
      <c r="E649" s="9">
        <v>56</v>
      </c>
      <c r="F649" s="9">
        <v>65</v>
      </c>
      <c r="G649" s="10">
        <f t="shared" si="10"/>
        <v>58.7</v>
      </c>
    </row>
    <row r="650" s="2" customFormat="1" spans="1:7">
      <c r="A650" s="2">
        <v>503</v>
      </c>
      <c r="B650" s="9" t="str">
        <f>"20210244907"</f>
        <v>20210244907</v>
      </c>
      <c r="C650" s="9" t="s">
        <v>674</v>
      </c>
      <c r="D650" s="9" t="s">
        <v>31</v>
      </c>
      <c r="E650" s="9">
        <v>56.5</v>
      </c>
      <c r="F650" s="9">
        <v>57</v>
      </c>
      <c r="G650" s="10">
        <f t="shared" si="10"/>
        <v>56.65</v>
      </c>
    </row>
    <row r="651" s="2" customFormat="1" spans="1:7">
      <c r="A651" s="2">
        <v>504</v>
      </c>
      <c r="B651" s="9" t="str">
        <f>"20210244913"</f>
        <v>20210244913</v>
      </c>
      <c r="C651" s="9" t="s">
        <v>675</v>
      </c>
      <c r="D651" s="9" t="s">
        <v>31</v>
      </c>
      <c r="E651" s="9">
        <v>57.5</v>
      </c>
      <c r="F651" s="9">
        <v>52</v>
      </c>
      <c r="G651" s="10">
        <f t="shared" si="10"/>
        <v>55.85</v>
      </c>
    </row>
    <row r="652" s="2" customFormat="1" spans="1:7">
      <c r="A652" s="2">
        <v>505</v>
      </c>
      <c r="B652" s="9" t="str">
        <f>"20210244825"</f>
        <v>20210244825</v>
      </c>
      <c r="C652" s="9" t="s">
        <v>676</v>
      </c>
      <c r="D652" s="9" t="s">
        <v>31</v>
      </c>
      <c r="E652" s="9">
        <v>48</v>
      </c>
      <c r="F652" s="9">
        <v>71</v>
      </c>
      <c r="G652" s="10">
        <f t="shared" si="10"/>
        <v>54.9</v>
      </c>
    </row>
    <row r="653" s="2" customFormat="1" spans="1:7">
      <c r="A653" s="2">
        <v>506</v>
      </c>
      <c r="B653" s="9" t="str">
        <f>"20210244915"</f>
        <v>20210244915</v>
      </c>
      <c r="C653" s="9" t="s">
        <v>677</v>
      </c>
      <c r="D653" s="9" t="s">
        <v>31</v>
      </c>
      <c r="E653" s="9">
        <v>51</v>
      </c>
      <c r="F653" s="9">
        <v>63</v>
      </c>
      <c r="G653" s="10">
        <f t="shared" si="10"/>
        <v>54.6</v>
      </c>
    </row>
    <row r="654" s="2" customFormat="1" spans="1:7">
      <c r="A654" s="2">
        <v>507</v>
      </c>
      <c r="B654" s="9" t="str">
        <f>"20210244823"</f>
        <v>20210244823</v>
      </c>
      <c r="C654" s="9" t="s">
        <v>678</v>
      </c>
      <c r="D654" s="9" t="s">
        <v>31</v>
      </c>
      <c r="E654" s="9">
        <v>54</v>
      </c>
      <c r="F654" s="9">
        <v>48</v>
      </c>
      <c r="G654" s="10">
        <f t="shared" si="10"/>
        <v>52.2</v>
      </c>
    </row>
    <row r="655" s="2" customFormat="1" spans="1:7">
      <c r="A655" s="2">
        <v>508</v>
      </c>
      <c r="B655" s="9" t="str">
        <f>"20210244916"</f>
        <v>20210244916</v>
      </c>
      <c r="C655" s="9" t="s">
        <v>679</v>
      </c>
      <c r="D655" s="9" t="s">
        <v>31</v>
      </c>
      <c r="E655" s="9">
        <v>51.5</v>
      </c>
      <c r="F655" s="9">
        <v>53</v>
      </c>
      <c r="G655" s="10">
        <f t="shared" si="10"/>
        <v>51.95</v>
      </c>
    </row>
    <row r="656" s="3" customFormat="1" spans="1:7">
      <c r="A656" s="2">
        <v>751</v>
      </c>
      <c r="B656" s="11" t="str">
        <f>"20210244829"</f>
        <v>20210244829</v>
      </c>
      <c r="C656" s="11" t="s">
        <v>680</v>
      </c>
      <c r="D656" s="11" t="s">
        <v>31</v>
      </c>
      <c r="E656" s="11">
        <v>48</v>
      </c>
      <c r="F656" s="11">
        <v>60</v>
      </c>
      <c r="G656" s="12">
        <f t="shared" si="10"/>
        <v>51.6</v>
      </c>
    </row>
    <row r="657" s="3" customFormat="1" spans="1:7">
      <c r="A657" s="2">
        <v>752</v>
      </c>
      <c r="B657" s="11" t="str">
        <f>"20210244902"</f>
        <v>20210244902</v>
      </c>
      <c r="C657" s="11" t="s">
        <v>681</v>
      </c>
      <c r="D657" s="11" t="s">
        <v>31</v>
      </c>
      <c r="E657" s="11">
        <v>47</v>
      </c>
      <c r="F657" s="11">
        <v>58</v>
      </c>
      <c r="G657" s="12">
        <f t="shared" si="10"/>
        <v>50.3</v>
      </c>
    </row>
    <row r="658" s="2" customFormat="1" spans="1:7">
      <c r="A658" s="2">
        <v>509</v>
      </c>
      <c r="B658" s="9" t="str">
        <f>"20210255009"</f>
        <v>20210255009</v>
      </c>
      <c r="C658" s="9" t="s">
        <v>682</v>
      </c>
      <c r="D658" s="9" t="s">
        <v>32</v>
      </c>
      <c r="E658" s="9">
        <v>81</v>
      </c>
      <c r="F658" s="9">
        <v>82</v>
      </c>
      <c r="G658" s="10">
        <f t="shared" si="10"/>
        <v>81.3</v>
      </c>
    </row>
    <row r="659" s="2" customFormat="1" spans="1:7">
      <c r="A659" s="2">
        <v>510</v>
      </c>
      <c r="B659" s="9" t="str">
        <f>"20210254929"</f>
        <v>20210254929</v>
      </c>
      <c r="C659" s="9" t="s">
        <v>683</v>
      </c>
      <c r="D659" s="9" t="s">
        <v>32</v>
      </c>
      <c r="E659" s="9">
        <v>66</v>
      </c>
      <c r="F659" s="9">
        <v>82</v>
      </c>
      <c r="G659" s="10">
        <f t="shared" si="10"/>
        <v>70.8</v>
      </c>
    </row>
    <row r="660" s="2" customFormat="1" spans="1:7">
      <c r="A660" s="2">
        <v>511</v>
      </c>
      <c r="B660" s="9" t="str">
        <f>"20210255101"</f>
        <v>20210255101</v>
      </c>
      <c r="C660" s="9" t="s">
        <v>684</v>
      </c>
      <c r="D660" s="9" t="s">
        <v>32</v>
      </c>
      <c r="E660" s="9">
        <v>65</v>
      </c>
      <c r="F660" s="9">
        <v>83</v>
      </c>
      <c r="G660" s="10">
        <f t="shared" si="10"/>
        <v>70.4</v>
      </c>
    </row>
    <row r="661" s="2" customFormat="1" spans="1:7">
      <c r="A661" s="2">
        <v>512</v>
      </c>
      <c r="B661" s="9" t="str">
        <f>"20210255018"</f>
        <v>20210255018</v>
      </c>
      <c r="C661" s="9" t="s">
        <v>685</v>
      </c>
      <c r="D661" s="9" t="s">
        <v>32</v>
      </c>
      <c r="E661" s="9">
        <v>71</v>
      </c>
      <c r="F661" s="9">
        <v>68</v>
      </c>
      <c r="G661" s="10">
        <f t="shared" si="10"/>
        <v>70.1</v>
      </c>
    </row>
    <row r="662" s="2" customFormat="1" spans="1:7">
      <c r="A662" s="2">
        <v>513</v>
      </c>
      <c r="B662" s="9" t="str">
        <f>"20210255011"</f>
        <v>20210255011</v>
      </c>
      <c r="C662" s="9" t="s">
        <v>686</v>
      </c>
      <c r="D662" s="9" t="s">
        <v>32</v>
      </c>
      <c r="E662" s="9">
        <v>68.5</v>
      </c>
      <c r="F662" s="9">
        <v>66</v>
      </c>
      <c r="G662" s="10">
        <f t="shared" si="10"/>
        <v>67.75</v>
      </c>
    </row>
    <row r="663" s="2" customFormat="1" spans="1:7">
      <c r="A663" s="2">
        <v>514</v>
      </c>
      <c r="B663" s="9" t="str">
        <f>"20210255103"</f>
        <v>20210255103</v>
      </c>
      <c r="C663" s="9" t="s">
        <v>687</v>
      </c>
      <c r="D663" s="9" t="s">
        <v>32</v>
      </c>
      <c r="E663" s="9">
        <v>65.5</v>
      </c>
      <c r="F663" s="9">
        <v>65</v>
      </c>
      <c r="G663" s="10">
        <f t="shared" si="10"/>
        <v>65.35</v>
      </c>
    </row>
    <row r="664" s="2" customFormat="1" spans="1:7">
      <c r="A664" s="2">
        <v>515</v>
      </c>
      <c r="B664" s="9" t="str">
        <f>"20210254928"</f>
        <v>20210254928</v>
      </c>
      <c r="C664" s="9" t="s">
        <v>688</v>
      </c>
      <c r="D664" s="9" t="s">
        <v>32</v>
      </c>
      <c r="E664" s="9">
        <v>62</v>
      </c>
      <c r="F664" s="9">
        <v>73</v>
      </c>
      <c r="G664" s="10">
        <f t="shared" si="10"/>
        <v>65.3</v>
      </c>
    </row>
    <row r="665" s="2" customFormat="1" spans="1:7">
      <c r="A665" s="2">
        <v>516</v>
      </c>
      <c r="B665" s="9" t="str">
        <f>"20210255004"</f>
        <v>20210255004</v>
      </c>
      <c r="C665" s="9" t="s">
        <v>689</v>
      </c>
      <c r="D665" s="9" t="s">
        <v>32</v>
      </c>
      <c r="E665" s="9">
        <v>62</v>
      </c>
      <c r="F665" s="9">
        <v>72</v>
      </c>
      <c r="G665" s="10">
        <f t="shared" si="10"/>
        <v>65</v>
      </c>
    </row>
    <row r="666" s="2" customFormat="1" spans="1:7">
      <c r="A666" s="2">
        <v>517</v>
      </c>
      <c r="B666" s="9" t="str">
        <f>"20210255026"</f>
        <v>20210255026</v>
      </c>
      <c r="C666" s="9" t="s">
        <v>690</v>
      </c>
      <c r="D666" s="9" t="s">
        <v>32</v>
      </c>
      <c r="E666" s="9">
        <v>60</v>
      </c>
      <c r="F666" s="9">
        <v>74</v>
      </c>
      <c r="G666" s="10">
        <f t="shared" si="10"/>
        <v>64.2</v>
      </c>
    </row>
    <row r="667" s="2" customFormat="1" spans="1:7">
      <c r="A667" s="2">
        <v>518</v>
      </c>
      <c r="B667" s="9" t="str">
        <f>"20210255105"</f>
        <v>20210255105</v>
      </c>
      <c r="C667" s="9" t="s">
        <v>691</v>
      </c>
      <c r="D667" s="9" t="s">
        <v>32</v>
      </c>
      <c r="E667" s="9">
        <v>59</v>
      </c>
      <c r="F667" s="9">
        <v>75</v>
      </c>
      <c r="G667" s="10">
        <f t="shared" si="10"/>
        <v>63.8</v>
      </c>
    </row>
    <row r="668" s="2" customFormat="1" spans="1:7">
      <c r="A668" s="2">
        <v>519</v>
      </c>
      <c r="B668" s="9" t="str">
        <f>"20210254926"</f>
        <v>20210254926</v>
      </c>
      <c r="C668" s="9" t="s">
        <v>692</v>
      </c>
      <c r="D668" s="9" t="s">
        <v>32</v>
      </c>
      <c r="E668" s="9">
        <v>62.5</v>
      </c>
      <c r="F668" s="9">
        <v>64</v>
      </c>
      <c r="G668" s="10">
        <f t="shared" si="10"/>
        <v>62.95</v>
      </c>
    </row>
    <row r="669" s="2" customFormat="1" spans="1:7">
      <c r="A669" s="2">
        <v>520</v>
      </c>
      <c r="B669" s="9" t="str">
        <f>"20210255104"</f>
        <v>20210255104</v>
      </c>
      <c r="C669" s="9" t="s">
        <v>693</v>
      </c>
      <c r="D669" s="9" t="s">
        <v>32</v>
      </c>
      <c r="E669" s="9">
        <v>67</v>
      </c>
      <c r="F669" s="9">
        <v>53</v>
      </c>
      <c r="G669" s="10">
        <f t="shared" si="10"/>
        <v>62.8</v>
      </c>
    </row>
    <row r="670" s="2" customFormat="1" spans="1:7">
      <c r="A670" s="2">
        <v>521</v>
      </c>
      <c r="B670" s="9" t="str">
        <f>"20210255005"</f>
        <v>20210255005</v>
      </c>
      <c r="C670" s="9" t="s">
        <v>694</v>
      </c>
      <c r="D670" s="9" t="s">
        <v>32</v>
      </c>
      <c r="E670" s="9">
        <v>60.5</v>
      </c>
      <c r="F670" s="9">
        <v>58</v>
      </c>
      <c r="G670" s="10">
        <f t="shared" si="10"/>
        <v>59.75</v>
      </c>
    </row>
    <row r="671" s="2" customFormat="1" spans="1:7">
      <c r="A671" s="2">
        <v>522</v>
      </c>
      <c r="B671" s="9" t="str">
        <f>"20210255015"</f>
        <v>20210255015</v>
      </c>
      <c r="C671" s="9" t="s">
        <v>695</v>
      </c>
      <c r="D671" s="9" t="s">
        <v>32</v>
      </c>
      <c r="E671" s="9">
        <v>56</v>
      </c>
      <c r="F671" s="9">
        <v>68</v>
      </c>
      <c r="G671" s="10">
        <f t="shared" si="10"/>
        <v>59.6</v>
      </c>
    </row>
    <row r="672" s="2" customFormat="1" spans="1:7">
      <c r="A672" s="2">
        <v>523</v>
      </c>
      <c r="B672" s="9" t="str">
        <f>"20210255012"</f>
        <v>20210255012</v>
      </c>
      <c r="C672" s="9" t="s">
        <v>696</v>
      </c>
      <c r="D672" s="9" t="s">
        <v>32</v>
      </c>
      <c r="E672" s="9">
        <v>59</v>
      </c>
      <c r="F672" s="9">
        <v>59</v>
      </c>
      <c r="G672" s="10">
        <f t="shared" si="10"/>
        <v>59</v>
      </c>
    </row>
    <row r="673" s="2" customFormat="1" spans="1:7">
      <c r="A673" s="2">
        <v>524</v>
      </c>
      <c r="B673" s="9" t="str">
        <f>"20210255021"</f>
        <v>20210255021</v>
      </c>
      <c r="C673" s="9" t="s">
        <v>697</v>
      </c>
      <c r="D673" s="9" t="s">
        <v>32</v>
      </c>
      <c r="E673" s="9">
        <v>53.5</v>
      </c>
      <c r="F673" s="9">
        <v>68</v>
      </c>
      <c r="G673" s="10">
        <f t="shared" si="10"/>
        <v>57.85</v>
      </c>
    </row>
    <row r="674" s="2" customFormat="1" spans="1:7">
      <c r="A674" s="2">
        <v>525</v>
      </c>
      <c r="B674" s="9" t="str">
        <f>"20210255014"</f>
        <v>20210255014</v>
      </c>
      <c r="C674" s="9" t="s">
        <v>536</v>
      </c>
      <c r="D674" s="9" t="s">
        <v>32</v>
      </c>
      <c r="E674" s="9">
        <v>58.5</v>
      </c>
      <c r="F674" s="9">
        <v>55</v>
      </c>
      <c r="G674" s="10">
        <f t="shared" si="10"/>
        <v>57.45</v>
      </c>
    </row>
    <row r="675" s="2" customFormat="1" spans="1:7">
      <c r="A675" s="2">
        <v>526</v>
      </c>
      <c r="B675" s="9" t="str">
        <f>"20210255022"</f>
        <v>20210255022</v>
      </c>
      <c r="C675" s="9" t="s">
        <v>698</v>
      </c>
      <c r="D675" s="9" t="s">
        <v>32</v>
      </c>
      <c r="E675" s="9">
        <v>54</v>
      </c>
      <c r="F675" s="9">
        <v>62</v>
      </c>
      <c r="G675" s="10">
        <f t="shared" si="10"/>
        <v>56.4</v>
      </c>
    </row>
    <row r="676" s="2" customFormat="1" spans="1:7">
      <c r="A676" s="2">
        <v>527</v>
      </c>
      <c r="B676" s="9" t="str">
        <f>"20210254930"</f>
        <v>20210254930</v>
      </c>
      <c r="C676" s="9" t="s">
        <v>699</v>
      </c>
      <c r="D676" s="9" t="s">
        <v>32</v>
      </c>
      <c r="E676" s="9">
        <v>56</v>
      </c>
      <c r="F676" s="9">
        <v>57</v>
      </c>
      <c r="G676" s="10">
        <f t="shared" si="10"/>
        <v>56.3</v>
      </c>
    </row>
    <row r="677" s="2" customFormat="1" spans="1:7">
      <c r="A677" s="2">
        <v>528</v>
      </c>
      <c r="B677" s="9" t="str">
        <f>"20210254927"</f>
        <v>20210254927</v>
      </c>
      <c r="C677" s="9" t="s">
        <v>700</v>
      </c>
      <c r="D677" s="9" t="s">
        <v>32</v>
      </c>
      <c r="E677" s="9">
        <v>49</v>
      </c>
      <c r="F677" s="9">
        <v>70</v>
      </c>
      <c r="G677" s="10">
        <f t="shared" si="10"/>
        <v>55.3</v>
      </c>
    </row>
    <row r="678" s="2" customFormat="1" spans="1:7">
      <c r="A678" s="2">
        <v>529</v>
      </c>
      <c r="B678" s="9" t="str">
        <f>"20210255016"</f>
        <v>20210255016</v>
      </c>
      <c r="C678" s="9" t="s">
        <v>701</v>
      </c>
      <c r="D678" s="9" t="s">
        <v>32</v>
      </c>
      <c r="E678" s="9">
        <v>52</v>
      </c>
      <c r="F678" s="9">
        <v>63</v>
      </c>
      <c r="G678" s="10">
        <f t="shared" si="10"/>
        <v>55.3</v>
      </c>
    </row>
    <row r="679" s="2" customFormat="1" spans="1:7">
      <c r="A679" s="2">
        <v>530</v>
      </c>
      <c r="B679" s="9" t="str">
        <f>"20210255027"</f>
        <v>20210255027</v>
      </c>
      <c r="C679" s="9" t="s">
        <v>702</v>
      </c>
      <c r="D679" s="9" t="s">
        <v>32</v>
      </c>
      <c r="E679" s="9">
        <v>51</v>
      </c>
      <c r="F679" s="9">
        <v>63</v>
      </c>
      <c r="G679" s="10">
        <f t="shared" si="10"/>
        <v>54.6</v>
      </c>
    </row>
    <row r="680" s="2" customFormat="1" spans="1:7">
      <c r="A680" s="2">
        <v>531</v>
      </c>
      <c r="B680" s="9" t="str">
        <f>"20210255024"</f>
        <v>20210255024</v>
      </c>
      <c r="C680" s="9" t="s">
        <v>703</v>
      </c>
      <c r="D680" s="9" t="s">
        <v>32</v>
      </c>
      <c r="E680" s="9">
        <v>55</v>
      </c>
      <c r="F680" s="9">
        <v>51</v>
      </c>
      <c r="G680" s="10">
        <f t="shared" si="10"/>
        <v>53.8</v>
      </c>
    </row>
    <row r="681" s="2" customFormat="1" spans="1:7">
      <c r="A681" s="2">
        <v>532</v>
      </c>
      <c r="B681" s="9" t="str">
        <f>"20210255003"</f>
        <v>20210255003</v>
      </c>
      <c r="C681" s="9" t="s">
        <v>704</v>
      </c>
      <c r="D681" s="9" t="s">
        <v>32</v>
      </c>
      <c r="E681" s="9">
        <v>53.5</v>
      </c>
      <c r="F681" s="9">
        <v>50</v>
      </c>
      <c r="G681" s="10">
        <f t="shared" si="10"/>
        <v>52.45</v>
      </c>
    </row>
    <row r="682" s="2" customFormat="1" spans="1:7">
      <c r="A682" s="2">
        <v>533</v>
      </c>
      <c r="B682" s="9" t="str">
        <f>"20210255029"</f>
        <v>20210255029</v>
      </c>
      <c r="C682" s="9" t="s">
        <v>705</v>
      </c>
      <c r="D682" s="9" t="s">
        <v>32</v>
      </c>
      <c r="E682" s="9">
        <v>58</v>
      </c>
      <c r="F682" s="9">
        <v>39</v>
      </c>
      <c r="G682" s="10">
        <f t="shared" si="10"/>
        <v>52.3</v>
      </c>
    </row>
    <row r="683" s="2" customFormat="1" spans="1:7">
      <c r="A683" s="2">
        <v>534</v>
      </c>
      <c r="B683" s="9" t="str">
        <f>"20210255013"</f>
        <v>20210255013</v>
      </c>
      <c r="C683" s="9" t="s">
        <v>706</v>
      </c>
      <c r="D683" s="9" t="s">
        <v>32</v>
      </c>
      <c r="E683" s="9">
        <v>48</v>
      </c>
      <c r="F683" s="9">
        <v>59</v>
      </c>
      <c r="G683" s="10">
        <f t="shared" si="10"/>
        <v>51.3</v>
      </c>
    </row>
    <row r="684" s="2" customFormat="1" spans="1:7">
      <c r="A684" s="2">
        <v>535</v>
      </c>
      <c r="B684" s="9" t="str">
        <f>"20210255106"</f>
        <v>20210255106</v>
      </c>
      <c r="C684" s="9" t="s">
        <v>707</v>
      </c>
      <c r="D684" s="9" t="s">
        <v>32</v>
      </c>
      <c r="E684" s="9">
        <v>45</v>
      </c>
      <c r="F684" s="9">
        <v>66</v>
      </c>
      <c r="G684" s="10">
        <f t="shared" si="10"/>
        <v>51.3</v>
      </c>
    </row>
    <row r="685" s="2" customFormat="1" spans="1:7">
      <c r="A685" s="2">
        <v>536</v>
      </c>
      <c r="B685" s="9" t="str">
        <f>"20210265129"</f>
        <v>20210265129</v>
      </c>
      <c r="C685" s="9" t="s">
        <v>708</v>
      </c>
      <c r="D685" s="9" t="s">
        <v>33</v>
      </c>
      <c r="E685" s="9">
        <v>72</v>
      </c>
      <c r="F685" s="9">
        <v>85</v>
      </c>
      <c r="G685" s="10">
        <f t="shared" si="10"/>
        <v>75.9</v>
      </c>
    </row>
    <row r="686" s="2" customFormat="1" spans="1:7">
      <c r="A686" s="2">
        <v>537</v>
      </c>
      <c r="B686" s="9" t="str">
        <f>"20210265221"</f>
        <v>20210265221</v>
      </c>
      <c r="C686" s="9" t="s">
        <v>709</v>
      </c>
      <c r="D686" s="9" t="s">
        <v>33</v>
      </c>
      <c r="E686" s="9">
        <v>67.5</v>
      </c>
      <c r="F686" s="9">
        <v>80</v>
      </c>
      <c r="G686" s="10">
        <f t="shared" si="10"/>
        <v>71.25</v>
      </c>
    </row>
    <row r="687" s="2" customFormat="1" spans="1:7">
      <c r="A687" s="2">
        <v>538</v>
      </c>
      <c r="B687" s="9" t="str">
        <f>"20210265213"</f>
        <v>20210265213</v>
      </c>
      <c r="C687" s="9" t="s">
        <v>710</v>
      </c>
      <c r="D687" s="9" t="s">
        <v>33</v>
      </c>
      <c r="E687" s="9">
        <v>65</v>
      </c>
      <c r="F687" s="9">
        <v>82</v>
      </c>
      <c r="G687" s="10">
        <f t="shared" si="10"/>
        <v>70.1</v>
      </c>
    </row>
    <row r="688" s="2" customFormat="1" spans="1:7">
      <c r="A688" s="2">
        <v>539</v>
      </c>
      <c r="B688" s="9" t="str">
        <f>"20210265203"</f>
        <v>20210265203</v>
      </c>
      <c r="C688" s="9" t="s">
        <v>711</v>
      </c>
      <c r="D688" s="9" t="s">
        <v>33</v>
      </c>
      <c r="E688" s="9">
        <v>69</v>
      </c>
      <c r="F688" s="9">
        <v>70</v>
      </c>
      <c r="G688" s="10">
        <f t="shared" si="10"/>
        <v>69.3</v>
      </c>
    </row>
    <row r="689" s="2" customFormat="1" spans="1:7">
      <c r="A689" s="2">
        <v>540</v>
      </c>
      <c r="B689" s="9" t="str">
        <f>"20210265128"</f>
        <v>20210265128</v>
      </c>
      <c r="C689" s="9" t="s">
        <v>712</v>
      </c>
      <c r="D689" s="9" t="s">
        <v>33</v>
      </c>
      <c r="E689" s="9">
        <v>64</v>
      </c>
      <c r="F689" s="9">
        <v>78</v>
      </c>
      <c r="G689" s="10">
        <f t="shared" si="10"/>
        <v>68.2</v>
      </c>
    </row>
    <row r="690" s="2" customFormat="1" spans="1:7">
      <c r="A690" s="2">
        <v>541</v>
      </c>
      <c r="B690" s="9" t="str">
        <f>"20210265210"</f>
        <v>20210265210</v>
      </c>
      <c r="C690" s="9" t="s">
        <v>204</v>
      </c>
      <c r="D690" s="9" t="s">
        <v>33</v>
      </c>
      <c r="E690" s="9">
        <v>58</v>
      </c>
      <c r="F690" s="9">
        <v>87</v>
      </c>
      <c r="G690" s="10">
        <f t="shared" si="10"/>
        <v>66.7</v>
      </c>
    </row>
    <row r="691" s="2" customFormat="1" spans="1:7">
      <c r="A691" s="2">
        <v>542</v>
      </c>
      <c r="B691" s="9" t="str">
        <f>"20210265223"</f>
        <v>20210265223</v>
      </c>
      <c r="C691" s="9" t="s">
        <v>713</v>
      </c>
      <c r="D691" s="9" t="s">
        <v>33</v>
      </c>
      <c r="E691" s="9">
        <v>63</v>
      </c>
      <c r="F691" s="9">
        <v>71</v>
      </c>
      <c r="G691" s="10">
        <f t="shared" si="10"/>
        <v>65.4</v>
      </c>
    </row>
    <row r="692" s="2" customFormat="1" spans="1:7">
      <c r="A692" s="2">
        <v>543</v>
      </c>
      <c r="B692" s="9" t="str">
        <f>"20210265116"</f>
        <v>20210265116</v>
      </c>
      <c r="C692" s="9" t="s">
        <v>714</v>
      </c>
      <c r="D692" s="9" t="s">
        <v>33</v>
      </c>
      <c r="E692" s="9">
        <v>63</v>
      </c>
      <c r="F692" s="9">
        <v>68</v>
      </c>
      <c r="G692" s="10">
        <f t="shared" si="10"/>
        <v>64.5</v>
      </c>
    </row>
    <row r="693" s="2" customFormat="1" spans="1:7">
      <c r="A693" s="2">
        <v>544</v>
      </c>
      <c r="B693" s="9" t="str">
        <f>"20210265226"</f>
        <v>20210265226</v>
      </c>
      <c r="C693" s="9" t="s">
        <v>715</v>
      </c>
      <c r="D693" s="9" t="s">
        <v>33</v>
      </c>
      <c r="E693" s="9">
        <v>62</v>
      </c>
      <c r="F693" s="9">
        <v>69</v>
      </c>
      <c r="G693" s="10">
        <f t="shared" si="10"/>
        <v>64.1</v>
      </c>
    </row>
    <row r="694" s="2" customFormat="1" spans="1:7">
      <c r="A694" s="2">
        <v>545</v>
      </c>
      <c r="B694" s="9" t="str">
        <f>"20210265130"</f>
        <v>20210265130</v>
      </c>
      <c r="C694" s="9" t="s">
        <v>716</v>
      </c>
      <c r="D694" s="9" t="s">
        <v>33</v>
      </c>
      <c r="E694" s="9">
        <v>64</v>
      </c>
      <c r="F694" s="9">
        <v>64</v>
      </c>
      <c r="G694" s="10">
        <f t="shared" si="10"/>
        <v>64</v>
      </c>
    </row>
    <row r="695" s="2" customFormat="1" spans="1:7">
      <c r="A695" s="2">
        <v>546</v>
      </c>
      <c r="B695" s="9" t="str">
        <f>"20210265201"</f>
        <v>20210265201</v>
      </c>
      <c r="C695" s="9" t="s">
        <v>717</v>
      </c>
      <c r="D695" s="9" t="s">
        <v>33</v>
      </c>
      <c r="E695" s="9">
        <v>64</v>
      </c>
      <c r="F695" s="9">
        <v>64</v>
      </c>
      <c r="G695" s="10">
        <f t="shared" si="10"/>
        <v>64</v>
      </c>
    </row>
    <row r="696" s="2" customFormat="1" spans="1:7">
      <c r="A696" s="2">
        <v>547</v>
      </c>
      <c r="B696" s="9" t="str">
        <f>"20210265216"</f>
        <v>20210265216</v>
      </c>
      <c r="C696" s="9" t="s">
        <v>718</v>
      </c>
      <c r="D696" s="9" t="s">
        <v>33</v>
      </c>
      <c r="E696" s="9">
        <v>61</v>
      </c>
      <c r="F696" s="9">
        <v>68</v>
      </c>
      <c r="G696" s="10">
        <f t="shared" si="10"/>
        <v>63.1</v>
      </c>
    </row>
    <row r="697" s="2" customFormat="1" spans="1:7">
      <c r="A697" s="2">
        <v>548</v>
      </c>
      <c r="B697" s="9" t="str">
        <f>"20210265110"</f>
        <v>20210265110</v>
      </c>
      <c r="C697" s="9" t="s">
        <v>719</v>
      </c>
      <c r="D697" s="9" t="s">
        <v>33</v>
      </c>
      <c r="E697" s="9">
        <v>63</v>
      </c>
      <c r="F697" s="9">
        <v>63</v>
      </c>
      <c r="G697" s="10">
        <f t="shared" si="10"/>
        <v>63</v>
      </c>
    </row>
    <row r="698" s="2" customFormat="1" spans="1:7">
      <c r="A698" s="2">
        <v>549</v>
      </c>
      <c r="B698" s="9" t="str">
        <f>"20210265208"</f>
        <v>20210265208</v>
      </c>
      <c r="C698" s="9" t="s">
        <v>720</v>
      </c>
      <c r="D698" s="9" t="s">
        <v>33</v>
      </c>
      <c r="E698" s="9">
        <v>65.5</v>
      </c>
      <c r="F698" s="9">
        <v>56</v>
      </c>
      <c r="G698" s="10">
        <f t="shared" si="10"/>
        <v>62.65</v>
      </c>
    </row>
    <row r="699" s="2" customFormat="1" spans="1:7">
      <c r="A699" s="2">
        <v>550</v>
      </c>
      <c r="B699" s="9" t="str">
        <f>"20210265124"</f>
        <v>20210265124</v>
      </c>
      <c r="C699" s="9" t="s">
        <v>721</v>
      </c>
      <c r="D699" s="9" t="s">
        <v>33</v>
      </c>
      <c r="E699" s="9">
        <v>55</v>
      </c>
      <c r="F699" s="9">
        <v>78</v>
      </c>
      <c r="G699" s="10">
        <f t="shared" si="10"/>
        <v>61.9</v>
      </c>
    </row>
    <row r="700" s="2" customFormat="1" spans="1:7">
      <c r="A700" s="2">
        <v>551</v>
      </c>
      <c r="B700" s="9" t="str">
        <f>"20210265127"</f>
        <v>20210265127</v>
      </c>
      <c r="C700" s="9" t="s">
        <v>722</v>
      </c>
      <c r="D700" s="9" t="s">
        <v>33</v>
      </c>
      <c r="E700" s="9">
        <v>62</v>
      </c>
      <c r="F700" s="9">
        <v>60</v>
      </c>
      <c r="G700" s="10">
        <f t="shared" si="10"/>
        <v>61.4</v>
      </c>
    </row>
    <row r="701" s="2" customFormat="1" spans="1:7">
      <c r="A701" s="2">
        <v>552</v>
      </c>
      <c r="B701" s="9" t="str">
        <f>"20210265118"</f>
        <v>20210265118</v>
      </c>
      <c r="C701" s="9" t="s">
        <v>723</v>
      </c>
      <c r="D701" s="9" t="s">
        <v>33</v>
      </c>
      <c r="E701" s="9">
        <v>57.5</v>
      </c>
      <c r="F701" s="9">
        <v>69</v>
      </c>
      <c r="G701" s="10">
        <f t="shared" si="10"/>
        <v>60.95</v>
      </c>
    </row>
    <row r="702" s="2" customFormat="1" spans="1:7">
      <c r="A702" s="2">
        <v>553</v>
      </c>
      <c r="B702" s="9" t="str">
        <f>"20210265126"</f>
        <v>20210265126</v>
      </c>
      <c r="C702" s="9" t="s">
        <v>724</v>
      </c>
      <c r="D702" s="9" t="s">
        <v>33</v>
      </c>
      <c r="E702" s="9">
        <v>60.5</v>
      </c>
      <c r="F702" s="9">
        <v>60</v>
      </c>
      <c r="G702" s="10">
        <f t="shared" si="10"/>
        <v>60.35</v>
      </c>
    </row>
    <row r="703" s="2" customFormat="1" spans="1:7">
      <c r="A703" s="2">
        <v>554</v>
      </c>
      <c r="B703" s="9" t="str">
        <f>"20210265207"</f>
        <v>20210265207</v>
      </c>
      <c r="C703" s="9" t="s">
        <v>725</v>
      </c>
      <c r="D703" s="9" t="s">
        <v>33</v>
      </c>
      <c r="E703" s="9">
        <v>57</v>
      </c>
      <c r="F703" s="9">
        <v>68</v>
      </c>
      <c r="G703" s="10">
        <f t="shared" si="10"/>
        <v>60.3</v>
      </c>
    </row>
    <row r="704" s="2" customFormat="1" spans="1:7">
      <c r="A704" s="2">
        <v>555</v>
      </c>
      <c r="B704" s="9" t="str">
        <f>"20210265219"</f>
        <v>20210265219</v>
      </c>
      <c r="C704" s="9" t="s">
        <v>726</v>
      </c>
      <c r="D704" s="9" t="s">
        <v>33</v>
      </c>
      <c r="E704" s="9">
        <v>56.5</v>
      </c>
      <c r="F704" s="9">
        <v>63</v>
      </c>
      <c r="G704" s="10">
        <f t="shared" ref="G704:G751" si="11">E704*0.7+F704*0.3</f>
        <v>58.45</v>
      </c>
    </row>
    <row r="705" s="2" customFormat="1" spans="1:7">
      <c r="A705" s="2">
        <v>556</v>
      </c>
      <c r="B705" s="9" t="str">
        <f>"20210265109"</f>
        <v>20210265109</v>
      </c>
      <c r="C705" s="9" t="s">
        <v>727</v>
      </c>
      <c r="D705" s="9" t="s">
        <v>33</v>
      </c>
      <c r="E705" s="9">
        <v>57.5</v>
      </c>
      <c r="F705" s="9">
        <v>57</v>
      </c>
      <c r="G705" s="10">
        <f t="shared" si="11"/>
        <v>57.35</v>
      </c>
    </row>
    <row r="706" s="2" customFormat="1" spans="1:7">
      <c r="A706" s="2">
        <v>557</v>
      </c>
      <c r="B706" s="9" t="str">
        <f>"20210265202"</f>
        <v>20210265202</v>
      </c>
      <c r="C706" s="9" t="s">
        <v>728</v>
      </c>
      <c r="D706" s="9" t="s">
        <v>33</v>
      </c>
      <c r="E706" s="9">
        <v>60</v>
      </c>
      <c r="F706" s="9">
        <v>49</v>
      </c>
      <c r="G706" s="10">
        <f t="shared" si="11"/>
        <v>56.7</v>
      </c>
    </row>
    <row r="707" s="2" customFormat="1" ht="15.75" customHeight="1" spans="1:7">
      <c r="A707" s="2">
        <v>558</v>
      </c>
      <c r="B707" s="9" t="str">
        <f>"20210265117"</f>
        <v>20210265117</v>
      </c>
      <c r="C707" s="9" t="s">
        <v>729</v>
      </c>
      <c r="D707" s="9" t="s">
        <v>33</v>
      </c>
      <c r="E707" s="9">
        <v>44</v>
      </c>
      <c r="F707" s="9">
        <v>65</v>
      </c>
      <c r="G707" s="10">
        <f t="shared" si="11"/>
        <v>50.3</v>
      </c>
    </row>
    <row r="708" s="2" customFormat="1" spans="1:7">
      <c r="A708" s="2">
        <v>559</v>
      </c>
      <c r="B708" s="9" t="str">
        <f>"20210265119"</f>
        <v>20210265119</v>
      </c>
      <c r="C708" s="9" t="s">
        <v>730</v>
      </c>
      <c r="D708" s="9" t="s">
        <v>33</v>
      </c>
      <c r="E708" s="9">
        <v>46</v>
      </c>
      <c r="F708" s="9">
        <v>60</v>
      </c>
      <c r="G708" s="10">
        <f t="shared" si="11"/>
        <v>50.2</v>
      </c>
    </row>
    <row r="709" s="2" customFormat="1" spans="1:7">
      <c r="A709" s="2">
        <v>560</v>
      </c>
      <c r="B709" s="9" t="str">
        <f>"20210265218"</f>
        <v>20210265218</v>
      </c>
      <c r="C709" s="9" t="s">
        <v>731</v>
      </c>
      <c r="D709" s="9" t="s">
        <v>33</v>
      </c>
      <c r="E709" s="9">
        <v>51</v>
      </c>
      <c r="F709" s="9">
        <v>48</v>
      </c>
      <c r="G709" s="10">
        <f t="shared" si="11"/>
        <v>50.1</v>
      </c>
    </row>
    <row r="710" s="2" customFormat="1" spans="1:7">
      <c r="A710" s="2">
        <v>561</v>
      </c>
      <c r="B710" s="9" t="str">
        <f>"20210275411"</f>
        <v>20210275411</v>
      </c>
      <c r="C710" s="9" t="s">
        <v>732</v>
      </c>
      <c r="D710" s="9" t="s">
        <v>34</v>
      </c>
      <c r="E710" s="9">
        <v>82</v>
      </c>
      <c r="F710" s="9">
        <v>84</v>
      </c>
      <c r="G710" s="10">
        <f t="shared" si="11"/>
        <v>82.6</v>
      </c>
    </row>
    <row r="711" s="2" customFormat="1" spans="1:7">
      <c r="A711" s="2">
        <v>562</v>
      </c>
      <c r="B711" s="9" t="str">
        <f>"20210275230"</f>
        <v>20210275230</v>
      </c>
      <c r="C711" s="9" t="s">
        <v>733</v>
      </c>
      <c r="D711" s="9" t="s">
        <v>34</v>
      </c>
      <c r="E711" s="9">
        <v>74</v>
      </c>
      <c r="F711" s="9">
        <v>71</v>
      </c>
      <c r="G711" s="10">
        <f t="shared" si="11"/>
        <v>73.1</v>
      </c>
    </row>
    <row r="712" s="2" customFormat="1" spans="1:7">
      <c r="A712" s="2">
        <v>563</v>
      </c>
      <c r="B712" s="9" t="str">
        <f>"20210275401"</f>
        <v>20210275401</v>
      </c>
      <c r="C712" s="9" t="s">
        <v>734</v>
      </c>
      <c r="D712" s="9" t="s">
        <v>34</v>
      </c>
      <c r="E712" s="9">
        <v>65.5</v>
      </c>
      <c r="F712" s="9">
        <v>79</v>
      </c>
      <c r="G712" s="10">
        <f t="shared" si="11"/>
        <v>69.55</v>
      </c>
    </row>
    <row r="713" s="2" customFormat="1" spans="1:7">
      <c r="A713" s="2">
        <v>564</v>
      </c>
      <c r="B713" s="9" t="str">
        <f>"20210275319"</f>
        <v>20210275319</v>
      </c>
      <c r="C713" s="9" t="s">
        <v>573</v>
      </c>
      <c r="D713" s="9" t="s">
        <v>34</v>
      </c>
      <c r="E713" s="9">
        <v>66</v>
      </c>
      <c r="F713" s="9">
        <v>76</v>
      </c>
      <c r="G713" s="10">
        <f t="shared" si="11"/>
        <v>69</v>
      </c>
    </row>
    <row r="714" s="2" customFormat="1" spans="1:7">
      <c r="A714" s="2">
        <v>565</v>
      </c>
      <c r="B714" s="9" t="str">
        <f>"20210275403"</f>
        <v>20210275403</v>
      </c>
      <c r="C714" s="9" t="s">
        <v>735</v>
      </c>
      <c r="D714" s="9" t="s">
        <v>34</v>
      </c>
      <c r="E714" s="9">
        <v>63</v>
      </c>
      <c r="F714" s="9">
        <v>79</v>
      </c>
      <c r="G714" s="10">
        <f t="shared" si="11"/>
        <v>67.8</v>
      </c>
    </row>
    <row r="715" s="2" customFormat="1" spans="1:7">
      <c r="A715" s="2">
        <v>566</v>
      </c>
      <c r="B715" s="9" t="str">
        <f>"20210275406"</f>
        <v>20210275406</v>
      </c>
      <c r="C715" s="9" t="s">
        <v>736</v>
      </c>
      <c r="D715" s="9" t="s">
        <v>34</v>
      </c>
      <c r="E715" s="9">
        <v>62</v>
      </c>
      <c r="F715" s="9">
        <v>73</v>
      </c>
      <c r="G715" s="10">
        <f t="shared" si="11"/>
        <v>65.3</v>
      </c>
    </row>
    <row r="716" s="2" customFormat="1" spans="1:7">
      <c r="A716" s="2">
        <v>567</v>
      </c>
      <c r="B716" s="9" t="str">
        <f>"20210275309"</f>
        <v>20210275309</v>
      </c>
      <c r="C716" s="9" t="s">
        <v>737</v>
      </c>
      <c r="D716" s="9" t="s">
        <v>34</v>
      </c>
      <c r="E716" s="9">
        <v>60</v>
      </c>
      <c r="F716" s="9">
        <v>77</v>
      </c>
      <c r="G716" s="10">
        <f t="shared" si="11"/>
        <v>65.1</v>
      </c>
    </row>
    <row r="717" s="2" customFormat="1" spans="1:7">
      <c r="A717" s="2">
        <v>568</v>
      </c>
      <c r="B717" s="9" t="str">
        <f>"20210275325"</f>
        <v>20210275325</v>
      </c>
      <c r="C717" s="9" t="s">
        <v>738</v>
      </c>
      <c r="D717" s="9" t="s">
        <v>34</v>
      </c>
      <c r="E717" s="9">
        <v>65</v>
      </c>
      <c r="F717" s="9">
        <v>64</v>
      </c>
      <c r="G717" s="10">
        <f t="shared" si="11"/>
        <v>64.7</v>
      </c>
    </row>
    <row r="718" s="2" customFormat="1" spans="1:7">
      <c r="A718" s="2">
        <v>569</v>
      </c>
      <c r="B718" s="9" t="str">
        <f>"20210275326"</f>
        <v>20210275326</v>
      </c>
      <c r="C718" s="9" t="s">
        <v>739</v>
      </c>
      <c r="D718" s="9" t="s">
        <v>34</v>
      </c>
      <c r="E718" s="9">
        <v>66</v>
      </c>
      <c r="F718" s="9">
        <v>59</v>
      </c>
      <c r="G718" s="10">
        <f t="shared" si="11"/>
        <v>63.9</v>
      </c>
    </row>
    <row r="719" s="2" customFormat="1" spans="1:7">
      <c r="A719" s="2">
        <v>570</v>
      </c>
      <c r="B719" s="9" t="str">
        <f>"20210275317"</f>
        <v>20210275317</v>
      </c>
      <c r="C719" s="9" t="s">
        <v>740</v>
      </c>
      <c r="D719" s="9" t="s">
        <v>34</v>
      </c>
      <c r="E719" s="9">
        <v>59</v>
      </c>
      <c r="F719" s="9">
        <v>72</v>
      </c>
      <c r="G719" s="10">
        <f t="shared" si="11"/>
        <v>62.9</v>
      </c>
    </row>
    <row r="720" s="2" customFormat="1" spans="1:7">
      <c r="A720" s="2">
        <v>571</v>
      </c>
      <c r="B720" s="9" t="str">
        <f>"20210275410"</f>
        <v>20210275410</v>
      </c>
      <c r="C720" s="9" t="s">
        <v>741</v>
      </c>
      <c r="D720" s="9" t="s">
        <v>34</v>
      </c>
      <c r="E720" s="9">
        <v>62</v>
      </c>
      <c r="F720" s="9">
        <v>63</v>
      </c>
      <c r="G720" s="10">
        <f t="shared" si="11"/>
        <v>62.3</v>
      </c>
    </row>
    <row r="721" s="2" customFormat="1" spans="1:7">
      <c r="A721" s="2">
        <v>572</v>
      </c>
      <c r="B721" s="9" t="str">
        <f>"20210275228"</f>
        <v>20210275228</v>
      </c>
      <c r="C721" s="9" t="s">
        <v>742</v>
      </c>
      <c r="D721" s="9" t="s">
        <v>34</v>
      </c>
      <c r="E721" s="9">
        <v>59.5</v>
      </c>
      <c r="F721" s="9">
        <v>61</v>
      </c>
      <c r="G721" s="10">
        <f t="shared" si="11"/>
        <v>59.95</v>
      </c>
    </row>
    <row r="722" s="2" customFormat="1" spans="1:7">
      <c r="A722" s="2">
        <v>573</v>
      </c>
      <c r="B722" s="9" t="str">
        <f>"20210275419"</f>
        <v>20210275419</v>
      </c>
      <c r="C722" s="9" t="s">
        <v>743</v>
      </c>
      <c r="D722" s="9" t="s">
        <v>34</v>
      </c>
      <c r="E722" s="9">
        <v>54</v>
      </c>
      <c r="F722" s="9">
        <v>71</v>
      </c>
      <c r="G722" s="10">
        <f t="shared" si="11"/>
        <v>59.1</v>
      </c>
    </row>
    <row r="723" s="2" customFormat="1" spans="1:7">
      <c r="A723" s="2">
        <v>574</v>
      </c>
      <c r="B723" s="9" t="str">
        <f>"20210275417"</f>
        <v>20210275417</v>
      </c>
      <c r="C723" s="9" t="s">
        <v>744</v>
      </c>
      <c r="D723" s="9" t="s">
        <v>34</v>
      </c>
      <c r="E723" s="9">
        <v>59.5</v>
      </c>
      <c r="F723" s="9">
        <v>55</v>
      </c>
      <c r="G723" s="10">
        <f t="shared" si="11"/>
        <v>58.15</v>
      </c>
    </row>
    <row r="724" s="2" customFormat="1" spans="1:7">
      <c r="A724" s="2">
        <v>575</v>
      </c>
      <c r="B724" s="9" t="str">
        <f>"20210275304"</f>
        <v>20210275304</v>
      </c>
      <c r="C724" s="9" t="s">
        <v>745</v>
      </c>
      <c r="D724" s="9" t="s">
        <v>34</v>
      </c>
      <c r="E724" s="9">
        <v>53.5</v>
      </c>
      <c r="F724" s="9">
        <v>66</v>
      </c>
      <c r="G724" s="10">
        <f t="shared" si="11"/>
        <v>57.25</v>
      </c>
    </row>
    <row r="725" s="2" customFormat="1" spans="1:7">
      <c r="A725" s="2">
        <v>576</v>
      </c>
      <c r="B725" s="9" t="str">
        <f>"20210275301"</f>
        <v>20210275301</v>
      </c>
      <c r="C725" s="9" t="s">
        <v>746</v>
      </c>
      <c r="D725" s="9" t="s">
        <v>34</v>
      </c>
      <c r="E725" s="9">
        <v>59</v>
      </c>
      <c r="F725" s="9">
        <v>53</v>
      </c>
      <c r="G725" s="10">
        <f t="shared" si="11"/>
        <v>57.2</v>
      </c>
    </row>
    <row r="726" s="2" customFormat="1" spans="1:7">
      <c r="A726" s="2">
        <v>577</v>
      </c>
      <c r="B726" s="9" t="str">
        <f>"20210275306"</f>
        <v>20210275306</v>
      </c>
      <c r="C726" s="9" t="s">
        <v>747</v>
      </c>
      <c r="D726" s="9" t="s">
        <v>34</v>
      </c>
      <c r="E726" s="9">
        <v>58.5</v>
      </c>
      <c r="F726" s="9">
        <v>49</v>
      </c>
      <c r="G726" s="10">
        <f t="shared" si="11"/>
        <v>55.65</v>
      </c>
    </row>
    <row r="727" s="2" customFormat="1" spans="1:7">
      <c r="A727" s="2">
        <v>578</v>
      </c>
      <c r="B727" s="9" t="str">
        <f>"20210275229"</f>
        <v>20210275229</v>
      </c>
      <c r="C727" s="9" t="s">
        <v>748</v>
      </c>
      <c r="D727" s="9" t="s">
        <v>34</v>
      </c>
      <c r="E727" s="9">
        <v>56.5</v>
      </c>
      <c r="F727" s="9">
        <v>53</v>
      </c>
      <c r="G727" s="10">
        <f t="shared" si="11"/>
        <v>55.45</v>
      </c>
    </row>
    <row r="728" s="2" customFormat="1" spans="1:7">
      <c r="A728" s="2">
        <v>579</v>
      </c>
      <c r="B728" s="9" t="str">
        <f>"20210275313"</f>
        <v>20210275313</v>
      </c>
      <c r="C728" s="9" t="s">
        <v>749</v>
      </c>
      <c r="D728" s="9" t="s">
        <v>34</v>
      </c>
      <c r="E728" s="9">
        <v>52</v>
      </c>
      <c r="F728" s="9">
        <v>63</v>
      </c>
      <c r="G728" s="10">
        <f t="shared" si="11"/>
        <v>55.3</v>
      </c>
    </row>
    <row r="729" s="2" customFormat="1" spans="1:7">
      <c r="A729" s="2">
        <v>580</v>
      </c>
      <c r="B729" s="9" t="str">
        <f>"20210275407"</f>
        <v>20210275407</v>
      </c>
      <c r="C729" s="9" t="s">
        <v>750</v>
      </c>
      <c r="D729" s="9" t="s">
        <v>34</v>
      </c>
      <c r="E729" s="9">
        <v>58</v>
      </c>
      <c r="F729" s="9">
        <v>43</v>
      </c>
      <c r="G729" s="10">
        <f t="shared" si="11"/>
        <v>53.5</v>
      </c>
    </row>
    <row r="730" s="2" customFormat="1" spans="1:7">
      <c r="A730" s="2">
        <v>581</v>
      </c>
      <c r="B730" s="9" t="str">
        <f>"20210275315"</f>
        <v>20210275315</v>
      </c>
      <c r="C730" s="9" t="s">
        <v>751</v>
      </c>
      <c r="D730" s="9" t="s">
        <v>34</v>
      </c>
      <c r="E730" s="9">
        <v>52</v>
      </c>
      <c r="F730" s="9">
        <v>49</v>
      </c>
      <c r="G730" s="10">
        <f t="shared" si="11"/>
        <v>51.1</v>
      </c>
    </row>
    <row r="731" s="2" customFormat="1" spans="1:7">
      <c r="A731" s="2">
        <v>582</v>
      </c>
      <c r="B731" s="9" t="str">
        <f>"20210275414"</f>
        <v>20210275414</v>
      </c>
      <c r="C731" s="9" t="s">
        <v>752</v>
      </c>
      <c r="D731" s="9" t="s">
        <v>34</v>
      </c>
      <c r="E731" s="9">
        <v>50</v>
      </c>
      <c r="F731" s="9">
        <v>52</v>
      </c>
      <c r="G731" s="10">
        <f t="shared" si="11"/>
        <v>50.6</v>
      </c>
    </row>
    <row r="732" s="2" customFormat="1" spans="1:7">
      <c r="A732" s="2">
        <v>583</v>
      </c>
      <c r="B732" s="9" t="str">
        <f>"20210285525"</f>
        <v>20210285525</v>
      </c>
      <c r="C732" s="9" t="s">
        <v>753</v>
      </c>
      <c r="D732" s="9" t="s">
        <v>35</v>
      </c>
      <c r="E732" s="9">
        <v>84</v>
      </c>
      <c r="F732" s="9">
        <v>79</v>
      </c>
      <c r="G732" s="10">
        <f t="shared" si="11"/>
        <v>82.5</v>
      </c>
    </row>
    <row r="733" s="2" customFormat="1" spans="1:7">
      <c r="A733" s="2">
        <v>584</v>
      </c>
      <c r="B733" s="9" t="str">
        <f>"20210285429"</f>
        <v>20210285429</v>
      </c>
      <c r="C733" s="9" t="s">
        <v>754</v>
      </c>
      <c r="D733" s="9" t="s">
        <v>35</v>
      </c>
      <c r="E733" s="9">
        <v>84</v>
      </c>
      <c r="F733" s="9">
        <v>75</v>
      </c>
      <c r="G733" s="10">
        <f t="shared" si="11"/>
        <v>81.3</v>
      </c>
    </row>
    <row r="734" s="2" customFormat="1" spans="1:7">
      <c r="A734" s="2">
        <v>585</v>
      </c>
      <c r="B734" s="9" t="str">
        <f>"20210285427"</f>
        <v>20210285427</v>
      </c>
      <c r="C734" s="9" t="s">
        <v>755</v>
      </c>
      <c r="D734" s="9" t="s">
        <v>35</v>
      </c>
      <c r="E734" s="9">
        <v>80</v>
      </c>
      <c r="F734" s="9">
        <v>80</v>
      </c>
      <c r="G734" s="10">
        <f t="shared" si="11"/>
        <v>80</v>
      </c>
    </row>
    <row r="735" s="2" customFormat="1" spans="1:7">
      <c r="A735" s="2">
        <v>586</v>
      </c>
      <c r="B735" s="9" t="str">
        <f>"20210285426"</f>
        <v>20210285426</v>
      </c>
      <c r="C735" s="9" t="s">
        <v>756</v>
      </c>
      <c r="D735" s="9" t="s">
        <v>35</v>
      </c>
      <c r="E735" s="9">
        <v>72</v>
      </c>
      <c r="F735" s="9">
        <v>76</v>
      </c>
      <c r="G735" s="10">
        <f t="shared" si="11"/>
        <v>73.2</v>
      </c>
    </row>
    <row r="736" s="2" customFormat="1" spans="1:7">
      <c r="A736" s="2">
        <v>587</v>
      </c>
      <c r="B736" s="9" t="str">
        <f>"20210285514"</f>
        <v>20210285514</v>
      </c>
      <c r="C736" s="9" t="s">
        <v>757</v>
      </c>
      <c r="D736" s="9" t="s">
        <v>35</v>
      </c>
      <c r="E736" s="9">
        <v>70.5</v>
      </c>
      <c r="F736" s="9">
        <v>77</v>
      </c>
      <c r="G736" s="10">
        <f t="shared" si="11"/>
        <v>72.45</v>
      </c>
    </row>
    <row r="737" s="2" customFormat="1" spans="1:7">
      <c r="A737" s="2">
        <v>588</v>
      </c>
      <c r="B737" s="9" t="str">
        <f>"20210285420"</f>
        <v>20210285420</v>
      </c>
      <c r="C737" s="9" t="s">
        <v>758</v>
      </c>
      <c r="D737" s="9" t="s">
        <v>35</v>
      </c>
      <c r="E737" s="9">
        <v>64.5</v>
      </c>
      <c r="F737" s="9">
        <v>78</v>
      </c>
      <c r="G737" s="10">
        <f t="shared" si="11"/>
        <v>68.55</v>
      </c>
    </row>
    <row r="738" s="2" customFormat="1" spans="1:7">
      <c r="A738" s="2">
        <v>589</v>
      </c>
      <c r="B738" s="9" t="str">
        <f>"20210285518"</f>
        <v>20210285518</v>
      </c>
      <c r="C738" s="9" t="s">
        <v>195</v>
      </c>
      <c r="D738" s="9" t="s">
        <v>35</v>
      </c>
      <c r="E738" s="9">
        <v>63.5</v>
      </c>
      <c r="F738" s="9">
        <v>76</v>
      </c>
      <c r="G738" s="10">
        <f t="shared" si="11"/>
        <v>67.25</v>
      </c>
    </row>
    <row r="739" s="2" customFormat="1" spans="1:7">
      <c r="A739" s="2">
        <v>590</v>
      </c>
      <c r="B739" s="9" t="str">
        <f>"20210285522"</f>
        <v>20210285522</v>
      </c>
      <c r="C739" s="9" t="s">
        <v>759</v>
      </c>
      <c r="D739" s="9" t="s">
        <v>35</v>
      </c>
      <c r="E739" s="9">
        <v>68</v>
      </c>
      <c r="F739" s="9">
        <v>62</v>
      </c>
      <c r="G739" s="10">
        <f t="shared" si="11"/>
        <v>66.2</v>
      </c>
    </row>
    <row r="740" s="2" customFormat="1" spans="1:7">
      <c r="A740" s="2">
        <v>591</v>
      </c>
      <c r="B740" s="9" t="str">
        <f>"20210285421"</f>
        <v>20210285421</v>
      </c>
      <c r="C740" s="9" t="s">
        <v>760</v>
      </c>
      <c r="D740" s="9" t="s">
        <v>35</v>
      </c>
      <c r="E740" s="9">
        <v>65</v>
      </c>
      <c r="F740" s="9">
        <v>65</v>
      </c>
      <c r="G740" s="10">
        <f t="shared" si="11"/>
        <v>65</v>
      </c>
    </row>
    <row r="741" s="2" customFormat="1" spans="1:7">
      <c r="A741" s="2">
        <v>592</v>
      </c>
      <c r="B741" s="9" t="str">
        <f>"20210285430"</f>
        <v>20210285430</v>
      </c>
      <c r="C741" s="9" t="s">
        <v>761</v>
      </c>
      <c r="D741" s="9" t="s">
        <v>35</v>
      </c>
      <c r="E741" s="9">
        <v>63</v>
      </c>
      <c r="F741" s="9">
        <v>67</v>
      </c>
      <c r="G741" s="10">
        <f t="shared" si="11"/>
        <v>64.2</v>
      </c>
    </row>
    <row r="742" s="2" customFormat="1" spans="1:7">
      <c r="A742" s="2">
        <v>593</v>
      </c>
      <c r="B742" s="9" t="str">
        <f>"20210285509"</f>
        <v>20210285509</v>
      </c>
      <c r="C742" s="9" t="s">
        <v>762</v>
      </c>
      <c r="D742" s="9" t="s">
        <v>35</v>
      </c>
      <c r="E742" s="9">
        <v>54</v>
      </c>
      <c r="F742" s="9">
        <v>86</v>
      </c>
      <c r="G742" s="10">
        <f t="shared" si="11"/>
        <v>63.6</v>
      </c>
    </row>
    <row r="743" s="2" customFormat="1" spans="1:7">
      <c r="A743" s="2">
        <v>594</v>
      </c>
      <c r="B743" s="9" t="str">
        <f>"20210285501"</f>
        <v>20210285501</v>
      </c>
      <c r="C743" s="9" t="s">
        <v>763</v>
      </c>
      <c r="D743" s="9" t="s">
        <v>35</v>
      </c>
      <c r="E743" s="9">
        <v>52.5</v>
      </c>
      <c r="F743" s="9">
        <v>80</v>
      </c>
      <c r="G743" s="10">
        <f t="shared" si="11"/>
        <v>60.75</v>
      </c>
    </row>
    <row r="744" s="2" customFormat="1" spans="1:7">
      <c r="A744" s="2">
        <v>595</v>
      </c>
      <c r="B744" s="9" t="str">
        <f>"20210285532"</f>
        <v>20210285532</v>
      </c>
      <c r="C744" s="9" t="s">
        <v>764</v>
      </c>
      <c r="D744" s="9" t="s">
        <v>35</v>
      </c>
      <c r="E744" s="9">
        <v>59.5</v>
      </c>
      <c r="F744" s="9">
        <v>62</v>
      </c>
      <c r="G744" s="10">
        <f t="shared" si="11"/>
        <v>60.25</v>
      </c>
    </row>
    <row r="745" s="2" customFormat="1" spans="1:7">
      <c r="A745" s="2">
        <v>596</v>
      </c>
      <c r="B745" s="9" t="str">
        <f>"20210285505"</f>
        <v>20210285505</v>
      </c>
      <c r="C745" s="9" t="s">
        <v>765</v>
      </c>
      <c r="D745" s="9" t="s">
        <v>35</v>
      </c>
      <c r="E745" s="9">
        <v>56</v>
      </c>
      <c r="F745" s="9">
        <v>65</v>
      </c>
      <c r="G745" s="10">
        <f t="shared" si="11"/>
        <v>58.7</v>
      </c>
    </row>
    <row r="746" s="2" customFormat="1" spans="1:7">
      <c r="A746" s="2">
        <v>597</v>
      </c>
      <c r="B746" s="9" t="str">
        <f>"20210285517"</f>
        <v>20210285517</v>
      </c>
      <c r="C746" s="9" t="s">
        <v>766</v>
      </c>
      <c r="D746" s="9" t="s">
        <v>35</v>
      </c>
      <c r="E746" s="9">
        <v>57.5</v>
      </c>
      <c r="F746" s="9">
        <v>57</v>
      </c>
      <c r="G746" s="10">
        <f t="shared" si="11"/>
        <v>57.35</v>
      </c>
    </row>
    <row r="747" s="2" customFormat="1" spans="1:7">
      <c r="A747" s="2">
        <v>598</v>
      </c>
      <c r="B747" s="9" t="str">
        <f>"20210285515"</f>
        <v>20210285515</v>
      </c>
      <c r="C747" s="9" t="s">
        <v>767</v>
      </c>
      <c r="D747" s="9" t="s">
        <v>35</v>
      </c>
      <c r="E747" s="9">
        <v>50.5</v>
      </c>
      <c r="F747" s="9">
        <v>72</v>
      </c>
      <c r="G747" s="10">
        <f t="shared" si="11"/>
        <v>56.95</v>
      </c>
    </row>
    <row r="748" s="2" customFormat="1" spans="1:7">
      <c r="A748" s="2">
        <v>599</v>
      </c>
      <c r="B748" s="9" t="str">
        <f>"20210285523"</f>
        <v>20210285523</v>
      </c>
      <c r="C748" s="9" t="s">
        <v>768</v>
      </c>
      <c r="D748" s="9" t="s">
        <v>35</v>
      </c>
      <c r="E748" s="9">
        <v>66.5</v>
      </c>
      <c r="F748" s="9">
        <v>34</v>
      </c>
      <c r="G748" s="10">
        <f t="shared" si="11"/>
        <v>56.75</v>
      </c>
    </row>
    <row r="749" s="2" customFormat="1" spans="1:7">
      <c r="A749" s="2">
        <v>600</v>
      </c>
      <c r="B749" s="9" t="str">
        <f>"20210285512"</f>
        <v>20210285512</v>
      </c>
      <c r="C749" s="9" t="s">
        <v>769</v>
      </c>
      <c r="D749" s="9" t="s">
        <v>35</v>
      </c>
      <c r="E749" s="9">
        <v>55</v>
      </c>
      <c r="F749" s="9">
        <v>58</v>
      </c>
      <c r="G749" s="10">
        <f t="shared" si="11"/>
        <v>55.9</v>
      </c>
    </row>
    <row r="750" s="2" customFormat="1" spans="1:7">
      <c r="A750" s="2">
        <v>601</v>
      </c>
      <c r="B750" s="9" t="str">
        <f>"20210285530"</f>
        <v>20210285530</v>
      </c>
      <c r="C750" s="9" t="s">
        <v>770</v>
      </c>
      <c r="D750" s="9" t="s">
        <v>35</v>
      </c>
      <c r="E750" s="9">
        <v>57</v>
      </c>
      <c r="F750" s="9">
        <v>43</v>
      </c>
      <c r="G750" s="10">
        <f t="shared" si="11"/>
        <v>52.8</v>
      </c>
    </row>
    <row r="751" s="2" customFormat="1" spans="1:7">
      <c r="A751" s="2">
        <v>602</v>
      </c>
      <c r="B751" s="9" t="str">
        <f>"20210285510"</f>
        <v>20210285510</v>
      </c>
      <c r="C751" s="9" t="s">
        <v>771</v>
      </c>
      <c r="D751" s="9" t="s">
        <v>35</v>
      </c>
      <c r="E751" s="9">
        <v>47.5</v>
      </c>
      <c r="F751" s="9">
        <v>59</v>
      </c>
      <c r="G751" s="10">
        <f t="shared" si="11"/>
        <v>50.95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海波</cp:lastModifiedBy>
  <dcterms:created xsi:type="dcterms:W3CDTF">2021-07-28T02:01:00Z</dcterms:created>
  <cp:lastPrinted>2021-08-01T08:50:00Z</cp:lastPrinted>
  <dcterms:modified xsi:type="dcterms:W3CDTF">2021-08-20T06:52:58Z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904B65735C3A4D468094857FF387DA9D</vt:lpwstr>
  </property>
</Properties>
</file>