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10" windowHeight="10350" activeTab="0"/>
  </bookViews>
  <sheets>
    <sheet name="排名" sheetId="1" r:id="rId1"/>
  </sheets>
  <definedNames>
    <definedName name="_xlnm._FilterDatabase" localSheetId="0" hidden="1">'排名'!$A$2:$M$60</definedName>
  </definedNames>
  <calcPr fullCalcOnLoad="1"/>
</workbook>
</file>

<file path=xl/sharedStrings.xml><?xml version="1.0" encoding="utf-8"?>
<sst xmlns="http://schemas.openxmlformats.org/spreadsheetml/2006/main" count="131" uniqueCount="22">
  <si>
    <t>海南省法院系统2021年度公开招聘聘用制书记员笔试综合成绩</t>
  </si>
  <si>
    <t>序号</t>
  </si>
  <si>
    <t>报考岗位</t>
  </si>
  <si>
    <t>姓名</t>
  </si>
  <si>
    <t>身份证号码</t>
  </si>
  <si>
    <t>是否为在报考法院工作满1年的
非全省统一招聘的书记员</t>
  </si>
  <si>
    <t>准考证号</t>
  </si>
  <si>
    <t>笔试成绩</t>
  </si>
  <si>
    <t>笔试成绩
50%</t>
  </si>
  <si>
    <t>听打成绩</t>
  </si>
  <si>
    <t>听打成绩
50%</t>
  </si>
  <si>
    <t>综合成绩</t>
  </si>
  <si>
    <t>排名</t>
  </si>
  <si>
    <t>备注</t>
  </si>
  <si>
    <t>1001-海南省高级人民法院聘用制书记员</t>
  </si>
  <si>
    <t>否</t>
  </si>
  <si>
    <t>是</t>
  </si>
  <si>
    <t>综合成绩加5%</t>
  </si>
  <si>
    <t>1002-儋州市人民法院聘用制书记员</t>
  </si>
  <si>
    <t>1003-洋浦经济开发区人民法院聘用制书记员</t>
  </si>
  <si>
    <t>1005-昌江黎族自治县人民法院聘用制书记员</t>
  </si>
  <si>
    <t>1006-白沙黎族自治县人民法院聘用制书记员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</si>
</sst>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23">
    <font>
      <sz val="11"/>
      <color indexed="8"/>
      <name val="宋体"/>
      <family val="0"/>
    </font>
    <font>
      <sz val="12"/>
      <name val="宋体"/>
      <family val="0"/>
    </font>
    <font>
      <sz val="26"/>
      <color indexed="8"/>
      <name val="仿宋"/>
      <family val="3"/>
    </font>
    <font>
      <sz val="12"/>
      <color indexed="8"/>
      <name val="仿宋"/>
      <family val="3"/>
    </font>
    <font>
      <sz val="11"/>
      <color indexed="8"/>
      <name val="仿宋"/>
      <family val="3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5" fillId="2" borderId="0" applyNumberFormat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3" borderId="0" applyNumberFormat="0" applyBorder="0" applyAlignment="0" applyProtection="0"/>
    <xf numFmtId="0" fontId="11" fillId="4" borderId="1" applyNumberFormat="0" applyAlignment="0" applyProtection="0"/>
    <xf numFmtId="0" fontId="12" fillId="5" borderId="0" applyNumberFormat="0" applyBorder="0" applyAlignment="0" applyProtection="0"/>
    <xf numFmtId="0" fontId="0" fillId="6" borderId="0" applyNumberFormat="0" applyBorder="0" applyAlignment="0" applyProtection="0"/>
    <xf numFmtId="0" fontId="5" fillId="6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1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21" fillId="0" borderId="3" applyNumberFormat="0" applyFill="0" applyAlignment="0" applyProtection="0"/>
    <xf numFmtId="0" fontId="16" fillId="0" borderId="4" applyNumberFormat="0" applyFill="0" applyAlignment="0" applyProtection="0"/>
    <xf numFmtId="0" fontId="5" fillId="8" borderId="0" applyNumberFormat="0" applyBorder="0" applyAlignment="0" applyProtection="0"/>
    <xf numFmtId="0" fontId="9" fillId="3" borderId="5" applyNumberFormat="0" applyAlignment="0" applyProtection="0"/>
    <xf numFmtId="0" fontId="5" fillId="4" borderId="0" applyNumberFormat="0" applyBorder="0" applyAlignment="0" applyProtection="0"/>
    <xf numFmtId="0" fontId="6" fillId="3" borderId="1" applyNumberFormat="0" applyAlignment="0" applyProtection="0"/>
    <xf numFmtId="0" fontId="18" fillId="9" borderId="6" applyNumberFormat="0" applyAlignment="0" applyProtection="0"/>
    <xf numFmtId="0" fontId="22" fillId="0" borderId="7" applyNumberFormat="0" applyFill="0" applyAlignment="0" applyProtection="0"/>
    <xf numFmtId="0" fontId="5" fillId="10" borderId="0" applyNumberFormat="0" applyBorder="0" applyAlignment="0" applyProtection="0"/>
    <xf numFmtId="0" fontId="0" fillId="11" borderId="0" applyNumberFormat="0" applyBorder="0" applyAlignment="0" applyProtection="0"/>
    <xf numFmtId="0" fontId="17" fillId="0" borderId="8" applyNumberFormat="0" applyFill="0" applyAlignment="0" applyProtection="0"/>
    <xf numFmtId="0" fontId="15" fillId="11" borderId="0" applyNumberFormat="0" applyBorder="0" applyAlignment="0" applyProtection="0"/>
    <xf numFmtId="0" fontId="8" fillId="12" borderId="0" applyNumberFormat="0" applyBorder="0" applyAlignment="0" applyProtection="0"/>
    <xf numFmtId="0" fontId="5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4" borderId="0" applyNumberFormat="0" applyBorder="0" applyAlignment="0" applyProtection="0"/>
    <xf numFmtId="0" fontId="0" fillId="7" borderId="0" applyNumberFormat="0" applyBorder="0" applyAlignment="0" applyProtection="0"/>
    <xf numFmtId="0" fontId="0" fillId="4" borderId="0" applyNumberFormat="0" applyBorder="0" applyAlignment="0" applyProtection="0"/>
    <xf numFmtId="0" fontId="5" fillId="9" borderId="0" applyNumberFormat="0" applyBorder="0" applyAlignment="0" applyProtection="0"/>
    <xf numFmtId="0" fontId="0" fillId="7" borderId="0" applyNumberFormat="0" applyBorder="0" applyAlignment="0" applyProtection="0"/>
    <xf numFmtId="0" fontId="0" fillId="12" borderId="0" applyNumberFormat="0" applyBorder="0" applyAlignment="0" applyProtection="0"/>
    <xf numFmtId="0" fontId="5" fillId="16" borderId="0" applyNumberFormat="0" applyBorder="0" applyAlignment="0" applyProtection="0"/>
    <xf numFmtId="0" fontId="0" fillId="14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0" fillId="6" borderId="0" applyNumberFormat="0" applyBorder="0" applyAlignment="0" applyProtection="0"/>
    <xf numFmtId="0" fontId="5" fillId="6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176" fontId="3" fillId="0" borderId="9" xfId="0" applyNumberFormat="1" applyFont="1" applyFill="1" applyBorder="1" applyAlignment="1">
      <alignment horizontal="center" vertical="center"/>
    </xf>
    <xf numFmtId="176" fontId="4" fillId="0" borderId="9" xfId="0" applyNumberFormat="1" applyFont="1" applyFill="1" applyBorder="1" applyAlignment="1">
      <alignment horizontal="center" vertical="center"/>
    </xf>
    <xf numFmtId="176" fontId="3" fillId="0" borderId="9" xfId="0" applyNumberFormat="1" applyFont="1" applyFill="1" applyBorder="1" applyAlignment="1">
      <alignment horizontal="center" vertical="center"/>
    </xf>
  </cellXfs>
  <cellStyles count="49">
    <cellStyle name="Normal" xfId="0"/>
    <cellStyle name="Comma" xfId="15"/>
    <cellStyle name="Currency" xfId="16"/>
    <cellStyle name="强调文字颜色 4" xfId="17"/>
    <cellStyle name="Comma [0]" xfId="18"/>
    <cellStyle name="Percent" xfId="19"/>
    <cellStyle name="标题" xfId="20"/>
    <cellStyle name="Currency [0]" xfId="21"/>
    <cellStyle name="20% - 强调文字颜色 3" xfId="22"/>
    <cellStyle name="输入" xfId="23"/>
    <cellStyle name="差" xfId="24"/>
    <cellStyle name="40% - 强调文字颜色 3" xfId="25"/>
    <cellStyle name="60% - 强调文字颜色 3" xfId="26"/>
    <cellStyle name="Hyperlink" xfId="27"/>
    <cellStyle name="Followed Hyperlink" xfId="28"/>
    <cellStyle name="注释" xfId="29"/>
    <cellStyle name="警告文本" xfId="30"/>
    <cellStyle name="标题 4" xfId="31"/>
    <cellStyle name="60% - 强调文字颜色 2" xfId="32"/>
    <cellStyle name="解释性文本" xfId="33"/>
    <cellStyle name="标题 1" xfId="34"/>
    <cellStyle name="标题 2" xfId="35"/>
    <cellStyle name="标题 3" xfId="36"/>
    <cellStyle name="60% - 强调文字颜色 1" xfId="37"/>
    <cellStyle name="输出" xfId="38"/>
    <cellStyle name="60% - 强调文字颜色 4" xfId="39"/>
    <cellStyle name="计算" xfId="40"/>
    <cellStyle name="检查单元格" xfId="41"/>
    <cellStyle name="链接单元格" xfId="42"/>
    <cellStyle name="强调文字颜色 2" xfId="43"/>
    <cellStyle name="20% - 强调文字颜色 6" xfId="44"/>
    <cellStyle name="汇总" xfId="45"/>
    <cellStyle name="好" xfId="46"/>
    <cellStyle name="适中" xfId="47"/>
    <cellStyle name="强调文字颜色 1" xfId="48"/>
    <cellStyle name="20% - 强调文字颜色 5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0"/>
  <sheetViews>
    <sheetView tabSelected="1" workbookViewId="0" topLeftCell="C1">
      <selection activeCell="H65" sqref="H65"/>
    </sheetView>
  </sheetViews>
  <sheetFormatPr defaultColWidth="9.00390625" defaultRowHeight="13.5"/>
  <cols>
    <col min="1" max="1" width="5.375" style="1" customWidth="1"/>
    <col min="2" max="2" width="43.75390625" style="1" customWidth="1"/>
    <col min="3" max="3" width="8.875" style="1" customWidth="1"/>
    <col min="4" max="4" width="20.375" style="1" customWidth="1"/>
    <col min="5" max="5" width="17.375" style="1" customWidth="1"/>
    <col min="6" max="6" width="13.75390625" style="1" customWidth="1"/>
    <col min="7" max="7" width="9.00390625" style="1" customWidth="1"/>
    <col min="8" max="8" width="15.625" style="1" customWidth="1"/>
    <col min="9" max="9" width="9.00390625" style="1" customWidth="1"/>
    <col min="10" max="10" width="13.375" style="1" customWidth="1"/>
    <col min="11" max="12" width="10.375" style="1" bestFit="1" customWidth="1"/>
    <col min="13" max="13" width="13.75390625" style="1" customWidth="1"/>
    <col min="14" max="16384" width="9.00390625" style="1" customWidth="1"/>
  </cols>
  <sheetData>
    <row r="1" spans="1:13" ht="33.75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 ht="58.5" customHeight="1">
      <c r="A2" s="4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4" t="s">
        <v>6</v>
      </c>
      <c r="G2" s="4" t="s">
        <v>7</v>
      </c>
      <c r="H2" s="5" t="s">
        <v>8</v>
      </c>
      <c r="I2" s="4" t="s">
        <v>9</v>
      </c>
      <c r="J2" s="5" t="s">
        <v>10</v>
      </c>
      <c r="K2" s="4" t="s">
        <v>11</v>
      </c>
      <c r="L2" s="4" t="s">
        <v>12</v>
      </c>
      <c r="M2" s="4" t="s">
        <v>13</v>
      </c>
    </row>
    <row r="3" spans="1:13" ht="21" customHeight="1">
      <c r="A3" s="4">
        <v>1</v>
      </c>
      <c r="B3" s="4" t="s">
        <v>14</v>
      </c>
      <c r="C3" s="4" t="str">
        <f>"林余蓉"</f>
        <v>林余蓉</v>
      </c>
      <c r="D3" s="4" t="str">
        <f>"460104199701010322"</f>
        <v>460104199701010322</v>
      </c>
      <c r="E3" s="4" t="s">
        <v>15</v>
      </c>
      <c r="F3" s="4" t="str">
        <f>"073101010429"</f>
        <v>073101010429</v>
      </c>
      <c r="G3" s="6">
        <v>95.6</v>
      </c>
      <c r="H3" s="6">
        <f aca="true" t="shared" si="0" ref="H3:H66">G3*0.5</f>
        <v>47.8</v>
      </c>
      <c r="I3" s="6">
        <v>80.169</v>
      </c>
      <c r="J3" s="6">
        <f aca="true" t="shared" si="1" ref="J3:J66">I3*0.5</f>
        <v>40.0845</v>
      </c>
      <c r="K3" s="9">
        <f aca="true" t="shared" si="2" ref="K3:K9">H3+J3</f>
        <v>87.8845</v>
      </c>
      <c r="L3" s="6">
        <f>RANK(K3,$K$3:$K$14,0)</f>
        <v>1</v>
      </c>
      <c r="M3" s="6"/>
    </row>
    <row r="4" spans="1:13" ht="21" customHeight="1">
      <c r="A4" s="4">
        <v>2</v>
      </c>
      <c r="B4" s="4" t="s">
        <v>14</v>
      </c>
      <c r="C4" s="4" t="str">
        <f>"蒋盈欣"</f>
        <v>蒋盈欣</v>
      </c>
      <c r="D4" s="4" t="str">
        <f>"460004199804100229"</f>
        <v>460004199804100229</v>
      </c>
      <c r="E4" s="4" t="s">
        <v>15</v>
      </c>
      <c r="F4" s="4" t="str">
        <f>"073101010410"</f>
        <v>073101010410</v>
      </c>
      <c r="G4" s="6">
        <v>93.5</v>
      </c>
      <c r="H4" s="6">
        <f t="shared" si="0"/>
        <v>46.75</v>
      </c>
      <c r="I4" s="6">
        <v>78.65</v>
      </c>
      <c r="J4" s="6">
        <f t="shared" si="1"/>
        <v>39.325</v>
      </c>
      <c r="K4" s="9">
        <f t="shared" si="2"/>
        <v>86.075</v>
      </c>
      <c r="L4" s="6">
        <f>RANK(K4,$K$3:$K$14,0)</f>
        <v>2</v>
      </c>
      <c r="M4" s="6"/>
    </row>
    <row r="5" spans="1:13" ht="21" customHeight="1">
      <c r="A5" s="4">
        <v>3</v>
      </c>
      <c r="B5" s="4" t="s">
        <v>14</v>
      </c>
      <c r="C5" s="4" t="str">
        <f>"李秋瑾"</f>
        <v>李秋瑾</v>
      </c>
      <c r="D5" s="4" t="str">
        <f>"460004199710050822"</f>
        <v>460004199710050822</v>
      </c>
      <c r="E5" s="4" t="s">
        <v>15</v>
      </c>
      <c r="F5" s="4" t="str">
        <f>"073101010120"</f>
        <v>073101010120</v>
      </c>
      <c r="G5" s="6">
        <v>92.9</v>
      </c>
      <c r="H5" s="6">
        <f t="shared" si="0"/>
        <v>46.45</v>
      </c>
      <c r="I5" s="6">
        <v>78.546</v>
      </c>
      <c r="J5" s="6">
        <f t="shared" si="1"/>
        <v>39.273</v>
      </c>
      <c r="K5" s="9">
        <f t="shared" si="2"/>
        <v>85.72300000000001</v>
      </c>
      <c r="L5" s="6">
        <f>RANK(K5,$K$3:$K$14,0)</f>
        <v>3</v>
      </c>
      <c r="M5" s="6"/>
    </row>
    <row r="6" spans="1:13" ht="21" customHeight="1">
      <c r="A6" s="4">
        <v>4</v>
      </c>
      <c r="B6" s="4" t="s">
        <v>14</v>
      </c>
      <c r="C6" s="4" t="str">
        <f>"张青龙"</f>
        <v>张青龙</v>
      </c>
      <c r="D6" s="4" t="str">
        <f>"460103199908080911"</f>
        <v>460103199908080911</v>
      </c>
      <c r="E6" s="4" t="s">
        <v>15</v>
      </c>
      <c r="F6" s="4" t="str">
        <f>"073101010737"</f>
        <v>073101010737</v>
      </c>
      <c r="G6" s="6">
        <v>79.7</v>
      </c>
      <c r="H6" s="6">
        <f t="shared" si="0"/>
        <v>39.85</v>
      </c>
      <c r="I6" s="6">
        <v>90.685</v>
      </c>
      <c r="J6" s="6">
        <f t="shared" si="1"/>
        <v>45.3425</v>
      </c>
      <c r="K6" s="9">
        <f t="shared" si="2"/>
        <v>85.1925</v>
      </c>
      <c r="L6" s="6">
        <f>RANK(K6,$K$3:$K$14,0)</f>
        <v>4</v>
      </c>
      <c r="M6" s="6"/>
    </row>
    <row r="7" spans="1:13" ht="21" customHeight="1">
      <c r="A7" s="4">
        <v>5</v>
      </c>
      <c r="B7" s="4" t="s">
        <v>14</v>
      </c>
      <c r="C7" s="4" t="str">
        <f>"符宝予"</f>
        <v>符宝予</v>
      </c>
      <c r="D7" s="4" t="str">
        <f>"460028199802180027"</f>
        <v>460028199802180027</v>
      </c>
      <c r="E7" s="4" t="s">
        <v>15</v>
      </c>
      <c r="F7" s="4" t="str">
        <f>"073101010336"</f>
        <v>073101010336</v>
      </c>
      <c r="G7" s="6">
        <v>83.4</v>
      </c>
      <c r="H7" s="6">
        <f t="shared" si="0"/>
        <v>41.7</v>
      </c>
      <c r="I7" s="6">
        <v>83.063</v>
      </c>
      <c r="J7" s="6">
        <f t="shared" si="1"/>
        <v>41.5315</v>
      </c>
      <c r="K7" s="9">
        <f t="shared" si="2"/>
        <v>83.23150000000001</v>
      </c>
      <c r="L7" s="6">
        <f>RANK(K7,$K$3:$K$14,0)</f>
        <v>5</v>
      </c>
      <c r="M7" s="6"/>
    </row>
    <row r="8" spans="1:13" ht="21" customHeight="1">
      <c r="A8" s="4">
        <v>6</v>
      </c>
      <c r="B8" s="4" t="s">
        <v>14</v>
      </c>
      <c r="C8" s="4" t="str">
        <f>"陈文燕"</f>
        <v>陈文燕</v>
      </c>
      <c r="D8" s="4" t="str">
        <f>"46000319970725262X"</f>
        <v>46000319970725262X</v>
      </c>
      <c r="E8" s="4" t="s">
        <v>15</v>
      </c>
      <c r="F8" s="4" t="str">
        <f>"073101010431"</f>
        <v>073101010431</v>
      </c>
      <c r="G8" s="6">
        <v>82.3</v>
      </c>
      <c r="H8" s="6">
        <f t="shared" si="0"/>
        <v>41.15</v>
      </c>
      <c r="I8" s="6">
        <v>83.91</v>
      </c>
      <c r="J8" s="6">
        <f t="shared" si="1"/>
        <v>41.955</v>
      </c>
      <c r="K8" s="9">
        <f t="shared" si="2"/>
        <v>83.10499999999999</v>
      </c>
      <c r="L8" s="6">
        <f>RANK(K8,$K$3:$K$14,0)</f>
        <v>6</v>
      </c>
      <c r="M8" s="6"/>
    </row>
    <row r="9" spans="1:13" ht="21" customHeight="1">
      <c r="A9" s="4">
        <v>7</v>
      </c>
      <c r="B9" s="4" t="s">
        <v>14</v>
      </c>
      <c r="C9" s="4" t="str">
        <f>"王炜"</f>
        <v>王炜</v>
      </c>
      <c r="D9" s="4" t="str">
        <f>"46010219910811091X"</f>
        <v>46010219910811091X</v>
      </c>
      <c r="E9" s="4" t="s">
        <v>15</v>
      </c>
      <c r="F9" s="4" t="str">
        <f>"073101010602"</f>
        <v>073101010602</v>
      </c>
      <c r="G9" s="6">
        <v>75.8</v>
      </c>
      <c r="H9" s="6">
        <f t="shared" si="0"/>
        <v>37.9</v>
      </c>
      <c r="I9" s="6">
        <v>89.838</v>
      </c>
      <c r="J9" s="6">
        <f t="shared" si="1"/>
        <v>44.919</v>
      </c>
      <c r="K9" s="9">
        <f t="shared" si="2"/>
        <v>82.81899999999999</v>
      </c>
      <c r="L9" s="6">
        <f>RANK(K9,$K$3:$K$14,0)</f>
        <v>7</v>
      </c>
      <c r="M9" s="6"/>
    </row>
    <row r="10" spans="1:13" ht="21" customHeight="1">
      <c r="A10" s="4">
        <v>8</v>
      </c>
      <c r="B10" s="4" t="s">
        <v>14</v>
      </c>
      <c r="C10" s="4" t="str">
        <f>"单雪红"</f>
        <v>单雪红</v>
      </c>
      <c r="D10" s="4" t="str">
        <f>"341225199508086342"</f>
        <v>341225199508086342</v>
      </c>
      <c r="E10" s="4" t="s">
        <v>16</v>
      </c>
      <c r="F10" s="4" t="str">
        <f>"073101010533"</f>
        <v>073101010533</v>
      </c>
      <c r="G10" s="6">
        <v>94</v>
      </c>
      <c r="H10" s="6">
        <f t="shared" si="0"/>
        <v>47</v>
      </c>
      <c r="I10" s="6">
        <v>63.585</v>
      </c>
      <c r="J10" s="6">
        <f t="shared" si="1"/>
        <v>31.7925</v>
      </c>
      <c r="K10" s="10">
        <v>82.73212500000001</v>
      </c>
      <c r="L10" s="6">
        <f>RANK(K10,$K$3:$K$14,0)</f>
        <v>8</v>
      </c>
      <c r="M10" s="6" t="s">
        <v>17</v>
      </c>
    </row>
    <row r="11" spans="1:13" ht="21" customHeight="1">
      <c r="A11" s="4">
        <v>9</v>
      </c>
      <c r="B11" s="4" t="s">
        <v>14</v>
      </c>
      <c r="C11" s="4" t="str">
        <f>"张琳琳"</f>
        <v>张琳琳</v>
      </c>
      <c r="D11" s="4" t="str">
        <f>"23108419920819402X"</f>
        <v>23108419920819402X</v>
      </c>
      <c r="E11" s="4" t="s">
        <v>15</v>
      </c>
      <c r="F11" s="4" t="str">
        <f>"073101010515"</f>
        <v>073101010515</v>
      </c>
      <c r="G11" s="6">
        <v>90.3</v>
      </c>
      <c r="H11" s="6">
        <f t="shared" si="0"/>
        <v>45.15</v>
      </c>
      <c r="I11" s="6">
        <v>74.806</v>
      </c>
      <c r="J11" s="6">
        <f t="shared" si="1"/>
        <v>37.403</v>
      </c>
      <c r="K11" s="9">
        <f aca="true" t="shared" si="3" ref="K11:K14">H11+J11</f>
        <v>82.553</v>
      </c>
      <c r="L11" s="6">
        <f>RANK(K11,$K$3:$K$14,0)</f>
        <v>9</v>
      </c>
      <c r="M11" s="6"/>
    </row>
    <row r="12" spans="1:13" ht="21" customHeight="1">
      <c r="A12" s="4">
        <v>10</v>
      </c>
      <c r="B12" s="4" t="s">
        <v>14</v>
      </c>
      <c r="C12" s="4" t="str">
        <f>"王丹彤"</f>
        <v>王丹彤</v>
      </c>
      <c r="D12" s="4" t="str">
        <f>"460103199411150021"</f>
        <v>460103199411150021</v>
      </c>
      <c r="E12" s="4" t="s">
        <v>15</v>
      </c>
      <c r="F12" s="4" t="str">
        <f>"073101010304"</f>
        <v>073101010304</v>
      </c>
      <c r="G12" s="6">
        <v>79.7</v>
      </c>
      <c r="H12" s="6">
        <f t="shared" si="0"/>
        <v>39.85</v>
      </c>
      <c r="I12" s="6">
        <v>84.545</v>
      </c>
      <c r="J12" s="6">
        <f t="shared" si="1"/>
        <v>42.2725</v>
      </c>
      <c r="K12" s="9">
        <f t="shared" si="3"/>
        <v>82.1225</v>
      </c>
      <c r="L12" s="6">
        <f>RANK(K12,$K$3:$K$14,0)</f>
        <v>10</v>
      </c>
      <c r="M12" s="6"/>
    </row>
    <row r="13" spans="1:13" ht="21" customHeight="1">
      <c r="A13" s="4">
        <v>11</v>
      </c>
      <c r="B13" s="4" t="s">
        <v>14</v>
      </c>
      <c r="C13" s="4" t="str">
        <f>"黄温文"</f>
        <v>黄温文</v>
      </c>
      <c r="D13" s="4" t="str">
        <f>"460103199810010325"</f>
        <v>460103199810010325</v>
      </c>
      <c r="E13" s="4" t="s">
        <v>15</v>
      </c>
      <c r="F13" s="4" t="str">
        <f>"073101010306"</f>
        <v>073101010306</v>
      </c>
      <c r="G13" s="6">
        <v>90.5</v>
      </c>
      <c r="H13" s="6">
        <f t="shared" si="0"/>
        <v>45.25</v>
      </c>
      <c r="I13" s="6">
        <v>73.536</v>
      </c>
      <c r="J13" s="6">
        <f t="shared" si="1"/>
        <v>36.768</v>
      </c>
      <c r="K13" s="9">
        <f t="shared" si="3"/>
        <v>82.018</v>
      </c>
      <c r="L13" s="6">
        <f>RANK(K13,$K$3:$K$14,0)</f>
        <v>11</v>
      </c>
      <c r="M13" s="6"/>
    </row>
    <row r="14" spans="1:13" ht="21" customHeight="1">
      <c r="A14" s="4">
        <v>12</v>
      </c>
      <c r="B14" s="4" t="s">
        <v>14</v>
      </c>
      <c r="C14" s="4" t="str">
        <f>"顾辰瑶"</f>
        <v>顾辰瑶</v>
      </c>
      <c r="D14" s="4" t="str">
        <f>"522601199309203126"</f>
        <v>522601199309203126</v>
      </c>
      <c r="E14" s="4" t="s">
        <v>15</v>
      </c>
      <c r="F14" s="4" t="str">
        <f>"073101010229"</f>
        <v>073101010229</v>
      </c>
      <c r="G14" s="6">
        <v>90.9</v>
      </c>
      <c r="H14" s="6">
        <f t="shared" si="0"/>
        <v>45.45</v>
      </c>
      <c r="I14" s="6">
        <v>72.054</v>
      </c>
      <c r="J14" s="6">
        <f t="shared" si="1"/>
        <v>36.027</v>
      </c>
      <c r="K14" s="9">
        <f t="shared" si="3"/>
        <v>81.477</v>
      </c>
      <c r="L14" s="6">
        <f>RANK(K14,$K$3:$K$14,0)</f>
        <v>12</v>
      </c>
      <c r="M14" s="6"/>
    </row>
    <row r="15" spans="1:13" ht="21" customHeight="1">
      <c r="A15" s="7">
        <v>13</v>
      </c>
      <c r="B15" s="7" t="s">
        <v>18</v>
      </c>
      <c r="C15" s="7" t="str">
        <f>"麦琳慧"</f>
        <v>麦琳慧</v>
      </c>
      <c r="D15" s="7" t="str">
        <f>"460003199701170025"</f>
        <v>460003199701170025</v>
      </c>
      <c r="E15" s="7" t="s">
        <v>15</v>
      </c>
      <c r="F15" s="7" t="str">
        <f>"073102030315"</f>
        <v>073102030315</v>
      </c>
      <c r="G15" s="8">
        <v>88.8</v>
      </c>
      <c r="H15" s="8">
        <f aca="true" t="shared" si="4" ref="H15:H56">G15*0.5</f>
        <v>44.4</v>
      </c>
      <c r="I15" s="8">
        <v>91.471</v>
      </c>
      <c r="J15" s="8">
        <f aca="true" t="shared" si="5" ref="J15:J56">I15*0.5</f>
        <v>45.7355</v>
      </c>
      <c r="K15" s="11">
        <f aca="true" t="shared" si="6" ref="K15:K25">H15+J15</f>
        <v>90.13550000000001</v>
      </c>
      <c r="L15" s="8">
        <f aca="true" t="shared" si="7" ref="L15:L78">RANK(K15,$K$15:$K$36,0)</f>
        <v>1</v>
      </c>
      <c r="M15" s="8"/>
    </row>
    <row r="16" spans="1:13" ht="21" customHeight="1">
      <c r="A16" s="7">
        <v>14</v>
      </c>
      <c r="B16" s="7" t="s">
        <v>18</v>
      </c>
      <c r="C16" s="7" t="str">
        <f>"庞鑫雅"</f>
        <v>庞鑫雅</v>
      </c>
      <c r="D16" s="7" t="str">
        <f>"460003199409160241"</f>
        <v>460003199409160241</v>
      </c>
      <c r="E16" s="7" t="s">
        <v>15</v>
      </c>
      <c r="F16" s="7" t="str">
        <f>"073102020623"</f>
        <v>073102020623</v>
      </c>
      <c r="G16" s="8">
        <v>87.9</v>
      </c>
      <c r="H16" s="8">
        <f t="shared" si="4"/>
        <v>43.95</v>
      </c>
      <c r="I16" s="8">
        <v>85.556</v>
      </c>
      <c r="J16" s="8">
        <f t="shared" si="5"/>
        <v>42.778</v>
      </c>
      <c r="K16" s="11">
        <f t="shared" si="6"/>
        <v>86.72800000000001</v>
      </c>
      <c r="L16" s="8">
        <f t="shared" si="7"/>
        <v>2</v>
      </c>
      <c r="M16" s="8"/>
    </row>
    <row r="17" spans="1:13" ht="21" customHeight="1">
      <c r="A17" s="7">
        <v>15</v>
      </c>
      <c r="B17" s="7" t="s">
        <v>18</v>
      </c>
      <c r="C17" s="7" t="str">
        <f>"符肇尤"</f>
        <v>符肇尤</v>
      </c>
      <c r="D17" s="7" t="str">
        <f>"460003199206130018"</f>
        <v>460003199206130018</v>
      </c>
      <c r="E17" s="7" t="s">
        <v>15</v>
      </c>
      <c r="F17" s="7" t="str">
        <f>"073102030408"</f>
        <v>073102030408</v>
      </c>
      <c r="G17" s="8">
        <v>84</v>
      </c>
      <c r="H17" s="8">
        <f t="shared" si="4"/>
        <v>42</v>
      </c>
      <c r="I17" s="8">
        <v>87.24</v>
      </c>
      <c r="J17" s="8">
        <f t="shared" si="5"/>
        <v>43.62</v>
      </c>
      <c r="K17" s="11">
        <f t="shared" si="6"/>
        <v>85.62</v>
      </c>
      <c r="L17" s="8">
        <f t="shared" si="7"/>
        <v>3</v>
      </c>
      <c r="M17" s="8"/>
    </row>
    <row r="18" spans="1:13" ht="21" customHeight="1">
      <c r="A18" s="7">
        <v>16</v>
      </c>
      <c r="B18" s="7" t="s">
        <v>18</v>
      </c>
      <c r="C18" s="7" t="str">
        <f>"羊学贤"</f>
        <v>羊学贤</v>
      </c>
      <c r="D18" s="7" t="str">
        <f>"46030019990108003X"</f>
        <v>46030019990108003X</v>
      </c>
      <c r="E18" s="7" t="s">
        <v>15</v>
      </c>
      <c r="F18" s="7" t="str">
        <f>"073102021135"</f>
        <v>073102021135</v>
      </c>
      <c r="G18" s="8">
        <v>91</v>
      </c>
      <c r="H18" s="8">
        <f t="shared" si="4"/>
        <v>45.5</v>
      </c>
      <c r="I18" s="8">
        <v>79.961</v>
      </c>
      <c r="J18" s="8">
        <f t="shared" si="5"/>
        <v>39.9805</v>
      </c>
      <c r="K18" s="11">
        <f t="shared" si="6"/>
        <v>85.4805</v>
      </c>
      <c r="L18" s="8">
        <f t="shared" si="7"/>
        <v>4</v>
      </c>
      <c r="M18" s="8"/>
    </row>
    <row r="19" spans="1:13" ht="21" customHeight="1">
      <c r="A19" s="7">
        <v>17</v>
      </c>
      <c r="B19" s="7" t="s">
        <v>18</v>
      </c>
      <c r="C19" s="7" t="str">
        <f>"王瑜"</f>
        <v>王瑜</v>
      </c>
      <c r="D19" s="7" t="str">
        <f>"46002819971215081X"</f>
        <v>46002819971215081X</v>
      </c>
      <c r="E19" s="7" t="s">
        <v>15</v>
      </c>
      <c r="F19" s="7" t="str">
        <f>"073102020230"</f>
        <v>073102020230</v>
      </c>
      <c r="G19" s="8">
        <v>85.9</v>
      </c>
      <c r="H19" s="8">
        <f t="shared" si="4"/>
        <v>42.95</v>
      </c>
      <c r="I19" s="8">
        <v>82.433</v>
      </c>
      <c r="J19" s="8">
        <f t="shared" si="5"/>
        <v>41.2165</v>
      </c>
      <c r="K19" s="11">
        <f t="shared" si="6"/>
        <v>84.16650000000001</v>
      </c>
      <c r="L19" s="8">
        <f t="shared" si="7"/>
        <v>5</v>
      </c>
      <c r="M19" s="8"/>
    </row>
    <row r="20" spans="1:13" ht="21" customHeight="1">
      <c r="A20" s="7">
        <v>18</v>
      </c>
      <c r="B20" s="7" t="s">
        <v>18</v>
      </c>
      <c r="C20" s="7" t="str">
        <f>"韦静雅"</f>
        <v>韦静雅</v>
      </c>
      <c r="D20" s="7" t="str">
        <f>"460003199412310044"</f>
        <v>460003199412310044</v>
      </c>
      <c r="E20" s="7" t="s">
        <v>15</v>
      </c>
      <c r="F20" s="7" t="str">
        <f>"073102020130"</f>
        <v>073102020130</v>
      </c>
      <c r="G20" s="8">
        <v>84.3</v>
      </c>
      <c r="H20" s="8">
        <f t="shared" si="4"/>
        <v>42.15</v>
      </c>
      <c r="I20" s="8">
        <v>83.8</v>
      </c>
      <c r="J20" s="8">
        <f t="shared" si="5"/>
        <v>41.9</v>
      </c>
      <c r="K20" s="11">
        <f t="shared" si="6"/>
        <v>84.05</v>
      </c>
      <c r="L20" s="8">
        <f t="shared" si="7"/>
        <v>6</v>
      </c>
      <c r="M20" s="8"/>
    </row>
    <row r="21" spans="1:13" ht="21" customHeight="1">
      <c r="A21" s="7">
        <v>19</v>
      </c>
      <c r="B21" s="7" t="s">
        <v>18</v>
      </c>
      <c r="C21" s="7" t="str">
        <f>"林诗珏"</f>
        <v>林诗珏</v>
      </c>
      <c r="D21" s="7" t="str">
        <f>"460001199504040720"</f>
        <v>460001199504040720</v>
      </c>
      <c r="E21" s="7" t="s">
        <v>15</v>
      </c>
      <c r="F21" s="7" t="str">
        <f>"073102020309"</f>
        <v>073102020309</v>
      </c>
      <c r="G21" s="8">
        <v>88.2</v>
      </c>
      <c r="H21" s="8">
        <f t="shared" si="4"/>
        <v>44.1</v>
      </c>
      <c r="I21" s="8">
        <v>78.269</v>
      </c>
      <c r="J21" s="8">
        <f t="shared" si="5"/>
        <v>39.1345</v>
      </c>
      <c r="K21" s="11">
        <f t="shared" si="6"/>
        <v>83.2345</v>
      </c>
      <c r="L21" s="8">
        <f t="shared" si="7"/>
        <v>7</v>
      </c>
      <c r="M21" s="8"/>
    </row>
    <row r="22" spans="1:13" ht="21" customHeight="1">
      <c r="A22" s="7">
        <v>20</v>
      </c>
      <c r="B22" s="7" t="s">
        <v>18</v>
      </c>
      <c r="C22" s="7" t="str">
        <f>"苏雨婷"</f>
        <v>苏雨婷</v>
      </c>
      <c r="D22" s="7" t="str">
        <f>"460006199609186824"</f>
        <v>460006199609186824</v>
      </c>
      <c r="E22" s="7" t="s">
        <v>15</v>
      </c>
      <c r="F22" s="7" t="str">
        <f>"073102020514"</f>
        <v>073102020514</v>
      </c>
      <c r="G22" s="8">
        <v>82</v>
      </c>
      <c r="H22" s="8">
        <f t="shared" si="4"/>
        <v>41</v>
      </c>
      <c r="I22" s="8">
        <v>84.255</v>
      </c>
      <c r="J22" s="8">
        <f t="shared" si="5"/>
        <v>42.1275</v>
      </c>
      <c r="K22" s="11">
        <f t="shared" si="6"/>
        <v>83.1275</v>
      </c>
      <c r="L22" s="8">
        <f t="shared" si="7"/>
        <v>8</v>
      </c>
      <c r="M22" s="8"/>
    </row>
    <row r="23" spans="1:13" ht="21" customHeight="1">
      <c r="A23" s="7">
        <v>21</v>
      </c>
      <c r="B23" s="7" t="s">
        <v>18</v>
      </c>
      <c r="C23" s="7" t="str">
        <f>"梁小燕"</f>
        <v>梁小燕</v>
      </c>
      <c r="D23" s="7" t="str">
        <f>"46000719960127042X"</f>
        <v>46000719960127042X</v>
      </c>
      <c r="E23" s="7" t="s">
        <v>15</v>
      </c>
      <c r="F23" s="7" t="str">
        <f>"073102030202"</f>
        <v>073102030202</v>
      </c>
      <c r="G23" s="8">
        <v>83.8</v>
      </c>
      <c r="H23" s="8">
        <f t="shared" si="4"/>
        <v>41.9</v>
      </c>
      <c r="I23" s="8">
        <v>78.979</v>
      </c>
      <c r="J23" s="8">
        <f t="shared" si="5"/>
        <v>39.4895</v>
      </c>
      <c r="K23" s="11">
        <f t="shared" si="6"/>
        <v>81.3895</v>
      </c>
      <c r="L23" s="8">
        <f t="shared" si="7"/>
        <v>9</v>
      </c>
      <c r="M23" s="8"/>
    </row>
    <row r="24" spans="1:13" ht="21" customHeight="1">
      <c r="A24" s="7">
        <v>22</v>
      </c>
      <c r="B24" s="7" t="s">
        <v>18</v>
      </c>
      <c r="C24" s="7" t="str">
        <f>"李惠"</f>
        <v>李惠</v>
      </c>
      <c r="D24" s="7" t="str">
        <f>"460030199611220024"</f>
        <v>460030199611220024</v>
      </c>
      <c r="E24" s="7" t="s">
        <v>15</v>
      </c>
      <c r="F24" s="7" t="str">
        <f>"073102031138"</f>
        <v>073102031138</v>
      </c>
      <c r="G24" s="8">
        <v>78.9</v>
      </c>
      <c r="H24" s="8">
        <f t="shared" si="4"/>
        <v>39.45</v>
      </c>
      <c r="I24" s="8">
        <v>83.546</v>
      </c>
      <c r="J24" s="8">
        <f t="shared" si="5"/>
        <v>41.773</v>
      </c>
      <c r="K24" s="11">
        <f t="shared" si="6"/>
        <v>81.22300000000001</v>
      </c>
      <c r="L24" s="8">
        <f t="shared" si="7"/>
        <v>10</v>
      </c>
      <c r="M24" s="8"/>
    </row>
    <row r="25" spans="1:13" ht="21" customHeight="1">
      <c r="A25" s="7">
        <v>23</v>
      </c>
      <c r="B25" s="7" t="s">
        <v>18</v>
      </c>
      <c r="C25" s="7" t="str">
        <f>"何倩莹"</f>
        <v>何倩莹</v>
      </c>
      <c r="D25" s="7" t="str">
        <f>"460033199502050045"</f>
        <v>460033199502050045</v>
      </c>
      <c r="E25" s="7" t="s">
        <v>15</v>
      </c>
      <c r="F25" s="7" t="str">
        <f>"073102020925"</f>
        <v>073102020925</v>
      </c>
      <c r="G25" s="8">
        <v>81.8</v>
      </c>
      <c r="H25" s="8">
        <f t="shared" si="4"/>
        <v>40.9</v>
      </c>
      <c r="I25" s="8">
        <v>79.245</v>
      </c>
      <c r="J25" s="8">
        <f t="shared" si="5"/>
        <v>39.6225</v>
      </c>
      <c r="K25" s="11">
        <f t="shared" si="6"/>
        <v>80.52250000000001</v>
      </c>
      <c r="L25" s="8">
        <f t="shared" si="7"/>
        <v>11</v>
      </c>
      <c r="M25" s="8"/>
    </row>
    <row r="26" spans="1:13" ht="21" customHeight="1">
      <c r="A26" s="7">
        <v>24</v>
      </c>
      <c r="B26" s="7" t="s">
        <v>18</v>
      </c>
      <c r="C26" s="7" t="str">
        <f>"羊群"</f>
        <v>羊群</v>
      </c>
      <c r="D26" s="7" t="str">
        <f>"460003199408298812"</f>
        <v>460003199408298812</v>
      </c>
      <c r="E26" s="7" t="s">
        <v>15</v>
      </c>
      <c r="F26" s="7" t="str">
        <f>"073102020436"</f>
        <v>073102020436</v>
      </c>
      <c r="G26" s="8">
        <v>84</v>
      </c>
      <c r="H26" s="8">
        <f t="shared" si="4"/>
        <v>42</v>
      </c>
      <c r="I26" s="8">
        <v>75.927</v>
      </c>
      <c r="J26" s="8">
        <f t="shared" si="5"/>
        <v>37.9635</v>
      </c>
      <c r="K26" s="11">
        <f aca="true" t="shared" si="8" ref="K26:K65">H26+J26</f>
        <v>79.96350000000001</v>
      </c>
      <c r="L26" s="8">
        <f t="shared" si="7"/>
        <v>12</v>
      </c>
      <c r="M26" s="8"/>
    </row>
    <row r="27" spans="1:13" ht="21" customHeight="1">
      <c r="A27" s="7">
        <v>25</v>
      </c>
      <c r="B27" s="7" t="s">
        <v>18</v>
      </c>
      <c r="C27" s="7" t="str">
        <f>"冯尤山"</f>
        <v>冯尤山</v>
      </c>
      <c r="D27" s="7" t="str">
        <f>"46002619980821001X"</f>
        <v>46002619980821001X</v>
      </c>
      <c r="E27" s="7" t="s">
        <v>15</v>
      </c>
      <c r="F27" s="7" t="str">
        <f>"073102020908"</f>
        <v>073102020908</v>
      </c>
      <c r="G27" s="8">
        <v>83.8</v>
      </c>
      <c r="H27" s="8">
        <f t="shared" si="4"/>
        <v>41.9</v>
      </c>
      <c r="I27" s="8">
        <v>76.122</v>
      </c>
      <c r="J27" s="8">
        <f t="shared" si="5"/>
        <v>38.061</v>
      </c>
      <c r="K27" s="11">
        <f t="shared" si="8"/>
        <v>79.961</v>
      </c>
      <c r="L27" s="8">
        <f t="shared" si="7"/>
        <v>13</v>
      </c>
      <c r="M27" s="8"/>
    </row>
    <row r="28" spans="1:13" ht="21" customHeight="1">
      <c r="A28" s="7">
        <v>26</v>
      </c>
      <c r="B28" s="7" t="s">
        <v>18</v>
      </c>
      <c r="C28" s="7" t="str">
        <f>"王尊宇"</f>
        <v>王尊宇</v>
      </c>
      <c r="D28" s="7" t="str">
        <f>"460102199607042114"</f>
        <v>460102199607042114</v>
      </c>
      <c r="E28" s="7" t="s">
        <v>15</v>
      </c>
      <c r="F28" s="7" t="str">
        <f>"073102030312"</f>
        <v>073102030312</v>
      </c>
      <c r="G28" s="8">
        <v>77.1</v>
      </c>
      <c r="H28" s="8">
        <f t="shared" si="4"/>
        <v>38.55</v>
      </c>
      <c r="I28" s="8">
        <v>82.404</v>
      </c>
      <c r="J28" s="8">
        <f t="shared" si="5"/>
        <v>41.202</v>
      </c>
      <c r="K28" s="11">
        <f t="shared" si="8"/>
        <v>79.752</v>
      </c>
      <c r="L28" s="8">
        <f t="shared" si="7"/>
        <v>14</v>
      </c>
      <c r="M28" s="8"/>
    </row>
    <row r="29" spans="1:13" ht="21" customHeight="1">
      <c r="A29" s="7">
        <v>27</v>
      </c>
      <c r="B29" s="7" t="s">
        <v>18</v>
      </c>
      <c r="C29" s="7" t="str">
        <f>"林燕红"</f>
        <v>林燕红</v>
      </c>
      <c r="D29" s="7" t="str">
        <f>"460003199411237826"</f>
        <v>460003199411237826</v>
      </c>
      <c r="E29" s="7" t="s">
        <v>15</v>
      </c>
      <c r="F29" s="7" t="str">
        <f>"073102020521"</f>
        <v>073102020521</v>
      </c>
      <c r="G29" s="8">
        <v>83.2</v>
      </c>
      <c r="H29" s="8">
        <f t="shared" si="4"/>
        <v>41.6</v>
      </c>
      <c r="I29" s="8">
        <v>76.057</v>
      </c>
      <c r="J29" s="8">
        <f t="shared" si="5"/>
        <v>38.0285</v>
      </c>
      <c r="K29" s="11">
        <f t="shared" si="8"/>
        <v>79.6285</v>
      </c>
      <c r="L29" s="8">
        <f t="shared" si="7"/>
        <v>15</v>
      </c>
      <c r="M29" s="8"/>
    </row>
    <row r="30" spans="1:13" ht="21" customHeight="1">
      <c r="A30" s="7">
        <v>28</v>
      </c>
      <c r="B30" s="7" t="s">
        <v>18</v>
      </c>
      <c r="C30" s="7" t="str">
        <f>"苏迈"</f>
        <v>苏迈</v>
      </c>
      <c r="D30" s="7" t="str">
        <f>"460007199411085792"</f>
        <v>460007199411085792</v>
      </c>
      <c r="E30" s="7" t="s">
        <v>15</v>
      </c>
      <c r="F30" s="7" t="str">
        <f>"073102020708"</f>
        <v>073102020708</v>
      </c>
      <c r="G30" s="8">
        <v>79.8</v>
      </c>
      <c r="H30" s="8">
        <f t="shared" si="4"/>
        <v>39.9</v>
      </c>
      <c r="I30" s="8">
        <v>78.725</v>
      </c>
      <c r="J30" s="8">
        <f t="shared" si="5"/>
        <v>39.3625</v>
      </c>
      <c r="K30" s="11">
        <f t="shared" si="8"/>
        <v>79.26249999999999</v>
      </c>
      <c r="L30" s="8">
        <f t="shared" si="7"/>
        <v>16</v>
      </c>
      <c r="M30" s="8"/>
    </row>
    <row r="31" spans="1:13" ht="21" customHeight="1">
      <c r="A31" s="7">
        <v>29</v>
      </c>
      <c r="B31" s="7" t="s">
        <v>18</v>
      </c>
      <c r="C31" s="7" t="str">
        <f>"谭德周"</f>
        <v>谭德周</v>
      </c>
      <c r="D31" s="7" t="str">
        <f>"460003199501180018"</f>
        <v>460003199501180018</v>
      </c>
      <c r="E31" s="7" t="s">
        <v>15</v>
      </c>
      <c r="F31" s="7" t="str">
        <f>"073102021103"</f>
        <v>073102021103</v>
      </c>
      <c r="G31" s="8">
        <v>84.2</v>
      </c>
      <c r="H31" s="8">
        <f t="shared" si="4"/>
        <v>42.1</v>
      </c>
      <c r="I31" s="8">
        <v>74.04</v>
      </c>
      <c r="J31" s="8">
        <f t="shared" si="5"/>
        <v>37.02</v>
      </c>
      <c r="K31" s="11">
        <f t="shared" si="8"/>
        <v>79.12</v>
      </c>
      <c r="L31" s="8">
        <f t="shared" si="7"/>
        <v>17</v>
      </c>
      <c r="M31" s="8"/>
    </row>
    <row r="32" spans="1:13" ht="21" customHeight="1">
      <c r="A32" s="7">
        <v>30</v>
      </c>
      <c r="B32" s="7" t="s">
        <v>18</v>
      </c>
      <c r="C32" s="7" t="str">
        <f>"陈承祥"</f>
        <v>陈承祥</v>
      </c>
      <c r="D32" s="7" t="str">
        <f>"460003199401030637"</f>
        <v>460003199401030637</v>
      </c>
      <c r="E32" s="7" t="s">
        <v>15</v>
      </c>
      <c r="F32" s="7" t="str">
        <f>"073102020916"</f>
        <v>073102020916</v>
      </c>
      <c r="G32" s="8">
        <v>75.9</v>
      </c>
      <c r="H32" s="8">
        <f t="shared" si="4"/>
        <v>37.95</v>
      </c>
      <c r="I32" s="8">
        <v>80.742</v>
      </c>
      <c r="J32" s="8">
        <f t="shared" si="5"/>
        <v>40.371</v>
      </c>
      <c r="K32" s="11">
        <f t="shared" si="8"/>
        <v>78.321</v>
      </c>
      <c r="L32" s="8">
        <f t="shared" si="7"/>
        <v>18</v>
      </c>
      <c r="M32" s="8"/>
    </row>
    <row r="33" spans="1:13" ht="21" customHeight="1">
      <c r="A33" s="7">
        <v>31</v>
      </c>
      <c r="B33" s="7" t="s">
        <v>18</v>
      </c>
      <c r="C33" s="7" t="str">
        <f>"梁舒怡"</f>
        <v>梁舒怡</v>
      </c>
      <c r="D33" s="7" t="str">
        <f>"460102199610041825"</f>
        <v>460102199610041825</v>
      </c>
      <c r="E33" s="7" t="s">
        <v>15</v>
      </c>
      <c r="F33" s="7" t="str">
        <f>"073102030422"</f>
        <v>073102030422</v>
      </c>
      <c r="G33" s="8">
        <v>85.7</v>
      </c>
      <c r="H33" s="8">
        <f t="shared" si="4"/>
        <v>42.85</v>
      </c>
      <c r="I33" s="8">
        <v>70.316</v>
      </c>
      <c r="J33" s="8">
        <f t="shared" si="5"/>
        <v>35.158</v>
      </c>
      <c r="K33" s="11">
        <f t="shared" si="8"/>
        <v>78.00800000000001</v>
      </c>
      <c r="L33" s="8">
        <f t="shared" si="7"/>
        <v>19</v>
      </c>
      <c r="M33" s="8"/>
    </row>
    <row r="34" spans="1:13" ht="21" customHeight="1">
      <c r="A34" s="7">
        <v>32</v>
      </c>
      <c r="B34" s="7" t="s">
        <v>18</v>
      </c>
      <c r="C34" s="7" t="str">
        <f>"李佳施"</f>
        <v>李佳施</v>
      </c>
      <c r="D34" s="7" t="str">
        <f>"460003199809020029"</f>
        <v>460003199809020029</v>
      </c>
      <c r="E34" s="7" t="s">
        <v>15</v>
      </c>
      <c r="F34" s="7" t="str">
        <f>"073102021015"</f>
        <v>073102021015</v>
      </c>
      <c r="G34" s="8">
        <v>81</v>
      </c>
      <c r="H34" s="8">
        <f t="shared" si="4"/>
        <v>40.5</v>
      </c>
      <c r="I34" s="8">
        <v>74.821</v>
      </c>
      <c r="J34" s="8">
        <f t="shared" si="5"/>
        <v>37.4105</v>
      </c>
      <c r="K34" s="11">
        <f t="shared" si="8"/>
        <v>77.9105</v>
      </c>
      <c r="L34" s="8">
        <f t="shared" si="7"/>
        <v>20</v>
      </c>
      <c r="M34" s="8"/>
    </row>
    <row r="35" spans="1:13" ht="21" customHeight="1">
      <c r="A35" s="7">
        <v>33</v>
      </c>
      <c r="B35" s="7" t="s">
        <v>18</v>
      </c>
      <c r="C35" s="7" t="str">
        <f>"欧方才"</f>
        <v>欧方才</v>
      </c>
      <c r="D35" s="7" t="str">
        <f>"460003199511210014"</f>
        <v>460003199511210014</v>
      </c>
      <c r="E35" s="7" t="s">
        <v>15</v>
      </c>
      <c r="F35" s="7" t="str">
        <f>"073102020433"</f>
        <v>073102020433</v>
      </c>
      <c r="G35" s="8">
        <v>74.6</v>
      </c>
      <c r="H35" s="8">
        <f t="shared" si="4"/>
        <v>37.3</v>
      </c>
      <c r="I35" s="8">
        <v>81.002</v>
      </c>
      <c r="J35" s="8">
        <f t="shared" si="5"/>
        <v>40.501</v>
      </c>
      <c r="K35" s="11">
        <f t="shared" si="8"/>
        <v>77.80099999999999</v>
      </c>
      <c r="L35" s="8">
        <f t="shared" si="7"/>
        <v>21</v>
      </c>
      <c r="M35" s="8"/>
    </row>
    <row r="36" spans="1:13" ht="21" customHeight="1">
      <c r="A36" s="7">
        <v>34</v>
      </c>
      <c r="B36" s="7" t="s">
        <v>18</v>
      </c>
      <c r="C36" s="7" t="str">
        <f>"黄秋霞"</f>
        <v>黄秋霞</v>
      </c>
      <c r="D36" s="7" t="str">
        <f>"460003199702181826"</f>
        <v>460003199702181826</v>
      </c>
      <c r="E36" s="7" t="s">
        <v>15</v>
      </c>
      <c r="F36" s="7" t="str">
        <f>"073102020502"</f>
        <v>073102020502</v>
      </c>
      <c r="G36" s="8">
        <v>78.8</v>
      </c>
      <c r="H36" s="8">
        <f t="shared" si="4"/>
        <v>39.4</v>
      </c>
      <c r="I36" s="8">
        <v>76.383</v>
      </c>
      <c r="J36" s="8">
        <f t="shared" si="5"/>
        <v>38.1915</v>
      </c>
      <c r="K36" s="11">
        <f t="shared" si="8"/>
        <v>77.5915</v>
      </c>
      <c r="L36" s="8">
        <f t="shared" si="7"/>
        <v>22</v>
      </c>
      <c r="M36" s="8"/>
    </row>
    <row r="37" spans="1:13" ht="21" customHeight="1">
      <c r="A37" s="4">
        <v>35</v>
      </c>
      <c r="B37" s="4" t="s">
        <v>19</v>
      </c>
      <c r="C37" s="4" t="str">
        <f>"周丽佳"</f>
        <v>周丽佳</v>
      </c>
      <c r="D37" s="4" t="str">
        <f>"230822199712015848"</f>
        <v>230822199712015848</v>
      </c>
      <c r="E37" s="4" t="s">
        <v>15</v>
      </c>
      <c r="F37" s="4" t="str">
        <f>"073103040228"</f>
        <v>073103040228</v>
      </c>
      <c r="G37" s="6">
        <v>91.9</v>
      </c>
      <c r="H37" s="6">
        <f aca="true" t="shared" si="9" ref="H37:H83">G37*0.5</f>
        <v>45.95</v>
      </c>
      <c r="I37" s="6">
        <v>75.935</v>
      </c>
      <c r="J37" s="6">
        <f aca="true" t="shared" si="10" ref="J37:J83">I37*0.5</f>
        <v>37.9675</v>
      </c>
      <c r="K37" s="9">
        <f t="shared" si="8"/>
        <v>83.9175</v>
      </c>
      <c r="L37" s="6">
        <f aca="true" t="shared" si="11" ref="L37:L45">RANK(K37,$K$37:$K$45,0)</f>
        <v>1</v>
      </c>
      <c r="M37" s="6"/>
    </row>
    <row r="38" spans="1:13" ht="21" customHeight="1">
      <c r="A38" s="4">
        <v>36</v>
      </c>
      <c r="B38" s="4" t="s">
        <v>19</v>
      </c>
      <c r="C38" s="4" t="str">
        <f>"张昌耿"</f>
        <v>张昌耿</v>
      </c>
      <c r="D38" s="4" t="str">
        <f>"460027199306212919"</f>
        <v>460027199306212919</v>
      </c>
      <c r="E38" s="4" t="s">
        <v>15</v>
      </c>
      <c r="F38" s="4" t="str">
        <f>"073103040210"</f>
        <v>073103040210</v>
      </c>
      <c r="G38" s="6">
        <v>82.6</v>
      </c>
      <c r="H38" s="6">
        <f t="shared" si="9"/>
        <v>41.3</v>
      </c>
      <c r="I38" s="6">
        <v>82.685</v>
      </c>
      <c r="J38" s="6">
        <f t="shared" si="10"/>
        <v>41.3425</v>
      </c>
      <c r="K38" s="9">
        <f t="shared" si="8"/>
        <v>82.6425</v>
      </c>
      <c r="L38" s="6">
        <f t="shared" si="11"/>
        <v>2</v>
      </c>
      <c r="M38" s="6"/>
    </row>
    <row r="39" spans="1:13" ht="21" customHeight="1">
      <c r="A39" s="4">
        <v>37</v>
      </c>
      <c r="B39" s="4" t="s">
        <v>19</v>
      </c>
      <c r="C39" s="4" t="str">
        <f>"黄锦媛"</f>
        <v>黄锦媛</v>
      </c>
      <c r="D39" s="4" t="str">
        <f>"350821199805010027"</f>
        <v>350821199805010027</v>
      </c>
      <c r="E39" s="4" t="s">
        <v>15</v>
      </c>
      <c r="F39" s="4" t="str">
        <f>"073103040319"</f>
        <v>073103040319</v>
      </c>
      <c r="G39" s="6">
        <v>94.8</v>
      </c>
      <c r="H39" s="6">
        <f t="shared" si="9"/>
        <v>47.4</v>
      </c>
      <c r="I39" s="6">
        <v>66.324</v>
      </c>
      <c r="J39" s="6">
        <f t="shared" si="10"/>
        <v>33.162</v>
      </c>
      <c r="K39" s="9">
        <f t="shared" si="8"/>
        <v>80.562</v>
      </c>
      <c r="L39" s="6">
        <f t="shared" si="11"/>
        <v>3</v>
      </c>
      <c r="M39" s="6"/>
    </row>
    <row r="40" spans="1:13" ht="21" customHeight="1">
      <c r="A40" s="4">
        <v>38</v>
      </c>
      <c r="B40" s="4" t="s">
        <v>19</v>
      </c>
      <c r="C40" s="4" t="str">
        <f>"唐维民"</f>
        <v>唐维民</v>
      </c>
      <c r="D40" s="4" t="str">
        <f>"46030019990615005X"</f>
        <v>46030019990615005X</v>
      </c>
      <c r="E40" s="4" t="s">
        <v>15</v>
      </c>
      <c r="F40" s="4" t="str">
        <f>"073103040516"</f>
        <v>073103040516</v>
      </c>
      <c r="G40" s="6">
        <v>78.3</v>
      </c>
      <c r="H40" s="6">
        <f t="shared" si="9"/>
        <v>39.15</v>
      </c>
      <c r="I40" s="6">
        <v>77.843</v>
      </c>
      <c r="J40" s="6">
        <f t="shared" si="10"/>
        <v>38.9215</v>
      </c>
      <c r="K40" s="9">
        <f t="shared" si="8"/>
        <v>78.0715</v>
      </c>
      <c r="L40" s="6">
        <f t="shared" si="11"/>
        <v>4</v>
      </c>
      <c r="M40" s="6"/>
    </row>
    <row r="41" spans="1:13" ht="21" customHeight="1">
      <c r="A41" s="4">
        <v>39</v>
      </c>
      <c r="B41" s="4" t="s">
        <v>19</v>
      </c>
      <c r="C41" s="4" t="str">
        <f>"梁豪婷"</f>
        <v>梁豪婷</v>
      </c>
      <c r="D41" s="4" t="str">
        <f>"460003200002112649"</f>
        <v>460003200002112649</v>
      </c>
      <c r="E41" s="4" t="s">
        <v>15</v>
      </c>
      <c r="F41" s="4" t="str">
        <f>"073103040130"</f>
        <v>073103040130</v>
      </c>
      <c r="G41" s="6">
        <v>82.3</v>
      </c>
      <c r="H41" s="6">
        <f t="shared" si="9"/>
        <v>41.15</v>
      </c>
      <c r="I41" s="6">
        <v>73.661</v>
      </c>
      <c r="J41" s="6">
        <f t="shared" si="10"/>
        <v>36.8305</v>
      </c>
      <c r="K41" s="9">
        <f t="shared" si="8"/>
        <v>77.9805</v>
      </c>
      <c r="L41" s="6">
        <f t="shared" si="11"/>
        <v>5</v>
      </c>
      <c r="M41" s="6"/>
    </row>
    <row r="42" spans="1:13" ht="21" customHeight="1">
      <c r="A42" s="4">
        <v>40</v>
      </c>
      <c r="B42" s="4" t="s">
        <v>19</v>
      </c>
      <c r="C42" s="4" t="str">
        <f>"黄婷"</f>
        <v>黄婷</v>
      </c>
      <c r="D42" s="4" t="str">
        <f>"460026199106255125"</f>
        <v>460026199106255125</v>
      </c>
      <c r="E42" s="4" t="s">
        <v>15</v>
      </c>
      <c r="F42" s="4" t="str">
        <f>"073103040226"</f>
        <v>073103040226</v>
      </c>
      <c r="G42" s="6">
        <v>74.8</v>
      </c>
      <c r="H42" s="6">
        <f t="shared" si="9"/>
        <v>37.4</v>
      </c>
      <c r="I42" s="6">
        <v>79.751</v>
      </c>
      <c r="J42" s="6">
        <f t="shared" si="10"/>
        <v>39.8755</v>
      </c>
      <c r="K42" s="9">
        <f t="shared" si="8"/>
        <v>77.2755</v>
      </c>
      <c r="L42" s="6">
        <f t="shared" si="11"/>
        <v>6</v>
      </c>
      <c r="M42" s="6"/>
    </row>
    <row r="43" spans="1:13" ht="21" customHeight="1">
      <c r="A43" s="4">
        <v>41</v>
      </c>
      <c r="B43" s="4" t="s">
        <v>19</v>
      </c>
      <c r="C43" s="4" t="str">
        <f>"叶冬晴"</f>
        <v>叶冬晴</v>
      </c>
      <c r="D43" s="4" t="str">
        <f>"460025199511220026"</f>
        <v>460025199511220026</v>
      </c>
      <c r="E43" s="4" t="s">
        <v>15</v>
      </c>
      <c r="F43" s="4" t="str">
        <f>"073103040416"</f>
        <v>073103040416</v>
      </c>
      <c r="G43" s="6">
        <v>80.2</v>
      </c>
      <c r="H43" s="6">
        <f t="shared" si="9"/>
        <v>40.1</v>
      </c>
      <c r="I43" s="6">
        <v>74.321</v>
      </c>
      <c r="J43" s="6">
        <f t="shared" si="10"/>
        <v>37.1605</v>
      </c>
      <c r="K43" s="9">
        <f t="shared" si="8"/>
        <v>77.26050000000001</v>
      </c>
      <c r="L43" s="6">
        <f t="shared" si="11"/>
        <v>7</v>
      </c>
      <c r="M43" s="6"/>
    </row>
    <row r="44" spans="1:13" ht="21" customHeight="1">
      <c r="A44" s="4">
        <v>42</v>
      </c>
      <c r="B44" s="4" t="s">
        <v>19</v>
      </c>
      <c r="C44" s="4" t="str">
        <f>"李秋萍"</f>
        <v>李秋萍</v>
      </c>
      <c r="D44" s="4" t="str">
        <f>"460003199202234661"</f>
        <v>460003199202234661</v>
      </c>
      <c r="E44" s="4" t="s">
        <v>15</v>
      </c>
      <c r="F44" s="4" t="str">
        <f>"073103040515"</f>
        <v>073103040515</v>
      </c>
      <c r="G44" s="6">
        <v>89.5</v>
      </c>
      <c r="H44" s="6">
        <f t="shared" si="9"/>
        <v>44.75</v>
      </c>
      <c r="I44" s="6">
        <v>63.61</v>
      </c>
      <c r="J44" s="6">
        <f t="shared" si="10"/>
        <v>31.805</v>
      </c>
      <c r="K44" s="9">
        <f t="shared" si="8"/>
        <v>76.555</v>
      </c>
      <c r="L44" s="6">
        <f t="shared" si="11"/>
        <v>8</v>
      </c>
      <c r="M44" s="6"/>
    </row>
    <row r="45" spans="1:13" ht="21" customHeight="1">
      <c r="A45" s="4">
        <v>43</v>
      </c>
      <c r="B45" s="4" t="s">
        <v>19</v>
      </c>
      <c r="C45" s="4" t="str">
        <f>"陈孟民"</f>
        <v>陈孟民</v>
      </c>
      <c r="D45" s="4" t="str">
        <f>"46000319980128461X"</f>
        <v>46000319980128461X</v>
      </c>
      <c r="E45" s="4" t="s">
        <v>15</v>
      </c>
      <c r="F45" s="4" t="str">
        <f>"073103040420"</f>
        <v>073103040420</v>
      </c>
      <c r="G45" s="6">
        <v>68.8</v>
      </c>
      <c r="H45" s="6">
        <f t="shared" si="9"/>
        <v>34.4</v>
      </c>
      <c r="I45" s="6">
        <v>84.079</v>
      </c>
      <c r="J45" s="6">
        <f t="shared" si="10"/>
        <v>42.0395</v>
      </c>
      <c r="K45" s="9">
        <f t="shared" si="8"/>
        <v>76.4395</v>
      </c>
      <c r="L45" s="6">
        <f t="shared" si="11"/>
        <v>9</v>
      </c>
      <c r="M45" s="6"/>
    </row>
    <row r="46" spans="1:13" ht="21" customHeight="1">
      <c r="A46" s="7">
        <v>44</v>
      </c>
      <c r="B46" s="7" t="s">
        <v>20</v>
      </c>
      <c r="C46" s="7" t="str">
        <f>"陈之亮"</f>
        <v>陈之亮</v>
      </c>
      <c r="D46" s="7" t="str">
        <f>"460033199709264657"</f>
        <v>460033199709264657</v>
      </c>
      <c r="E46" s="7" t="s">
        <v>15</v>
      </c>
      <c r="F46" s="7" t="str">
        <f>"073105040620"</f>
        <v>073105040620</v>
      </c>
      <c r="G46" s="8">
        <v>80</v>
      </c>
      <c r="H46" s="8">
        <f t="shared" si="9"/>
        <v>40</v>
      </c>
      <c r="I46" s="8">
        <v>91.783</v>
      </c>
      <c r="J46" s="8">
        <f t="shared" si="10"/>
        <v>45.8915</v>
      </c>
      <c r="K46" s="11">
        <f t="shared" si="8"/>
        <v>85.89150000000001</v>
      </c>
      <c r="L46" s="8">
        <f aca="true" t="shared" si="12" ref="L46:L57">RANK(K46,$K$46:$K$57,0)</f>
        <v>1</v>
      </c>
      <c r="M46" s="8"/>
    </row>
    <row r="47" spans="1:13" ht="21" customHeight="1">
      <c r="A47" s="7">
        <v>45</v>
      </c>
      <c r="B47" s="7" t="s">
        <v>20</v>
      </c>
      <c r="C47" s="7" t="str">
        <f>"郑志君"</f>
        <v>郑志君</v>
      </c>
      <c r="D47" s="7" t="str">
        <f>"460031199912120410"</f>
        <v>460031199912120410</v>
      </c>
      <c r="E47" s="7" t="s">
        <v>15</v>
      </c>
      <c r="F47" s="7" t="str">
        <f>"073105040601"</f>
        <v>073105040601</v>
      </c>
      <c r="G47" s="8">
        <v>75.4</v>
      </c>
      <c r="H47" s="8">
        <f t="shared" si="9"/>
        <v>37.7</v>
      </c>
      <c r="I47" s="8">
        <v>87.821</v>
      </c>
      <c r="J47" s="8">
        <f t="shared" si="10"/>
        <v>43.9105</v>
      </c>
      <c r="K47" s="11">
        <f t="shared" si="8"/>
        <v>81.6105</v>
      </c>
      <c r="L47" s="8">
        <f t="shared" si="12"/>
        <v>2</v>
      </c>
      <c r="M47" s="8"/>
    </row>
    <row r="48" spans="1:13" ht="21" customHeight="1">
      <c r="A48" s="7">
        <v>46</v>
      </c>
      <c r="B48" s="7" t="s">
        <v>20</v>
      </c>
      <c r="C48" s="7" t="str">
        <f>"谭永超"</f>
        <v>谭永超</v>
      </c>
      <c r="D48" s="7" t="str">
        <f>"460031199409154816"</f>
        <v>460031199409154816</v>
      </c>
      <c r="E48" s="7" t="s">
        <v>15</v>
      </c>
      <c r="F48" s="7" t="str">
        <f>"073105040618"</f>
        <v>073105040618</v>
      </c>
      <c r="G48" s="8">
        <v>81.3</v>
      </c>
      <c r="H48" s="8">
        <f t="shared" si="9"/>
        <v>40.65</v>
      </c>
      <c r="I48" s="8">
        <v>79.677</v>
      </c>
      <c r="J48" s="8">
        <f t="shared" si="10"/>
        <v>39.8385</v>
      </c>
      <c r="K48" s="11">
        <f t="shared" si="8"/>
        <v>80.4885</v>
      </c>
      <c r="L48" s="8">
        <f t="shared" si="12"/>
        <v>3</v>
      </c>
      <c r="M48" s="8"/>
    </row>
    <row r="49" spans="1:13" ht="21" customHeight="1">
      <c r="A49" s="7">
        <v>47</v>
      </c>
      <c r="B49" s="7" t="s">
        <v>20</v>
      </c>
      <c r="C49" s="7" t="str">
        <f>"王清逸"</f>
        <v>王清逸</v>
      </c>
      <c r="D49" s="7" t="str">
        <f>"460031199512170013"</f>
        <v>460031199512170013</v>
      </c>
      <c r="E49" s="7" t="s">
        <v>15</v>
      </c>
      <c r="F49" s="7" t="str">
        <f>"073105040931"</f>
        <v>073105040931</v>
      </c>
      <c r="G49" s="8">
        <v>88.7</v>
      </c>
      <c r="H49" s="8">
        <f t="shared" si="9"/>
        <v>44.35</v>
      </c>
      <c r="I49" s="8">
        <v>69.186</v>
      </c>
      <c r="J49" s="8">
        <f t="shared" si="10"/>
        <v>34.593</v>
      </c>
      <c r="K49" s="11">
        <f t="shared" si="8"/>
        <v>78.94300000000001</v>
      </c>
      <c r="L49" s="8">
        <f t="shared" si="12"/>
        <v>4</v>
      </c>
      <c r="M49" s="8"/>
    </row>
    <row r="50" spans="1:13" ht="21" customHeight="1">
      <c r="A50" s="7">
        <v>48</v>
      </c>
      <c r="B50" s="7" t="s">
        <v>20</v>
      </c>
      <c r="C50" s="7" t="str">
        <f>"钟呈媛"</f>
        <v>钟呈媛</v>
      </c>
      <c r="D50" s="7" t="str">
        <f>"460031199702200025"</f>
        <v>460031199702200025</v>
      </c>
      <c r="E50" s="7" t="s">
        <v>15</v>
      </c>
      <c r="F50" s="7" t="str">
        <f>"073105040609"</f>
        <v>073105040609</v>
      </c>
      <c r="G50" s="8">
        <v>78</v>
      </c>
      <c r="H50" s="8">
        <f t="shared" si="9"/>
        <v>39</v>
      </c>
      <c r="I50" s="8">
        <v>79.384</v>
      </c>
      <c r="J50" s="8">
        <f t="shared" si="10"/>
        <v>39.692</v>
      </c>
      <c r="K50" s="11">
        <f t="shared" si="8"/>
        <v>78.69200000000001</v>
      </c>
      <c r="L50" s="8">
        <f t="shared" si="12"/>
        <v>5</v>
      </c>
      <c r="M50" s="8"/>
    </row>
    <row r="51" spans="1:13" ht="21" customHeight="1">
      <c r="A51" s="7">
        <v>49</v>
      </c>
      <c r="B51" s="7" t="s">
        <v>20</v>
      </c>
      <c r="C51" s="7" t="str">
        <f>"叶晶晶"</f>
        <v>叶晶晶</v>
      </c>
      <c r="D51" s="7" t="str">
        <f>"460031199907140820"</f>
        <v>460031199907140820</v>
      </c>
      <c r="E51" s="7" t="s">
        <v>15</v>
      </c>
      <c r="F51" s="7" t="str">
        <f>"073105040614"</f>
        <v>073105040614</v>
      </c>
      <c r="G51" s="8">
        <v>81.5</v>
      </c>
      <c r="H51" s="8">
        <f t="shared" si="9"/>
        <v>40.75</v>
      </c>
      <c r="I51" s="8">
        <v>75.202</v>
      </c>
      <c r="J51" s="8">
        <f t="shared" si="10"/>
        <v>37.601</v>
      </c>
      <c r="K51" s="11">
        <f t="shared" si="8"/>
        <v>78.351</v>
      </c>
      <c r="L51" s="8">
        <f t="shared" si="12"/>
        <v>6</v>
      </c>
      <c r="M51" s="8"/>
    </row>
    <row r="52" spans="1:13" ht="21" customHeight="1">
      <c r="A52" s="7">
        <v>50</v>
      </c>
      <c r="B52" s="7" t="s">
        <v>20</v>
      </c>
      <c r="C52" s="7" t="str">
        <f>"羊仕"</f>
        <v>羊仕</v>
      </c>
      <c r="D52" s="7" t="str">
        <f>"460031199112166015"</f>
        <v>460031199112166015</v>
      </c>
      <c r="E52" s="7" t="s">
        <v>15</v>
      </c>
      <c r="F52" s="7" t="str">
        <f>"073105040621"</f>
        <v>073105040621</v>
      </c>
      <c r="G52" s="8">
        <v>67.4</v>
      </c>
      <c r="H52" s="8">
        <f t="shared" si="9"/>
        <v>33.7</v>
      </c>
      <c r="I52" s="8">
        <v>84.519</v>
      </c>
      <c r="J52" s="8">
        <f t="shared" si="10"/>
        <v>42.2595</v>
      </c>
      <c r="K52" s="11">
        <f t="shared" si="8"/>
        <v>75.9595</v>
      </c>
      <c r="L52" s="8">
        <f t="shared" si="12"/>
        <v>7</v>
      </c>
      <c r="M52" s="8"/>
    </row>
    <row r="53" spans="1:13" ht="21" customHeight="1">
      <c r="A53" s="7">
        <v>51</v>
      </c>
      <c r="B53" s="7" t="s">
        <v>20</v>
      </c>
      <c r="C53" s="7" t="str">
        <f>"何敏"</f>
        <v>何敏</v>
      </c>
      <c r="D53" s="7" t="str">
        <f>"469026199907110821"</f>
        <v>469026199907110821</v>
      </c>
      <c r="E53" s="7" t="s">
        <v>15</v>
      </c>
      <c r="F53" s="7" t="str">
        <f>"073105040628"</f>
        <v>073105040628</v>
      </c>
      <c r="G53" s="8">
        <v>80.7</v>
      </c>
      <c r="H53" s="8">
        <f t="shared" si="9"/>
        <v>40.35</v>
      </c>
      <c r="I53" s="8">
        <v>66.691</v>
      </c>
      <c r="J53" s="8">
        <f t="shared" si="10"/>
        <v>33.3455</v>
      </c>
      <c r="K53" s="11">
        <f t="shared" si="8"/>
        <v>73.69550000000001</v>
      </c>
      <c r="L53" s="8">
        <f t="shared" si="12"/>
        <v>8</v>
      </c>
      <c r="M53" s="8"/>
    </row>
    <row r="54" spans="1:13" ht="21" customHeight="1">
      <c r="A54" s="7">
        <v>52</v>
      </c>
      <c r="B54" s="7" t="s">
        <v>20</v>
      </c>
      <c r="C54" s="7" t="str">
        <f>"符贵巍"</f>
        <v>符贵巍</v>
      </c>
      <c r="D54" s="7" t="str">
        <f>"460031199205050011"</f>
        <v>460031199205050011</v>
      </c>
      <c r="E54" s="7" t="s">
        <v>15</v>
      </c>
      <c r="F54" s="7" t="str">
        <f>"073105040921"</f>
        <v>073105040921</v>
      </c>
      <c r="G54" s="8">
        <v>55.3</v>
      </c>
      <c r="H54" s="8">
        <f t="shared" si="9"/>
        <v>27.65</v>
      </c>
      <c r="I54" s="8">
        <v>88.481</v>
      </c>
      <c r="J54" s="8">
        <f t="shared" si="10"/>
        <v>44.2405</v>
      </c>
      <c r="K54" s="11">
        <f t="shared" si="8"/>
        <v>71.8905</v>
      </c>
      <c r="L54" s="8">
        <f t="shared" si="12"/>
        <v>9</v>
      </c>
      <c r="M54" s="8"/>
    </row>
    <row r="55" spans="1:13" ht="21" customHeight="1">
      <c r="A55" s="7">
        <v>53</v>
      </c>
      <c r="B55" s="7" t="s">
        <v>20</v>
      </c>
      <c r="C55" s="7" t="str">
        <f>"陈丽婷"</f>
        <v>陈丽婷</v>
      </c>
      <c r="D55" s="7" t="str">
        <f>"460031199205010845"</f>
        <v>460031199205010845</v>
      </c>
      <c r="E55" s="7" t="s">
        <v>15</v>
      </c>
      <c r="F55" s="7" t="str">
        <f>"073105040838"</f>
        <v>073105040838</v>
      </c>
      <c r="G55" s="8">
        <v>66.5</v>
      </c>
      <c r="H55" s="8">
        <f t="shared" si="9"/>
        <v>33.25</v>
      </c>
      <c r="I55" s="8">
        <v>75.275</v>
      </c>
      <c r="J55" s="8">
        <f t="shared" si="10"/>
        <v>37.6375</v>
      </c>
      <c r="K55" s="11">
        <f t="shared" si="8"/>
        <v>70.8875</v>
      </c>
      <c r="L55" s="8">
        <f t="shared" si="12"/>
        <v>10</v>
      </c>
      <c r="M55" s="8"/>
    </row>
    <row r="56" spans="1:13" ht="21" customHeight="1">
      <c r="A56" s="7">
        <v>54</v>
      </c>
      <c r="B56" s="7" t="s">
        <v>20</v>
      </c>
      <c r="C56" s="7" t="str">
        <f>"梁连欣"</f>
        <v>梁连欣</v>
      </c>
      <c r="D56" s="7" t="str">
        <f>"469026199405093267"</f>
        <v>469026199405093267</v>
      </c>
      <c r="E56" s="7" t="s">
        <v>15</v>
      </c>
      <c r="F56" s="7" t="str">
        <f>"073105040835"</f>
        <v>073105040835</v>
      </c>
      <c r="G56" s="8">
        <v>64.5</v>
      </c>
      <c r="H56" s="8">
        <f t="shared" si="9"/>
        <v>32.25</v>
      </c>
      <c r="I56" s="8">
        <v>75.495</v>
      </c>
      <c r="J56" s="8">
        <f t="shared" si="10"/>
        <v>37.7475</v>
      </c>
      <c r="K56" s="11">
        <f t="shared" si="8"/>
        <v>69.9975</v>
      </c>
      <c r="L56" s="8">
        <f t="shared" si="12"/>
        <v>11</v>
      </c>
      <c r="M56" s="8"/>
    </row>
    <row r="57" spans="1:13" ht="21" customHeight="1">
      <c r="A57" s="7">
        <v>55</v>
      </c>
      <c r="B57" s="7" t="s">
        <v>20</v>
      </c>
      <c r="C57" s="7" t="str">
        <f>"符盛铱"</f>
        <v>符盛铱</v>
      </c>
      <c r="D57" s="7" t="str">
        <f>"460031199807010025"</f>
        <v>460031199807010025</v>
      </c>
      <c r="E57" s="7" t="s">
        <v>15</v>
      </c>
      <c r="F57" s="7" t="str">
        <f>"073105040910"</f>
        <v>073105040910</v>
      </c>
      <c r="G57" s="8">
        <v>71.7</v>
      </c>
      <c r="H57" s="8">
        <f t="shared" si="9"/>
        <v>35.85</v>
      </c>
      <c r="I57" s="8">
        <v>66.471</v>
      </c>
      <c r="J57" s="8">
        <f t="shared" si="10"/>
        <v>33.2355</v>
      </c>
      <c r="K57" s="11">
        <f t="shared" si="8"/>
        <v>69.0855</v>
      </c>
      <c r="L57" s="8">
        <f t="shared" si="12"/>
        <v>12</v>
      </c>
      <c r="M57" s="8"/>
    </row>
    <row r="58" spans="1:13" ht="21" customHeight="1">
      <c r="A58" s="4">
        <v>56</v>
      </c>
      <c r="B58" s="4" t="s">
        <v>21</v>
      </c>
      <c r="C58" s="4" t="str">
        <f>"王明宝"</f>
        <v>王明宝</v>
      </c>
      <c r="D58" s="4" t="str">
        <f>"460028199912240035"</f>
        <v>460028199912240035</v>
      </c>
      <c r="E58" s="4" t="s">
        <v>15</v>
      </c>
      <c r="F58" s="4" t="str">
        <f>"073106040527"</f>
        <v>073106040527</v>
      </c>
      <c r="G58" s="6">
        <v>54.1</v>
      </c>
      <c r="H58" s="6">
        <f t="shared" si="9"/>
        <v>27.05</v>
      </c>
      <c r="I58" s="6">
        <v>80.998</v>
      </c>
      <c r="J58" s="6">
        <f t="shared" si="10"/>
        <v>40.499</v>
      </c>
      <c r="K58" s="9">
        <f t="shared" si="8"/>
        <v>67.549</v>
      </c>
      <c r="L58" s="6">
        <f aca="true" t="shared" si="13" ref="L58:L60">RANK(K58,$K$58:$K$60,0)</f>
        <v>1</v>
      </c>
      <c r="M58" s="6"/>
    </row>
    <row r="59" spans="1:13" ht="21" customHeight="1">
      <c r="A59" s="4">
        <v>57</v>
      </c>
      <c r="B59" s="4" t="s">
        <v>21</v>
      </c>
      <c r="C59" s="4" t="str">
        <f>"曾莹颖"</f>
        <v>曾莹颖</v>
      </c>
      <c r="D59" s="4" t="str">
        <f>"469025199806224524"</f>
        <v>469025199806224524</v>
      </c>
      <c r="E59" s="4" t="s">
        <v>15</v>
      </c>
      <c r="F59" s="4" t="str">
        <f>"073106040528"</f>
        <v>073106040528</v>
      </c>
      <c r="G59" s="6">
        <v>61.7</v>
      </c>
      <c r="H59" s="6">
        <f t="shared" si="9"/>
        <v>30.85</v>
      </c>
      <c r="I59" s="6">
        <v>68.745</v>
      </c>
      <c r="J59" s="6">
        <f t="shared" si="10"/>
        <v>34.3725</v>
      </c>
      <c r="K59" s="9">
        <f t="shared" si="8"/>
        <v>65.2225</v>
      </c>
      <c r="L59" s="6">
        <f t="shared" si="13"/>
        <v>2</v>
      </c>
      <c r="M59" s="6"/>
    </row>
    <row r="60" spans="1:13" ht="21" customHeight="1">
      <c r="A60" s="4">
        <v>58</v>
      </c>
      <c r="B60" s="4" t="s">
        <v>21</v>
      </c>
      <c r="C60" s="4" t="str">
        <f>"赵日茹"</f>
        <v>赵日茹</v>
      </c>
      <c r="D60" s="4" t="str">
        <f>"460007199508137229"</f>
        <v>460007199508137229</v>
      </c>
      <c r="E60" s="4" t="s">
        <v>15</v>
      </c>
      <c r="F60" s="4" t="str">
        <f>"073106040524"</f>
        <v>073106040524</v>
      </c>
      <c r="G60" s="6">
        <v>71.7</v>
      </c>
      <c r="H60" s="6">
        <f t="shared" si="9"/>
        <v>35.85</v>
      </c>
      <c r="I60" s="6">
        <v>55.099</v>
      </c>
      <c r="J60" s="6">
        <f t="shared" si="10"/>
        <v>27.5495</v>
      </c>
      <c r="K60" s="9">
        <f t="shared" si="8"/>
        <v>63.3995</v>
      </c>
      <c r="L60" s="6">
        <f t="shared" si="13"/>
        <v>3</v>
      </c>
      <c r="M60" s="6"/>
    </row>
  </sheetData>
  <sheetProtection/>
  <autoFilter ref="A2:M60"/>
  <mergeCells count="1">
    <mergeCell ref="A1:M1"/>
  </mergeCells>
  <printOptions/>
  <pageMargins left="0.7513888888888889" right="0.7513888888888889" top="1" bottom="1" header="0.5" footer="0.5"/>
  <pageSetup fitToHeight="0" fitToWidth="1" horizontalDpi="600" verticalDpi="600" orientation="landscape" paperSize="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门户推送</dc:creator>
  <cp:keywords/>
  <dc:description/>
  <cp:lastModifiedBy>lenovo</cp:lastModifiedBy>
  <dcterms:created xsi:type="dcterms:W3CDTF">2021-07-27T08:50:57Z</dcterms:created>
  <dcterms:modified xsi:type="dcterms:W3CDTF">2021-08-05T03:34:00Z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2052-9.1.0.4940</vt:lpwstr>
  </property>
  <property fmtid="{D5CDD505-2E9C-101B-9397-08002B2CF9AE}" pid="4" name="KSOReadingLayo">
    <vt:bool>true</vt:bool>
  </property>
</Properties>
</file>