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排名" sheetId="1" r:id="rId1"/>
  </sheets>
  <definedNames>
    <definedName name="_xlnm._FilterDatabase" localSheetId="0" hidden="1">'排名'!$A$2:$M$1645</definedName>
  </definedNames>
  <calcPr fullCalcOnLoad="1"/>
</workbook>
</file>

<file path=xl/sharedStrings.xml><?xml version="1.0" encoding="utf-8"?>
<sst xmlns="http://schemas.openxmlformats.org/spreadsheetml/2006/main" count="4129" uniqueCount="23">
  <si>
    <t>海南省法院系统2021年度公开招聘聘用制书记员笔试综合成绩</t>
  </si>
  <si>
    <t>序号</t>
  </si>
  <si>
    <t>报考岗位</t>
  </si>
  <si>
    <t>姓名</t>
  </si>
  <si>
    <t>身份证号码</t>
  </si>
  <si>
    <t>是否为在报考法院工作满1年的
非全省统一招聘的书记员</t>
  </si>
  <si>
    <t>准考证号</t>
  </si>
  <si>
    <t>笔试成绩</t>
  </si>
  <si>
    <t>笔试成绩
50%</t>
  </si>
  <si>
    <t>听打成绩</t>
  </si>
  <si>
    <t>听打成绩
50%</t>
  </si>
  <si>
    <t>综合成绩</t>
  </si>
  <si>
    <t>排名</t>
  </si>
  <si>
    <t>备注</t>
  </si>
  <si>
    <t>1001-海南省高级人民法院聘用制书记员</t>
  </si>
  <si>
    <t>否</t>
  </si>
  <si>
    <t>是</t>
  </si>
  <si>
    <t>综合成绩加5%</t>
  </si>
  <si>
    <t>缺考</t>
  </si>
  <si>
    <t>1002-儋州市人民法院聘用制书记员</t>
  </si>
  <si>
    <t>1003-洋浦经济开发区人民法院聘用制书记员</t>
  </si>
  <si>
    <t>1005-昌江黎族自治县人民法院聘用制书记员</t>
  </si>
  <si>
    <t>1006-白沙黎族自治县人民法院聘用制书记员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</si>
</sst>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26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0" fillId="3" borderId="5" applyNumberFormat="0" applyAlignment="0" applyProtection="0"/>
    <xf numFmtId="0" fontId="6" fillId="4" borderId="0" applyNumberFormat="0" applyBorder="0" applyAlignment="0" applyProtection="0"/>
    <xf numFmtId="0" fontId="7" fillId="3" borderId="1" applyNumberFormat="0" applyAlignment="0" applyProtection="0"/>
    <xf numFmtId="0" fontId="20" fillId="9" borderId="6" applyNumberFormat="0" applyAlignment="0" applyProtection="0"/>
    <xf numFmtId="0" fontId="23" fillId="0" borderId="7" applyNumberFormat="0" applyFill="0" applyAlignment="0" applyProtection="0"/>
    <xf numFmtId="0" fontId="6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0" borderId="8" applyNumberFormat="0" applyFill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6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6" fillId="16" borderId="0" applyNumberFormat="0" applyBorder="0" applyAlignment="0" applyProtection="0"/>
    <xf numFmtId="0" fontId="0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6" borderId="0" applyNumberFormat="0" applyBorder="0" applyAlignment="0" applyProtection="0"/>
    <xf numFmtId="0" fontId="6" fillId="6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45"/>
  <sheetViews>
    <sheetView tabSelected="1" workbookViewId="0" topLeftCell="C1">
      <selection activeCell="N1" sqref="N1:N65536"/>
    </sheetView>
  </sheetViews>
  <sheetFormatPr defaultColWidth="9.00390625" defaultRowHeight="13.5"/>
  <cols>
    <col min="1" max="1" width="5.375" style="0" customWidth="1"/>
    <col min="2" max="2" width="43.75390625" style="0" customWidth="1"/>
    <col min="3" max="3" width="8.875" style="0" customWidth="1"/>
    <col min="4" max="4" width="20.375" style="0" customWidth="1"/>
    <col min="5" max="5" width="17.375" style="0" customWidth="1"/>
    <col min="6" max="6" width="13.75390625" style="0" customWidth="1"/>
    <col min="8" max="8" width="12.625" style="0" customWidth="1"/>
    <col min="11" max="12" width="10.375" style="0" bestFit="1" customWidth="1"/>
    <col min="13" max="13" width="13.75390625" style="1" customWidth="1"/>
    <col min="14" max="14" width="12.625" style="2" bestFit="1" customWidth="1"/>
  </cols>
  <sheetData>
    <row r="1" spans="1:13" ht="33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/>
    </row>
    <row r="2" spans="1:13" ht="64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5" t="s">
        <v>12</v>
      </c>
      <c r="M2" s="9" t="s">
        <v>13</v>
      </c>
    </row>
    <row r="3" spans="1:14" ht="24.75" customHeight="1">
      <c r="A3" s="5">
        <v>1</v>
      </c>
      <c r="B3" s="5" t="s">
        <v>14</v>
      </c>
      <c r="C3" s="5" t="str">
        <f>"林余蓉"</f>
        <v>林余蓉</v>
      </c>
      <c r="D3" s="5" t="str">
        <f>"460104199701010322"</f>
        <v>460104199701010322</v>
      </c>
      <c r="E3" s="5" t="s">
        <v>15</v>
      </c>
      <c r="F3" s="5" t="str">
        <f>"073101010429"</f>
        <v>073101010429</v>
      </c>
      <c r="G3" s="7">
        <v>95.6</v>
      </c>
      <c r="H3" s="7">
        <f aca="true" t="shared" si="0" ref="H3:H66">G3*0.5</f>
        <v>47.8</v>
      </c>
      <c r="I3" s="7">
        <v>80.169</v>
      </c>
      <c r="J3" s="7">
        <f aca="true" t="shared" si="1" ref="J3:J66">I3*0.5</f>
        <v>40.0845</v>
      </c>
      <c r="K3" s="10">
        <f aca="true" t="shared" si="2" ref="K3:K9">H3+J3</f>
        <v>87.8845</v>
      </c>
      <c r="L3" s="7">
        <f>RANK(K3,$K$3:$K$280,0)</f>
        <v>1</v>
      </c>
      <c r="M3" s="11"/>
      <c r="N3"/>
    </row>
    <row r="4" spans="1:14" ht="24.75" customHeight="1">
      <c r="A4" s="5">
        <v>2</v>
      </c>
      <c r="B4" s="5" t="s">
        <v>14</v>
      </c>
      <c r="C4" s="5" t="str">
        <f>"蒋盈欣"</f>
        <v>蒋盈欣</v>
      </c>
      <c r="D4" s="5" t="str">
        <f>"460004199804100229"</f>
        <v>460004199804100229</v>
      </c>
      <c r="E4" s="5" t="s">
        <v>15</v>
      </c>
      <c r="F4" s="5" t="str">
        <f>"073101010410"</f>
        <v>073101010410</v>
      </c>
      <c r="G4" s="7">
        <v>93.5</v>
      </c>
      <c r="H4" s="7">
        <f t="shared" si="0"/>
        <v>46.75</v>
      </c>
      <c r="I4" s="7">
        <v>78.65</v>
      </c>
      <c r="J4" s="7">
        <f t="shared" si="1"/>
        <v>39.325</v>
      </c>
      <c r="K4" s="10">
        <f t="shared" si="2"/>
        <v>86.075</v>
      </c>
      <c r="L4" s="7">
        <f>RANK(K4,$K$3:$K$280,0)</f>
        <v>2</v>
      </c>
      <c r="M4" s="11"/>
      <c r="N4"/>
    </row>
    <row r="5" spans="1:14" ht="24.75" customHeight="1">
      <c r="A5" s="5">
        <v>3</v>
      </c>
      <c r="B5" s="5" t="s">
        <v>14</v>
      </c>
      <c r="C5" s="5" t="str">
        <f>"李秋瑾"</f>
        <v>李秋瑾</v>
      </c>
      <c r="D5" s="5" t="str">
        <f>"460004199710050822"</f>
        <v>460004199710050822</v>
      </c>
      <c r="E5" s="5" t="s">
        <v>15</v>
      </c>
      <c r="F5" s="5" t="str">
        <f>"073101010120"</f>
        <v>073101010120</v>
      </c>
      <c r="G5" s="7">
        <v>92.9</v>
      </c>
      <c r="H5" s="7">
        <f t="shared" si="0"/>
        <v>46.45</v>
      </c>
      <c r="I5" s="7">
        <v>78.546</v>
      </c>
      <c r="J5" s="7">
        <f t="shared" si="1"/>
        <v>39.273</v>
      </c>
      <c r="K5" s="10">
        <f t="shared" si="2"/>
        <v>85.72300000000001</v>
      </c>
      <c r="L5" s="7">
        <f>RANK(K5,$K$3:$K$280,0)</f>
        <v>3</v>
      </c>
      <c r="M5" s="11"/>
      <c r="N5"/>
    </row>
    <row r="6" spans="1:14" ht="24.75" customHeight="1">
      <c r="A6" s="5">
        <v>4</v>
      </c>
      <c r="B6" s="5" t="s">
        <v>14</v>
      </c>
      <c r="C6" s="5" t="str">
        <f>"张青龙"</f>
        <v>张青龙</v>
      </c>
      <c r="D6" s="5" t="str">
        <f>"460103199908080911"</f>
        <v>460103199908080911</v>
      </c>
      <c r="E6" s="5" t="s">
        <v>15</v>
      </c>
      <c r="F6" s="5" t="str">
        <f>"073101010737"</f>
        <v>073101010737</v>
      </c>
      <c r="G6" s="7">
        <v>79.7</v>
      </c>
      <c r="H6" s="7">
        <f t="shared" si="0"/>
        <v>39.85</v>
      </c>
      <c r="I6" s="7">
        <v>90.685</v>
      </c>
      <c r="J6" s="7">
        <f t="shared" si="1"/>
        <v>45.3425</v>
      </c>
      <c r="K6" s="10">
        <f t="shared" si="2"/>
        <v>85.1925</v>
      </c>
      <c r="L6" s="7">
        <f>RANK(K6,$K$3:$K$280,0)</f>
        <v>4</v>
      </c>
      <c r="M6" s="11"/>
      <c r="N6"/>
    </row>
    <row r="7" spans="1:14" ht="24.75" customHeight="1">
      <c r="A7" s="5">
        <v>5</v>
      </c>
      <c r="B7" s="5" t="s">
        <v>14</v>
      </c>
      <c r="C7" s="5" t="str">
        <f>"符宝予"</f>
        <v>符宝予</v>
      </c>
      <c r="D7" s="5" t="str">
        <f>"460028199802180027"</f>
        <v>460028199802180027</v>
      </c>
      <c r="E7" s="5" t="s">
        <v>15</v>
      </c>
      <c r="F7" s="5" t="str">
        <f>"073101010336"</f>
        <v>073101010336</v>
      </c>
      <c r="G7" s="7">
        <v>83.4</v>
      </c>
      <c r="H7" s="7">
        <f t="shared" si="0"/>
        <v>41.7</v>
      </c>
      <c r="I7" s="7">
        <v>83.063</v>
      </c>
      <c r="J7" s="7">
        <f t="shared" si="1"/>
        <v>41.5315</v>
      </c>
      <c r="K7" s="10">
        <f t="shared" si="2"/>
        <v>83.23150000000001</v>
      </c>
      <c r="L7" s="7">
        <f>RANK(K7,$K$3:$K$280,0)</f>
        <v>5</v>
      </c>
      <c r="M7" s="11"/>
      <c r="N7"/>
    </row>
    <row r="8" spans="1:14" ht="24.75" customHeight="1">
      <c r="A8" s="5">
        <v>6</v>
      </c>
      <c r="B8" s="5" t="s">
        <v>14</v>
      </c>
      <c r="C8" s="5" t="str">
        <f>"陈文燕"</f>
        <v>陈文燕</v>
      </c>
      <c r="D8" s="5" t="str">
        <f>"46000319970725262X"</f>
        <v>46000319970725262X</v>
      </c>
      <c r="E8" s="5" t="s">
        <v>15</v>
      </c>
      <c r="F8" s="5" t="str">
        <f>"073101010431"</f>
        <v>073101010431</v>
      </c>
      <c r="G8" s="7">
        <v>82.3</v>
      </c>
      <c r="H8" s="7">
        <f t="shared" si="0"/>
        <v>41.15</v>
      </c>
      <c r="I8" s="7">
        <v>83.91</v>
      </c>
      <c r="J8" s="7">
        <f t="shared" si="1"/>
        <v>41.955</v>
      </c>
      <c r="K8" s="10">
        <f t="shared" si="2"/>
        <v>83.10499999999999</v>
      </c>
      <c r="L8" s="7">
        <f>RANK(K8,$K$3:$K$280,0)</f>
        <v>6</v>
      </c>
      <c r="M8" s="11"/>
      <c r="N8"/>
    </row>
    <row r="9" spans="1:14" ht="24.75" customHeight="1">
      <c r="A9" s="5">
        <v>7</v>
      </c>
      <c r="B9" s="5" t="s">
        <v>14</v>
      </c>
      <c r="C9" s="5" t="str">
        <f>"王炜"</f>
        <v>王炜</v>
      </c>
      <c r="D9" s="5" t="str">
        <f>"46010219910811091X"</f>
        <v>46010219910811091X</v>
      </c>
      <c r="E9" s="5" t="s">
        <v>15</v>
      </c>
      <c r="F9" s="5" t="str">
        <f>"073101010602"</f>
        <v>073101010602</v>
      </c>
      <c r="G9" s="7">
        <v>75.8</v>
      </c>
      <c r="H9" s="7">
        <f t="shared" si="0"/>
        <v>37.9</v>
      </c>
      <c r="I9" s="7">
        <v>89.838</v>
      </c>
      <c r="J9" s="7">
        <f t="shared" si="1"/>
        <v>44.919</v>
      </c>
      <c r="K9" s="10">
        <f t="shared" si="2"/>
        <v>82.81899999999999</v>
      </c>
      <c r="L9" s="7">
        <f>RANK(K9,$K$3:$K$280,0)</f>
        <v>7</v>
      </c>
      <c r="M9" s="11"/>
      <c r="N9"/>
    </row>
    <row r="10" spans="1:13" ht="24.75" customHeight="1">
      <c r="A10" s="5">
        <v>8</v>
      </c>
      <c r="B10" s="5" t="s">
        <v>14</v>
      </c>
      <c r="C10" s="5" t="str">
        <f>"单雪红"</f>
        <v>单雪红</v>
      </c>
      <c r="D10" s="5" t="str">
        <f>"341225199508086342"</f>
        <v>341225199508086342</v>
      </c>
      <c r="E10" s="5" t="s">
        <v>16</v>
      </c>
      <c r="F10" s="5" t="str">
        <f>"073101010533"</f>
        <v>073101010533</v>
      </c>
      <c r="G10" s="7">
        <v>94</v>
      </c>
      <c r="H10" s="7">
        <f t="shared" si="0"/>
        <v>47</v>
      </c>
      <c r="I10" s="7">
        <v>63.585</v>
      </c>
      <c r="J10" s="7">
        <f t="shared" si="1"/>
        <v>31.7925</v>
      </c>
      <c r="K10" s="12">
        <v>82.73212500000001</v>
      </c>
      <c r="L10" s="7">
        <f>RANK(K10,$K$3:$K$280,0)</f>
        <v>8</v>
      </c>
      <c r="M10" s="11" t="s">
        <v>17</v>
      </c>
    </row>
    <row r="11" spans="1:14" ht="24.75" customHeight="1">
      <c r="A11" s="5">
        <v>9</v>
      </c>
      <c r="B11" s="5" t="s">
        <v>14</v>
      </c>
      <c r="C11" s="5" t="str">
        <f>"张琳琳"</f>
        <v>张琳琳</v>
      </c>
      <c r="D11" s="5" t="str">
        <f>"23108419920819402X"</f>
        <v>23108419920819402X</v>
      </c>
      <c r="E11" s="5" t="s">
        <v>15</v>
      </c>
      <c r="F11" s="5" t="str">
        <f>"073101010515"</f>
        <v>073101010515</v>
      </c>
      <c r="G11" s="7">
        <v>90.3</v>
      </c>
      <c r="H11" s="7">
        <f t="shared" si="0"/>
        <v>45.15</v>
      </c>
      <c r="I11" s="7">
        <v>74.806</v>
      </c>
      <c r="J11" s="7">
        <f t="shared" si="1"/>
        <v>37.403</v>
      </c>
      <c r="K11" s="10">
        <f aca="true" t="shared" si="3" ref="K11:K23">H11+J11</f>
        <v>82.553</v>
      </c>
      <c r="L11" s="7">
        <f>RANK(K11,$K$3:$K$280,0)</f>
        <v>9</v>
      </c>
      <c r="M11" s="11"/>
      <c r="N11"/>
    </row>
    <row r="12" spans="1:14" ht="24.75" customHeight="1">
      <c r="A12" s="5">
        <v>10</v>
      </c>
      <c r="B12" s="5" t="s">
        <v>14</v>
      </c>
      <c r="C12" s="5" t="str">
        <f>"王丹彤"</f>
        <v>王丹彤</v>
      </c>
      <c r="D12" s="5" t="str">
        <f>"460103199411150021"</f>
        <v>460103199411150021</v>
      </c>
      <c r="E12" s="5" t="s">
        <v>15</v>
      </c>
      <c r="F12" s="5" t="str">
        <f>"073101010304"</f>
        <v>073101010304</v>
      </c>
      <c r="G12" s="7">
        <v>79.7</v>
      </c>
      <c r="H12" s="7">
        <f t="shared" si="0"/>
        <v>39.85</v>
      </c>
      <c r="I12" s="7">
        <v>84.545</v>
      </c>
      <c r="J12" s="7">
        <f t="shared" si="1"/>
        <v>42.2725</v>
      </c>
      <c r="K12" s="10">
        <f t="shared" si="3"/>
        <v>82.1225</v>
      </c>
      <c r="L12" s="7">
        <f>RANK(K12,$K$3:$K$280,0)</f>
        <v>10</v>
      </c>
      <c r="M12" s="11"/>
      <c r="N12"/>
    </row>
    <row r="13" spans="1:14" ht="24.75" customHeight="1">
      <c r="A13" s="5">
        <v>11</v>
      </c>
      <c r="B13" s="5" t="s">
        <v>14</v>
      </c>
      <c r="C13" s="5" t="str">
        <f>"黄温文"</f>
        <v>黄温文</v>
      </c>
      <c r="D13" s="5" t="str">
        <f>"460103199810010325"</f>
        <v>460103199810010325</v>
      </c>
      <c r="E13" s="5" t="s">
        <v>15</v>
      </c>
      <c r="F13" s="5" t="str">
        <f>"073101010306"</f>
        <v>073101010306</v>
      </c>
      <c r="G13" s="7">
        <v>90.5</v>
      </c>
      <c r="H13" s="7">
        <f t="shared" si="0"/>
        <v>45.25</v>
      </c>
      <c r="I13" s="7">
        <v>73.536</v>
      </c>
      <c r="J13" s="7">
        <f t="shared" si="1"/>
        <v>36.768</v>
      </c>
      <c r="K13" s="10">
        <f t="shared" si="3"/>
        <v>82.018</v>
      </c>
      <c r="L13" s="7">
        <f>RANK(K13,$K$3:$K$280,0)</f>
        <v>11</v>
      </c>
      <c r="M13" s="11"/>
      <c r="N13"/>
    </row>
    <row r="14" spans="1:14" ht="24.75" customHeight="1">
      <c r="A14" s="5">
        <v>12</v>
      </c>
      <c r="B14" s="5" t="s">
        <v>14</v>
      </c>
      <c r="C14" s="5" t="str">
        <f>"顾辰瑶"</f>
        <v>顾辰瑶</v>
      </c>
      <c r="D14" s="5" t="str">
        <f>"522601199309203126"</f>
        <v>522601199309203126</v>
      </c>
      <c r="E14" s="5" t="s">
        <v>15</v>
      </c>
      <c r="F14" s="5" t="str">
        <f>"073101010229"</f>
        <v>073101010229</v>
      </c>
      <c r="G14" s="7">
        <v>90.9</v>
      </c>
      <c r="H14" s="7">
        <f t="shared" si="0"/>
        <v>45.45</v>
      </c>
      <c r="I14" s="7">
        <v>72.054</v>
      </c>
      <c r="J14" s="7">
        <f t="shared" si="1"/>
        <v>36.027</v>
      </c>
      <c r="K14" s="10">
        <f t="shared" si="3"/>
        <v>81.477</v>
      </c>
      <c r="L14" s="7">
        <f>RANK(K14,$K$3:$K$280,0)</f>
        <v>12</v>
      </c>
      <c r="M14" s="11"/>
      <c r="N14"/>
    </row>
    <row r="15" spans="1:14" ht="24.75" customHeight="1">
      <c r="A15" s="5">
        <v>13</v>
      </c>
      <c r="B15" s="5" t="s">
        <v>14</v>
      </c>
      <c r="C15" s="5" t="str">
        <f>"赵婧"</f>
        <v>赵婧</v>
      </c>
      <c r="D15" s="5" t="str">
        <f>"460004199811120447"</f>
        <v>460004199811120447</v>
      </c>
      <c r="E15" s="5" t="s">
        <v>15</v>
      </c>
      <c r="F15" s="5" t="str">
        <f>"073101010419"</f>
        <v>073101010419</v>
      </c>
      <c r="G15" s="7">
        <v>96.4</v>
      </c>
      <c r="H15" s="7">
        <f t="shared" si="0"/>
        <v>48.2</v>
      </c>
      <c r="I15" s="7">
        <v>66.267</v>
      </c>
      <c r="J15" s="7">
        <f t="shared" si="1"/>
        <v>33.1335</v>
      </c>
      <c r="K15" s="10">
        <f t="shared" si="3"/>
        <v>81.3335</v>
      </c>
      <c r="L15" s="7">
        <f>RANK(K15,$K$3:$K$280,0)</f>
        <v>13</v>
      </c>
      <c r="M15" s="11"/>
      <c r="N15"/>
    </row>
    <row r="16" spans="1:14" ht="24.75" customHeight="1">
      <c r="A16" s="5">
        <v>14</v>
      </c>
      <c r="B16" s="5" t="s">
        <v>14</v>
      </c>
      <c r="C16" s="5" t="str">
        <f>"唐奇奇"</f>
        <v>唐奇奇</v>
      </c>
      <c r="D16" s="5" t="str">
        <f>"140225199805075422"</f>
        <v>140225199805075422</v>
      </c>
      <c r="E16" s="5" t="s">
        <v>15</v>
      </c>
      <c r="F16" s="5" t="str">
        <f>"073101010318"</f>
        <v>073101010318</v>
      </c>
      <c r="G16" s="7">
        <v>89.5</v>
      </c>
      <c r="H16" s="7">
        <f t="shared" si="0"/>
        <v>44.75</v>
      </c>
      <c r="I16" s="7">
        <v>73.042</v>
      </c>
      <c r="J16" s="7">
        <f t="shared" si="1"/>
        <v>36.521</v>
      </c>
      <c r="K16" s="10">
        <f t="shared" si="3"/>
        <v>81.271</v>
      </c>
      <c r="L16" s="7">
        <f>RANK(K16,$K$3:$K$280,0)</f>
        <v>14</v>
      </c>
      <c r="M16" s="11"/>
      <c r="N16"/>
    </row>
    <row r="17" spans="1:14" ht="24.75" customHeight="1">
      <c r="A17" s="5">
        <v>15</v>
      </c>
      <c r="B17" s="5" t="s">
        <v>14</v>
      </c>
      <c r="C17" s="5" t="str">
        <f>"王悠然"</f>
        <v>王悠然</v>
      </c>
      <c r="D17" s="5" t="str">
        <f>"460001199911251023"</f>
        <v>460001199911251023</v>
      </c>
      <c r="E17" s="5" t="s">
        <v>15</v>
      </c>
      <c r="F17" s="5" t="str">
        <f>"073101010733"</f>
        <v>073101010733</v>
      </c>
      <c r="G17" s="7">
        <v>87</v>
      </c>
      <c r="H17" s="7">
        <f t="shared" si="0"/>
        <v>43.5</v>
      </c>
      <c r="I17" s="7">
        <v>75.371</v>
      </c>
      <c r="J17" s="7">
        <f t="shared" si="1"/>
        <v>37.6855</v>
      </c>
      <c r="K17" s="10">
        <f t="shared" si="3"/>
        <v>81.18549999999999</v>
      </c>
      <c r="L17" s="7">
        <f>RANK(K17,$K$3:$K$280,0)</f>
        <v>15</v>
      </c>
      <c r="M17" s="11"/>
      <c r="N17"/>
    </row>
    <row r="18" spans="1:14" ht="24.75" customHeight="1">
      <c r="A18" s="5">
        <v>16</v>
      </c>
      <c r="B18" s="5" t="s">
        <v>14</v>
      </c>
      <c r="C18" s="5" t="str">
        <f>"许还珊"</f>
        <v>许还珊</v>
      </c>
      <c r="D18" s="5" t="str">
        <f>"460102199804090027"</f>
        <v>460102199804090027</v>
      </c>
      <c r="E18" s="5" t="s">
        <v>15</v>
      </c>
      <c r="F18" s="5" t="str">
        <f>"073101010711"</f>
        <v>073101010711</v>
      </c>
      <c r="G18" s="7">
        <v>91.9</v>
      </c>
      <c r="H18" s="7">
        <f t="shared" si="0"/>
        <v>45.95</v>
      </c>
      <c r="I18" s="7">
        <v>70.219</v>
      </c>
      <c r="J18" s="7">
        <f t="shared" si="1"/>
        <v>35.1095</v>
      </c>
      <c r="K18" s="10">
        <f t="shared" si="3"/>
        <v>81.0595</v>
      </c>
      <c r="L18" s="7">
        <f>RANK(K18,$K$3:$K$280,0)</f>
        <v>16</v>
      </c>
      <c r="M18" s="11"/>
      <c r="N18"/>
    </row>
    <row r="19" spans="1:14" ht="24.75" customHeight="1">
      <c r="A19" s="5">
        <v>17</v>
      </c>
      <c r="B19" s="5" t="s">
        <v>14</v>
      </c>
      <c r="C19" s="5" t="str">
        <f>"石秋涵"</f>
        <v>石秋涵</v>
      </c>
      <c r="D19" s="5" t="str">
        <f>"445222199708160349"</f>
        <v>445222199708160349</v>
      </c>
      <c r="E19" s="5" t="s">
        <v>15</v>
      </c>
      <c r="F19" s="5" t="str">
        <f>"073101010301"</f>
        <v>073101010301</v>
      </c>
      <c r="G19" s="7">
        <v>79</v>
      </c>
      <c r="H19" s="7">
        <f t="shared" si="0"/>
        <v>39.5</v>
      </c>
      <c r="I19" s="7">
        <v>81.934</v>
      </c>
      <c r="J19" s="7">
        <f t="shared" si="1"/>
        <v>40.967</v>
      </c>
      <c r="K19" s="10">
        <f t="shared" si="3"/>
        <v>80.467</v>
      </c>
      <c r="L19" s="7">
        <f>RANK(K19,$K$3:$K$280,0)</f>
        <v>17</v>
      </c>
      <c r="M19" s="11"/>
      <c r="N19"/>
    </row>
    <row r="20" spans="1:14" ht="24.75" customHeight="1">
      <c r="A20" s="5">
        <v>18</v>
      </c>
      <c r="B20" s="5" t="s">
        <v>14</v>
      </c>
      <c r="C20" s="5" t="str">
        <f>"陈柳屹"</f>
        <v>陈柳屹</v>
      </c>
      <c r="D20" s="5" t="str">
        <f>"460102199205190026"</f>
        <v>460102199205190026</v>
      </c>
      <c r="E20" s="5" t="s">
        <v>15</v>
      </c>
      <c r="F20" s="5" t="str">
        <f>"073101010729"</f>
        <v>073101010729</v>
      </c>
      <c r="G20" s="7">
        <v>80.2</v>
      </c>
      <c r="H20" s="7">
        <f t="shared" si="0"/>
        <v>40.1</v>
      </c>
      <c r="I20" s="7">
        <v>80.452</v>
      </c>
      <c r="J20" s="7">
        <f t="shared" si="1"/>
        <v>40.226</v>
      </c>
      <c r="K20" s="10">
        <f t="shared" si="3"/>
        <v>80.326</v>
      </c>
      <c r="L20" s="7">
        <f>RANK(K20,$K$3:$K$280,0)</f>
        <v>18</v>
      </c>
      <c r="M20" s="11"/>
      <c r="N20"/>
    </row>
    <row r="21" spans="1:14" ht="24.75" customHeight="1">
      <c r="A21" s="5">
        <v>19</v>
      </c>
      <c r="B21" s="5" t="s">
        <v>14</v>
      </c>
      <c r="C21" s="5" t="str">
        <f>"杨静雯"</f>
        <v>杨静雯</v>
      </c>
      <c r="D21" s="5" t="str">
        <f>"460007199210260021"</f>
        <v>460007199210260021</v>
      </c>
      <c r="E21" s="5" t="s">
        <v>15</v>
      </c>
      <c r="F21" s="5" t="str">
        <f>"073101010205"</f>
        <v>073101010205</v>
      </c>
      <c r="G21" s="7">
        <v>81.5</v>
      </c>
      <c r="H21" s="7">
        <f t="shared" si="0"/>
        <v>40.75</v>
      </c>
      <c r="I21" s="7">
        <v>78.546</v>
      </c>
      <c r="J21" s="7">
        <f t="shared" si="1"/>
        <v>39.273</v>
      </c>
      <c r="K21" s="10">
        <f t="shared" si="3"/>
        <v>80.023</v>
      </c>
      <c r="L21" s="7">
        <f>RANK(K21,$K$3:$K$280,0)</f>
        <v>19</v>
      </c>
      <c r="M21" s="11"/>
      <c r="N21"/>
    </row>
    <row r="22" spans="1:14" ht="24.75" customHeight="1">
      <c r="A22" s="5">
        <v>20</v>
      </c>
      <c r="B22" s="5" t="s">
        <v>14</v>
      </c>
      <c r="C22" s="5" t="str">
        <f>"符玲玉"</f>
        <v>符玲玉</v>
      </c>
      <c r="D22" s="5" t="str">
        <f>"460200199508240986"</f>
        <v>460200199508240986</v>
      </c>
      <c r="E22" s="5" t="s">
        <v>15</v>
      </c>
      <c r="F22" s="5" t="str">
        <f>"073101010526"</f>
        <v>073101010526</v>
      </c>
      <c r="G22" s="7">
        <v>86.2</v>
      </c>
      <c r="H22" s="7">
        <f t="shared" si="0"/>
        <v>43.1</v>
      </c>
      <c r="I22" s="7">
        <v>72.759</v>
      </c>
      <c r="J22" s="7">
        <f t="shared" si="1"/>
        <v>36.3795</v>
      </c>
      <c r="K22" s="10">
        <f t="shared" si="3"/>
        <v>79.4795</v>
      </c>
      <c r="L22" s="7">
        <f>RANK(K22,$K$3:$K$280,0)</f>
        <v>20</v>
      </c>
      <c r="M22" s="11"/>
      <c r="N22"/>
    </row>
    <row r="23" spans="1:14" ht="24.75" customHeight="1">
      <c r="A23" s="5">
        <v>21</v>
      </c>
      <c r="B23" s="5" t="s">
        <v>14</v>
      </c>
      <c r="C23" s="5" t="str">
        <f>"林艺洁"</f>
        <v>林艺洁</v>
      </c>
      <c r="D23" s="5" t="str">
        <f>"460036199904245928"</f>
        <v>460036199904245928</v>
      </c>
      <c r="E23" s="5" t="s">
        <v>15</v>
      </c>
      <c r="F23" s="5" t="str">
        <f>"073101010332"</f>
        <v>073101010332</v>
      </c>
      <c r="G23" s="7">
        <v>87.4</v>
      </c>
      <c r="H23" s="7">
        <f t="shared" si="0"/>
        <v>43.7</v>
      </c>
      <c r="I23" s="7">
        <v>68.172</v>
      </c>
      <c r="J23" s="7">
        <f t="shared" si="1"/>
        <v>34.086</v>
      </c>
      <c r="K23" s="10">
        <f t="shared" si="3"/>
        <v>77.786</v>
      </c>
      <c r="L23" s="7">
        <f>RANK(K23,$K$3:$K$280,0)</f>
        <v>21</v>
      </c>
      <c r="M23" s="11"/>
      <c r="N23"/>
    </row>
    <row r="24" spans="1:13" ht="24.75" customHeight="1">
      <c r="A24" s="5">
        <v>22</v>
      </c>
      <c r="B24" s="5" t="s">
        <v>14</v>
      </c>
      <c r="C24" s="5" t="str">
        <f>"刘紫恒"</f>
        <v>刘紫恒</v>
      </c>
      <c r="D24" s="5" t="str">
        <f>"460027199608082929"</f>
        <v>460027199608082929</v>
      </c>
      <c r="E24" s="5" t="s">
        <v>16</v>
      </c>
      <c r="F24" s="5" t="str">
        <f>"073101010412"</f>
        <v>073101010412</v>
      </c>
      <c r="G24" s="7">
        <v>75.5</v>
      </c>
      <c r="H24" s="7">
        <f t="shared" si="0"/>
        <v>37.75</v>
      </c>
      <c r="I24" s="7">
        <v>72.336</v>
      </c>
      <c r="J24" s="7">
        <f t="shared" si="1"/>
        <v>36.168</v>
      </c>
      <c r="K24" s="12">
        <v>77.61390000000002</v>
      </c>
      <c r="L24" s="7">
        <f>RANK(K24,$K$3:$K$280,0)</f>
        <v>22</v>
      </c>
      <c r="M24" s="11" t="s">
        <v>17</v>
      </c>
    </row>
    <row r="25" spans="1:14" ht="24.75" customHeight="1">
      <c r="A25" s="5">
        <v>23</v>
      </c>
      <c r="B25" s="5" t="s">
        <v>14</v>
      </c>
      <c r="C25" s="5" t="str">
        <f>"吴小燕"</f>
        <v>吴小燕</v>
      </c>
      <c r="D25" s="5" t="str">
        <f>"350821199909163327"</f>
        <v>350821199909163327</v>
      </c>
      <c r="E25" s="5" t="s">
        <v>15</v>
      </c>
      <c r="F25" s="5" t="str">
        <f>"073101010502"</f>
        <v>073101010502</v>
      </c>
      <c r="G25" s="7">
        <v>86.4</v>
      </c>
      <c r="H25" s="7">
        <f t="shared" si="0"/>
        <v>43.2</v>
      </c>
      <c r="I25" s="7">
        <v>68.384</v>
      </c>
      <c r="J25" s="7">
        <f t="shared" si="1"/>
        <v>34.192</v>
      </c>
      <c r="K25" s="10">
        <f aca="true" t="shared" si="4" ref="K25:K27">H25+J25</f>
        <v>77.392</v>
      </c>
      <c r="L25" s="7">
        <f>RANK(K25,$K$3:$K$280,0)</f>
        <v>23</v>
      </c>
      <c r="M25" s="11"/>
      <c r="N25"/>
    </row>
    <row r="26" spans="1:14" ht="24.75" customHeight="1">
      <c r="A26" s="5">
        <v>24</v>
      </c>
      <c r="B26" s="5" t="s">
        <v>14</v>
      </c>
      <c r="C26" s="5" t="str">
        <f>"黄倩"</f>
        <v>黄倩</v>
      </c>
      <c r="D26" s="5" t="str">
        <f>"460104199309220026"</f>
        <v>460104199309220026</v>
      </c>
      <c r="E26" s="5" t="s">
        <v>15</v>
      </c>
      <c r="F26" s="5" t="str">
        <f>"073101010601"</f>
        <v>073101010601</v>
      </c>
      <c r="G26" s="7">
        <v>71.5</v>
      </c>
      <c r="H26" s="7">
        <f t="shared" si="0"/>
        <v>35.75</v>
      </c>
      <c r="I26" s="7">
        <v>82.922</v>
      </c>
      <c r="J26" s="7">
        <f t="shared" si="1"/>
        <v>41.461</v>
      </c>
      <c r="K26" s="10">
        <f t="shared" si="4"/>
        <v>77.211</v>
      </c>
      <c r="L26" s="7">
        <f>RANK(K26,$K$3:$K$280,0)</f>
        <v>24</v>
      </c>
      <c r="M26" s="11"/>
      <c r="N26"/>
    </row>
    <row r="27" spans="1:14" ht="24.75" customHeight="1">
      <c r="A27" s="5">
        <v>25</v>
      </c>
      <c r="B27" s="5" t="s">
        <v>14</v>
      </c>
      <c r="C27" s="5" t="str">
        <f>"王广杰"</f>
        <v>王广杰</v>
      </c>
      <c r="D27" s="5" t="str">
        <f>"46002719950112851X"</f>
        <v>46002719950112851X</v>
      </c>
      <c r="E27" s="5" t="s">
        <v>15</v>
      </c>
      <c r="F27" s="5" t="str">
        <f>"073101010504"</f>
        <v>073101010504</v>
      </c>
      <c r="G27" s="7">
        <v>88.1</v>
      </c>
      <c r="H27" s="7">
        <f t="shared" si="0"/>
        <v>44.05</v>
      </c>
      <c r="I27" s="7">
        <v>65.561</v>
      </c>
      <c r="J27" s="7">
        <f t="shared" si="1"/>
        <v>32.7805</v>
      </c>
      <c r="K27" s="10">
        <f t="shared" si="4"/>
        <v>76.8305</v>
      </c>
      <c r="L27" s="7">
        <f>RANK(K27,$K$3:$K$280,0)</f>
        <v>25</v>
      </c>
      <c r="M27" s="11"/>
      <c r="N27"/>
    </row>
    <row r="28" spans="1:13" ht="24.75" customHeight="1">
      <c r="A28" s="5">
        <v>26</v>
      </c>
      <c r="B28" s="5" t="s">
        <v>14</v>
      </c>
      <c r="C28" s="5" t="str">
        <f>"伍霞丽"</f>
        <v>伍霞丽</v>
      </c>
      <c r="D28" s="5" t="str">
        <f>"460104199603141222"</f>
        <v>460104199603141222</v>
      </c>
      <c r="E28" s="5" t="s">
        <v>16</v>
      </c>
      <c r="F28" s="5" t="str">
        <f>"073101010423"</f>
        <v>073101010423</v>
      </c>
      <c r="G28" s="7">
        <v>77</v>
      </c>
      <c r="H28" s="7">
        <f t="shared" si="0"/>
        <v>38.5</v>
      </c>
      <c r="I28" s="7">
        <v>67.184</v>
      </c>
      <c r="J28" s="7">
        <f t="shared" si="1"/>
        <v>33.592</v>
      </c>
      <c r="K28" s="12">
        <v>75.6966</v>
      </c>
      <c r="L28" s="7">
        <f>RANK(K28,$K$3:$K$280,0)</f>
        <v>26</v>
      </c>
      <c r="M28" s="11" t="s">
        <v>17</v>
      </c>
    </row>
    <row r="29" spans="1:14" ht="24.75" customHeight="1">
      <c r="A29" s="5">
        <v>27</v>
      </c>
      <c r="B29" s="5" t="s">
        <v>14</v>
      </c>
      <c r="C29" s="5" t="str">
        <f>"林涛"</f>
        <v>林涛</v>
      </c>
      <c r="D29" s="5" t="str">
        <f>"460103199306231815"</f>
        <v>460103199306231815</v>
      </c>
      <c r="E29" s="5" t="s">
        <v>15</v>
      </c>
      <c r="F29" s="5" t="str">
        <f>"073101010539"</f>
        <v>073101010539</v>
      </c>
      <c r="G29" s="7">
        <v>92.9</v>
      </c>
      <c r="H29" s="7">
        <f t="shared" si="0"/>
        <v>46.45</v>
      </c>
      <c r="I29" s="7">
        <v>58.363</v>
      </c>
      <c r="J29" s="7">
        <f t="shared" si="1"/>
        <v>29.1815</v>
      </c>
      <c r="K29" s="10">
        <f aca="true" t="shared" si="5" ref="K29:K38">H29+J29</f>
        <v>75.6315</v>
      </c>
      <c r="L29" s="7">
        <f>RANK(K29,$K$3:$K$280,0)</f>
        <v>27</v>
      </c>
      <c r="M29" s="11"/>
      <c r="N29"/>
    </row>
    <row r="30" spans="1:14" ht="24.75" customHeight="1">
      <c r="A30" s="5">
        <v>28</v>
      </c>
      <c r="B30" s="5" t="s">
        <v>14</v>
      </c>
      <c r="C30" s="5" t="str">
        <f>"李美蓉"</f>
        <v>李美蓉</v>
      </c>
      <c r="D30" s="5" t="str">
        <f>"460003199811086422"</f>
        <v>460003199811086422</v>
      </c>
      <c r="E30" s="5" t="s">
        <v>15</v>
      </c>
      <c r="F30" s="5" t="str">
        <f>"073101010103"</f>
        <v>073101010103</v>
      </c>
      <c r="G30" s="7">
        <v>84.2</v>
      </c>
      <c r="H30" s="7">
        <f t="shared" si="0"/>
        <v>42.1</v>
      </c>
      <c r="I30" s="7">
        <v>66.478</v>
      </c>
      <c r="J30" s="7">
        <f t="shared" si="1"/>
        <v>33.239</v>
      </c>
      <c r="K30" s="10">
        <f t="shared" si="5"/>
        <v>75.339</v>
      </c>
      <c r="L30" s="7">
        <f>RANK(K30,$K$3:$K$280,0)</f>
        <v>28</v>
      </c>
      <c r="M30" s="11"/>
      <c r="N30"/>
    </row>
    <row r="31" spans="1:14" ht="24.75" customHeight="1">
      <c r="A31" s="5">
        <v>29</v>
      </c>
      <c r="B31" s="5" t="s">
        <v>14</v>
      </c>
      <c r="C31" s="5" t="str">
        <f>"王妹"</f>
        <v>王妹</v>
      </c>
      <c r="D31" s="5" t="str">
        <f>"460004199406155283"</f>
        <v>460004199406155283</v>
      </c>
      <c r="E31" s="5" t="s">
        <v>15</v>
      </c>
      <c r="F31" s="5" t="str">
        <f>"073101010420"</f>
        <v>073101010420</v>
      </c>
      <c r="G31" s="7">
        <v>90</v>
      </c>
      <c r="H31" s="7">
        <f t="shared" si="0"/>
        <v>45</v>
      </c>
      <c r="I31" s="7">
        <v>60.55</v>
      </c>
      <c r="J31" s="7">
        <f t="shared" si="1"/>
        <v>30.275</v>
      </c>
      <c r="K31" s="10">
        <f t="shared" si="5"/>
        <v>75.275</v>
      </c>
      <c r="L31" s="7">
        <f>RANK(K31,$K$3:$K$280,0)</f>
        <v>29</v>
      </c>
      <c r="M31" s="11"/>
      <c r="N31"/>
    </row>
    <row r="32" spans="1:14" ht="24.75" customHeight="1">
      <c r="A32" s="5">
        <v>30</v>
      </c>
      <c r="B32" s="5" t="s">
        <v>14</v>
      </c>
      <c r="C32" s="5" t="str">
        <f>"陈静"</f>
        <v>陈静</v>
      </c>
      <c r="D32" s="5" t="str">
        <f>"460005199802244524"</f>
        <v>460005199802244524</v>
      </c>
      <c r="E32" s="5" t="s">
        <v>15</v>
      </c>
      <c r="F32" s="5" t="str">
        <f>"073101010234"</f>
        <v>073101010234</v>
      </c>
      <c r="G32" s="7">
        <v>74.2</v>
      </c>
      <c r="H32" s="7">
        <f t="shared" si="0"/>
        <v>37.1</v>
      </c>
      <c r="I32" s="7">
        <v>75.864</v>
      </c>
      <c r="J32" s="7">
        <f t="shared" si="1"/>
        <v>37.932</v>
      </c>
      <c r="K32" s="10">
        <f t="shared" si="5"/>
        <v>75.03200000000001</v>
      </c>
      <c r="L32" s="7">
        <f>RANK(K32,$K$3:$K$280,0)</f>
        <v>30</v>
      </c>
      <c r="M32" s="11"/>
      <c r="N32"/>
    </row>
    <row r="33" spans="1:14" ht="24.75" customHeight="1">
      <c r="A33" s="5">
        <v>31</v>
      </c>
      <c r="B33" s="5" t="s">
        <v>14</v>
      </c>
      <c r="C33" s="5" t="str">
        <f>"郑雅韵"</f>
        <v>郑雅韵</v>
      </c>
      <c r="D33" s="5" t="str">
        <f>"460004199101220021"</f>
        <v>460004199101220021</v>
      </c>
      <c r="E33" s="5" t="s">
        <v>15</v>
      </c>
      <c r="F33" s="5" t="str">
        <f>"073101010403"</f>
        <v>073101010403</v>
      </c>
      <c r="G33" s="7">
        <v>67.5</v>
      </c>
      <c r="H33" s="7">
        <f t="shared" si="0"/>
        <v>33.75</v>
      </c>
      <c r="I33" s="7">
        <v>81.228</v>
      </c>
      <c r="J33" s="7">
        <f t="shared" si="1"/>
        <v>40.614</v>
      </c>
      <c r="K33" s="10">
        <f t="shared" si="5"/>
        <v>74.364</v>
      </c>
      <c r="L33" s="7">
        <f>RANK(K33,$K$3:$K$280,0)</f>
        <v>31</v>
      </c>
      <c r="M33" s="11"/>
      <c r="N33"/>
    </row>
    <row r="34" spans="1:14" ht="24.75" customHeight="1">
      <c r="A34" s="5">
        <v>32</v>
      </c>
      <c r="B34" s="5" t="s">
        <v>14</v>
      </c>
      <c r="C34" s="5" t="str">
        <f>"赵毓炎"</f>
        <v>赵毓炎</v>
      </c>
      <c r="D34" s="5" t="str">
        <f>"46000719960618044X"</f>
        <v>46000719960618044X</v>
      </c>
      <c r="E34" s="5" t="s">
        <v>15</v>
      </c>
      <c r="F34" s="5" t="str">
        <f>"073101010210"</f>
        <v>073101010210</v>
      </c>
      <c r="G34" s="7">
        <v>84.4</v>
      </c>
      <c r="H34" s="7">
        <f t="shared" si="0"/>
        <v>42.2</v>
      </c>
      <c r="I34" s="7">
        <v>62.95</v>
      </c>
      <c r="J34" s="7">
        <f t="shared" si="1"/>
        <v>31.475</v>
      </c>
      <c r="K34" s="10">
        <f t="shared" si="5"/>
        <v>73.67500000000001</v>
      </c>
      <c r="L34" s="7">
        <f>RANK(K34,$K$3:$K$280,0)</f>
        <v>32</v>
      </c>
      <c r="M34" s="11"/>
      <c r="N34"/>
    </row>
    <row r="35" spans="1:14" ht="24.75" customHeight="1">
      <c r="A35" s="5">
        <v>33</v>
      </c>
      <c r="B35" s="5" t="s">
        <v>14</v>
      </c>
      <c r="C35" s="5" t="str">
        <f>"王笑凡"</f>
        <v>王笑凡</v>
      </c>
      <c r="D35" s="5" t="str">
        <f>"152201199806090520"</f>
        <v>152201199806090520</v>
      </c>
      <c r="E35" s="5" t="s">
        <v>15</v>
      </c>
      <c r="F35" s="5" t="str">
        <f>"073101010635"</f>
        <v>073101010635</v>
      </c>
      <c r="G35" s="7">
        <v>75.5</v>
      </c>
      <c r="H35" s="7">
        <f t="shared" si="0"/>
        <v>37.75</v>
      </c>
      <c r="I35" s="7">
        <v>71.771</v>
      </c>
      <c r="J35" s="7">
        <f t="shared" si="1"/>
        <v>35.8855</v>
      </c>
      <c r="K35" s="10">
        <f t="shared" si="5"/>
        <v>73.63550000000001</v>
      </c>
      <c r="L35" s="7">
        <f>RANK(K35,$K$3:$K$280,0)</f>
        <v>33</v>
      </c>
      <c r="M35" s="11"/>
      <c r="N35"/>
    </row>
    <row r="36" spans="1:14" ht="24.75" customHeight="1">
      <c r="A36" s="5">
        <v>34</v>
      </c>
      <c r="B36" s="5" t="s">
        <v>14</v>
      </c>
      <c r="C36" s="5" t="str">
        <f>"文雅婷"</f>
        <v>文雅婷</v>
      </c>
      <c r="D36" s="5" t="str">
        <f>"46000119910101072X"</f>
        <v>46000119910101072X</v>
      </c>
      <c r="E36" s="5" t="s">
        <v>15</v>
      </c>
      <c r="F36" s="5" t="str">
        <f>"073101010129"</f>
        <v>073101010129</v>
      </c>
      <c r="G36" s="7">
        <v>70.2</v>
      </c>
      <c r="H36" s="7">
        <f t="shared" si="0"/>
        <v>35.1</v>
      </c>
      <c r="I36" s="7">
        <v>76.782</v>
      </c>
      <c r="J36" s="7">
        <f t="shared" si="1"/>
        <v>38.391</v>
      </c>
      <c r="K36" s="10">
        <f t="shared" si="5"/>
        <v>73.491</v>
      </c>
      <c r="L36" s="7">
        <f>RANK(K36,$K$3:$K$280,0)</f>
        <v>34</v>
      </c>
      <c r="M36" s="11"/>
      <c r="N36"/>
    </row>
    <row r="37" spans="1:14" ht="24.75" customHeight="1">
      <c r="A37" s="5">
        <v>35</v>
      </c>
      <c r="B37" s="5" t="s">
        <v>14</v>
      </c>
      <c r="C37" s="5" t="str">
        <f>"符鉴苗"</f>
        <v>符鉴苗</v>
      </c>
      <c r="D37" s="5" t="str">
        <f>"469007199308047622"</f>
        <v>469007199308047622</v>
      </c>
      <c r="E37" s="5" t="s">
        <v>15</v>
      </c>
      <c r="F37" s="5" t="str">
        <f>"073101010527"</f>
        <v>073101010527</v>
      </c>
      <c r="G37" s="7">
        <v>77.9</v>
      </c>
      <c r="H37" s="7">
        <f t="shared" si="0"/>
        <v>38.95</v>
      </c>
      <c r="I37" s="7">
        <v>68.807</v>
      </c>
      <c r="J37" s="7">
        <f t="shared" si="1"/>
        <v>34.4035</v>
      </c>
      <c r="K37" s="10">
        <f t="shared" si="5"/>
        <v>73.3535</v>
      </c>
      <c r="L37" s="7">
        <f>RANK(K37,$K$3:$K$280,0)</f>
        <v>35</v>
      </c>
      <c r="M37" s="11"/>
      <c r="N37"/>
    </row>
    <row r="38" spans="1:14" ht="24.75" customHeight="1">
      <c r="A38" s="5">
        <v>36</v>
      </c>
      <c r="B38" s="5" t="s">
        <v>14</v>
      </c>
      <c r="C38" s="5" t="str">
        <f>"杨宛霖"</f>
        <v>杨宛霖</v>
      </c>
      <c r="D38" s="5" t="str">
        <f>"460103199809271528"</f>
        <v>460103199809271528</v>
      </c>
      <c r="E38" s="5" t="s">
        <v>15</v>
      </c>
      <c r="F38" s="5" t="str">
        <f>"073101010501"</f>
        <v>073101010501</v>
      </c>
      <c r="G38" s="7">
        <v>85.4</v>
      </c>
      <c r="H38" s="7">
        <f t="shared" si="0"/>
        <v>42.7</v>
      </c>
      <c r="I38" s="7">
        <v>61.186</v>
      </c>
      <c r="J38" s="7">
        <f t="shared" si="1"/>
        <v>30.593</v>
      </c>
      <c r="K38" s="10">
        <f t="shared" si="5"/>
        <v>73.293</v>
      </c>
      <c r="L38" s="7">
        <f>RANK(K38,$K$3:$K$280,0)</f>
        <v>36</v>
      </c>
      <c r="M38" s="11"/>
      <c r="N38"/>
    </row>
    <row r="39" spans="1:13" ht="24.75" customHeight="1">
      <c r="A39" s="5">
        <v>37</v>
      </c>
      <c r="B39" s="5" t="s">
        <v>14</v>
      </c>
      <c r="C39" s="5" t="str">
        <f>"肖泽城"</f>
        <v>肖泽城</v>
      </c>
      <c r="D39" s="5" t="str">
        <f>"460030199411010030"</f>
        <v>460030199411010030</v>
      </c>
      <c r="E39" s="5" t="s">
        <v>16</v>
      </c>
      <c r="F39" s="5" t="str">
        <f>"073101010508"</f>
        <v>073101010508</v>
      </c>
      <c r="G39" s="7">
        <v>68.5</v>
      </c>
      <c r="H39" s="7">
        <f t="shared" si="0"/>
        <v>34.25</v>
      </c>
      <c r="I39" s="7">
        <v>70.995</v>
      </c>
      <c r="J39" s="7">
        <f t="shared" si="1"/>
        <v>35.4975</v>
      </c>
      <c r="K39" s="12">
        <v>73.234875</v>
      </c>
      <c r="L39" s="7">
        <f>RANK(K39,$K$3:$K$280,0)</f>
        <v>37</v>
      </c>
      <c r="M39" s="11" t="s">
        <v>17</v>
      </c>
    </row>
    <row r="40" spans="1:14" ht="24.75" customHeight="1">
      <c r="A40" s="5">
        <v>38</v>
      </c>
      <c r="B40" s="5" t="s">
        <v>14</v>
      </c>
      <c r="C40" s="5" t="str">
        <f>"李佳璐"</f>
        <v>李佳璐</v>
      </c>
      <c r="D40" s="5" t="str">
        <f>"460004199808293822"</f>
        <v>460004199808293822</v>
      </c>
      <c r="E40" s="5" t="s">
        <v>15</v>
      </c>
      <c r="F40" s="5" t="str">
        <f>"073101010624"</f>
        <v>073101010624</v>
      </c>
      <c r="G40" s="7">
        <v>90.2</v>
      </c>
      <c r="H40" s="7">
        <f t="shared" si="0"/>
        <v>45.1</v>
      </c>
      <c r="I40" s="7">
        <v>56.034</v>
      </c>
      <c r="J40" s="7">
        <f t="shared" si="1"/>
        <v>28.017</v>
      </c>
      <c r="K40" s="10">
        <f aca="true" t="shared" si="6" ref="K40:K43">H40+J40</f>
        <v>73.117</v>
      </c>
      <c r="L40" s="7">
        <f>RANK(K40,$K$3:$K$280,0)</f>
        <v>38</v>
      </c>
      <c r="M40" s="11"/>
      <c r="N40"/>
    </row>
    <row r="41" spans="1:14" ht="24.75" customHeight="1">
      <c r="A41" s="5">
        <v>39</v>
      </c>
      <c r="B41" s="5" t="s">
        <v>14</v>
      </c>
      <c r="C41" s="5" t="str">
        <f>"凌翠云"</f>
        <v>凌翠云</v>
      </c>
      <c r="D41" s="5" t="str">
        <f>"460006199508203429"</f>
        <v>460006199508203429</v>
      </c>
      <c r="E41" s="5" t="s">
        <v>15</v>
      </c>
      <c r="F41" s="5" t="str">
        <f>"073101010427"</f>
        <v>073101010427</v>
      </c>
      <c r="G41" s="7">
        <v>84.3</v>
      </c>
      <c r="H41" s="7">
        <f t="shared" si="0"/>
        <v>42.15</v>
      </c>
      <c r="I41" s="7">
        <v>61.891</v>
      </c>
      <c r="J41" s="7">
        <f t="shared" si="1"/>
        <v>30.9455</v>
      </c>
      <c r="K41" s="10">
        <f t="shared" si="6"/>
        <v>73.0955</v>
      </c>
      <c r="L41" s="7">
        <f>RANK(K41,$K$3:$K$280,0)</f>
        <v>39</v>
      </c>
      <c r="M41" s="11"/>
      <c r="N41"/>
    </row>
    <row r="42" spans="1:14" ht="24.75" customHeight="1">
      <c r="A42" s="5">
        <v>40</v>
      </c>
      <c r="B42" s="5" t="s">
        <v>14</v>
      </c>
      <c r="C42" s="5" t="str">
        <f>"廖晓彤"</f>
        <v>廖晓彤</v>
      </c>
      <c r="D42" s="5" t="str">
        <f>"460034199612080049"</f>
        <v>460034199612080049</v>
      </c>
      <c r="E42" s="5" t="s">
        <v>15</v>
      </c>
      <c r="F42" s="5" t="str">
        <f>"073101010223"</f>
        <v>073101010223</v>
      </c>
      <c r="G42" s="7">
        <v>83.9</v>
      </c>
      <c r="H42" s="7">
        <f t="shared" si="0"/>
        <v>41.95</v>
      </c>
      <c r="I42" s="7">
        <v>61.821</v>
      </c>
      <c r="J42" s="7">
        <f t="shared" si="1"/>
        <v>30.9105</v>
      </c>
      <c r="K42" s="10">
        <f t="shared" si="6"/>
        <v>72.8605</v>
      </c>
      <c r="L42" s="7">
        <f>RANK(K42,$K$3:$K$280,0)</f>
        <v>40</v>
      </c>
      <c r="M42" s="11"/>
      <c r="N42"/>
    </row>
    <row r="43" spans="1:14" ht="24.75" customHeight="1">
      <c r="A43" s="5">
        <v>41</v>
      </c>
      <c r="B43" s="5" t="s">
        <v>14</v>
      </c>
      <c r="C43" s="5" t="str">
        <f>"邢益秋"</f>
        <v>邢益秋</v>
      </c>
      <c r="D43" s="5" t="str">
        <f>"46010219980228002X"</f>
        <v>46010219980228002X</v>
      </c>
      <c r="E43" s="5" t="s">
        <v>15</v>
      </c>
      <c r="F43" s="5" t="str">
        <f>"073101010319"</f>
        <v>073101010319</v>
      </c>
      <c r="G43" s="7">
        <v>73</v>
      </c>
      <c r="H43" s="7">
        <f t="shared" si="0"/>
        <v>36.5</v>
      </c>
      <c r="I43" s="7">
        <v>72.618</v>
      </c>
      <c r="J43" s="7">
        <f t="shared" si="1"/>
        <v>36.309</v>
      </c>
      <c r="K43" s="10">
        <f t="shared" si="6"/>
        <v>72.809</v>
      </c>
      <c r="L43" s="7">
        <f>RANK(K43,$K$3:$K$280,0)</f>
        <v>41</v>
      </c>
      <c r="M43" s="11"/>
      <c r="N43"/>
    </row>
    <row r="44" spans="1:13" ht="24.75" customHeight="1">
      <c r="A44" s="5">
        <v>42</v>
      </c>
      <c r="B44" s="5" t="s">
        <v>14</v>
      </c>
      <c r="C44" s="5" t="str">
        <f>"龙俊好"</f>
        <v>龙俊好</v>
      </c>
      <c r="D44" s="5" t="str">
        <f>"460002199712255415"</f>
        <v>460002199712255415</v>
      </c>
      <c r="E44" s="5" t="s">
        <v>16</v>
      </c>
      <c r="F44" s="5" t="str">
        <f>"073101010603"</f>
        <v>073101010603</v>
      </c>
      <c r="G44" s="7">
        <v>79.9</v>
      </c>
      <c r="H44" s="7">
        <f t="shared" si="0"/>
        <v>39.95</v>
      </c>
      <c r="I44" s="7">
        <v>58.645</v>
      </c>
      <c r="J44" s="7">
        <f t="shared" si="1"/>
        <v>29.3225</v>
      </c>
      <c r="K44" s="12">
        <v>72.73612500000002</v>
      </c>
      <c r="L44" s="7">
        <f>RANK(K44,$K$3:$K$280,0)</f>
        <v>42</v>
      </c>
      <c r="M44" s="11" t="s">
        <v>17</v>
      </c>
    </row>
    <row r="45" spans="1:14" ht="24.75" customHeight="1">
      <c r="A45" s="5">
        <v>43</v>
      </c>
      <c r="B45" s="5" t="s">
        <v>14</v>
      </c>
      <c r="C45" s="5" t="str">
        <f>"林晓珍"</f>
        <v>林晓珍</v>
      </c>
      <c r="D45" s="5" t="str">
        <f>"460027199209100683"</f>
        <v>460027199209100683</v>
      </c>
      <c r="E45" s="5" t="s">
        <v>15</v>
      </c>
      <c r="F45" s="5" t="str">
        <f>"073101010706"</f>
        <v>073101010706</v>
      </c>
      <c r="G45" s="7">
        <v>93</v>
      </c>
      <c r="H45" s="7">
        <f t="shared" si="0"/>
        <v>46.5</v>
      </c>
      <c r="I45" s="7">
        <v>52.152</v>
      </c>
      <c r="J45" s="7">
        <f t="shared" si="1"/>
        <v>26.076</v>
      </c>
      <c r="K45" s="10">
        <f aca="true" t="shared" si="7" ref="K45:K72">H45+J45</f>
        <v>72.576</v>
      </c>
      <c r="L45" s="7">
        <f>RANK(K45,$K$3:$K$280,0)</f>
        <v>43</v>
      </c>
      <c r="M45" s="11"/>
      <c r="N45"/>
    </row>
    <row r="46" spans="1:14" ht="24.75" customHeight="1">
      <c r="A46" s="5">
        <v>44</v>
      </c>
      <c r="B46" s="5" t="s">
        <v>14</v>
      </c>
      <c r="C46" s="5" t="str">
        <f>"黄雨萱"</f>
        <v>黄雨萱</v>
      </c>
      <c r="D46" s="5" t="str">
        <f>"46002619980515004X"</f>
        <v>46002619980515004X</v>
      </c>
      <c r="E46" s="5" t="s">
        <v>15</v>
      </c>
      <c r="F46" s="5" t="str">
        <f>"073101010724"</f>
        <v>073101010724</v>
      </c>
      <c r="G46" s="7">
        <v>81.7</v>
      </c>
      <c r="H46" s="7">
        <f t="shared" si="0"/>
        <v>40.85</v>
      </c>
      <c r="I46" s="7">
        <v>63.02</v>
      </c>
      <c r="J46" s="7">
        <f t="shared" si="1"/>
        <v>31.51</v>
      </c>
      <c r="K46" s="10">
        <f t="shared" si="7"/>
        <v>72.36</v>
      </c>
      <c r="L46" s="7">
        <f>RANK(K46,$K$3:$K$280,0)</f>
        <v>44</v>
      </c>
      <c r="M46" s="11"/>
      <c r="N46"/>
    </row>
    <row r="47" spans="1:14" ht="24.75" customHeight="1">
      <c r="A47" s="5">
        <v>45</v>
      </c>
      <c r="B47" s="5" t="s">
        <v>14</v>
      </c>
      <c r="C47" s="5" t="str">
        <f>"张芳"</f>
        <v>张芳</v>
      </c>
      <c r="D47" s="5" t="str">
        <f>"341222199008124745"</f>
        <v>341222199008124745</v>
      </c>
      <c r="E47" s="5" t="s">
        <v>15</v>
      </c>
      <c r="F47" s="5" t="str">
        <f>"073101010230"</f>
        <v>073101010230</v>
      </c>
      <c r="G47" s="7">
        <v>88.3</v>
      </c>
      <c r="H47" s="7">
        <f t="shared" si="0"/>
        <v>44.15</v>
      </c>
      <c r="I47" s="7">
        <v>56.104</v>
      </c>
      <c r="J47" s="7">
        <f t="shared" si="1"/>
        <v>28.052</v>
      </c>
      <c r="K47" s="10">
        <f t="shared" si="7"/>
        <v>72.202</v>
      </c>
      <c r="L47" s="7">
        <f>RANK(K47,$K$3:$K$280,0)</f>
        <v>45</v>
      </c>
      <c r="M47" s="11"/>
      <c r="N47"/>
    </row>
    <row r="48" spans="1:14" ht="24.75" customHeight="1">
      <c r="A48" s="5">
        <v>46</v>
      </c>
      <c r="B48" s="5" t="s">
        <v>14</v>
      </c>
      <c r="C48" s="5" t="str">
        <f>"周嘉玥"</f>
        <v>周嘉玥</v>
      </c>
      <c r="D48" s="5" t="str">
        <f>"460102199507190021"</f>
        <v>460102199507190021</v>
      </c>
      <c r="E48" s="5" t="s">
        <v>15</v>
      </c>
      <c r="F48" s="5" t="str">
        <f>"073101010330"</f>
        <v>073101010330</v>
      </c>
      <c r="G48" s="7">
        <v>68.4</v>
      </c>
      <c r="H48" s="7">
        <f t="shared" si="0"/>
        <v>34.2</v>
      </c>
      <c r="I48" s="7">
        <v>75.159</v>
      </c>
      <c r="J48" s="7">
        <f t="shared" si="1"/>
        <v>37.5795</v>
      </c>
      <c r="K48" s="10">
        <f t="shared" si="7"/>
        <v>71.77950000000001</v>
      </c>
      <c r="L48" s="7">
        <f>RANK(K48,$K$3:$K$280,0)</f>
        <v>46</v>
      </c>
      <c r="M48" s="11"/>
      <c r="N48"/>
    </row>
    <row r="49" spans="1:14" ht="24.75" customHeight="1">
      <c r="A49" s="5">
        <v>47</v>
      </c>
      <c r="B49" s="5" t="s">
        <v>14</v>
      </c>
      <c r="C49" s="5" t="str">
        <f>"陈川平"</f>
        <v>陈川平</v>
      </c>
      <c r="D49" s="5" t="str">
        <f>"460021199405304415"</f>
        <v>460021199405304415</v>
      </c>
      <c r="E49" s="5" t="s">
        <v>15</v>
      </c>
      <c r="F49" s="5" t="str">
        <f>"073101010114"</f>
        <v>073101010114</v>
      </c>
      <c r="G49" s="7">
        <v>86.2</v>
      </c>
      <c r="H49" s="7">
        <f t="shared" si="0"/>
        <v>43.1</v>
      </c>
      <c r="I49" s="7">
        <v>56.034</v>
      </c>
      <c r="J49" s="7">
        <f t="shared" si="1"/>
        <v>28.017</v>
      </c>
      <c r="K49" s="10">
        <f t="shared" si="7"/>
        <v>71.117</v>
      </c>
      <c r="L49" s="7">
        <f>RANK(K49,$K$3:$K$280,0)</f>
        <v>47</v>
      </c>
      <c r="M49" s="11"/>
      <c r="N49"/>
    </row>
    <row r="50" spans="1:14" ht="24.75" customHeight="1">
      <c r="A50" s="5">
        <v>48</v>
      </c>
      <c r="B50" s="5" t="s">
        <v>14</v>
      </c>
      <c r="C50" s="5" t="str">
        <f>"朱丽娜"</f>
        <v>朱丽娜</v>
      </c>
      <c r="D50" s="5" t="str">
        <f>"460027199807021328"</f>
        <v>460027199807021328</v>
      </c>
      <c r="E50" s="5" t="s">
        <v>15</v>
      </c>
      <c r="F50" s="5" t="str">
        <f>"073101010426"</f>
        <v>073101010426</v>
      </c>
      <c r="G50" s="7">
        <v>86.2</v>
      </c>
      <c r="H50" s="7">
        <f t="shared" si="0"/>
        <v>43.1</v>
      </c>
      <c r="I50" s="7">
        <v>55.187</v>
      </c>
      <c r="J50" s="7">
        <f t="shared" si="1"/>
        <v>27.5935</v>
      </c>
      <c r="K50" s="10">
        <f t="shared" si="7"/>
        <v>70.6935</v>
      </c>
      <c r="L50" s="7">
        <f>RANK(K50,$K$3:$K$280,0)</f>
        <v>48</v>
      </c>
      <c r="M50" s="11"/>
      <c r="N50"/>
    </row>
    <row r="51" spans="1:14" ht="24.75" customHeight="1">
      <c r="A51" s="5">
        <v>49</v>
      </c>
      <c r="B51" s="5" t="s">
        <v>14</v>
      </c>
      <c r="C51" s="5" t="str">
        <f>"李双灼"</f>
        <v>李双灼</v>
      </c>
      <c r="D51" s="5" t="str">
        <f>"460003199811010233"</f>
        <v>460003199811010233</v>
      </c>
      <c r="E51" s="5" t="s">
        <v>15</v>
      </c>
      <c r="F51" s="5" t="str">
        <f>"073101010437"</f>
        <v>073101010437</v>
      </c>
      <c r="G51" s="7">
        <v>81.9</v>
      </c>
      <c r="H51" s="7">
        <f t="shared" si="0"/>
        <v>40.95</v>
      </c>
      <c r="I51" s="7">
        <v>58.694</v>
      </c>
      <c r="J51" s="7">
        <f t="shared" si="1"/>
        <v>29.347</v>
      </c>
      <c r="K51" s="10">
        <f t="shared" si="7"/>
        <v>70.297</v>
      </c>
      <c r="L51" s="7">
        <f>RANK(K51,$K$3:$K$280,0)</f>
        <v>49</v>
      </c>
      <c r="M51" s="11"/>
      <c r="N51"/>
    </row>
    <row r="52" spans="1:14" ht="24.75" customHeight="1">
      <c r="A52" s="5">
        <v>50</v>
      </c>
      <c r="B52" s="5" t="s">
        <v>14</v>
      </c>
      <c r="C52" s="5" t="str">
        <f>"罗丹"</f>
        <v>罗丹</v>
      </c>
      <c r="D52" s="5" t="str">
        <f>"460031199710010846"</f>
        <v>460031199710010846</v>
      </c>
      <c r="E52" s="5" t="s">
        <v>15</v>
      </c>
      <c r="F52" s="5" t="str">
        <f>"073101010517"</f>
        <v>073101010517</v>
      </c>
      <c r="G52" s="7">
        <v>85.8</v>
      </c>
      <c r="H52" s="7">
        <f t="shared" si="0"/>
        <v>42.9</v>
      </c>
      <c r="I52" s="7">
        <v>54.693</v>
      </c>
      <c r="J52" s="7">
        <f t="shared" si="1"/>
        <v>27.3465</v>
      </c>
      <c r="K52" s="10">
        <f t="shared" si="7"/>
        <v>70.2465</v>
      </c>
      <c r="L52" s="7">
        <f>RANK(K52,$K$3:$K$280,0)</f>
        <v>50</v>
      </c>
      <c r="M52" s="11"/>
      <c r="N52"/>
    </row>
    <row r="53" spans="1:14" ht="24.75" customHeight="1">
      <c r="A53" s="5">
        <v>51</v>
      </c>
      <c r="B53" s="5" t="s">
        <v>14</v>
      </c>
      <c r="C53" s="5" t="str">
        <f>"李昱炫"</f>
        <v>李昱炫</v>
      </c>
      <c r="D53" s="5" t="str">
        <f>"460034199908240013"</f>
        <v>460034199908240013</v>
      </c>
      <c r="E53" s="5" t="s">
        <v>15</v>
      </c>
      <c r="F53" s="5" t="str">
        <f>"073101010621"</f>
        <v>073101010621</v>
      </c>
      <c r="G53" s="7">
        <v>85</v>
      </c>
      <c r="H53" s="7">
        <f t="shared" si="0"/>
        <v>42.5</v>
      </c>
      <c r="I53" s="7">
        <v>55.046</v>
      </c>
      <c r="J53" s="7">
        <f t="shared" si="1"/>
        <v>27.523</v>
      </c>
      <c r="K53" s="10">
        <f t="shared" si="7"/>
        <v>70.023</v>
      </c>
      <c r="L53" s="7">
        <f>RANK(K53,$K$3:$K$280,0)</f>
        <v>51</v>
      </c>
      <c r="M53" s="11"/>
      <c r="N53"/>
    </row>
    <row r="54" spans="1:14" ht="24.75" customHeight="1">
      <c r="A54" s="5">
        <v>52</v>
      </c>
      <c r="B54" s="5" t="s">
        <v>14</v>
      </c>
      <c r="C54" s="5" t="str">
        <f>"周晓丹"</f>
        <v>周晓丹</v>
      </c>
      <c r="D54" s="5" t="str">
        <f>"410621199308132045"</f>
        <v>410621199308132045</v>
      </c>
      <c r="E54" s="5" t="s">
        <v>15</v>
      </c>
      <c r="F54" s="5" t="str">
        <f>"073101010128"</f>
        <v>073101010128</v>
      </c>
      <c r="G54" s="7">
        <v>62.2</v>
      </c>
      <c r="H54" s="7">
        <f t="shared" si="0"/>
        <v>31.1</v>
      </c>
      <c r="I54" s="7">
        <v>77.488</v>
      </c>
      <c r="J54" s="7">
        <f t="shared" si="1"/>
        <v>38.744</v>
      </c>
      <c r="K54" s="10">
        <f t="shared" si="7"/>
        <v>69.844</v>
      </c>
      <c r="L54" s="7">
        <f>RANK(K54,$K$3:$K$280,0)</f>
        <v>52</v>
      </c>
      <c r="M54" s="11"/>
      <c r="N54"/>
    </row>
    <row r="55" spans="1:14" ht="24.75" customHeight="1">
      <c r="A55" s="5">
        <v>53</v>
      </c>
      <c r="B55" s="5" t="s">
        <v>14</v>
      </c>
      <c r="C55" s="5" t="str">
        <f>"符琪"</f>
        <v>符琪</v>
      </c>
      <c r="D55" s="5" t="str">
        <f>"469025199609090328"</f>
        <v>469025199609090328</v>
      </c>
      <c r="E55" s="5" t="s">
        <v>15</v>
      </c>
      <c r="F55" s="5" t="str">
        <f>"073101010111"</f>
        <v>073101010111</v>
      </c>
      <c r="G55" s="7">
        <v>87.6</v>
      </c>
      <c r="H55" s="7">
        <f t="shared" si="0"/>
        <v>43.8</v>
      </c>
      <c r="I55" s="7">
        <v>51.094</v>
      </c>
      <c r="J55" s="7">
        <f t="shared" si="1"/>
        <v>25.547</v>
      </c>
      <c r="K55" s="10">
        <f t="shared" si="7"/>
        <v>69.347</v>
      </c>
      <c r="L55" s="7">
        <f>RANK(K55,$K$3:$K$280,0)</f>
        <v>53</v>
      </c>
      <c r="M55" s="11"/>
      <c r="N55"/>
    </row>
    <row r="56" spans="1:14" ht="24.75" customHeight="1">
      <c r="A56" s="5">
        <v>54</v>
      </c>
      <c r="B56" s="5" t="s">
        <v>14</v>
      </c>
      <c r="C56" s="5" t="str">
        <f>"郭嘉宁"</f>
        <v>郭嘉宁</v>
      </c>
      <c r="D56" s="5" t="str">
        <f>"460006199904244820"</f>
        <v>460006199904244820</v>
      </c>
      <c r="E56" s="5" t="s">
        <v>15</v>
      </c>
      <c r="F56" s="5" t="str">
        <f>"073101010204"</f>
        <v>073101010204</v>
      </c>
      <c r="G56" s="7">
        <v>92.8</v>
      </c>
      <c r="H56" s="7">
        <f t="shared" si="0"/>
        <v>46.4</v>
      </c>
      <c r="I56" s="7">
        <v>45.448</v>
      </c>
      <c r="J56" s="7">
        <f t="shared" si="1"/>
        <v>22.724</v>
      </c>
      <c r="K56" s="10">
        <f t="shared" si="7"/>
        <v>69.124</v>
      </c>
      <c r="L56" s="7">
        <f>RANK(K56,$K$3:$K$280,0)</f>
        <v>54</v>
      </c>
      <c r="M56" s="11"/>
      <c r="N56"/>
    </row>
    <row r="57" spans="1:14" ht="24.75" customHeight="1">
      <c r="A57" s="5">
        <v>55</v>
      </c>
      <c r="B57" s="5" t="s">
        <v>14</v>
      </c>
      <c r="C57" s="5" t="str">
        <f>"王静"</f>
        <v>王静</v>
      </c>
      <c r="D57" s="5" t="str">
        <f>"460027199607278225"</f>
        <v>460027199607278225</v>
      </c>
      <c r="E57" s="5" t="s">
        <v>15</v>
      </c>
      <c r="F57" s="5" t="str">
        <f>"073101010604"</f>
        <v>073101010604</v>
      </c>
      <c r="G57" s="7">
        <v>88.2</v>
      </c>
      <c r="H57" s="7">
        <f t="shared" si="0"/>
        <v>44.1</v>
      </c>
      <c r="I57" s="7">
        <v>49.612</v>
      </c>
      <c r="J57" s="7">
        <f t="shared" si="1"/>
        <v>24.806</v>
      </c>
      <c r="K57" s="10">
        <f t="shared" si="7"/>
        <v>68.906</v>
      </c>
      <c r="L57" s="7">
        <f>RANK(K57,$K$3:$K$280,0)</f>
        <v>55</v>
      </c>
      <c r="M57" s="11"/>
      <c r="N57"/>
    </row>
    <row r="58" spans="1:14" ht="24.75" customHeight="1">
      <c r="A58" s="5">
        <v>56</v>
      </c>
      <c r="B58" s="5" t="s">
        <v>14</v>
      </c>
      <c r="C58" s="5" t="str">
        <f>"王翔"</f>
        <v>王翔</v>
      </c>
      <c r="D58" s="5" t="str">
        <f>"460103199608310914"</f>
        <v>460103199608310914</v>
      </c>
      <c r="E58" s="5" t="s">
        <v>15</v>
      </c>
      <c r="F58" s="5" t="str">
        <f>"073101010127"</f>
        <v>073101010127</v>
      </c>
      <c r="G58" s="7">
        <v>79.1</v>
      </c>
      <c r="H58" s="7">
        <f t="shared" si="0"/>
        <v>39.55</v>
      </c>
      <c r="I58" s="7">
        <v>58.645</v>
      </c>
      <c r="J58" s="7">
        <f t="shared" si="1"/>
        <v>29.3225</v>
      </c>
      <c r="K58" s="10">
        <f t="shared" si="7"/>
        <v>68.8725</v>
      </c>
      <c r="L58" s="7">
        <f>RANK(K58,$K$3:$K$280,0)</f>
        <v>56</v>
      </c>
      <c r="M58" s="11"/>
      <c r="N58"/>
    </row>
    <row r="59" spans="1:14" ht="24.75" customHeight="1">
      <c r="A59" s="5">
        <v>57</v>
      </c>
      <c r="B59" s="5" t="s">
        <v>14</v>
      </c>
      <c r="C59" s="5" t="str">
        <f>"陈积姑"</f>
        <v>陈积姑</v>
      </c>
      <c r="D59" s="5" t="str">
        <f>"460033199605013327"</f>
        <v>460033199605013327</v>
      </c>
      <c r="E59" s="5" t="s">
        <v>15</v>
      </c>
      <c r="F59" s="5" t="str">
        <f>"073101010418"</f>
        <v>073101010418</v>
      </c>
      <c r="G59" s="7">
        <v>90.8</v>
      </c>
      <c r="H59" s="7">
        <f t="shared" si="0"/>
        <v>45.4</v>
      </c>
      <c r="I59" s="7">
        <v>46.648</v>
      </c>
      <c r="J59" s="7">
        <f t="shared" si="1"/>
        <v>23.324</v>
      </c>
      <c r="K59" s="10">
        <f t="shared" si="7"/>
        <v>68.724</v>
      </c>
      <c r="L59" s="7">
        <f>RANK(K59,$K$3:$K$280,0)</f>
        <v>57</v>
      </c>
      <c r="M59" s="11"/>
      <c r="N59"/>
    </row>
    <row r="60" spans="1:14" ht="24.75" customHeight="1">
      <c r="A60" s="5">
        <v>58</v>
      </c>
      <c r="B60" s="5" t="s">
        <v>14</v>
      </c>
      <c r="C60" s="5" t="str">
        <f>"陈艳艳"</f>
        <v>陈艳艳</v>
      </c>
      <c r="D60" s="5" t="str">
        <f>"460005199709114522"</f>
        <v>460005199709114522</v>
      </c>
      <c r="E60" s="5" t="s">
        <v>15</v>
      </c>
      <c r="F60" s="5" t="str">
        <f>"073101010316"</f>
        <v>073101010316</v>
      </c>
      <c r="G60" s="7">
        <v>78.2</v>
      </c>
      <c r="H60" s="7">
        <f t="shared" si="0"/>
        <v>39.1</v>
      </c>
      <c r="I60" s="7">
        <v>59.068</v>
      </c>
      <c r="J60" s="7">
        <f t="shared" si="1"/>
        <v>29.534</v>
      </c>
      <c r="K60" s="10">
        <f t="shared" si="7"/>
        <v>68.634</v>
      </c>
      <c r="L60" s="7">
        <f>RANK(K60,$K$3:$K$280,0)</f>
        <v>58</v>
      </c>
      <c r="M60" s="11"/>
      <c r="N60"/>
    </row>
    <row r="61" spans="1:14" ht="24.75" customHeight="1">
      <c r="A61" s="5">
        <v>59</v>
      </c>
      <c r="B61" s="5" t="s">
        <v>14</v>
      </c>
      <c r="C61" s="5" t="str">
        <f>"黄廷薇"</f>
        <v>黄廷薇</v>
      </c>
      <c r="D61" s="5" t="str">
        <f>"460004199703260223"</f>
        <v>460004199703260223</v>
      </c>
      <c r="E61" s="5" t="s">
        <v>15</v>
      </c>
      <c r="F61" s="5" t="str">
        <f>"073101010320"</f>
        <v>073101010320</v>
      </c>
      <c r="G61" s="7">
        <v>68</v>
      </c>
      <c r="H61" s="7">
        <f t="shared" si="0"/>
        <v>34</v>
      </c>
      <c r="I61" s="7">
        <v>69.09</v>
      </c>
      <c r="J61" s="7">
        <f t="shared" si="1"/>
        <v>34.545</v>
      </c>
      <c r="K61" s="10">
        <f t="shared" si="7"/>
        <v>68.545</v>
      </c>
      <c r="L61" s="7">
        <f>RANK(K61,$K$3:$K$280,0)</f>
        <v>59</v>
      </c>
      <c r="M61" s="11"/>
      <c r="N61"/>
    </row>
    <row r="62" spans="1:14" ht="24.75" customHeight="1">
      <c r="A62" s="5">
        <v>60</v>
      </c>
      <c r="B62" s="5" t="s">
        <v>14</v>
      </c>
      <c r="C62" s="5" t="str">
        <f>"谭月籼"</f>
        <v>谭月籼</v>
      </c>
      <c r="D62" s="5" t="str">
        <f>"460035199501163024"</f>
        <v>460035199501163024</v>
      </c>
      <c r="E62" s="5" t="s">
        <v>15</v>
      </c>
      <c r="F62" s="5" t="str">
        <f>"073101010222"</f>
        <v>073101010222</v>
      </c>
      <c r="G62" s="7">
        <v>90.3</v>
      </c>
      <c r="H62" s="7">
        <f t="shared" si="0"/>
        <v>45.15</v>
      </c>
      <c r="I62" s="7">
        <v>46.013</v>
      </c>
      <c r="J62" s="7">
        <f t="shared" si="1"/>
        <v>23.0065</v>
      </c>
      <c r="K62" s="10">
        <f t="shared" si="7"/>
        <v>68.1565</v>
      </c>
      <c r="L62" s="7">
        <f>RANK(K62,$K$3:$K$280,0)</f>
        <v>60</v>
      </c>
      <c r="M62" s="11"/>
      <c r="N62"/>
    </row>
    <row r="63" spans="1:14" ht="24.75" customHeight="1">
      <c r="A63" s="5">
        <v>61</v>
      </c>
      <c r="B63" s="5" t="s">
        <v>14</v>
      </c>
      <c r="C63" s="5" t="str">
        <f>"许丽晶"</f>
        <v>许丽晶</v>
      </c>
      <c r="D63" s="5" t="str">
        <f>"460027199706022022"</f>
        <v>460027199706022022</v>
      </c>
      <c r="E63" s="5" t="s">
        <v>15</v>
      </c>
      <c r="F63" s="5" t="str">
        <f>"073101010617"</f>
        <v>073101010617</v>
      </c>
      <c r="G63" s="7">
        <v>79.6</v>
      </c>
      <c r="H63" s="7">
        <f t="shared" si="0"/>
        <v>39.8</v>
      </c>
      <c r="I63" s="7">
        <v>55.893</v>
      </c>
      <c r="J63" s="7">
        <f t="shared" si="1"/>
        <v>27.9465</v>
      </c>
      <c r="K63" s="10">
        <f t="shared" si="7"/>
        <v>67.7465</v>
      </c>
      <c r="L63" s="7">
        <f>RANK(K63,$K$3:$K$280,0)</f>
        <v>61</v>
      </c>
      <c r="M63" s="11"/>
      <c r="N63"/>
    </row>
    <row r="64" spans="1:14" ht="24.75" customHeight="1">
      <c r="A64" s="5">
        <v>62</v>
      </c>
      <c r="B64" s="5" t="s">
        <v>14</v>
      </c>
      <c r="C64" s="5" t="str">
        <f>"符志甄"</f>
        <v>符志甄</v>
      </c>
      <c r="D64" s="5" t="str">
        <f>"460007199909300023"</f>
        <v>460007199909300023</v>
      </c>
      <c r="E64" s="5" t="s">
        <v>15</v>
      </c>
      <c r="F64" s="5" t="str">
        <f>"073101010125"</f>
        <v>073101010125</v>
      </c>
      <c r="G64" s="7">
        <v>78.3</v>
      </c>
      <c r="H64" s="7">
        <f t="shared" si="0"/>
        <v>39.15</v>
      </c>
      <c r="I64" s="7">
        <v>57.163</v>
      </c>
      <c r="J64" s="7">
        <f t="shared" si="1"/>
        <v>28.5815</v>
      </c>
      <c r="K64" s="10">
        <f t="shared" si="7"/>
        <v>67.7315</v>
      </c>
      <c r="L64" s="7">
        <f>RANK(K64,$K$3:$K$280,0)</f>
        <v>62</v>
      </c>
      <c r="M64" s="11"/>
      <c r="N64"/>
    </row>
    <row r="65" spans="1:14" ht="24.75" customHeight="1">
      <c r="A65" s="5">
        <v>63</v>
      </c>
      <c r="B65" s="5" t="s">
        <v>14</v>
      </c>
      <c r="C65" s="5" t="str">
        <f>"许雪梅"</f>
        <v>许雪梅</v>
      </c>
      <c r="D65" s="5" t="str">
        <f>"445381199405293123"</f>
        <v>445381199405293123</v>
      </c>
      <c r="E65" s="5" t="s">
        <v>15</v>
      </c>
      <c r="F65" s="5" t="str">
        <f>"073101010616"</f>
        <v>073101010616</v>
      </c>
      <c r="G65" s="7">
        <v>74</v>
      </c>
      <c r="H65" s="7">
        <f t="shared" si="0"/>
        <v>37</v>
      </c>
      <c r="I65" s="7">
        <v>61.335</v>
      </c>
      <c r="J65" s="7">
        <f t="shared" si="1"/>
        <v>30.6675</v>
      </c>
      <c r="K65" s="10">
        <f t="shared" si="7"/>
        <v>67.6675</v>
      </c>
      <c r="L65" s="7">
        <f>RANK(K65,$K$3:$K$280,0)</f>
        <v>63</v>
      </c>
      <c r="M65" s="11"/>
      <c r="N65"/>
    </row>
    <row r="66" spans="1:14" ht="24.75" customHeight="1">
      <c r="A66" s="5">
        <v>64</v>
      </c>
      <c r="B66" s="5" t="s">
        <v>14</v>
      </c>
      <c r="C66" s="5" t="str">
        <f>"黄权"</f>
        <v>黄权</v>
      </c>
      <c r="D66" s="5" t="str">
        <f>"460025199710230315"</f>
        <v>460025199710230315</v>
      </c>
      <c r="E66" s="5" t="s">
        <v>15</v>
      </c>
      <c r="F66" s="5" t="str">
        <f>"073101010523"</f>
        <v>073101010523</v>
      </c>
      <c r="G66" s="7">
        <v>73.9</v>
      </c>
      <c r="H66" s="7">
        <f t="shared" si="0"/>
        <v>36.95</v>
      </c>
      <c r="I66" s="7">
        <v>61.327</v>
      </c>
      <c r="J66" s="7">
        <f t="shared" si="1"/>
        <v>30.6635</v>
      </c>
      <c r="K66" s="10">
        <f t="shared" si="7"/>
        <v>67.6135</v>
      </c>
      <c r="L66" s="7">
        <f>RANK(K66,$K$3:$K$280,0)</f>
        <v>64</v>
      </c>
      <c r="M66" s="11"/>
      <c r="N66"/>
    </row>
    <row r="67" spans="1:14" ht="24.75" customHeight="1">
      <c r="A67" s="5">
        <v>65</v>
      </c>
      <c r="B67" s="5" t="s">
        <v>14</v>
      </c>
      <c r="C67" s="5" t="str">
        <f>"王雯"</f>
        <v>王雯</v>
      </c>
      <c r="D67" s="5" t="str">
        <f>"460026199712070067"</f>
        <v>460026199712070067</v>
      </c>
      <c r="E67" s="5" t="s">
        <v>15</v>
      </c>
      <c r="F67" s="5" t="str">
        <f>"073101010519"</f>
        <v>073101010519</v>
      </c>
      <c r="G67" s="7">
        <v>75.5</v>
      </c>
      <c r="H67" s="7">
        <f aca="true" t="shared" si="8" ref="H67:H130">G67*0.5</f>
        <v>37.75</v>
      </c>
      <c r="I67" s="7">
        <v>59.28</v>
      </c>
      <c r="J67" s="7">
        <f aca="true" t="shared" si="9" ref="J67:J130">I67*0.5</f>
        <v>29.64</v>
      </c>
      <c r="K67" s="10">
        <f t="shared" si="7"/>
        <v>67.39</v>
      </c>
      <c r="L67" s="7">
        <f>RANK(K67,$K$3:$K$280,0)</f>
        <v>65</v>
      </c>
      <c r="M67" s="11"/>
      <c r="N67"/>
    </row>
    <row r="68" spans="1:14" ht="24.75" customHeight="1">
      <c r="A68" s="5">
        <v>66</v>
      </c>
      <c r="B68" s="5" t="s">
        <v>14</v>
      </c>
      <c r="C68" s="5" t="str">
        <f>"李梦漪"</f>
        <v>李梦漪</v>
      </c>
      <c r="D68" s="5" t="str">
        <f>"469007199809304981"</f>
        <v>469007199809304981</v>
      </c>
      <c r="E68" s="5" t="s">
        <v>15</v>
      </c>
      <c r="F68" s="5" t="str">
        <f>"073101010528"</f>
        <v>073101010528</v>
      </c>
      <c r="G68" s="7">
        <v>88.4</v>
      </c>
      <c r="H68" s="7">
        <f t="shared" si="8"/>
        <v>44.2</v>
      </c>
      <c r="I68" s="7">
        <v>46.295</v>
      </c>
      <c r="J68" s="7">
        <f t="shared" si="9"/>
        <v>23.1475</v>
      </c>
      <c r="K68" s="10">
        <f t="shared" si="7"/>
        <v>67.3475</v>
      </c>
      <c r="L68" s="7">
        <f>RANK(K68,$K$3:$K$280,0)</f>
        <v>66</v>
      </c>
      <c r="M68" s="11"/>
      <c r="N68"/>
    </row>
    <row r="69" spans="1:14" ht="24.75" customHeight="1">
      <c r="A69" s="5">
        <v>67</v>
      </c>
      <c r="B69" s="5" t="s">
        <v>14</v>
      </c>
      <c r="C69" s="5" t="str">
        <f>"张聚财"</f>
        <v>张聚财</v>
      </c>
      <c r="D69" s="5" t="str">
        <f>"411424199503067516"</f>
        <v>411424199503067516</v>
      </c>
      <c r="E69" s="5" t="s">
        <v>15</v>
      </c>
      <c r="F69" s="5" t="str">
        <f>"073101010628"</f>
        <v>073101010628</v>
      </c>
      <c r="G69" s="7">
        <v>65.4</v>
      </c>
      <c r="H69" s="7">
        <f t="shared" si="8"/>
        <v>32.7</v>
      </c>
      <c r="I69" s="7">
        <v>69.09</v>
      </c>
      <c r="J69" s="7">
        <f t="shared" si="9"/>
        <v>34.545</v>
      </c>
      <c r="K69" s="10">
        <f t="shared" si="7"/>
        <v>67.245</v>
      </c>
      <c r="L69" s="7">
        <f>RANK(K69,$K$3:$K$280,0)</f>
        <v>67</v>
      </c>
      <c r="M69" s="11"/>
      <c r="N69"/>
    </row>
    <row r="70" spans="1:14" ht="24.75" customHeight="1">
      <c r="A70" s="5">
        <v>68</v>
      </c>
      <c r="B70" s="5" t="s">
        <v>14</v>
      </c>
      <c r="C70" s="5" t="str">
        <f>"钟慧卿"</f>
        <v>钟慧卿</v>
      </c>
      <c r="D70" s="5" t="str">
        <f>"460104199204160020"</f>
        <v>460104199204160020</v>
      </c>
      <c r="E70" s="5" t="s">
        <v>15</v>
      </c>
      <c r="F70" s="5" t="str">
        <f>"073101010415"</f>
        <v>073101010415</v>
      </c>
      <c r="G70" s="7">
        <v>83.4</v>
      </c>
      <c r="H70" s="7">
        <f t="shared" si="8"/>
        <v>41.7</v>
      </c>
      <c r="I70" s="7">
        <v>50.459</v>
      </c>
      <c r="J70" s="7">
        <f t="shared" si="9"/>
        <v>25.2295</v>
      </c>
      <c r="K70" s="10">
        <f t="shared" si="7"/>
        <v>66.9295</v>
      </c>
      <c r="L70" s="7">
        <f>RANK(K70,$K$3:$K$280,0)</f>
        <v>68</v>
      </c>
      <c r="M70" s="11"/>
      <c r="N70"/>
    </row>
    <row r="71" spans="1:14" ht="24.75" customHeight="1">
      <c r="A71" s="5">
        <v>69</v>
      </c>
      <c r="B71" s="5" t="s">
        <v>14</v>
      </c>
      <c r="C71" s="5" t="str">
        <f>"庄慧希"</f>
        <v>庄慧希</v>
      </c>
      <c r="D71" s="5" t="str">
        <f>"460028199508160500"</f>
        <v>460028199508160500</v>
      </c>
      <c r="E71" s="5" t="s">
        <v>15</v>
      </c>
      <c r="F71" s="5" t="str">
        <f>"073101010130"</f>
        <v>073101010130</v>
      </c>
      <c r="G71" s="7">
        <v>80.7</v>
      </c>
      <c r="H71" s="7">
        <f t="shared" si="8"/>
        <v>40.35</v>
      </c>
      <c r="I71" s="7">
        <v>52.717</v>
      </c>
      <c r="J71" s="7">
        <f t="shared" si="9"/>
        <v>26.3585</v>
      </c>
      <c r="K71" s="10">
        <f t="shared" si="7"/>
        <v>66.7085</v>
      </c>
      <c r="L71" s="7">
        <f>RANK(K71,$K$3:$K$280,0)</f>
        <v>69</v>
      </c>
      <c r="M71" s="11"/>
      <c r="N71"/>
    </row>
    <row r="72" spans="1:14" ht="24.75" customHeight="1">
      <c r="A72" s="5">
        <v>70</v>
      </c>
      <c r="B72" s="5" t="s">
        <v>14</v>
      </c>
      <c r="C72" s="5" t="str">
        <f>"常敏敏"</f>
        <v>常敏敏</v>
      </c>
      <c r="D72" s="5" t="str">
        <f>"460007199611273624"</f>
        <v>460007199611273624</v>
      </c>
      <c r="E72" s="5" t="s">
        <v>15</v>
      </c>
      <c r="F72" s="5" t="str">
        <f>"073101010611"</f>
        <v>073101010611</v>
      </c>
      <c r="G72" s="7">
        <v>91.2</v>
      </c>
      <c r="H72" s="7">
        <f t="shared" si="8"/>
        <v>45.6</v>
      </c>
      <c r="I72" s="7">
        <v>41.426</v>
      </c>
      <c r="J72" s="7">
        <f t="shared" si="9"/>
        <v>20.713</v>
      </c>
      <c r="K72" s="10">
        <f t="shared" si="7"/>
        <v>66.313</v>
      </c>
      <c r="L72" s="7">
        <f>RANK(K72,$K$3:$K$280,0)</f>
        <v>70</v>
      </c>
      <c r="M72" s="11"/>
      <c r="N72"/>
    </row>
    <row r="73" spans="1:13" ht="24.75" customHeight="1">
      <c r="A73" s="5">
        <v>71</v>
      </c>
      <c r="B73" s="5" t="s">
        <v>14</v>
      </c>
      <c r="C73" s="5" t="str">
        <f>"蔡娇涣"</f>
        <v>蔡娇涣</v>
      </c>
      <c r="D73" s="5" t="str">
        <f>"41022319980316984X"</f>
        <v>41022319980316984X</v>
      </c>
      <c r="E73" s="5" t="s">
        <v>16</v>
      </c>
      <c r="F73" s="5" t="str">
        <f>"073101010511"</f>
        <v>073101010511</v>
      </c>
      <c r="G73" s="7">
        <v>83.5</v>
      </c>
      <c r="H73" s="7">
        <f t="shared" si="8"/>
        <v>41.75</v>
      </c>
      <c r="I73" s="7">
        <v>42.766</v>
      </c>
      <c r="J73" s="7">
        <f t="shared" si="9"/>
        <v>21.383</v>
      </c>
      <c r="K73" s="12">
        <v>66.28965</v>
      </c>
      <c r="L73" s="7">
        <f>RANK(K73,$K$3:$K$280,0)</f>
        <v>71</v>
      </c>
      <c r="M73" s="11" t="s">
        <v>17</v>
      </c>
    </row>
    <row r="74" spans="1:14" ht="24.75" customHeight="1">
      <c r="A74" s="5">
        <v>72</v>
      </c>
      <c r="B74" s="5" t="s">
        <v>14</v>
      </c>
      <c r="C74" s="5" t="str">
        <f>"赵蕾"</f>
        <v>赵蕾</v>
      </c>
      <c r="D74" s="5" t="str">
        <f>"460103199706010325"</f>
        <v>460103199706010325</v>
      </c>
      <c r="E74" s="5" t="s">
        <v>15</v>
      </c>
      <c r="F74" s="5" t="str">
        <f>"073101010307"</f>
        <v>073101010307</v>
      </c>
      <c r="G74" s="7">
        <v>73.1</v>
      </c>
      <c r="H74" s="7">
        <f t="shared" si="8"/>
        <v>36.55</v>
      </c>
      <c r="I74" s="7">
        <v>58.927</v>
      </c>
      <c r="J74" s="7">
        <f t="shared" si="9"/>
        <v>29.4635</v>
      </c>
      <c r="K74" s="10">
        <f aca="true" t="shared" si="10" ref="K74:K84">H74+J74</f>
        <v>66.0135</v>
      </c>
      <c r="L74" s="7">
        <f>RANK(K74,$K$3:$K$280,0)</f>
        <v>72</v>
      </c>
      <c r="M74" s="11"/>
      <c r="N74"/>
    </row>
    <row r="75" spans="1:14" ht="24.75" customHeight="1">
      <c r="A75" s="5">
        <v>73</v>
      </c>
      <c r="B75" s="5" t="s">
        <v>14</v>
      </c>
      <c r="C75" s="5" t="str">
        <f>"蔡於良"</f>
        <v>蔡於良</v>
      </c>
      <c r="D75" s="5" t="str">
        <f>"46010219931205031X"</f>
        <v>46010219931205031X</v>
      </c>
      <c r="E75" s="5" t="s">
        <v>15</v>
      </c>
      <c r="F75" s="5" t="str">
        <f>"073101010513"</f>
        <v>073101010513</v>
      </c>
      <c r="G75" s="7">
        <v>84.2</v>
      </c>
      <c r="H75" s="7">
        <f t="shared" si="8"/>
        <v>42.1</v>
      </c>
      <c r="I75" s="7">
        <v>47.354</v>
      </c>
      <c r="J75" s="7">
        <f t="shared" si="9"/>
        <v>23.677</v>
      </c>
      <c r="K75" s="10">
        <f t="shared" si="10"/>
        <v>65.777</v>
      </c>
      <c r="L75" s="7">
        <f>RANK(K75,$K$3:$K$280,0)</f>
        <v>73</v>
      </c>
      <c r="M75" s="11"/>
      <c r="N75"/>
    </row>
    <row r="76" spans="1:14" ht="24.75" customHeight="1">
      <c r="A76" s="5">
        <v>74</v>
      </c>
      <c r="B76" s="5" t="s">
        <v>14</v>
      </c>
      <c r="C76" s="5" t="str">
        <f>"陈汉钊"</f>
        <v>陈汉钊</v>
      </c>
      <c r="D76" s="5" t="str">
        <f>"460103199902180612"</f>
        <v>460103199902180612</v>
      </c>
      <c r="E76" s="5" t="s">
        <v>15</v>
      </c>
      <c r="F76" s="5" t="str">
        <f>"073101010414"</f>
        <v>073101010414</v>
      </c>
      <c r="G76" s="7">
        <v>90.2</v>
      </c>
      <c r="H76" s="7">
        <f t="shared" si="8"/>
        <v>45.1</v>
      </c>
      <c r="I76" s="7">
        <v>41.284</v>
      </c>
      <c r="J76" s="7">
        <f t="shared" si="9"/>
        <v>20.642</v>
      </c>
      <c r="K76" s="10">
        <f t="shared" si="10"/>
        <v>65.742</v>
      </c>
      <c r="L76" s="7">
        <f>RANK(K76,$K$3:$K$280,0)</f>
        <v>74</v>
      </c>
      <c r="M76" s="11"/>
      <c r="N76"/>
    </row>
    <row r="77" spans="1:14" ht="24.75" customHeight="1">
      <c r="A77" s="5">
        <v>75</v>
      </c>
      <c r="B77" s="5" t="s">
        <v>14</v>
      </c>
      <c r="C77" s="5" t="str">
        <f>"韩惠妃"</f>
        <v>韩惠妃</v>
      </c>
      <c r="D77" s="5" t="str">
        <f>"460006199806260421"</f>
        <v>460006199806260421</v>
      </c>
      <c r="E77" s="5" t="s">
        <v>15</v>
      </c>
      <c r="F77" s="5" t="str">
        <f>"073101010216"</f>
        <v>073101010216</v>
      </c>
      <c r="G77" s="7">
        <v>79</v>
      </c>
      <c r="H77" s="7">
        <f t="shared" si="8"/>
        <v>39.5</v>
      </c>
      <c r="I77" s="7">
        <v>51.658</v>
      </c>
      <c r="J77" s="7">
        <f t="shared" si="9"/>
        <v>25.829</v>
      </c>
      <c r="K77" s="10">
        <f t="shared" si="10"/>
        <v>65.32900000000001</v>
      </c>
      <c r="L77" s="7">
        <f>RANK(K77,$K$3:$K$280,0)</f>
        <v>75</v>
      </c>
      <c r="M77" s="11"/>
      <c r="N77"/>
    </row>
    <row r="78" spans="1:14" ht="24.75" customHeight="1">
      <c r="A78" s="5">
        <v>76</v>
      </c>
      <c r="B78" s="5" t="s">
        <v>14</v>
      </c>
      <c r="C78" s="5" t="str">
        <f>"谭捷"</f>
        <v>谭捷</v>
      </c>
      <c r="D78" s="5" t="str">
        <f>"460006199912117549"</f>
        <v>460006199912117549</v>
      </c>
      <c r="E78" s="5" t="s">
        <v>15</v>
      </c>
      <c r="F78" s="5" t="str">
        <f>"073101010717"</f>
        <v>073101010717</v>
      </c>
      <c r="G78" s="7">
        <v>83.6</v>
      </c>
      <c r="H78" s="7">
        <f t="shared" si="8"/>
        <v>41.8</v>
      </c>
      <c r="I78" s="7">
        <v>47.001</v>
      </c>
      <c r="J78" s="7">
        <f t="shared" si="9"/>
        <v>23.5005</v>
      </c>
      <c r="K78" s="10">
        <f t="shared" si="10"/>
        <v>65.3005</v>
      </c>
      <c r="L78" s="7">
        <f>RANK(K78,$K$3:$K$280,0)</f>
        <v>76</v>
      </c>
      <c r="M78" s="11"/>
      <c r="N78"/>
    </row>
    <row r="79" spans="1:14" ht="24.75" customHeight="1">
      <c r="A79" s="5">
        <v>77</v>
      </c>
      <c r="B79" s="5" t="s">
        <v>14</v>
      </c>
      <c r="C79" s="5" t="str">
        <f>"王时茹"</f>
        <v>王时茹</v>
      </c>
      <c r="D79" s="5" t="str">
        <f>"46010319990713122X"</f>
        <v>46010319990713122X</v>
      </c>
      <c r="E79" s="5" t="s">
        <v>15</v>
      </c>
      <c r="F79" s="5" t="str">
        <f>"073101010413"</f>
        <v>073101010413</v>
      </c>
      <c r="G79" s="7">
        <v>69.5</v>
      </c>
      <c r="H79" s="7">
        <f t="shared" si="8"/>
        <v>34.75</v>
      </c>
      <c r="I79" s="7">
        <v>60.762</v>
      </c>
      <c r="J79" s="7">
        <f t="shared" si="9"/>
        <v>30.381</v>
      </c>
      <c r="K79" s="10">
        <f t="shared" si="10"/>
        <v>65.131</v>
      </c>
      <c r="L79" s="7">
        <f>RANK(K79,$K$3:$K$280,0)</f>
        <v>77</v>
      </c>
      <c r="M79" s="11"/>
      <c r="N79"/>
    </row>
    <row r="80" spans="1:14" ht="24.75" customHeight="1">
      <c r="A80" s="5">
        <v>78</v>
      </c>
      <c r="B80" s="5" t="s">
        <v>14</v>
      </c>
      <c r="C80" s="5" t="str">
        <f>"黄兰桂"</f>
        <v>黄兰桂</v>
      </c>
      <c r="D80" s="5" t="str">
        <f>"460004199502163662"</f>
        <v>460004199502163662</v>
      </c>
      <c r="E80" s="5" t="s">
        <v>15</v>
      </c>
      <c r="F80" s="5" t="str">
        <f>"073101010636"</f>
        <v>073101010636</v>
      </c>
      <c r="G80" s="7">
        <v>91.8</v>
      </c>
      <c r="H80" s="7">
        <f t="shared" si="8"/>
        <v>45.9</v>
      </c>
      <c r="I80" s="7">
        <v>37.756</v>
      </c>
      <c r="J80" s="7">
        <f t="shared" si="9"/>
        <v>18.878</v>
      </c>
      <c r="K80" s="10">
        <f t="shared" si="10"/>
        <v>64.77799999999999</v>
      </c>
      <c r="L80" s="7">
        <f>RANK(K80,$K$3:$K$280,0)</f>
        <v>78</v>
      </c>
      <c r="M80" s="11"/>
      <c r="N80"/>
    </row>
    <row r="81" spans="1:14" ht="24.75" customHeight="1">
      <c r="A81" s="5">
        <v>79</v>
      </c>
      <c r="B81" s="5" t="s">
        <v>14</v>
      </c>
      <c r="C81" s="5" t="str">
        <f>"彭美兰"</f>
        <v>彭美兰</v>
      </c>
      <c r="D81" s="5" t="str">
        <f>"522422200009250445"</f>
        <v>522422200009250445</v>
      </c>
      <c r="E81" s="5" t="s">
        <v>15</v>
      </c>
      <c r="F81" s="5" t="str">
        <f>"073101010334"</f>
        <v>073101010334</v>
      </c>
      <c r="G81" s="7">
        <v>65.8</v>
      </c>
      <c r="H81" s="7">
        <f t="shared" si="8"/>
        <v>32.9</v>
      </c>
      <c r="I81" s="7">
        <v>63.444</v>
      </c>
      <c r="J81" s="7">
        <f t="shared" si="9"/>
        <v>31.722</v>
      </c>
      <c r="K81" s="10">
        <f t="shared" si="10"/>
        <v>64.622</v>
      </c>
      <c r="L81" s="7">
        <f>RANK(K81,$K$3:$K$280,0)</f>
        <v>79</v>
      </c>
      <c r="M81" s="11"/>
      <c r="N81"/>
    </row>
    <row r="82" spans="1:14" ht="24.75" customHeight="1">
      <c r="A82" s="5">
        <v>80</v>
      </c>
      <c r="B82" s="5" t="s">
        <v>14</v>
      </c>
      <c r="C82" s="5" t="str">
        <f>"苏文燕"</f>
        <v>苏文燕</v>
      </c>
      <c r="D82" s="5" t="str">
        <f>"460007199406105365"</f>
        <v>460007199406105365</v>
      </c>
      <c r="E82" s="5" t="s">
        <v>15</v>
      </c>
      <c r="F82" s="5" t="str">
        <f>"073101010432"</f>
        <v>073101010432</v>
      </c>
      <c r="G82" s="7">
        <v>77.9</v>
      </c>
      <c r="H82" s="7">
        <f t="shared" si="8"/>
        <v>38.95</v>
      </c>
      <c r="I82" s="7">
        <v>51.164</v>
      </c>
      <c r="J82" s="7">
        <f t="shared" si="9"/>
        <v>25.582</v>
      </c>
      <c r="K82" s="10">
        <f t="shared" si="10"/>
        <v>64.53200000000001</v>
      </c>
      <c r="L82" s="7">
        <f>RANK(K82,$K$3:$K$280,0)</f>
        <v>80</v>
      </c>
      <c r="M82" s="11"/>
      <c r="N82"/>
    </row>
    <row r="83" spans="1:14" ht="24.75" customHeight="1">
      <c r="A83" s="5">
        <v>81</v>
      </c>
      <c r="B83" s="5" t="s">
        <v>14</v>
      </c>
      <c r="C83" s="5" t="str">
        <f>"林丹屏"</f>
        <v>林丹屏</v>
      </c>
      <c r="D83" s="5" t="str">
        <f>"469024199902120024"</f>
        <v>469024199902120024</v>
      </c>
      <c r="E83" s="5" t="s">
        <v>15</v>
      </c>
      <c r="F83" s="5" t="str">
        <f>"073101010613"</f>
        <v>073101010613</v>
      </c>
      <c r="G83" s="7">
        <v>73.1</v>
      </c>
      <c r="H83" s="7">
        <f t="shared" si="8"/>
        <v>36.55</v>
      </c>
      <c r="I83" s="7">
        <v>55.752</v>
      </c>
      <c r="J83" s="7">
        <f t="shared" si="9"/>
        <v>27.876</v>
      </c>
      <c r="K83" s="10">
        <f t="shared" si="10"/>
        <v>64.426</v>
      </c>
      <c r="L83" s="7">
        <f>RANK(K83,$K$3:$K$280,0)</f>
        <v>81</v>
      </c>
      <c r="M83" s="11"/>
      <c r="N83"/>
    </row>
    <row r="84" spans="1:14" ht="24.75" customHeight="1">
      <c r="A84" s="5">
        <v>82</v>
      </c>
      <c r="B84" s="5" t="s">
        <v>14</v>
      </c>
      <c r="C84" s="5" t="str">
        <f>"李彦润"</f>
        <v>李彦润</v>
      </c>
      <c r="D84" s="5" t="str">
        <f>"652301199902136043"</f>
        <v>652301199902136043</v>
      </c>
      <c r="E84" s="5" t="s">
        <v>15</v>
      </c>
      <c r="F84" s="5" t="str">
        <f>"073101010522"</f>
        <v>073101010522</v>
      </c>
      <c r="G84" s="7">
        <v>71.5</v>
      </c>
      <c r="H84" s="7">
        <f t="shared" si="8"/>
        <v>35.75</v>
      </c>
      <c r="I84" s="7">
        <v>57.234</v>
      </c>
      <c r="J84" s="7">
        <f t="shared" si="9"/>
        <v>28.617</v>
      </c>
      <c r="K84" s="10">
        <f t="shared" si="10"/>
        <v>64.367</v>
      </c>
      <c r="L84" s="7">
        <f>RANK(K84,$K$3:$K$280,0)</f>
        <v>82</v>
      </c>
      <c r="M84" s="11"/>
      <c r="N84"/>
    </row>
    <row r="85" spans="1:13" ht="24.75" customHeight="1">
      <c r="A85" s="5">
        <v>83</v>
      </c>
      <c r="B85" s="5" t="s">
        <v>14</v>
      </c>
      <c r="C85" s="5" t="str">
        <f>"陈礼帅"</f>
        <v>陈礼帅</v>
      </c>
      <c r="D85" s="5" t="str">
        <f>"460006199608172017"</f>
        <v>460006199608172017</v>
      </c>
      <c r="E85" s="5" t="s">
        <v>16</v>
      </c>
      <c r="F85" s="5" t="str">
        <f>"073101010531"</f>
        <v>073101010531</v>
      </c>
      <c r="G85" s="7">
        <v>75.7</v>
      </c>
      <c r="H85" s="7">
        <f t="shared" si="8"/>
        <v>37.85</v>
      </c>
      <c r="I85" s="7">
        <v>46.224</v>
      </c>
      <c r="J85" s="7">
        <f t="shared" si="9"/>
        <v>23.112</v>
      </c>
      <c r="K85" s="12">
        <v>64.01010000000001</v>
      </c>
      <c r="L85" s="7">
        <f>RANK(K85,$K$3:$K$280,0)</f>
        <v>83</v>
      </c>
      <c r="M85" s="11" t="s">
        <v>17</v>
      </c>
    </row>
    <row r="86" spans="1:14" ht="24.75" customHeight="1">
      <c r="A86" s="5">
        <v>84</v>
      </c>
      <c r="B86" s="5" t="s">
        <v>14</v>
      </c>
      <c r="C86" s="5" t="str">
        <f>"贵子益"</f>
        <v>贵子益</v>
      </c>
      <c r="D86" s="5" t="str">
        <f>"460104199911130066"</f>
        <v>460104199911130066</v>
      </c>
      <c r="E86" s="5" t="s">
        <v>15</v>
      </c>
      <c r="F86" s="5" t="str">
        <f>"073101010109"</f>
        <v>073101010109</v>
      </c>
      <c r="G86" s="7">
        <v>87.9</v>
      </c>
      <c r="H86" s="7">
        <f t="shared" si="8"/>
        <v>43.95</v>
      </c>
      <c r="I86" s="7">
        <v>39.52</v>
      </c>
      <c r="J86" s="7">
        <f t="shared" si="9"/>
        <v>19.76</v>
      </c>
      <c r="K86" s="10">
        <f aca="true" t="shared" si="11" ref="K86:K105">H86+J86</f>
        <v>63.71000000000001</v>
      </c>
      <c r="L86" s="7">
        <f>RANK(K86,$K$3:$K$280,0)</f>
        <v>84</v>
      </c>
      <c r="M86" s="11"/>
      <c r="N86"/>
    </row>
    <row r="87" spans="1:14" ht="24.75" customHeight="1">
      <c r="A87" s="5">
        <v>85</v>
      </c>
      <c r="B87" s="5" t="s">
        <v>14</v>
      </c>
      <c r="C87" s="5" t="str">
        <f>"郭静"</f>
        <v>郭静</v>
      </c>
      <c r="D87" s="5" t="str">
        <f>"460034199611180048"</f>
        <v>460034199611180048</v>
      </c>
      <c r="E87" s="5" t="s">
        <v>15</v>
      </c>
      <c r="F87" s="5" t="str">
        <f>"073101010716"</f>
        <v>073101010716</v>
      </c>
      <c r="G87" s="7">
        <v>79.1</v>
      </c>
      <c r="H87" s="7">
        <f t="shared" si="8"/>
        <v>39.55</v>
      </c>
      <c r="I87" s="7">
        <v>48.2</v>
      </c>
      <c r="J87" s="7">
        <f t="shared" si="9"/>
        <v>24.1</v>
      </c>
      <c r="K87" s="10">
        <f t="shared" si="11"/>
        <v>63.65</v>
      </c>
      <c r="L87" s="7">
        <f>RANK(K87,$K$3:$K$280,0)</f>
        <v>85</v>
      </c>
      <c r="M87" s="11"/>
      <c r="N87"/>
    </row>
    <row r="88" spans="1:14" ht="24.75" customHeight="1">
      <c r="A88" s="5">
        <v>86</v>
      </c>
      <c r="B88" s="5" t="s">
        <v>14</v>
      </c>
      <c r="C88" s="5" t="str">
        <f>"符雪柔"</f>
        <v>符雪柔</v>
      </c>
      <c r="D88" s="5" t="str">
        <f>"460030199607023327"</f>
        <v>460030199607023327</v>
      </c>
      <c r="E88" s="5" t="s">
        <v>15</v>
      </c>
      <c r="F88" s="5" t="str">
        <f>"073101010101"</f>
        <v>073101010101</v>
      </c>
      <c r="G88" s="7">
        <v>71.1</v>
      </c>
      <c r="H88" s="7">
        <f t="shared" si="8"/>
        <v>35.55</v>
      </c>
      <c r="I88" s="7">
        <v>55.116</v>
      </c>
      <c r="J88" s="7">
        <f t="shared" si="9"/>
        <v>27.558</v>
      </c>
      <c r="K88" s="10">
        <f t="shared" si="11"/>
        <v>63.108</v>
      </c>
      <c r="L88" s="7">
        <f>RANK(K88,$K$3:$K$280,0)</f>
        <v>86</v>
      </c>
      <c r="M88" s="11"/>
      <c r="N88"/>
    </row>
    <row r="89" spans="1:14" ht="24.75" customHeight="1">
      <c r="A89" s="5">
        <v>87</v>
      </c>
      <c r="B89" s="5" t="s">
        <v>14</v>
      </c>
      <c r="C89" s="5" t="str">
        <f>"唐媛"</f>
        <v>唐媛</v>
      </c>
      <c r="D89" s="5" t="str">
        <f>"51312219971104522X"</f>
        <v>51312219971104522X</v>
      </c>
      <c r="E89" s="5" t="s">
        <v>15</v>
      </c>
      <c r="F89" s="5" t="str">
        <f>"073101010707"</f>
        <v>073101010707</v>
      </c>
      <c r="G89" s="7">
        <v>85</v>
      </c>
      <c r="H89" s="7">
        <f t="shared" si="8"/>
        <v>42.5</v>
      </c>
      <c r="I89" s="7">
        <v>40.72</v>
      </c>
      <c r="J89" s="7">
        <f t="shared" si="9"/>
        <v>20.36</v>
      </c>
      <c r="K89" s="10">
        <f t="shared" si="11"/>
        <v>62.86</v>
      </c>
      <c r="L89" s="7">
        <f>RANK(K89,$K$3:$K$280,0)</f>
        <v>87</v>
      </c>
      <c r="M89" s="11"/>
      <c r="N89"/>
    </row>
    <row r="90" spans="1:14" ht="24.75" customHeight="1">
      <c r="A90" s="5">
        <v>88</v>
      </c>
      <c r="B90" s="5" t="s">
        <v>14</v>
      </c>
      <c r="C90" s="5" t="str">
        <f>"陈新"</f>
        <v>陈新</v>
      </c>
      <c r="D90" s="5" t="str">
        <f>"460004199712305219"</f>
        <v>460004199712305219</v>
      </c>
      <c r="E90" s="5" t="s">
        <v>15</v>
      </c>
      <c r="F90" s="5" t="str">
        <f>"073101010433"</f>
        <v>073101010433</v>
      </c>
      <c r="G90" s="7">
        <v>50.1</v>
      </c>
      <c r="H90" s="7">
        <f t="shared" si="8"/>
        <v>25.05</v>
      </c>
      <c r="I90" s="7">
        <v>74.594</v>
      </c>
      <c r="J90" s="7">
        <f t="shared" si="9"/>
        <v>37.297</v>
      </c>
      <c r="K90" s="10">
        <f t="shared" si="11"/>
        <v>62.346999999999994</v>
      </c>
      <c r="L90" s="7">
        <f>RANK(K90,$K$3:$K$280,0)</f>
        <v>88</v>
      </c>
      <c r="M90" s="11"/>
      <c r="N90"/>
    </row>
    <row r="91" spans="1:14" ht="24.75" customHeight="1">
      <c r="A91" s="5">
        <v>89</v>
      </c>
      <c r="B91" s="5" t="s">
        <v>14</v>
      </c>
      <c r="C91" s="5" t="str">
        <f>"葛静闯"</f>
        <v>葛静闯</v>
      </c>
      <c r="D91" s="5" t="str">
        <f>"130434199903194420"</f>
        <v>130434199903194420</v>
      </c>
      <c r="E91" s="5" t="s">
        <v>15</v>
      </c>
      <c r="F91" s="5" t="str">
        <f>"073101010310"</f>
        <v>073101010310</v>
      </c>
      <c r="G91" s="7">
        <v>77</v>
      </c>
      <c r="H91" s="7">
        <f t="shared" si="8"/>
        <v>38.5</v>
      </c>
      <c r="I91" s="7">
        <v>47.636</v>
      </c>
      <c r="J91" s="7">
        <f t="shared" si="9"/>
        <v>23.818</v>
      </c>
      <c r="K91" s="10">
        <f t="shared" si="11"/>
        <v>62.318</v>
      </c>
      <c r="L91" s="7">
        <f>RANK(K91,$K$3:$K$280,0)</f>
        <v>89</v>
      </c>
      <c r="M91" s="11"/>
      <c r="N91"/>
    </row>
    <row r="92" spans="1:14" ht="24.75" customHeight="1">
      <c r="A92" s="5">
        <v>90</v>
      </c>
      <c r="B92" s="5" t="s">
        <v>14</v>
      </c>
      <c r="C92" s="5" t="str">
        <f>"李金颖"</f>
        <v>李金颖</v>
      </c>
      <c r="D92" s="5" t="str">
        <f>"469024199809226027"</f>
        <v>469024199809226027</v>
      </c>
      <c r="E92" s="5" t="s">
        <v>15</v>
      </c>
      <c r="F92" s="5" t="str">
        <f>"073101010302"</f>
        <v>073101010302</v>
      </c>
      <c r="G92" s="7">
        <v>65.8</v>
      </c>
      <c r="H92" s="7">
        <f t="shared" si="8"/>
        <v>32.9</v>
      </c>
      <c r="I92" s="7">
        <v>58.786</v>
      </c>
      <c r="J92" s="7">
        <f t="shared" si="9"/>
        <v>29.393</v>
      </c>
      <c r="K92" s="10">
        <f t="shared" si="11"/>
        <v>62.293</v>
      </c>
      <c r="L92" s="7">
        <f>RANK(K92,$K$3:$K$280,0)</f>
        <v>90</v>
      </c>
      <c r="M92" s="11"/>
      <c r="N92"/>
    </row>
    <row r="93" spans="1:14" ht="24.75" customHeight="1">
      <c r="A93" s="5">
        <v>91</v>
      </c>
      <c r="B93" s="5" t="s">
        <v>14</v>
      </c>
      <c r="C93" s="5" t="str">
        <f>"马宁"</f>
        <v>马宁</v>
      </c>
      <c r="D93" s="5" t="str">
        <f>"460004199212110028"</f>
        <v>460004199212110028</v>
      </c>
      <c r="E93" s="5" t="s">
        <v>15</v>
      </c>
      <c r="F93" s="5" t="str">
        <f>"073101010712"</f>
        <v>073101010712</v>
      </c>
      <c r="G93" s="7">
        <v>69.5</v>
      </c>
      <c r="H93" s="7">
        <f t="shared" si="8"/>
        <v>34.75</v>
      </c>
      <c r="I93" s="7">
        <v>54.411</v>
      </c>
      <c r="J93" s="7">
        <f t="shared" si="9"/>
        <v>27.2055</v>
      </c>
      <c r="K93" s="10">
        <f t="shared" si="11"/>
        <v>61.9555</v>
      </c>
      <c r="L93" s="7">
        <f>RANK(K93,$K$3:$K$280,0)</f>
        <v>91</v>
      </c>
      <c r="M93" s="11"/>
      <c r="N93"/>
    </row>
    <row r="94" spans="1:14" ht="24.75" customHeight="1">
      <c r="A94" s="5">
        <v>92</v>
      </c>
      <c r="B94" s="5" t="s">
        <v>14</v>
      </c>
      <c r="C94" s="5" t="str">
        <f>"林美秀"</f>
        <v>林美秀</v>
      </c>
      <c r="D94" s="5" t="str">
        <f>"460022199210206248"</f>
        <v>460022199210206248</v>
      </c>
      <c r="E94" s="5" t="s">
        <v>15</v>
      </c>
      <c r="F94" s="5" t="str">
        <f>"073101010536"</f>
        <v>073101010536</v>
      </c>
      <c r="G94" s="7">
        <v>84.9</v>
      </c>
      <c r="H94" s="7">
        <f t="shared" si="8"/>
        <v>42.45</v>
      </c>
      <c r="I94" s="7">
        <v>38.179</v>
      </c>
      <c r="J94" s="7">
        <f t="shared" si="9"/>
        <v>19.0895</v>
      </c>
      <c r="K94" s="10">
        <f t="shared" si="11"/>
        <v>61.539500000000004</v>
      </c>
      <c r="L94" s="7">
        <f>RANK(K94,$K$3:$K$280,0)</f>
        <v>92</v>
      </c>
      <c r="M94" s="11"/>
      <c r="N94"/>
    </row>
    <row r="95" spans="1:14" ht="24.75" customHeight="1">
      <c r="A95" s="5">
        <v>93</v>
      </c>
      <c r="B95" s="5" t="s">
        <v>14</v>
      </c>
      <c r="C95" s="5" t="str">
        <f>"庄礼深"</f>
        <v>庄礼深</v>
      </c>
      <c r="D95" s="5" t="str">
        <f>"460028199609020451"</f>
        <v>460028199609020451</v>
      </c>
      <c r="E95" s="5" t="s">
        <v>15</v>
      </c>
      <c r="F95" s="5" t="str">
        <f>"073101010623"</f>
        <v>073101010623</v>
      </c>
      <c r="G95" s="7">
        <v>70.5</v>
      </c>
      <c r="H95" s="7">
        <f t="shared" si="8"/>
        <v>35.25</v>
      </c>
      <c r="I95" s="7">
        <v>52.576</v>
      </c>
      <c r="J95" s="7">
        <f t="shared" si="9"/>
        <v>26.288</v>
      </c>
      <c r="K95" s="10">
        <f t="shared" si="11"/>
        <v>61.538</v>
      </c>
      <c r="L95" s="7">
        <f>RANK(K95,$K$3:$K$280,0)</f>
        <v>93</v>
      </c>
      <c r="M95" s="11"/>
      <c r="N95"/>
    </row>
    <row r="96" spans="1:14" ht="24.75" customHeight="1">
      <c r="A96" s="5">
        <v>94</v>
      </c>
      <c r="B96" s="5" t="s">
        <v>14</v>
      </c>
      <c r="C96" s="5" t="str">
        <f>"胡小敏"</f>
        <v>胡小敏</v>
      </c>
      <c r="D96" s="5" t="str">
        <f>"469021199905272120"</f>
        <v>469021199905272120</v>
      </c>
      <c r="E96" s="5" t="s">
        <v>15</v>
      </c>
      <c r="F96" s="5" t="str">
        <f>"073101010207"</f>
        <v>073101010207</v>
      </c>
      <c r="G96" s="7">
        <v>83.9</v>
      </c>
      <c r="H96" s="7">
        <f t="shared" si="8"/>
        <v>41.95</v>
      </c>
      <c r="I96" s="7">
        <v>38.956</v>
      </c>
      <c r="J96" s="7">
        <f t="shared" si="9"/>
        <v>19.478</v>
      </c>
      <c r="K96" s="10">
        <f t="shared" si="11"/>
        <v>61.428000000000004</v>
      </c>
      <c r="L96" s="7">
        <f>RANK(K96,$K$3:$K$280,0)</f>
        <v>94</v>
      </c>
      <c r="M96" s="11"/>
      <c r="N96"/>
    </row>
    <row r="97" spans="1:14" ht="24.75" customHeight="1">
      <c r="A97" s="5">
        <v>95</v>
      </c>
      <c r="B97" s="5" t="s">
        <v>14</v>
      </c>
      <c r="C97" s="5" t="str">
        <f>"陈雅雅"</f>
        <v>陈雅雅</v>
      </c>
      <c r="D97" s="5" t="str">
        <f>"460033199812113240"</f>
        <v>460033199812113240</v>
      </c>
      <c r="E97" s="5" t="s">
        <v>15</v>
      </c>
      <c r="F97" s="5" t="str">
        <f>"073101010218"</f>
        <v>073101010218</v>
      </c>
      <c r="G97" s="7">
        <v>79.5</v>
      </c>
      <c r="H97" s="7">
        <f t="shared" si="8"/>
        <v>39.75</v>
      </c>
      <c r="I97" s="7">
        <v>43.26</v>
      </c>
      <c r="J97" s="7">
        <f t="shared" si="9"/>
        <v>21.63</v>
      </c>
      <c r="K97" s="10">
        <f t="shared" si="11"/>
        <v>61.379999999999995</v>
      </c>
      <c r="L97" s="7">
        <f>RANK(K97,$K$3:$K$280,0)</f>
        <v>95</v>
      </c>
      <c r="M97" s="11"/>
      <c r="N97"/>
    </row>
    <row r="98" spans="1:14" ht="24.75" customHeight="1">
      <c r="A98" s="5">
        <v>96</v>
      </c>
      <c r="B98" s="5" t="s">
        <v>14</v>
      </c>
      <c r="C98" s="5" t="str">
        <f>"王文旺"</f>
        <v>王文旺</v>
      </c>
      <c r="D98" s="5" t="str">
        <f>"46000720000823081X"</f>
        <v>46000720000823081X</v>
      </c>
      <c r="E98" s="5" t="s">
        <v>15</v>
      </c>
      <c r="F98" s="5" t="str">
        <f>"073101010135"</f>
        <v>073101010135</v>
      </c>
      <c r="G98" s="7">
        <v>68</v>
      </c>
      <c r="H98" s="7">
        <f t="shared" si="8"/>
        <v>34</v>
      </c>
      <c r="I98" s="7">
        <v>53.776</v>
      </c>
      <c r="J98" s="7">
        <f t="shared" si="9"/>
        <v>26.888</v>
      </c>
      <c r="K98" s="10">
        <f t="shared" si="11"/>
        <v>60.888000000000005</v>
      </c>
      <c r="L98" s="7">
        <f>RANK(K98,$K$3:$K$280,0)</f>
        <v>96</v>
      </c>
      <c r="M98" s="11"/>
      <c r="N98"/>
    </row>
    <row r="99" spans="1:14" ht="24.75" customHeight="1">
      <c r="A99" s="5">
        <v>97</v>
      </c>
      <c r="B99" s="5" t="s">
        <v>14</v>
      </c>
      <c r="C99" s="5" t="str">
        <f>"张书婉"</f>
        <v>张书婉</v>
      </c>
      <c r="D99" s="5" t="str">
        <f>"460007199912165803"</f>
        <v>460007199912165803</v>
      </c>
      <c r="E99" s="5" t="s">
        <v>15</v>
      </c>
      <c r="F99" s="5" t="str">
        <f>"073101010327"</f>
        <v>073101010327</v>
      </c>
      <c r="G99" s="7">
        <v>66.4</v>
      </c>
      <c r="H99" s="7">
        <f t="shared" si="8"/>
        <v>33.2</v>
      </c>
      <c r="I99" s="7">
        <v>54.905</v>
      </c>
      <c r="J99" s="7">
        <f t="shared" si="9"/>
        <v>27.4525</v>
      </c>
      <c r="K99" s="10">
        <f t="shared" si="11"/>
        <v>60.6525</v>
      </c>
      <c r="L99" s="7">
        <f>RANK(K99,$K$3:$K$280,0)</f>
        <v>97</v>
      </c>
      <c r="M99" s="11"/>
      <c r="N99"/>
    </row>
    <row r="100" spans="1:14" ht="24.75" customHeight="1">
      <c r="A100" s="5">
        <v>98</v>
      </c>
      <c r="B100" s="5" t="s">
        <v>14</v>
      </c>
      <c r="C100" s="5" t="str">
        <f>"陈宇"</f>
        <v>陈宇</v>
      </c>
      <c r="D100" s="5" t="str">
        <f>"460006199905110445"</f>
        <v>460006199905110445</v>
      </c>
      <c r="E100" s="5" t="s">
        <v>15</v>
      </c>
      <c r="F100" s="5" t="str">
        <f>"073101010634"</f>
        <v>073101010634</v>
      </c>
      <c r="G100" s="7">
        <v>80.4</v>
      </c>
      <c r="H100" s="7">
        <f t="shared" si="8"/>
        <v>40.2</v>
      </c>
      <c r="I100" s="7">
        <v>40.861</v>
      </c>
      <c r="J100" s="7">
        <f t="shared" si="9"/>
        <v>20.4305</v>
      </c>
      <c r="K100" s="10">
        <f t="shared" si="11"/>
        <v>60.6305</v>
      </c>
      <c r="L100" s="7">
        <f>RANK(K100,$K$3:$K$280,0)</f>
        <v>98</v>
      </c>
      <c r="M100" s="11"/>
      <c r="N100"/>
    </row>
    <row r="101" spans="1:14" ht="24.75" customHeight="1">
      <c r="A101" s="5">
        <v>99</v>
      </c>
      <c r="B101" s="5" t="s">
        <v>14</v>
      </c>
      <c r="C101" s="5" t="str">
        <f>"王侨源"</f>
        <v>王侨源</v>
      </c>
      <c r="D101" s="5" t="str">
        <f>"460028199807261221"</f>
        <v>460028199807261221</v>
      </c>
      <c r="E101" s="5" t="s">
        <v>15</v>
      </c>
      <c r="F101" s="5" t="str">
        <f>"073101010614"</f>
        <v>073101010614</v>
      </c>
      <c r="G101" s="7">
        <v>79</v>
      </c>
      <c r="H101" s="7">
        <f t="shared" si="8"/>
        <v>39.5</v>
      </c>
      <c r="I101" s="7">
        <v>41.92</v>
      </c>
      <c r="J101" s="7">
        <f t="shared" si="9"/>
        <v>20.96</v>
      </c>
      <c r="K101" s="10">
        <f t="shared" si="11"/>
        <v>60.46</v>
      </c>
      <c r="L101" s="7">
        <f>RANK(K101,$K$3:$K$280,0)</f>
        <v>99</v>
      </c>
      <c r="M101" s="11"/>
      <c r="N101"/>
    </row>
    <row r="102" spans="1:14" ht="24.75" customHeight="1">
      <c r="A102" s="5">
        <v>100</v>
      </c>
      <c r="B102" s="5" t="s">
        <v>14</v>
      </c>
      <c r="C102" s="5" t="str">
        <f>"黄莹"</f>
        <v>黄莹</v>
      </c>
      <c r="D102" s="5" t="str">
        <f>"460036199507030421"</f>
        <v>460036199507030421</v>
      </c>
      <c r="E102" s="5" t="s">
        <v>15</v>
      </c>
      <c r="F102" s="5" t="str">
        <f>"073101010529"</f>
        <v>073101010529</v>
      </c>
      <c r="G102" s="7">
        <v>74.9</v>
      </c>
      <c r="H102" s="7">
        <f t="shared" si="8"/>
        <v>37.45</v>
      </c>
      <c r="I102" s="7">
        <v>45.307</v>
      </c>
      <c r="J102" s="7">
        <f t="shared" si="9"/>
        <v>22.6535</v>
      </c>
      <c r="K102" s="10">
        <f t="shared" si="11"/>
        <v>60.103500000000004</v>
      </c>
      <c r="L102" s="7">
        <f>RANK(K102,$K$3:$K$280,0)</f>
        <v>100</v>
      </c>
      <c r="M102" s="11"/>
      <c r="N102"/>
    </row>
    <row r="103" spans="1:14" ht="24.75" customHeight="1">
      <c r="A103" s="5">
        <v>101</v>
      </c>
      <c r="B103" s="5" t="s">
        <v>14</v>
      </c>
      <c r="C103" s="5" t="str">
        <f>"王燕"</f>
        <v>王燕</v>
      </c>
      <c r="D103" s="5" t="str">
        <f>"460036199605120826"</f>
        <v>460036199605120826</v>
      </c>
      <c r="E103" s="5" t="s">
        <v>15</v>
      </c>
      <c r="F103" s="5" t="str">
        <f>"073101010239"</f>
        <v>073101010239</v>
      </c>
      <c r="G103" s="7">
        <v>61.9</v>
      </c>
      <c r="H103" s="7">
        <f t="shared" si="8"/>
        <v>30.95</v>
      </c>
      <c r="I103" s="7">
        <v>57.869</v>
      </c>
      <c r="J103" s="7">
        <f t="shared" si="9"/>
        <v>28.9345</v>
      </c>
      <c r="K103" s="10">
        <f t="shared" si="11"/>
        <v>59.8845</v>
      </c>
      <c r="L103" s="7">
        <f>RANK(K103,$K$3:$K$280,0)</f>
        <v>101</v>
      </c>
      <c r="M103" s="11"/>
      <c r="N103"/>
    </row>
    <row r="104" spans="1:14" ht="24.75" customHeight="1">
      <c r="A104" s="5">
        <v>102</v>
      </c>
      <c r="B104" s="5" t="s">
        <v>14</v>
      </c>
      <c r="C104" s="5" t="str">
        <f>"云天怡"</f>
        <v>云天怡</v>
      </c>
      <c r="D104" s="5" t="str">
        <f>"460102199308290927"</f>
        <v>460102199308290927</v>
      </c>
      <c r="E104" s="5" t="s">
        <v>15</v>
      </c>
      <c r="F104" s="5" t="str">
        <f>"073101010709"</f>
        <v>073101010709</v>
      </c>
      <c r="G104" s="7">
        <v>72</v>
      </c>
      <c r="H104" s="7">
        <f t="shared" si="8"/>
        <v>36</v>
      </c>
      <c r="I104" s="7">
        <v>47.001</v>
      </c>
      <c r="J104" s="7">
        <f t="shared" si="9"/>
        <v>23.5005</v>
      </c>
      <c r="K104" s="10">
        <f t="shared" si="11"/>
        <v>59.5005</v>
      </c>
      <c r="L104" s="7">
        <f>RANK(K104,$K$3:$K$280,0)</f>
        <v>102</v>
      </c>
      <c r="M104" s="11"/>
      <c r="N104"/>
    </row>
    <row r="105" spans="1:14" ht="24.75" customHeight="1">
      <c r="A105" s="5">
        <v>103</v>
      </c>
      <c r="B105" s="5" t="s">
        <v>14</v>
      </c>
      <c r="C105" s="5" t="str">
        <f>"刘静"</f>
        <v>刘静</v>
      </c>
      <c r="D105" s="5" t="str">
        <f>"460033200010300381"</f>
        <v>460033200010300381</v>
      </c>
      <c r="E105" s="5" t="s">
        <v>15</v>
      </c>
      <c r="F105" s="5" t="str">
        <f>"073101010138"</f>
        <v>073101010138</v>
      </c>
      <c r="G105" s="7">
        <v>72.6</v>
      </c>
      <c r="H105" s="7">
        <f t="shared" si="8"/>
        <v>36.3</v>
      </c>
      <c r="I105" s="7">
        <v>46.083</v>
      </c>
      <c r="J105" s="7">
        <f t="shared" si="9"/>
        <v>23.0415</v>
      </c>
      <c r="K105" s="10">
        <f t="shared" si="11"/>
        <v>59.341499999999996</v>
      </c>
      <c r="L105" s="7">
        <f>RANK(K105,$K$3:$K$280,0)</f>
        <v>103</v>
      </c>
      <c r="M105" s="11"/>
      <c r="N105"/>
    </row>
    <row r="106" spans="1:13" ht="24.75" customHeight="1">
      <c r="A106" s="5">
        <v>104</v>
      </c>
      <c r="B106" s="5" t="s">
        <v>14</v>
      </c>
      <c r="C106" s="5" t="str">
        <f>"周亚环"</f>
        <v>周亚环</v>
      </c>
      <c r="D106" s="5" t="str">
        <f>"460004199012284824"</f>
        <v>460004199012284824</v>
      </c>
      <c r="E106" s="5" t="s">
        <v>16</v>
      </c>
      <c r="F106" s="5" t="str">
        <f>"073101010510"</f>
        <v>073101010510</v>
      </c>
      <c r="G106" s="7">
        <v>71.1</v>
      </c>
      <c r="H106" s="7">
        <f t="shared" si="8"/>
        <v>35.55</v>
      </c>
      <c r="I106" s="7">
        <v>41.92</v>
      </c>
      <c r="J106" s="7">
        <f t="shared" si="9"/>
        <v>20.96</v>
      </c>
      <c r="K106" s="12">
        <v>59.3355</v>
      </c>
      <c r="L106" s="7">
        <f>RANK(K106,$K$3:$K$280,0)</f>
        <v>104</v>
      </c>
      <c r="M106" s="11" t="s">
        <v>17</v>
      </c>
    </row>
    <row r="107" spans="1:14" ht="24.75" customHeight="1">
      <c r="A107" s="5">
        <v>105</v>
      </c>
      <c r="B107" s="5" t="s">
        <v>14</v>
      </c>
      <c r="C107" s="5" t="str">
        <f>"朱婷婷"</f>
        <v>朱婷婷</v>
      </c>
      <c r="D107" s="5" t="str">
        <f>"469027199703263267"</f>
        <v>469027199703263267</v>
      </c>
      <c r="E107" s="5" t="s">
        <v>15</v>
      </c>
      <c r="F107" s="5" t="str">
        <f>"073101010328"</f>
        <v>073101010328</v>
      </c>
      <c r="G107" s="7">
        <v>74.1</v>
      </c>
      <c r="H107" s="7">
        <f t="shared" si="8"/>
        <v>37.05</v>
      </c>
      <c r="I107" s="7">
        <v>44.531</v>
      </c>
      <c r="J107" s="7">
        <f t="shared" si="9"/>
        <v>22.2655</v>
      </c>
      <c r="K107" s="10">
        <f aca="true" t="shared" si="12" ref="K107:K113">H107+J107</f>
        <v>59.3155</v>
      </c>
      <c r="L107" s="7">
        <f>RANK(K107,$K$3:$K$280,0)</f>
        <v>105</v>
      </c>
      <c r="M107" s="11"/>
      <c r="N107"/>
    </row>
    <row r="108" spans="1:14" ht="24.75" customHeight="1">
      <c r="A108" s="5">
        <v>106</v>
      </c>
      <c r="B108" s="5" t="s">
        <v>14</v>
      </c>
      <c r="C108" s="5" t="str">
        <f>"蔡海菊"</f>
        <v>蔡海菊</v>
      </c>
      <c r="D108" s="5" t="str">
        <f>"460026199506200705"</f>
        <v>460026199506200705</v>
      </c>
      <c r="E108" s="5" t="s">
        <v>15</v>
      </c>
      <c r="F108" s="5" t="str">
        <f>"073101010311"</f>
        <v>073101010311</v>
      </c>
      <c r="G108" s="7">
        <v>63.5</v>
      </c>
      <c r="H108" s="7">
        <f t="shared" si="8"/>
        <v>31.75</v>
      </c>
      <c r="I108" s="7">
        <v>54.764</v>
      </c>
      <c r="J108" s="7">
        <f t="shared" si="9"/>
        <v>27.382</v>
      </c>
      <c r="K108" s="10">
        <f t="shared" si="12"/>
        <v>59.132000000000005</v>
      </c>
      <c r="L108" s="7">
        <f>RANK(K108,$K$3:$K$280,0)</f>
        <v>106</v>
      </c>
      <c r="M108" s="11"/>
      <c r="N108"/>
    </row>
    <row r="109" spans="1:14" ht="24.75" customHeight="1">
      <c r="A109" s="5">
        <v>107</v>
      </c>
      <c r="B109" s="5" t="s">
        <v>14</v>
      </c>
      <c r="C109" s="5" t="str">
        <f>"王朝富"</f>
        <v>王朝富</v>
      </c>
      <c r="D109" s="5" t="str">
        <f>"460004199201074017"</f>
        <v>460004199201074017</v>
      </c>
      <c r="E109" s="5" t="s">
        <v>15</v>
      </c>
      <c r="F109" s="5" t="str">
        <f>"073101010518"</f>
        <v>073101010518</v>
      </c>
      <c r="G109" s="7">
        <v>73.4</v>
      </c>
      <c r="H109" s="7">
        <f t="shared" si="8"/>
        <v>36.7</v>
      </c>
      <c r="I109" s="7">
        <v>44.813</v>
      </c>
      <c r="J109" s="7">
        <f t="shared" si="9"/>
        <v>22.4065</v>
      </c>
      <c r="K109" s="10">
        <f t="shared" si="12"/>
        <v>59.106500000000004</v>
      </c>
      <c r="L109" s="7">
        <f>RANK(K109,$K$3:$K$280,0)</f>
        <v>107</v>
      </c>
      <c r="M109" s="11"/>
      <c r="N109"/>
    </row>
    <row r="110" spans="1:14" ht="24.75" customHeight="1">
      <c r="A110" s="5">
        <v>108</v>
      </c>
      <c r="B110" s="5" t="s">
        <v>14</v>
      </c>
      <c r="C110" s="5" t="str">
        <f>"黄雪巧"</f>
        <v>黄雪巧</v>
      </c>
      <c r="D110" s="5" t="str">
        <f>"460033199906243601"</f>
        <v>460033199906243601</v>
      </c>
      <c r="E110" s="5" t="s">
        <v>15</v>
      </c>
      <c r="F110" s="5" t="str">
        <f>"073101010331"</f>
        <v>073101010331</v>
      </c>
      <c r="G110" s="7">
        <v>82.2</v>
      </c>
      <c r="H110" s="7">
        <f t="shared" si="8"/>
        <v>41.1</v>
      </c>
      <c r="I110" s="7">
        <v>35.709</v>
      </c>
      <c r="J110" s="7">
        <f t="shared" si="9"/>
        <v>17.8545</v>
      </c>
      <c r="K110" s="10">
        <f t="shared" si="12"/>
        <v>58.9545</v>
      </c>
      <c r="L110" s="7">
        <f>RANK(K110,$K$3:$K$280,0)</f>
        <v>108</v>
      </c>
      <c r="M110" s="11"/>
      <c r="N110"/>
    </row>
    <row r="111" spans="1:14" ht="24.75" customHeight="1">
      <c r="A111" s="5">
        <v>109</v>
      </c>
      <c r="B111" s="5" t="s">
        <v>14</v>
      </c>
      <c r="C111" s="5" t="str">
        <f>"叶小柳"</f>
        <v>叶小柳</v>
      </c>
      <c r="D111" s="5" t="str">
        <f>"460005199608215148"</f>
        <v>460005199608215148</v>
      </c>
      <c r="E111" s="5" t="s">
        <v>15</v>
      </c>
      <c r="F111" s="5" t="str">
        <f>"073101010337"</f>
        <v>073101010337</v>
      </c>
      <c r="G111" s="7">
        <v>73.1</v>
      </c>
      <c r="H111" s="7">
        <f t="shared" si="8"/>
        <v>36.55</v>
      </c>
      <c r="I111" s="7">
        <v>44.39</v>
      </c>
      <c r="J111" s="7">
        <f t="shared" si="9"/>
        <v>22.195</v>
      </c>
      <c r="K111" s="10">
        <f t="shared" si="12"/>
        <v>58.745</v>
      </c>
      <c r="L111" s="7">
        <f>RANK(K111,$K$3:$K$280,0)</f>
        <v>109</v>
      </c>
      <c r="M111" s="11"/>
      <c r="N111"/>
    </row>
    <row r="112" spans="1:14" ht="24.75" customHeight="1">
      <c r="A112" s="5">
        <v>110</v>
      </c>
      <c r="B112" s="5" t="s">
        <v>14</v>
      </c>
      <c r="C112" s="5" t="str">
        <f>"符周婷"</f>
        <v>符周婷</v>
      </c>
      <c r="D112" s="5" t="str">
        <f>"460030199307110920"</f>
        <v>460030199307110920</v>
      </c>
      <c r="E112" s="5" t="s">
        <v>15</v>
      </c>
      <c r="F112" s="5" t="str">
        <f>"073101010313"</f>
        <v>073101010313</v>
      </c>
      <c r="G112" s="7">
        <v>52.4</v>
      </c>
      <c r="H112" s="7">
        <f t="shared" si="8"/>
        <v>26.2</v>
      </c>
      <c r="I112" s="7">
        <v>64.926</v>
      </c>
      <c r="J112" s="7">
        <f t="shared" si="9"/>
        <v>32.463</v>
      </c>
      <c r="K112" s="10">
        <f t="shared" si="12"/>
        <v>58.663</v>
      </c>
      <c r="L112" s="7">
        <f>RANK(K112,$K$3:$K$280,0)</f>
        <v>110</v>
      </c>
      <c r="M112" s="11"/>
      <c r="N112"/>
    </row>
    <row r="113" spans="1:14" ht="24.75" customHeight="1">
      <c r="A113" s="5">
        <v>111</v>
      </c>
      <c r="B113" s="5" t="s">
        <v>14</v>
      </c>
      <c r="C113" s="5" t="str">
        <f>"陈昱妃"</f>
        <v>陈昱妃</v>
      </c>
      <c r="D113" s="5" t="str">
        <f>"460025199809042429"</f>
        <v>460025199809042429</v>
      </c>
      <c r="E113" s="5" t="s">
        <v>15</v>
      </c>
      <c r="F113" s="5" t="str">
        <f>"073101010738"</f>
        <v>073101010738</v>
      </c>
      <c r="G113" s="7">
        <v>57.9</v>
      </c>
      <c r="H113" s="7">
        <f t="shared" si="8"/>
        <v>28.95</v>
      </c>
      <c r="I113" s="7">
        <v>58.786</v>
      </c>
      <c r="J113" s="7">
        <f t="shared" si="9"/>
        <v>29.393</v>
      </c>
      <c r="K113" s="10">
        <f t="shared" si="12"/>
        <v>58.343</v>
      </c>
      <c r="L113" s="7">
        <f>RANK(K113,$K$3:$K$280,0)</f>
        <v>111</v>
      </c>
      <c r="M113" s="11"/>
      <c r="N113"/>
    </row>
    <row r="114" spans="1:13" ht="24.75" customHeight="1">
      <c r="A114" s="5">
        <v>112</v>
      </c>
      <c r="B114" s="5" t="s">
        <v>14</v>
      </c>
      <c r="C114" s="5" t="str">
        <f>"麦俊奕"</f>
        <v>麦俊奕</v>
      </c>
      <c r="D114" s="5" t="str">
        <f>"469027199210235989"</f>
        <v>469027199210235989</v>
      </c>
      <c r="E114" s="5" t="s">
        <v>16</v>
      </c>
      <c r="F114" s="5" t="str">
        <f>"073101010506"</f>
        <v>073101010506</v>
      </c>
      <c r="G114" s="7">
        <v>46</v>
      </c>
      <c r="H114" s="7">
        <f t="shared" si="8"/>
        <v>23</v>
      </c>
      <c r="I114" s="7">
        <v>63.938</v>
      </c>
      <c r="J114" s="7">
        <f t="shared" si="9"/>
        <v>31.969</v>
      </c>
      <c r="K114" s="12">
        <v>57.71745000000001</v>
      </c>
      <c r="L114" s="7">
        <f>RANK(K114,$K$3:$K$280,0)</f>
        <v>112</v>
      </c>
      <c r="M114" s="11" t="s">
        <v>17</v>
      </c>
    </row>
    <row r="115" spans="1:13" ht="24.75" customHeight="1">
      <c r="A115" s="5">
        <v>113</v>
      </c>
      <c r="B115" s="5" t="s">
        <v>14</v>
      </c>
      <c r="C115" s="5" t="str">
        <f>"梁钰聆"</f>
        <v>梁钰聆</v>
      </c>
      <c r="D115" s="5" t="str">
        <f>"460102199810251827"</f>
        <v>460102199810251827</v>
      </c>
      <c r="E115" s="5" t="s">
        <v>16</v>
      </c>
      <c r="F115" s="5" t="str">
        <f>"073101010715"</f>
        <v>073101010715</v>
      </c>
      <c r="G115" s="7">
        <v>58</v>
      </c>
      <c r="H115" s="7">
        <f t="shared" si="8"/>
        <v>29</v>
      </c>
      <c r="I115" s="7">
        <v>51.87</v>
      </c>
      <c r="J115" s="7">
        <f t="shared" si="9"/>
        <v>25.935</v>
      </c>
      <c r="K115" s="12">
        <v>57.68175000000001</v>
      </c>
      <c r="L115" s="7">
        <f>RANK(K115,$K$3:$K$280,0)</f>
        <v>113</v>
      </c>
      <c r="M115" s="11" t="s">
        <v>17</v>
      </c>
    </row>
    <row r="116" spans="1:14" ht="24.75" customHeight="1">
      <c r="A116" s="5">
        <v>114</v>
      </c>
      <c r="B116" s="5" t="s">
        <v>14</v>
      </c>
      <c r="C116" s="5" t="str">
        <f>"李玉珍"</f>
        <v>李玉珍</v>
      </c>
      <c r="D116" s="5" t="str">
        <f>"469028199912274727"</f>
        <v>469028199912274727</v>
      </c>
      <c r="E116" s="5" t="s">
        <v>15</v>
      </c>
      <c r="F116" s="5" t="str">
        <f>"073101010211"</f>
        <v>073101010211</v>
      </c>
      <c r="G116" s="7">
        <v>71.7</v>
      </c>
      <c r="H116" s="7">
        <f t="shared" si="8"/>
        <v>35.85</v>
      </c>
      <c r="I116" s="7">
        <v>43.19</v>
      </c>
      <c r="J116" s="7">
        <f t="shared" si="9"/>
        <v>21.595</v>
      </c>
      <c r="K116" s="10">
        <f aca="true" t="shared" si="13" ref="K116:K155">H116+J116</f>
        <v>57.445</v>
      </c>
      <c r="L116" s="7">
        <f>RANK(K116,$K$3:$K$280,0)</f>
        <v>114</v>
      </c>
      <c r="M116" s="11"/>
      <c r="N116"/>
    </row>
    <row r="117" spans="1:14" ht="24.75" customHeight="1">
      <c r="A117" s="5">
        <v>115</v>
      </c>
      <c r="B117" s="5" t="s">
        <v>14</v>
      </c>
      <c r="C117" s="5" t="str">
        <f>"王辉"</f>
        <v>王辉</v>
      </c>
      <c r="D117" s="5" t="str">
        <f>"460028199910011212"</f>
        <v>460028199910011212</v>
      </c>
      <c r="E117" s="5" t="s">
        <v>15</v>
      </c>
      <c r="F117" s="5" t="str">
        <f>"073101010407"</f>
        <v>073101010407</v>
      </c>
      <c r="G117" s="7">
        <v>66.9</v>
      </c>
      <c r="H117" s="7">
        <f t="shared" si="8"/>
        <v>33.45</v>
      </c>
      <c r="I117" s="7">
        <v>47.989</v>
      </c>
      <c r="J117" s="7">
        <f t="shared" si="9"/>
        <v>23.9945</v>
      </c>
      <c r="K117" s="10">
        <f t="shared" si="13"/>
        <v>57.444500000000005</v>
      </c>
      <c r="L117" s="7">
        <f>RANK(K117,$K$3:$K$280,0)</f>
        <v>115</v>
      </c>
      <c r="M117" s="11"/>
      <c r="N117"/>
    </row>
    <row r="118" spans="1:14" ht="24.75" customHeight="1">
      <c r="A118" s="5">
        <v>116</v>
      </c>
      <c r="B118" s="5" t="s">
        <v>14</v>
      </c>
      <c r="C118" s="5" t="str">
        <f>"陈晓彤"</f>
        <v>陈晓彤</v>
      </c>
      <c r="D118" s="5" t="str">
        <f>"46000419990530022X"</f>
        <v>46000419990530022X</v>
      </c>
      <c r="E118" s="5" t="s">
        <v>15</v>
      </c>
      <c r="F118" s="5" t="str">
        <f>"073101010220"</f>
        <v>073101010220</v>
      </c>
      <c r="G118" s="7">
        <v>73.1</v>
      </c>
      <c r="H118" s="7">
        <f t="shared" si="8"/>
        <v>36.55</v>
      </c>
      <c r="I118" s="7">
        <v>41.567</v>
      </c>
      <c r="J118" s="7">
        <f t="shared" si="9"/>
        <v>20.7835</v>
      </c>
      <c r="K118" s="10">
        <f t="shared" si="13"/>
        <v>57.3335</v>
      </c>
      <c r="L118" s="7">
        <f>RANK(K118,$K$3:$K$280,0)</f>
        <v>116</v>
      </c>
      <c r="M118" s="11"/>
      <c r="N118"/>
    </row>
    <row r="119" spans="1:14" ht="24.75" customHeight="1">
      <c r="A119" s="5">
        <v>117</v>
      </c>
      <c r="B119" s="5" t="s">
        <v>14</v>
      </c>
      <c r="C119" s="5" t="str">
        <f>"吴施"</f>
        <v>吴施</v>
      </c>
      <c r="D119" s="5" t="str">
        <f>"460102199506063020"</f>
        <v>460102199506063020</v>
      </c>
      <c r="E119" s="5" t="s">
        <v>15</v>
      </c>
      <c r="F119" s="5" t="str">
        <f>"073101010339"</f>
        <v>073101010339</v>
      </c>
      <c r="G119" s="7">
        <v>72.9</v>
      </c>
      <c r="H119" s="7">
        <f t="shared" si="8"/>
        <v>36.45</v>
      </c>
      <c r="I119" s="7">
        <v>41.567</v>
      </c>
      <c r="J119" s="7">
        <f t="shared" si="9"/>
        <v>20.7835</v>
      </c>
      <c r="K119" s="10">
        <f t="shared" si="13"/>
        <v>57.23350000000001</v>
      </c>
      <c r="L119" s="7">
        <f>RANK(K119,$K$3:$K$280,0)</f>
        <v>117</v>
      </c>
      <c r="M119" s="11"/>
      <c r="N119"/>
    </row>
    <row r="120" spans="1:14" ht="24.75" customHeight="1">
      <c r="A120" s="5">
        <v>118</v>
      </c>
      <c r="B120" s="5" t="s">
        <v>14</v>
      </c>
      <c r="C120" s="5" t="str">
        <f>"王楚婷"</f>
        <v>王楚婷</v>
      </c>
      <c r="D120" s="5" t="str">
        <f>"460006199809235221"</f>
        <v>460006199809235221</v>
      </c>
      <c r="E120" s="5" t="s">
        <v>15</v>
      </c>
      <c r="F120" s="5" t="str">
        <f>"073101010639"</f>
        <v>073101010639</v>
      </c>
      <c r="G120" s="7">
        <v>74.8</v>
      </c>
      <c r="H120" s="7">
        <f t="shared" si="8"/>
        <v>37.4</v>
      </c>
      <c r="I120" s="7">
        <v>38.885</v>
      </c>
      <c r="J120" s="7">
        <f t="shared" si="9"/>
        <v>19.4425</v>
      </c>
      <c r="K120" s="10">
        <f t="shared" si="13"/>
        <v>56.8425</v>
      </c>
      <c r="L120" s="7">
        <f>RANK(K120,$K$3:$K$280,0)</f>
        <v>118</v>
      </c>
      <c r="M120" s="11"/>
      <c r="N120"/>
    </row>
    <row r="121" spans="1:14" ht="24.75" customHeight="1">
      <c r="A121" s="5">
        <v>119</v>
      </c>
      <c r="B121" s="5" t="s">
        <v>14</v>
      </c>
      <c r="C121" s="5" t="str">
        <f>"陈蕾"</f>
        <v>陈蕾</v>
      </c>
      <c r="D121" s="5" t="str">
        <f>"460004199708236249"</f>
        <v>460004199708236249</v>
      </c>
      <c r="E121" s="5" t="s">
        <v>15</v>
      </c>
      <c r="F121" s="5" t="str">
        <f>"073101010409"</f>
        <v>073101010409</v>
      </c>
      <c r="G121" s="7">
        <v>70.2</v>
      </c>
      <c r="H121" s="7">
        <f t="shared" si="8"/>
        <v>35.1</v>
      </c>
      <c r="I121" s="7">
        <v>43.472</v>
      </c>
      <c r="J121" s="7">
        <f t="shared" si="9"/>
        <v>21.736</v>
      </c>
      <c r="K121" s="10">
        <f t="shared" si="13"/>
        <v>56.836</v>
      </c>
      <c r="L121" s="7">
        <f>RANK(K121,$K$3:$K$280,0)</f>
        <v>119</v>
      </c>
      <c r="M121" s="11"/>
      <c r="N121"/>
    </row>
    <row r="122" spans="1:14" ht="24.75" customHeight="1">
      <c r="A122" s="5">
        <v>120</v>
      </c>
      <c r="B122" s="5" t="s">
        <v>14</v>
      </c>
      <c r="C122" s="5" t="str">
        <f>"杨秋玲"</f>
        <v>杨秋玲</v>
      </c>
      <c r="D122" s="5" t="str">
        <f>"46003319970404716X"</f>
        <v>46003319970404716X</v>
      </c>
      <c r="E122" s="5" t="s">
        <v>15</v>
      </c>
      <c r="F122" s="5" t="str">
        <f>"073101010631"</f>
        <v>073101010631</v>
      </c>
      <c r="G122" s="7">
        <v>73.5</v>
      </c>
      <c r="H122" s="7">
        <f t="shared" si="8"/>
        <v>36.75</v>
      </c>
      <c r="I122" s="7">
        <v>40.085</v>
      </c>
      <c r="J122" s="7">
        <f t="shared" si="9"/>
        <v>20.0425</v>
      </c>
      <c r="K122" s="10">
        <f t="shared" si="13"/>
        <v>56.792500000000004</v>
      </c>
      <c r="L122" s="7">
        <f>RANK(K122,$K$3:$K$280,0)</f>
        <v>120</v>
      </c>
      <c r="M122" s="11"/>
      <c r="N122"/>
    </row>
    <row r="123" spans="1:14" ht="24.75" customHeight="1">
      <c r="A123" s="5">
        <v>121</v>
      </c>
      <c r="B123" s="5" t="s">
        <v>14</v>
      </c>
      <c r="C123" s="5" t="str">
        <f>"郑帝丽"</f>
        <v>郑帝丽</v>
      </c>
      <c r="D123" s="5" t="str">
        <f>"460007199805225882"</f>
        <v>460007199805225882</v>
      </c>
      <c r="E123" s="5" t="s">
        <v>15</v>
      </c>
      <c r="F123" s="5" t="str">
        <f>"073101010113"</f>
        <v>073101010113</v>
      </c>
      <c r="G123" s="7">
        <v>62.9</v>
      </c>
      <c r="H123" s="7">
        <f t="shared" si="8"/>
        <v>31.45</v>
      </c>
      <c r="I123" s="7">
        <v>50.529</v>
      </c>
      <c r="J123" s="7">
        <f t="shared" si="9"/>
        <v>25.2645</v>
      </c>
      <c r="K123" s="10">
        <f t="shared" si="13"/>
        <v>56.7145</v>
      </c>
      <c r="L123" s="7">
        <f>RANK(K123,$K$3:$K$280,0)</f>
        <v>121</v>
      </c>
      <c r="M123" s="11"/>
      <c r="N123"/>
    </row>
    <row r="124" spans="1:14" ht="24.75" customHeight="1">
      <c r="A124" s="5">
        <v>122</v>
      </c>
      <c r="B124" s="5" t="s">
        <v>14</v>
      </c>
      <c r="C124" s="5" t="str">
        <f>"林艳妃"</f>
        <v>林艳妃</v>
      </c>
      <c r="D124" s="5" t="str">
        <f>"460003199804210624"</f>
        <v>460003199804210624</v>
      </c>
      <c r="E124" s="5" t="s">
        <v>15</v>
      </c>
      <c r="F124" s="5" t="str">
        <f>"073101010537"</f>
        <v>073101010537</v>
      </c>
      <c r="G124" s="7">
        <v>79.4</v>
      </c>
      <c r="H124" s="7">
        <f t="shared" si="8"/>
        <v>39.7</v>
      </c>
      <c r="I124" s="7">
        <v>32.886</v>
      </c>
      <c r="J124" s="7">
        <f t="shared" si="9"/>
        <v>16.443</v>
      </c>
      <c r="K124" s="10">
        <f t="shared" si="13"/>
        <v>56.143</v>
      </c>
      <c r="L124" s="7">
        <f>RANK(K124,$K$3:$K$280,0)</f>
        <v>122</v>
      </c>
      <c r="M124" s="11"/>
      <c r="N124"/>
    </row>
    <row r="125" spans="1:14" ht="24.75" customHeight="1">
      <c r="A125" s="5">
        <v>123</v>
      </c>
      <c r="B125" s="5" t="s">
        <v>14</v>
      </c>
      <c r="C125" s="5" t="str">
        <f>"康丹丹"</f>
        <v>康丹丹</v>
      </c>
      <c r="D125" s="5" t="str">
        <f>"460007199509303620"</f>
        <v>460007199509303620</v>
      </c>
      <c r="E125" s="5" t="s">
        <v>15</v>
      </c>
      <c r="F125" s="5" t="str">
        <f>"073101010615"</f>
        <v>073101010615</v>
      </c>
      <c r="G125" s="7">
        <v>69.8</v>
      </c>
      <c r="H125" s="7">
        <f t="shared" si="8"/>
        <v>34.9</v>
      </c>
      <c r="I125" s="7">
        <v>41.849</v>
      </c>
      <c r="J125" s="7">
        <f t="shared" si="9"/>
        <v>20.9245</v>
      </c>
      <c r="K125" s="10">
        <f t="shared" si="13"/>
        <v>55.8245</v>
      </c>
      <c r="L125" s="7">
        <f>RANK(K125,$K$3:$K$280,0)</f>
        <v>123</v>
      </c>
      <c r="M125" s="11"/>
      <c r="N125"/>
    </row>
    <row r="126" spans="1:14" ht="24.75" customHeight="1">
      <c r="A126" s="5">
        <v>124</v>
      </c>
      <c r="B126" s="5" t="s">
        <v>14</v>
      </c>
      <c r="C126" s="5" t="str">
        <f>"刘霞泉"</f>
        <v>刘霞泉</v>
      </c>
      <c r="D126" s="5" t="str">
        <f>"460006199805030624"</f>
        <v>460006199805030624</v>
      </c>
      <c r="E126" s="5" t="s">
        <v>15</v>
      </c>
      <c r="F126" s="5" t="str">
        <f>"073101010525"</f>
        <v>073101010525</v>
      </c>
      <c r="G126" s="7">
        <v>65.2</v>
      </c>
      <c r="H126" s="7">
        <f t="shared" si="8"/>
        <v>32.6</v>
      </c>
      <c r="I126" s="7">
        <v>45.73</v>
      </c>
      <c r="J126" s="7">
        <f t="shared" si="9"/>
        <v>22.865</v>
      </c>
      <c r="K126" s="10">
        <f t="shared" si="13"/>
        <v>55.465</v>
      </c>
      <c r="L126" s="7">
        <f>RANK(K126,$K$3:$K$280,0)</f>
        <v>124</v>
      </c>
      <c r="M126" s="11"/>
      <c r="N126"/>
    </row>
    <row r="127" spans="1:14" ht="24.75" customHeight="1">
      <c r="A127" s="5">
        <v>125</v>
      </c>
      <c r="B127" s="5" t="s">
        <v>14</v>
      </c>
      <c r="C127" s="5" t="str">
        <f>"张杏"</f>
        <v>张杏</v>
      </c>
      <c r="D127" s="5" t="str">
        <f>"46002719960904262X"</f>
        <v>46002719960904262X</v>
      </c>
      <c r="E127" s="5" t="s">
        <v>15</v>
      </c>
      <c r="F127" s="5" t="str">
        <f>"073101010627"</f>
        <v>073101010627</v>
      </c>
      <c r="G127" s="7">
        <v>76.5</v>
      </c>
      <c r="H127" s="7">
        <f t="shared" si="8"/>
        <v>38.25</v>
      </c>
      <c r="I127" s="7">
        <v>33.663</v>
      </c>
      <c r="J127" s="7">
        <f t="shared" si="9"/>
        <v>16.8315</v>
      </c>
      <c r="K127" s="10">
        <f t="shared" si="13"/>
        <v>55.0815</v>
      </c>
      <c r="L127" s="7">
        <f>RANK(K127,$K$3:$K$280,0)</f>
        <v>125</v>
      </c>
      <c r="M127" s="11"/>
      <c r="N127"/>
    </row>
    <row r="128" spans="1:14" ht="24.75" customHeight="1">
      <c r="A128" s="5">
        <v>126</v>
      </c>
      <c r="B128" s="5" t="s">
        <v>14</v>
      </c>
      <c r="C128" s="5" t="str">
        <f>"钟雅芝"</f>
        <v>钟雅芝</v>
      </c>
      <c r="D128" s="5" t="str">
        <f>"460200199610261206"</f>
        <v>460200199610261206</v>
      </c>
      <c r="E128" s="5" t="s">
        <v>15</v>
      </c>
      <c r="F128" s="5" t="str">
        <f>"073101010401"</f>
        <v>073101010401</v>
      </c>
      <c r="G128" s="7">
        <v>66.4</v>
      </c>
      <c r="H128" s="7">
        <f t="shared" si="8"/>
        <v>33.2</v>
      </c>
      <c r="I128" s="7">
        <v>43.684</v>
      </c>
      <c r="J128" s="7">
        <f t="shared" si="9"/>
        <v>21.842</v>
      </c>
      <c r="K128" s="10">
        <f t="shared" si="13"/>
        <v>55.042</v>
      </c>
      <c r="L128" s="7">
        <f>RANK(K128,$K$3:$K$280,0)</f>
        <v>126</v>
      </c>
      <c r="M128" s="11"/>
      <c r="N128"/>
    </row>
    <row r="129" spans="1:14" ht="24.75" customHeight="1">
      <c r="A129" s="5">
        <v>127</v>
      </c>
      <c r="B129" s="5" t="s">
        <v>14</v>
      </c>
      <c r="C129" s="5" t="str">
        <f>"高冰冰"</f>
        <v>高冰冰</v>
      </c>
      <c r="D129" s="5" t="str">
        <f>"460006199901210422"</f>
        <v>460006199901210422</v>
      </c>
      <c r="E129" s="5" t="s">
        <v>15</v>
      </c>
      <c r="F129" s="5" t="str">
        <f>"073101010118"</f>
        <v>073101010118</v>
      </c>
      <c r="G129" s="7">
        <v>66.2</v>
      </c>
      <c r="H129" s="7">
        <f t="shared" si="8"/>
        <v>33.1</v>
      </c>
      <c r="I129" s="7">
        <v>41.284</v>
      </c>
      <c r="J129" s="7">
        <f t="shared" si="9"/>
        <v>20.642</v>
      </c>
      <c r="K129" s="10">
        <f t="shared" si="13"/>
        <v>53.742000000000004</v>
      </c>
      <c r="L129" s="7">
        <f>RANK(K129,$K$3:$K$280,0)</f>
        <v>127</v>
      </c>
      <c r="M129" s="11"/>
      <c r="N129"/>
    </row>
    <row r="130" spans="1:14" ht="24.75" customHeight="1">
      <c r="A130" s="5">
        <v>128</v>
      </c>
      <c r="B130" s="5" t="s">
        <v>14</v>
      </c>
      <c r="C130" s="5" t="str">
        <f>"陈佳佳"</f>
        <v>陈佳佳</v>
      </c>
      <c r="D130" s="5" t="str">
        <f>"460033199702083888"</f>
        <v>460033199702083888</v>
      </c>
      <c r="E130" s="5" t="s">
        <v>15</v>
      </c>
      <c r="F130" s="5" t="str">
        <f>"073101010417"</f>
        <v>073101010417</v>
      </c>
      <c r="G130" s="7">
        <v>55.5</v>
      </c>
      <c r="H130" s="7">
        <f t="shared" si="8"/>
        <v>27.75</v>
      </c>
      <c r="I130" s="7">
        <v>51.8</v>
      </c>
      <c r="J130" s="7">
        <f t="shared" si="9"/>
        <v>25.9</v>
      </c>
      <c r="K130" s="10">
        <f t="shared" si="13"/>
        <v>53.65</v>
      </c>
      <c r="L130" s="7">
        <f>RANK(K130,$K$3:$K$280,0)</f>
        <v>128</v>
      </c>
      <c r="M130" s="11"/>
      <c r="N130"/>
    </row>
    <row r="131" spans="1:14" ht="24.75" customHeight="1">
      <c r="A131" s="5">
        <v>129</v>
      </c>
      <c r="B131" s="5" t="s">
        <v>14</v>
      </c>
      <c r="C131" s="5" t="str">
        <f>"陈琼荣"</f>
        <v>陈琼荣</v>
      </c>
      <c r="D131" s="5" t="str">
        <f>"460026199311282720"</f>
        <v>460026199311282720</v>
      </c>
      <c r="E131" s="5" t="s">
        <v>15</v>
      </c>
      <c r="F131" s="5" t="str">
        <f>"073101010209"</f>
        <v>073101010209</v>
      </c>
      <c r="G131" s="7">
        <v>56.9</v>
      </c>
      <c r="H131" s="7">
        <f aca="true" t="shared" si="14" ref="H131:H194">G131*0.5</f>
        <v>28.45</v>
      </c>
      <c r="I131" s="7">
        <v>50.035</v>
      </c>
      <c r="J131" s="7">
        <f aca="true" t="shared" si="15" ref="J131:J194">I131*0.5</f>
        <v>25.0175</v>
      </c>
      <c r="K131" s="10">
        <f t="shared" si="13"/>
        <v>53.4675</v>
      </c>
      <c r="L131" s="7">
        <f>RANK(K131,$K$3:$K$280,0)</f>
        <v>129</v>
      </c>
      <c r="M131" s="11"/>
      <c r="N131"/>
    </row>
    <row r="132" spans="1:14" ht="24.75" customHeight="1">
      <c r="A132" s="5">
        <v>130</v>
      </c>
      <c r="B132" s="5" t="s">
        <v>14</v>
      </c>
      <c r="C132" s="5" t="str">
        <f>"陈载明"</f>
        <v>陈载明</v>
      </c>
      <c r="D132" s="5" t="str">
        <f>"460030199712060031"</f>
        <v>460030199712060031</v>
      </c>
      <c r="E132" s="5" t="s">
        <v>15</v>
      </c>
      <c r="F132" s="5" t="str">
        <f>"073101010705"</f>
        <v>073101010705</v>
      </c>
      <c r="G132" s="7">
        <v>78.1</v>
      </c>
      <c r="H132" s="7">
        <f t="shared" si="14"/>
        <v>39.05</v>
      </c>
      <c r="I132" s="7">
        <v>28.793</v>
      </c>
      <c r="J132" s="7">
        <f t="shared" si="15"/>
        <v>14.3965</v>
      </c>
      <c r="K132" s="10">
        <f t="shared" si="13"/>
        <v>53.4465</v>
      </c>
      <c r="L132" s="7">
        <f>RANK(K132,$K$3:$K$280,0)</f>
        <v>130</v>
      </c>
      <c r="M132" s="11"/>
      <c r="N132"/>
    </row>
    <row r="133" spans="1:14" ht="24.75" customHeight="1">
      <c r="A133" s="5">
        <v>131</v>
      </c>
      <c r="B133" s="5" t="s">
        <v>14</v>
      </c>
      <c r="C133" s="5" t="str">
        <f>"吴娟"</f>
        <v>吴娟</v>
      </c>
      <c r="D133" s="5" t="str">
        <f>"460004200006296226"</f>
        <v>460004200006296226</v>
      </c>
      <c r="E133" s="5" t="s">
        <v>15</v>
      </c>
      <c r="F133" s="5" t="str">
        <f>"073101010308"</f>
        <v>073101010308</v>
      </c>
      <c r="G133" s="7">
        <v>78.7</v>
      </c>
      <c r="H133" s="7">
        <f t="shared" si="14"/>
        <v>39.35</v>
      </c>
      <c r="I133" s="7">
        <v>27.664</v>
      </c>
      <c r="J133" s="7">
        <f t="shared" si="15"/>
        <v>13.832</v>
      </c>
      <c r="K133" s="10">
        <f t="shared" si="13"/>
        <v>53.182</v>
      </c>
      <c r="L133" s="7">
        <f>RANK(K133,$K$3:$K$280,0)</f>
        <v>131</v>
      </c>
      <c r="M133" s="11"/>
      <c r="N133"/>
    </row>
    <row r="134" spans="1:14" ht="24.75" customHeight="1">
      <c r="A134" s="5">
        <v>132</v>
      </c>
      <c r="B134" s="5" t="s">
        <v>14</v>
      </c>
      <c r="C134" s="5" t="str">
        <f>"吴金玲"</f>
        <v>吴金玲</v>
      </c>
      <c r="D134" s="5" t="str">
        <f>"460028199611116022"</f>
        <v>460028199611116022</v>
      </c>
      <c r="E134" s="5" t="s">
        <v>15</v>
      </c>
      <c r="F134" s="5" t="str">
        <f>"073101010424"</f>
        <v>073101010424</v>
      </c>
      <c r="G134" s="7">
        <v>62.8</v>
      </c>
      <c r="H134" s="7">
        <f t="shared" si="14"/>
        <v>31.4</v>
      </c>
      <c r="I134" s="7">
        <v>42.061</v>
      </c>
      <c r="J134" s="7">
        <f t="shared" si="15"/>
        <v>21.0305</v>
      </c>
      <c r="K134" s="10">
        <f t="shared" si="13"/>
        <v>52.430499999999995</v>
      </c>
      <c r="L134" s="7">
        <f>RANK(K134,$K$3:$K$280,0)</f>
        <v>132</v>
      </c>
      <c r="M134" s="11"/>
      <c r="N134"/>
    </row>
    <row r="135" spans="1:14" ht="24.75" customHeight="1">
      <c r="A135" s="5">
        <v>133</v>
      </c>
      <c r="B135" s="5" t="s">
        <v>14</v>
      </c>
      <c r="C135" s="5" t="str">
        <f>"张漫怡"</f>
        <v>张漫怡</v>
      </c>
      <c r="D135" s="5" t="str">
        <f>"460034199606140025"</f>
        <v>460034199606140025</v>
      </c>
      <c r="E135" s="5" t="s">
        <v>15</v>
      </c>
      <c r="F135" s="5" t="str">
        <f>"073101010630"</f>
        <v>073101010630</v>
      </c>
      <c r="G135" s="7">
        <v>29.5</v>
      </c>
      <c r="H135" s="7">
        <f t="shared" si="14"/>
        <v>14.75</v>
      </c>
      <c r="I135" s="7">
        <v>73.394</v>
      </c>
      <c r="J135" s="7">
        <f t="shared" si="15"/>
        <v>36.697</v>
      </c>
      <c r="K135" s="10">
        <f t="shared" si="13"/>
        <v>51.447</v>
      </c>
      <c r="L135" s="7">
        <f>RANK(K135,$K$3:$K$280,0)</f>
        <v>133</v>
      </c>
      <c r="M135" s="11"/>
      <c r="N135"/>
    </row>
    <row r="136" spans="1:14" ht="24.75" customHeight="1">
      <c r="A136" s="5">
        <v>134</v>
      </c>
      <c r="B136" s="5" t="s">
        <v>14</v>
      </c>
      <c r="C136" s="5" t="str">
        <f>"朱奎国"</f>
        <v>朱奎国</v>
      </c>
      <c r="D136" s="5" t="str">
        <f>"460004199710233450"</f>
        <v>460004199710233450</v>
      </c>
      <c r="E136" s="5" t="s">
        <v>15</v>
      </c>
      <c r="F136" s="5" t="str">
        <f>"073101010233"</f>
        <v>073101010233</v>
      </c>
      <c r="G136" s="7">
        <v>86.2</v>
      </c>
      <c r="H136" s="7">
        <f t="shared" si="14"/>
        <v>43.1</v>
      </c>
      <c r="I136" s="7">
        <v>14.608</v>
      </c>
      <c r="J136" s="7">
        <f t="shared" si="15"/>
        <v>7.304</v>
      </c>
      <c r="K136" s="10">
        <f t="shared" si="13"/>
        <v>50.404</v>
      </c>
      <c r="L136" s="7">
        <f>RANK(K136,$K$3:$K$280,0)</f>
        <v>134</v>
      </c>
      <c r="M136" s="11"/>
      <c r="N136"/>
    </row>
    <row r="137" spans="1:14" ht="24.75" customHeight="1">
      <c r="A137" s="5">
        <v>135</v>
      </c>
      <c r="B137" s="5" t="s">
        <v>14</v>
      </c>
      <c r="C137" s="5" t="str">
        <f>"吴钟瑞"</f>
        <v>吴钟瑞</v>
      </c>
      <c r="D137" s="5" t="str">
        <f>"460026199708154217"</f>
        <v>460026199708154217</v>
      </c>
      <c r="E137" s="5" t="s">
        <v>15</v>
      </c>
      <c r="F137" s="5" t="str">
        <f>"073101010714"</f>
        <v>073101010714</v>
      </c>
      <c r="G137" s="7">
        <v>28.6</v>
      </c>
      <c r="H137" s="7">
        <f t="shared" si="14"/>
        <v>14.3</v>
      </c>
      <c r="I137" s="7">
        <v>71.418</v>
      </c>
      <c r="J137" s="7">
        <f t="shared" si="15"/>
        <v>35.709</v>
      </c>
      <c r="K137" s="10">
        <f t="shared" si="13"/>
        <v>50.009</v>
      </c>
      <c r="L137" s="7">
        <f>RANK(K137,$K$3:$K$280,0)</f>
        <v>135</v>
      </c>
      <c r="M137" s="11"/>
      <c r="N137"/>
    </row>
    <row r="138" spans="1:14" ht="24.75" customHeight="1">
      <c r="A138" s="5">
        <v>136</v>
      </c>
      <c r="B138" s="5" t="s">
        <v>14</v>
      </c>
      <c r="C138" s="5" t="str">
        <f>"倪成凤"</f>
        <v>倪成凤</v>
      </c>
      <c r="D138" s="5" t="str">
        <f>"53262719960410234X"</f>
        <v>53262719960410234X</v>
      </c>
      <c r="E138" s="5" t="s">
        <v>15</v>
      </c>
      <c r="F138" s="5" t="str">
        <f>"073101010202"</f>
        <v>073101010202</v>
      </c>
      <c r="G138" s="7">
        <v>79.2</v>
      </c>
      <c r="H138" s="7">
        <f t="shared" si="14"/>
        <v>39.6</v>
      </c>
      <c r="I138" s="7">
        <v>20.466</v>
      </c>
      <c r="J138" s="7">
        <f t="shared" si="15"/>
        <v>10.233</v>
      </c>
      <c r="K138" s="10">
        <f t="shared" si="13"/>
        <v>49.833</v>
      </c>
      <c r="L138" s="7">
        <f>RANK(K138,$K$3:$K$280,0)</f>
        <v>136</v>
      </c>
      <c r="M138" s="11"/>
      <c r="N138"/>
    </row>
    <row r="139" spans="1:14" ht="24.75" customHeight="1">
      <c r="A139" s="5">
        <v>137</v>
      </c>
      <c r="B139" s="5" t="s">
        <v>14</v>
      </c>
      <c r="C139" s="5" t="str">
        <f>"王秦杰"</f>
        <v>王秦杰</v>
      </c>
      <c r="D139" s="5" t="str">
        <f>"460028199305205238"</f>
        <v>460028199305205238</v>
      </c>
      <c r="E139" s="5" t="s">
        <v>15</v>
      </c>
      <c r="F139" s="5" t="str">
        <f>"073101010625"</f>
        <v>073101010625</v>
      </c>
      <c r="G139" s="7">
        <v>76.3</v>
      </c>
      <c r="H139" s="7">
        <f t="shared" si="14"/>
        <v>38.15</v>
      </c>
      <c r="I139" s="7">
        <v>22.371</v>
      </c>
      <c r="J139" s="7">
        <f t="shared" si="15"/>
        <v>11.1855</v>
      </c>
      <c r="K139" s="10">
        <f t="shared" si="13"/>
        <v>49.335499999999996</v>
      </c>
      <c r="L139" s="7">
        <f>RANK(K139,$K$3:$K$280,0)</f>
        <v>137</v>
      </c>
      <c r="M139" s="11"/>
      <c r="N139"/>
    </row>
    <row r="140" spans="1:14" ht="24.75" customHeight="1">
      <c r="A140" s="5">
        <v>138</v>
      </c>
      <c r="B140" s="5" t="s">
        <v>14</v>
      </c>
      <c r="C140" s="5" t="str">
        <f>"蒋立娜"</f>
        <v>蒋立娜</v>
      </c>
      <c r="D140" s="5" t="str">
        <f>"460005199305294846"</f>
        <v>460005199305294846</v>
      </c>
      <c r="E140" s="5" t="s">
        <v>15</v>
      </c>
      <c r="F140" s="5" t="str">
        <f>"073101010710"</f>
        <v>073101010710</v>
      </c>
      <c r="G140" s="7">
        <v>42</v>
      </c>
      <c r="H140" s="7">
        <f t="shared" si="14"/>
        <v>21</v>
      </c>
      <c r="I140" s="7">
        <v>56.316</v>
      </c>
      <c r="J140" s="7">
        <f t="shared" si="15"/>
        <v>28.158</v>
      </c>
      <c r="K140" s="10">
        <f t="shared" si="13"/>
        <v>49.158</v>
      </c>
      <c r="L140" s="7">
        <f>RANK(K140,$K$3:$K$280,0)</f>
        <v>138</v>
      </c>
      <c r="M140" s="11"/>
      <c r="N140"/>
    </row>
    <row r="141" spans="1:14" ht="24.75" customHeight="1">
      <c r="A141" s="5">
        <v>139</v>
      </c>
      <c r="B141" s="5" t="s">
        <v>14</v>
      </c>
      <c r="C141" s="5" t="str">
        <f>"黄银华"</f>
        <v>黄银华</v>
      </c>
      <c r="D141" s="5" t="str">
        <f>"460007199810170425"</f>
        <v>460007199810170425</v>
      </c>
      <c r="E141" s="5" t="s">
        <v>15</v>
      </c>
      <c r="F141" s="5" t="str">
        <f>"073101010321"</f>
        <v>073101010321</v>
      </c>
      <c r="G141" s="7">
        <v>38.7</v>
      </c>
      <c r="H141" s="7">
        <f t="shared" si="14"/>
        <v>19.35</v>
      </c>
      <c r="I141" s="7">
        <v>59.421</v>
      </c>
      <c r="J141" s="7">
        <f t="shared" si="15"/>
        <v>29.7105</v>
      </c>
      <c r="K141" s="10">
        <f t="shared" si="13"/>
        <v>49.060500000000005</v>
      </c>
      <c r="L141" s="7">
        <f>RANK(K141,$K$3:$K$280,0)</f>
        <v>139</v>
      </c>
      <c r="M141" s="11"/>
      <c r="N141"/>
    </row>
    <row r="142" spans="1:14" ht="24.75" customHeight="1">
      <c r="A142" s="5">
        <v>140</v>
      </c>
      <c r="B142" s="5" t="s">
        <v>14</v>
      </c>
      <c r="C142" s="5" t="str">
        <f>"卢春琼"</f>
        <v>卢春琼</v>
      </c>
      <c r="D142" s="5" t="str">
        <f>"460022199508225126"</f>
        <v>460022199508225126</v>
      </c>
      <c r="E142" s="5" t="s">
        <v>15</v>
      </c>
      <c r="F142" s="5" t="str">
        <f>"073101010701"</f>
        <v>073101010701</v>
      </c>
      <c r="G142" s="7">
        <v>64.3</v>
      </c>
      <c r="H142" s="7">
        <f t="shared" si="14"/>
        <v>32.15</v>
      </c>
      <c r="I142" s="7">
        <v>33.38</v>
      </c>
      <c r="J142" s="7">
        <f t="shared" si="15"/>
        <v>16.69</v>
      </c>
      <c r="K142" s="10">
        <f t="shared" si="13"/>
        <v>48.84</v>
      </c>
      <c r="L142" s="7">
        <f>RANK(K142,$K$3:$K$280,0)</f>
        <v>140</v>
      </c>
      <c r="M142" s="11"/>
      <c r="N142"/>
    </row>
    <row r="143" spans="1:14" ht="24.75" customHeight="1">
      <c r="A143" s="5">
        <v>141</v>
      </c>
      <c r="B143" s="5" t="s">
        <v>14</v>
      </c>
      <c r="C143" s="5" t="str">
        <f>"张凤靖"</f>
        <v>张凤靖</v>
      </c>
      <c r="D143" s="5" t="str">
        <f>"460007199805187628"</f>
        <v>460007199805187628</v>
      </c>
      <c r="E143" s="5" t="s">
        <v>15</v>
      </c>
      <c r="F143" s="5" t="str">
        <f>"073101010317"</f>
        <v>073101010317</v>
      </c>
      <c r="G143" s="7">
        <v>49.2</v>
      </c>
      <c r="H143" s="7">
        <f t="shared" si="14"/>
        <v>24.6</v>
      </c>
      <c r="I143" s="7">
        <v>44.954</v>
      </c>
      <c r="J143" s="7">
        <f t="shared" si="15"/>
        <v>22.477</v>
      </c>
      <c r="K143" s="10">
        <f t="shared" si="13"/>
        <v>47.077</v>
      </c>
      <c r="L143" s="7">
        <f>RANK(K143,$K$3:$K$280,0)</f>
        <v>141</v>
      </c>
      <c r="M143" s="11"/>
      <c r="N143"/>
    </row>
    <row r="144" spans="1:14" ht="24.75" customHeight="1">
      <c r="A144" s="5">
        <v>142</v>
      </c>
      <c r="B144" s="5" t="s">
        <v>14</v>
      </c>
      <c r="C144" s="5" t="str">
        <f>"陈柔静"</f>
        <v>陈柔静</v>
      </c>
      <c r="D144" s="5" t="str">
        <f>"460034200002191820"</f>
        <v>460034200002191820</v>
      </c>
      <c r="E144" s="5" t="s">
        <v>15</v>
      </c>
      <c r="F144" s="5" t="str">
        <f>"073101010112"</f>
        <v>073101010112</v>
      </c>
      <c r="G144" s="7">
        <v>64.7</v>
      </c>
      <c r="H144" s="7">
        <f t="shared" si="14"/>
        <v>32.35</v>
      </c>
      <c r="I144" s="7">
        <v>28.511</v>
      </c>
      <c r="J144" s="7">
        <f t="shared" si="15"/>
        <v>14.2555</v>
      </c>
      <c r="K144" s="10">
        <f t="shared" si="13"/>
        <v>46.6055</v>
      </c>
      <c r="L144" s="7">
        <f>RANK(K144,$K$3:$K$280,0)</f>
        <v>142</v>
      </c>
      <c r="M144" s="11"/>
      <c r="N144"/>
    </row>
    <row r="145" spans="1:14" ht="24.75" customHeight="1">
      <c r="A145" s="5">
        <v>143</v>
      </c>
      <c r="B145" s="5" t="s">
        <v>14</v>
      </c>
      <c r="C145" s="5" t="str">
        <f>"张贵玲"</f>
        <v>张贵玲</v>
      </c>
      <c r="D145" s="5" t="str">
        <f>"460006199611252325"</f>
        <v>460006199611252325</v>
      </c>
      <c r="E145" s="5" t="s">
        <v>15</v>
      </c>
      <c r="F145" s="5" t="str">
        <f>"073101010540"</f>
        <v>073101010540</v>
      </c>
      <c r="G145" s="7">
        <v>65.1</v>
      </c>
      <c r="H145" s="7">
        <f t="shared" si="14"/>
        <v>32.55</v>
      </c>
      <c r="I145" s="7">
        <v>27.029</v>
      </c>
      <c r="J145" s="7">
        <f t="shared" si="15"/>
        <v>13.5145</v>
      </c>
      <c r="K145" s="10">
        <f t="shared" si="13"/>
        <v>46.064499999999995</v>
      </c>
      <c r="L145" s="7">
        <f>RANK(K145,$K$3:$K$280,0)</f>
        <v>143</v>
      </c>
      <c r="M145" s="11"/>
      <c r="N145"/>
    </row>
    <row r="146" spans="1:14" ht="24.75" customHeight="1">
      <c r="A146" s="5">
        <v>144</v>
      </c>
      <c r="B146" s="5" t="s">
        <v>14</v>
      </c>
      <c r="C146" s="5" t="str">
        <f>"陈雪"</f>
        <v>陈雪</v>
      </c>
      <c r="D146" s="5" t="str">
        <f>"460033199203183921"</f>
        <v>460033199203183921</v>
      </c>
      <c r="E146" s="5" t="s">
        <v>15</v>
      </c>
      <c r="F146" s="5" t="str">
        <f>"073101010638"</f>
        <v>073101010638</v>
      </c>
      <c r="G146" s="7">
        <v>65.2</v>
      </c>
      <c r="H146" s="7">
        <f t="shared" si="14"/>
        <v>32.6</v>
      </c>
      <c r="I146" s="7">
        <v>25.759</v>
      </c>
      <c r="J146" s="7">
        <f t="shared" si="15"/>
        <v>12.8795</v>
      </c>
      <c r="K146" s="10">
        <f t="shared" si="13"/>
        <v>45.4795</v>
      </c>
      <c r="L146" s="7">
        <f>RANK(K146,$K$3:$K$280,0)</f>
        <v>144</v>
      </c>
      <c r="M146" s="11"/>
      <c r="N146"/>
    </row>
    <row r="147" spans="1:14" ht="24.75" customHeight="1">
      <c r="A147" s="5">
        <v>145</v>
      </c>
      <c r="B147" s="5" t="s">
        <v>14</v>
      </c>
      <c r="C147" s="5" t="str">
        <f>"符美英"</f>
        <v>符美英</v>
      </c>
      <c r="D147" s="5" t="str">
        <f>"460001199804181023"</f>
        <v>460001199804181023</v>
      </c>
      <c r="E147" s="5" t="s">
        <v>15</v>
      </c>
      <c r="F147" s="5" t="str">
        <f>"073101010110"</f>
        <v>073101010110</v>
      </c>
      <c r="G147" s="7">
        <v>81</v>
      </c>
      <c r="H147" s="7">
        <f t="shared" si="14"/>
        <v>40.5</v>
      </c>
      <c r="I147" s="7">
        <v>9.809</v>
      </c>
      <c r="J147" s="7">
        <f t="shared" si="15"/>
        <v>4.9045</v>
      </c>
      <c r="K147" s="10">
        <f t="shared" si="13"/>
        <v>45.4045</v>
      </c>
      <c r="L147" s="7">
        <f>RANK(K147,$K$3:$K$280,0)</f>
        <v>145</v>
      </c>
      <c r="M147" s="11"/>
      <c r="N147"/>
    </row>
    <row r="148" spans="1:14" ht="24.75" customHeight="1">
      <c r="A148" s="5">
        <v>146</v>
      </c>
      <c r="B148" s="5" t="s">
        <v>14</v>
      </c>
      <c r="C148" s="5" t="str">
        <f>"曾庆怡"</f>
        <v>曾庆怡</v>
      </c>
      <c r="D148" s="5" t="str">
        <f>"460006199705071488"</f>
        <v>460006199705071488</v>
      </c>
      <c r="E148" s="5" t="s">
        <v>15</v>
      </c>
      <c r="F148" s="5" t="str">
        <f>"073101010105"</f>
        <v>073101010105</v>
      </c>
      <c r="G148" s="7">
        <v>61.6</v>
      </c>
      <c r="H148" s="7">
        <f t="shared" si="14"/>
        <v>30.8</v>
      </c>
      <c r="I148" s="7">
        <v>28.793</v>
      </c>
      <c r="J148" s="7">
        <f t="shared" si="15"/>
        <v>14.3965</v>
      </c>
      <c r="K148" s="10">
        <f t="shared" si="13"/>
        <v>45.1965</v>
      </c>
      <c r="L148" s="7">
        <f>RANK(K148,$K$3:$K$280,0)</f>
        <v>146</v>
      </c>
      <c r="M148" s="11"/>
      <c r="N148"/>
    </row>
    <row r="149" spans="1:14" ht="24.75" customHeight="1">
      <c r="A149" s="5">
        <v>147</v>
      </c>
      <c r="B149" s="5" t="s">
        <v>14</v>
      </c>
      <c r="C149" s="5" t="str">
        <f>"陈宇思"</f>
        <v>陈宇思</v>
      </c>
      <c r="D149" s="5" t="str">
        <f>"460104199812031222"</f>
        <v>460104199812031222</v>
      </c>
      <c r="E149" s="5" t="s">
        <v>15</v>
      </c>
      <c r="F149" s="5" t="str">
        <f>"073101010115"</f>
        <v>073101010115</v>
      </c>
      <c r="G149" s="7">
        <v>45.5</v>
      </c>
      <c r="H149" s="7">
        <f t="shared" si="14"/>
        <v>22.75</v>
      </c>
      <c r="I149" s="7">
        <v>43.825</v>
      </c>
      <c r="J149" s="7">
        <f t="shared" si="15"/>
        <v>21.9125</v>
      </c>
      <c r="K149" s="10">
        <f t="shared" si="13"/>
        <v>44.6625</v>
      </c>
      <c r="L149" s="7">
        <f>RANK(K149,$K$3:$K$280,0)</f>
        <v>147</v>
      </c>
      <c r="M149" s="11"/>
      <c r="N149"/>
    </row>
    <row r="150" spans="1:14" ht="24.75" customHeight="1">
      <c r="A150" s="5">
        <v>148</v>
      </c>
      <c r="B150" s="5" t="s">
        <v>14</v>
      </c>
      <c r="C150" s="5" t="str">
        <f>"张苑婷"</f>
        <v>张苑婷</v>
      </c>
      <c r="D150" s="5" t="str">
        <f>"460007199706285003"</f>
        <v>460007199706285003</v>
      </c>
      <c r="E150" s="5" t="s">
        <v>15</v>
      </c>
      <c r="F150" s="5" t="str">
        <f>"073101010640"</f>
        <v>073101010640</v>
      </c>
      <c r="G150" s="7">
        <v>54.6</v>
      </c>
      <c r="H150" s="7">
        <f t="shared" si="14"/>
        <v>27.3</v>
      </c>
      <c r="I150" s="7">
        <v>34.016</v>
      </c>
      <c r="J150" s="7">
        <f t="shared" si="15"/>
        <v>17.008</v>
      </c>
      <c r="K150" s="10">
        <f t="shared" si="13"/>
        <v>44.308</v>
      </c>
      <c r="L150" s="7">
        <f>RANK(K150,$K$3:$K$280,0)</f>
        <v>148</v>
      </c>
      <c r="M150" s="11"/>
      <c r="N150"/>
    </row>
    <row r="151" spans="1:14" ht="24.75" customHeight="1">
      <c r="A151" s="5">
        <v>149</v>
      </c>
      <c r="B151" s="5" t="s">
        <v>14</v>
      </c>
      <c r="C151" s="5" t="str">
        <f>"林霞"</f>
        <v>林霞</v>
      </c>
      <c r="D151" s="5" t="str">
        <f>"460006199801302020"</f>
        <v>460006199801302020</v>
      </c>
      <c r="E151" s="5" t="s">
        <v>15</v>
      </c>
      <c r="F151" s="5" t="str">
        <f>"073101010333"</f>
        <v>073101010333</v>
      </c>
      <c r="G151" s="7">
        <v>45.4</v>
      </c>
      <c r="H151" s="7">
        <f t="shared" si="14"/>
        <v>22.7</v>
      </c>
      <c r="I151" s="7">
        <v>42.625</v>
      </c>
      <c r="J151" s="7">
        <f t="shared" si="15"/>
        <v>21.3125</v>
      </c>
      <c r="K151" s="10">
        <f t="shared" si="13"/>
        <v>44.0125</v>
      </c>
      <c r="L151" s="7">
        <f>RANK(K151,$K$3:$K$280,0)</f>
        <v>149</v>
      </c>
      <c r="M151" s="11"/>
      <c r="N151"/>
    </row>
    <row r="152" spans="1:14" ht="24.75" customHeight="1">
      <c r="A152" s="5">
        <v>150</v>
      </c>
      <c r="B152" s="5" t="s">
        <v>14</v>
      </c>
      <c r="C152" s="5" t="str">
        <f>"王丽霞"</f>
        <v>王丽霞</v>
      </c>
      <c r="D152" s="5" t="str">
        <f>"469023199711053723"</f>
        <v>469023199711053723</v>
      </c>
      <c r="E152" s="5" t="s">
        <v>15</v>
      </c>
      <c r="F152" s="5" t="str">
        <f>"073101010532"</f>
        <v>073101010532</v>
      </c>
      <c r="G152" s="7">
        <v>62.6</v>
      </c>
      <c r="H152" s="7">
        <f t="shared" si="14"/>
        <v>31.3</v>
      </c>
      <c r="I152" s="7">
        <v>22.23</v>
      </c>
      <c r="J152" s="7">
        <f t="shared" si="15"/>
        <v>11.115</v>
      </c>
      <c r="K152" s="10">
        <f t="shared" si="13"/>
        <v>42.415</v>
      </c>
      <c r="L152" s="7">
        <f>RANK(K152,$K$3:$K$280,0)</f>
        <v>150</v>
      </c>
      <c r="M152" s="11"/>
      <c r="N152"/>
    </row>
    <row r="153" spans="1:14" ht="24.75" customHeight="1">
      <c r="A153" s="5">
        <v>151</v>
      </c>
      <c r="B153" s="5" t="s">
        <v>14</v>
      </c>
      <c r="C153" s="5" t="str">
        <f>"何启斐"</f>
        <v>何启斐</v>
      </c>
      <c r="D153" s="5" t="str">
        <f>"469003199806213720"</f>
        <v>469003199806213720</v>
      </c>
      <c r="E153" s="5" t="s">
        <v>15</v>
      </c>
      <c r="F153" s="5" t="str">
        <f>"073101010405"</f>
        <v>073101010405</v>
      </c>
      <c r="G153" s="7">
        <v>65.4</v>
      </c>
      <c r="H153" s="7">
        <f t="shared" si="14"/>
        <v>32.7</v>
      </c>
      <c r="I153" s="7">
        <v>15.949</v>
      </c>
      <c r="J153" s="7">
        <f t="shared" si="15"/>
        <v>7.9745</v>
      </c>
      <c r="K153" s="10">
        <f t="shared" si="13"/>
        <v>40.6745</v>
      </c>
      <c r="L153" s="7">
        <f>RANK(K153,$K$3:$K$280,0)</f>
        <v>151</v>
      </c>
      <c r="M153" s="11"/>
      <c r="N153"/>
    </row>
    <row r="154" spans="1:14" ht="24.75" customHeight="1">
      <c r="A154" s="5">
        <v>152</v>
      </c>
      <c r="B154" s="5" t="s">
        <v>14</v>
      </c>
      <c r="C154" s="5" t="str">
        <f>"邓婉靖"</f>
        <v>邓婉靖</v>
      </c>
      <c r="D154" s="5" t="str">
        <f>"469007199901105782"</f>
        <v>469007199901105782</v>
      </c>
      <c r="E154" s="5" t="s">
        <v>15</v>
      </c>
      <c r="F154" s="5" t="str">
        <f>"073101010227"</f>
        <v>073101010227</v>
      </c>
      <c r="G154" s="7">
        <v>80.7</v>
      </c>
      <c r="H154" s="7">
        <f t="shared" si="14"/>
        <v>40.35</v>
      </c>
      <c r="I154" s="7">
        <v>0</v>
      </c>
      <c r="J154" s="7">
        <f t="shared" si="15"/>
        <v>0</v>
      </c>
      <c r="K154" s="10">
        <f t="shared" si="13"/>
        <v>40.35</v>
      </c>
      <c r="L154" s="7">
        <f>RANK(K154,$K$3:$K$280,0)</f>
        <v>152</v>
      </c>
      <c r="M154" s="11"/>
      <c r="N154"/>
    </row>
    <row r="155" spans="1:14" ht="24.75" customHeight="1">
      <c r="A155" s="5">
        <v>153</v>
      </c>
      <c r="B155" s="5" t="s">
        <v>14</v>
      </c>
      <c r="C155" s="5" t="str">
        <f>"邢维芳"</f>
        <v>邢维芳</v>
      </c>
      <c r="D155" s="5" t="str">
        <f>"460033199809223887"</f>
        <v>460033199809223887</v>
      </c>
      <c r="E155" s="5" t="s">
        <v>15</v>
      </c>
      <c r="F155" s="5" t="str">
        <f>"073101010305"</f>
        <v>073101010305</v>
      </c>
      <c r="G155" s="7">
        <v>49</v>
      </c>
      <c r="H155" s="7">
        <f t="shared" si="14"/>
        <v>24.5</v>
      </c>
      <c r="I155" s="7">
        <v>31.475</v>
      </c>
      <c r="J155" s="7">
        <f t="shared" si="15"/>
        <v>15.7375</v>
      </c>
      <c r="K155" s="10">
        <f t="shared" si="13"/>
        <v>40.2375</v>
      </c>
      <c r="L155" s="7">
        <f>RANK(K155,$K$3:$K$280,0)</f>
        <v>153</v>
      </c>
      <c r="M155" s="11"/>
      <c r="N155"/>
    </row>
    <row r="156" spans="1:13" ht="24.75" customHeight="1">
      <c r="A156" s="5">
        <v>154</v>
      </c>
      <c r="B156" s="5" t="s">
        <v>14</v>
      </c>
      <c r="C156" s="5" t="str">
        <f>"曾垂淋"</f>
        <v>曾垂淋</v>
      </c>
      <c r="D156" s="5" t="str">
        <f>"469023199805073792"</f>
        <v>469023199805073792</v>
      </c>
      <c r="E156" s="5" t="s">
        <v>16</v>
      </c>
      <c r="F156" s="5" t="str">
        <f>"073101010512"</f>
        <v>073101010512</v>
      </c>
      <c r="G156" s="7">
        <v>48.2</v>
      </c>
      <c r="H156" s="7">
        <f t="shared" si="14"/>
        <v>24.1</v>
      </c>
      <c r="I156" s="7">
        <v>28.229</v>
      </c>
      <c r="J156" s="7">
        <f t="shared" si="15"/>
        <v>14.1145</v>
      </c>
      <c r="K156" s="12">
        <v>40.125225</v>
      </c>
      <c r="L156" s="7">
        <f>RANK(K156,$K$3:$K$280,0)</f>
        <v>154</v>
      </c>
      <c r="M156" s="11" t="s">
        <v>17</v>
      </c>
    </row>
    <row r="157" spans="1:14" ht="24.75" customHeight="1">
      <c r="A157" s="5">
        <v>155</v>
      </c>
      <c r="B157" s="5" t="s">
        <v>14</v>
      </c>
      <c r="C157" s="5" t="str">
        <f>"李礼"</f>
        <v>李礼</v>
      </c>
      <c r="D157" s="5" t="str">
        <f>"430426199012091517"</f>
        <v>430426199012091517</v>
      </c>
      <c r="E157" s="5" t="s">
        <v>15</v>
      </c>
      <c r="F157" s="5" t="str">
        <f>"073101010404"</f>
        <v>073101010404</v>
      </c>
      <c r="G157" s="7">
        <v>36</v>
      </c>
      <c r="H157" s="7">
        <f t="shared" si="14"/>
        <v>18</v>
      </c>
      <c r="I157" s="7">
        <v>34.51</v>
      </c>
      <c r="J157" s="7">
        <f t="shared" si="15"/>
        <v>17.255</v>
      </c>
      <c r="K157" s="10">
        <f aca="true" t="shared" si="16" ref="K157:K162">H157+J157</f>
        <v>35.254999999999995</v>
      </c>
      <c r="L157" s="7">
        <f>RANK(K157,$K$3:$K$280,0)</f>
        <v>155</v>
      </c>
      <c r="M157" s="11"/>
      <c r="N157"/>
    </row>
    <row r="158" spans="1:13" ht="24.75" customHeight="1">
      <c r="A158" s="5">
        <v>156</v>
      </c>
      <c r="B158" s="5" t="s">
        <v>14</v>
      </c>
      <c r="C158" s="5" t="str">
        <f>"罗倩"</f>
        <v>罗倩</v>
      </c>
      <c r="D158" s="5" t="str">
        <f>"460033199802094488"</f>
        <v>460033199802094488</v>
      </c>
      <c r="E158" s="5" t="s">
        <v>16</v>
      </c>
      <c r="F158" s="5" t="str">
        <f>"073101010217"</f>
        <v>073101010217</v>
      </c>
      <c r="G158" s="7">
        <v>15.9</v>
      </c>
      <c r="H158" s="7">
        <f t="shared" si="14"/>
        <v>7.95</v>
      </c>
      <c r="I158" s="7">
        <v>49.259</v>
      </c>
      <c r="J158" s="7">
        <f t="shared" si="15"/>
        <v>24.6295</v>
      </c>
      <c r="K158" s="12">
        <v>34.20847500000001</v>
      </c>
      <c r="L158" s="7">
        <f>RANK(K158,$K$3:$K$280,0)</f>
        <v>156</v>
      </c>
      <c r="M158" s="11" t="s">
        <v>17</v>
      </c>
    </row>
    <row r="159" spans="1:14" ht="24.75" customHeight="1">
      <c r="A159" s="5">
        <v>157</v>
      </c>
      <c r="B159" s="5" t="s">
        <v>14</v>
      </c>
      <c r="C159" s="5" t="str">
        <f>"李仟"</f>
        <v>李仟</v>
      </c>
      <c r="D159" s="5" t="str">
        <f>"460005199809085124"</f>
        <v>460005199809085124</v>
      </c>
      <c r="E159" s="5" t="s">
        <v>15</v>
      </c>
      <c r="F159" s="5" t="str">
        <f>"073101010428"</f>
        <v>073101010428</v>
      </c>
      <c r="G159" s="7">
        <v>27.5</v>
      </c>
      <c r="H159" s="7">
        <f t="shared" si="14"/>
        <v>13.75</v>
      </c>
      <c r="I159" s="7">
        <v>34.086</v>
      </c>
      <c r="J159" s="7">
        <f t="shared" si="15"/>
        <v>17.043</v>
      </c>
      <c r="K159" s="10">
        <f t="shared" si="16"/>
        <v>30.793</v>
      </c>
      <c r="L159" s="7">
        <f>RANK(K159,$K$3:$K$280,0)</f>
        <v>157</v>
      </c>
      <c r="M159" s="11"/>
      <c r="N159"/>
    </row>
    <row r="160" spans="1:14" ht="24.75" customHeight="1">
      <c r="A160" s="5">
        <v>158</v>
      </c>
      <c r="B160" s="5" t="s">
        <v>14</v>
      </c>
      <c r="C160" s="5" t="str">
        <f>"苏晶"</f>
        <v>苏晶</v>
      </c>
      <c r="D160" s="5" t="str">
        <f>"460007199310107681"</f>
        <v>460007199310107681</v>
      </c>
      <c r="E160" s="5" t="s">
        <v>15</v>
      </c>
      <c r="F160" s="5" t="str">
        <f>"073101010208"</f>
        <v>073101010208</v>
      </c>
      <c r="G160" s="7">
        <v>31.9</v>
      </c>
      <c r="H160" s="7">
        <f t="shared" si="14"/>
        <v>15.95</v>
      </c>
      <c r="I160" s="7">
        <v>29.428</v>
      </c>
      <c r="J160" s="7">
        <f t="shared" si="15"/>
        <v>14.714</v>
      </c>
      <c r="K160" s="10">
        <f t="shared" si="16"/>
        <v>30.664</v>
      </c>
      <c r="L160" s="7">
        <f>RANK(K160,$K$3:$K$280,0)</f>
        <v>158</v>
      </c>
      <c r="M160" s="11"/>
      <c r="N160"/>
    </row>
    <row r="161" spans="1:14" ht="24.75" customHeight="1">
      <c r="A161" s="5">
        <v>159</v>
      </c>
      <c r="B161" s="5" t="s">
        <v>14</v>
      </c>
      <c r="C161" s="5" t="str">
        <f>"陈俊霖"</f>
        <v>陈俊霖</v>
      </c>
      <c r="D161" s="5" t="str">
        <f>"46003119990227001X"</f>
        <v>46003119990227001X</v>
      </c>
      <c r="E161" s="5" t="s">
        <v>15</v>
      </c>
      <c r="F161" s="5" t="str">
        <f>"073101010629"</f>
        <v>073101010629</v>
      </c>
      <c r="G161" s="7">
        <v>27.6</v>
      </c>
      <c r="H161" s="7">
        <f t="shared" si="14"/>
        <v>13.8</v>
      </c>
      <c r="I161" s="7">
        <v>33.31</v>
      </c>
      <c r="J161" s="7">
        <f t="shared" si="15"/>
        <v>16.655</v>
      </c>
      <c r="K161" s="10">
        <f t="shared" si="16"/>
        <v>30.455000000000002</v>
      </c>
      <c r="L161" s="7">
        <f>RANK(K161,$K$3:$K$280,0)</f>
        <v>159</v>
      </c>
      <c r="M161" s="11"/>
      <c r="N161"/>
    </row>
    <row r="162" spans="1:14" ht="24.75" customHeight="1">
      <c r="A162" s="5">
        <v>160</v>
      </c>
      <c r="B162" s="5" t="s">
        <v>14</v>
      </c>
      <c r="C162" s="5" t="str">
        <f>"桂竹岭"</f>
        <v>桂竹岭</v>
      </c>
      <c r="D162" s="5" t="str">
        <f>"460028199804020860"</f>
        <v>460028199804020860</v>
      </c>
      <c r="E162" s="5" t="s">
        <v>15</v>
      </c>
      <c r="F162" s="5" t="str">
        <f>"073101010703"</f>
        <v>073101010703</v>
      </c>
      <c r="G162" s="7">
        <v>37.6</v>
      </c>
      <c r="H162" s="7">
        <f t="shared" si="14"/>
        <v>18.8</v>
      </c>
      <c r="I162" s="7">
        <v>19.195</v>
      </c>
      <c r="J162" s="7">
        <f t="shared" si="15"/>
        <v>9.5975</v>
      </c>
      <c r="K162" s="10">
        <f t="shared" si="16"/>
        <v>28.3975</v>
      </c>
      <c r="L162" s="7">
        <f>RANK(K162,$K$3:$K$280,0)</f>
        <v>160</v>
      </c>
      <c r="M162" s="11"/>
      <c r="N162"/>
    </row>
    <row r="163" spans="1:13" ht="24.75" customHeight="1">
      <c r="A163" s="5">
        <v>161</v>
      </c>
      <c r="B163" s="5" t="s">
        <v>14</v>
      </c>
      <c r="C163" s="5" t="str">
        <f>"邢秀"</f>
        <v>邢秀</v>
      </c>
      <c r="D163" s="5" t="str">
        <f>"460033199601077489"</f>
        <v>460033199601077489</v>
      </c>
      <c r="E163" s="5" t="s">
        <v>16</v>
      </c>
      <c r="F163" s="5" t="str">
        <f>"073101010124"</f>
        <v>073101010124</v>
      </c>
      <c r="G163" s="7">
        <v>8</v>
      </c>
      <c r="H163" s="7">
        <f t="shared" si="14"/>
        <v>4</v>
      </c>
      <c r="I163" s="7">
        <v>30.699</v>
      </c>
      <c r="J163" s="7">
        <f t="shared" si="15"/>
        <v>15.3495</v>
      </c>
      <c r="K163" s="12">
        <v>20.316975</v>
      </c>
      <c r="L163" s="7">
        <f>RANK(K163,$K$3:$K$280,0)</f>
        <v>161</v>
      </c>
      <c r="M163" s="11" t="s">
        <v>17</v>
      </c>
    </row>
    <row r="164" spans="1:14" ht="24.75" customHeight="1">
      <c r="A164" s="5">
        <v>162</v>
      </c>
      <c r="B164" s="5" t="s">
        <v>14</v>
      </c>
      <c r="C164" s="5" t="str">
        <f>"林佳佳"</f>
        <v>林佳佳</v>
      </c>
      <c r="D164" s="5" t="str">
        <f>"460034199605253044"</f>
        <v>460034199605253044</v>
      </c>
      <c r="E164" s="5" t="s">
        <v>15</v>
      </c>
      <c r="F164" s="5" t="str">
        <f>"073101010323"</f>
        <v>073101010323</v>
      </c>
      <c r="G164" s="7">
        <v>6</v>
      </c>
      <c r="H164" s="7">
        <f t="shared" si="14"/>
        <v>3</v>
      </c>
      <c r="I164" s="7">
        <v>32.604</v>
      </c>
      <c r="J164" s="7">
        <f t="shared" si="15"/>
        <v>16.302</v>
      </c>
      <c r="K164" s="10">
        <f aca="true" t="shared" si="17" ref="K164:K227">H164+J164</f>
        <v>19.302</v>
      </c>
      <c r="L164" s="7">
        <f>RANK(K164,$K$3:$K$280,0)</f>
        <v>162</v>
      </c>
      <c r="M164" s="11"/>
      <c r="N164"/>
    </row>
    <row r="165" spans="1:14" ht="24.75" customHeight="1">
      <c r="A165" s="5">
        <v>163</v>
      </c>
      <c r="B165" s="5" t="s">
        <v>14</v>
      </c>
      <c r="C165" s="5" t="str">
        <f>"廖景华"</f>
        <v>廖景华</v>
      </c>
      <c r="D165" s="5" t="str">
        <f>"460035199801110215"</f>
        <v>460035199801110215</v>
      </c>
      <c r="E165" s="5" t="s">
        <v>15</v>
      </c>
      <c r="F165" s="5" t="str">
        <f>"073101010102"</f>
        <v>073101010102</v>
      </c>
      <c r="G165" s="7">
        <v>0</v>
      </c>
      <c r="H165" s="7">
        <f t="shared" si="14"/>
        <v>0</v>
      </c>
      <c r="I165" s="7">
        <v>0</v>
      </c>
      <c r="J165" s="7">
        <f t="shared" si="15"/>
        <v>0</v>
      </c>
      <c r="K165" s="10">
        <f t="shared" si="17"/>
        <v>0</v>
      </c>
      <c r="L165" s="7">
        <f>RANK(K165,$K$3:$K$280,0)</f>
        <v>163</v>
      </c>
      <c r="M165" s="13" t="s">
        <v>18</v>
      </c>
      <c r="N165"/>
    </row>
    <row r="166" spans="1:14" ht="24.75" customHeight="1">
      <c r="A166" s="5">
        <v>164</v>
      </c>
      <c r="B166" s="5" t="s">
        <v>14</v>
      </c>
      <c r="C166" s="5" t="str">
        <f>"陈玲"</f>
        <v>陈玲</v>
      </c>
      <c r="D166" s="5" t="str">
        <f>"513722199408141086"</f>
        <v>513722199408141086</v>
      </c>
      <c r="E166" s="5" t="s">
        <v>15</v>
      </c>
      <c r="F166" s="5" t="str">
        <f>"073101010104"</f>
        <v>073101010104</v>
      </c>
      <c r="G166" s="7">
        <v>0</v>
      </c>
      <c r="H166" s="7">
        <f t="shared" si="14"/>
        <v>0</v>
      </c>
      <c r="I166" s="7">
        <v>0</v>
      </c>
      <c r="J166" s="7">
        <f t="shared" si="15"/>
        <v>0</v>
      </c>
      <c r="K166" s="10">
        <f t="shared" si="17"/>
        <v>0</v>
      </c>
      <c r="L166" s="7">
        <f>RANK(K166,$K$3:$K$280,0)</f>
        <v>163</v>
      </c>
      <c r="M166" s="13" t="s">
        <v>18</v>
      </c>
      <c r="N166"/>
    </row>
    <row r="167" spans="1:14" ht="24.75" customHeight="1">
      <c r="A167" s="5">
        <v>165</v>
      </c>
      <c r="B167" s="5" t="s">
        <v>14</v>
      </c>
      <c r="C167" s="5" t="str">
        <f>"张小盼"</f>
        <v>张小盼</v>
      </c>
      <c r="D167" s="5" t="str">
        <f>"460005199705041223"</f>
        <v>460005199705041223</v>
      </c>
      <c r="E167" s="5" t="s">
        <v>15</v>
      </c>
      <c r="F167" s="5" t="str">
        <f>"073101010106"</f>
        <v>073101010106</v>
      </c>
      <c r="G167" s="7">
        <v>0</v>
      </c>
      <c r="H167" s="7">
        <f t="shared" si="14"/>
        <v>0</v>
      </c>
      <c r="I167" s="7">
        <v>0</v>
      </c>
      <c r="J167" s="7">
        <f t="shared" si="15"/>
        <v>0</v>
      </c>
      <c r="K167" s="10">
        <f t="shared" si="17"/>
        <v>0</v>
      </c>
      <c r="L167" s="7">
        <f>RANK(K167,$K$3:$K$280,0)</f>
        <v>163</v>
      </c>
      <c r="M167" s="13" t="s">
        <v>18</v>
      </c>
      <c r="N167"/>
    </row>
    <row r="168" spans="1:14" ht="24.75" customHeight="1">
      <c r="A168" s="5">
        <v>166</v>
      </c>
      <c r="B168" s="5" t="s">
        <v>14</v>
      </c>
      <c r="C168" s="5" t="str">
        <f>"谢雯"</f>
        <v>谢雯</v>
      </c>
      <c r="D168" s="5" t="str">
        <f>"460006199910188124"</f>
        <v>460006199910188124</v>
      </c>
      <c r="E168" s="5" t="s">
        <v>15</v>
      </c>
      <c r="F168" s="5" t="str">
        <f>"073101010107"</f>
        <v>073101010107</v>
      </c>
      <c r="G168" s="7">
        <v>0</v>
      </c>
      <c r="H168" s="7">
        <f t="shared" si="14"/>
        <v>0</v>
      </c>
      <c r="I168" s="7">
        <v>0</v>
      </c>
      <c r="J168" s="7">
        <f t="shared" si="15"/>
        <v>0</v>
      </c>
      <c r="K168" s="10">
        <f t="shared" si="17"/>
        <v>0</v>
      </c>
      <c r="L168" s="7">
        <f>RANK(K168,$K$3:$K$280,0)</f>
        <v>163</v>
      </c>
      <c r="M168" s="13" t="s">
        <v>18</v>
      </c>
      <c r="N168"/>
    </row>
    <row r="169" spans="1:14" ht="24.75" customHeight="1">
      <c r="A169" s="5">
        <v>167</v>
      </c>
      <c r="B169" s="5" t="s">
        <v>14</v>
      </c>
      <c r="C169" s="5" t="str">
        <f>"黄梅"</f>
        <v>黄梅</v>
      </c>
      <c r="D169" s="5" t="str">
        <f>"46000119931120192X"</f>
        <v>46000119931120192X</v>
      </c>
      <c r="E169" s="5" t="s">
        <v>15</v>
      </c>
      <c r="F169" s="5" t="str">
        <f>"073101010108"</f>
        <v>073101010108</v>
      </c>
      <c r="G169" s="7">
        <v>0</v>
      </c>
      <c r="H169" s="7">
        <f t="shared" si="14"/>
        <v>0</v>
      </c>
      <c r="I169" s="7">
        <v>0</v>
      </c>
      <c r="J169" s="7">
        <f t="shared" si="15"/>
        <v>0</v>
      </c>
      <c r="K169" s="10">
        <f t="shared" si="17"/>
        <v>0</v>
      </c>
      <c r="L169" s="7">
        <f>RANK(K169,$K$3:$K$280,0)</f>
        <v>163</v>
      </c>
      <c r="M169" s="13" t="s">
        <v>18</v>
      </c>
      <c r="N169"/>
    </row>
    <row r="170" spans="1:14" ht="24.75" customHeight="1">
      <c r="A170" s="5">
        <v>168</v>
      </c>
      <c r="B170" s="5" t="s">
        <v>14</v>
      </c>
      <c r="C170" s="5" t="str">
        <f>"庞卓丽"</f>
        <v>庞卓丽</v>
      </c>
      <c r="D170" s="5" t="str">
        <f>"469023199812264124"</f>
        <v>469023199812264124</v>
      </c>
      <c r="E170" s="5" t="s">
        <v>15</v>
      </c>
      <c r="F170" s="5" t="str">
        <f>"073101010116"</f>
        <v>073101010116</v>
      </c>
      <c r="G170" s="7">
        <v>0</v>
      </c>
      <c r="H170" s="7">
        <f t="shared" si="14"/>
        <v>0</v>
      </c>
      <c r="I170" s="7">
        <v>0</v>
      </c>
      <c r="J170" s="7">
        <f t="shared" si="15"/>
        <v>0</v>
      </c>
      <c r="K170" s="10">
        <f t="shared" si="17"/>
        <v>0</v>
      </c>
      <c r="L170" s="7">
        <f>RANK(K170,$K$3:$K$280,0)</f>
        <v>163</v>
      </c>
      <c r="M170" s="13" t="s">
        <v>18</v>
      </c>
      <c r="N170"/>
    </row>
    <row r="171" spans="1:14" ht="24.75" customHeight="1">
      <c r="A171" s="5">
        <v>169</v>
      </c>
      <c r="B171" s="5" t="s">
        <v>14</v>
      </c>
      <c r="C171" s="5" t="str">
        <f>"杜正霞"</f>
        <v>杜正霞</v>
      </c>
      <c r="D171" s="5" t="str">
        <f>"460104199107050022"</f>
        <v>460104199107050022</v>
      </c>
      <c r="E171" s="5" t="s">
        <v>15</v>
      </c>
      <c r="F171" s="5" t="str">
        <f>"073101010117"</f>
        <v>073101010117</v>
      </c>
      <c r="G171" s="7">
        <v>0</v>
      </c>
      <c r="H171" s="7">
        <f t="shared" si="14"/>
        <v>0</v>
      </c>
      <c r="I171" s="7">
        <v>0</v>
      </c>
      <c r="J171" s="7">
        <f t="shared" si="15"/>
        <v>0</v>
      </c>
      <c r="K171" s="10">
        <f t="shared" si="17"/>
        <v>0</v>
      </c>
      <c r="L171" s="7">
        <f>RANK(K171,$K$3:$K$280,0)</f>
        <v>163</v>
      </c>
      <c r="M171" s="13" t="s">
        <v>18</v>
      </c>
      <c r="N171"/>
    </row>
    <row r="172" spans="1:14" ht="24.75" customHeight="1">
      <c r="A172" s="5">
        <v>170</v>
      </c>
      <c r="B172" s="5" t="s">
        <v>14</v>
      </c>
      <c r="C172" s="5" t="str">
        <f>"吕双斌"</f>
        <v>吕双斌</v>
      </c>
      <c r="D172" s="5" t="str">
        <f>"132201199508136611"</f>
        <v>132201199508136611</v>
      </c>
      <c r="E172" s="5" t="s">
        <v>15</v>
      </c>
      <c r="F172" s="5" t="str">
        <f>"073101010119"</f>
        <v>073101010119</v>
      </c>
      <c r="G172" s="7">
        <v>0</v>
      </c>
      <c r="H172" s="7">
        <f t="shared" si="14"/>
        <v>0</v>
      </c>
      <c r="I172" s="7">
        <v>0</v>
      </c>
      <c r="J172" s="7">
        <f t="shared" si="15"/>
        <v>0</v>
      </c>
      <c r="K172" s="10">
        <f t="shared" si="17"/>
        <v>0</v>
      </c>
      <c r="L172" s="7">
        <f>RANK(K172,$K$3:$K$280,0)</f>
        <v>163</v>
      </c>
      <c r="M172" s="13" t="s">
        <v>18</v>
      </c>
      <c r="N172"/>
    </row>
    <row r="173" spans="1:14" ht="24.75" customHeight="1">
      <c r="A173" s="5">
        <v>171</v>
      </c>
      <c r="B173" s="5" t="s">
        <v>14</v>
      </c>
      <c r="C173" s="5" t="str">
        <f>"颜蔚"</f>
        <v>颜蔚</v>
      </c>
      <c r="D173" s="5" t="str">
        <f>"460004199808230426"</f>
        <v>460004199808230426</v>
      </c>
      <c r="E173" s="5" t="s">
        <v>15</v>
      </c>
      <c r="F173" s="5" t="str">
        <f>"073101010121"</f>
        <v>073101010121</v>
      </c>
      <c r="G173" s="7">
        <v>0</v>
      </c>
      <c r="H173" s="7">
        <f t="shared" si="14"/>
        <v>0</v>
      </c>
      <c r="I173" s="7">
        <v>0</v>
      </c>
      <c r="J173" s="7">
        <f t="shared" si="15"/>
        <v>0</v>
      </c>
      <c r="K173" s="10">
        <f t="shared" si="17"/>
        <v>0</v>
      </c>
      <c r="L173" s="7">
        <f>RANK(K173,$K$3:$K$280,0)</f>
        <v>163</v>
      </c>
      <c r="M173" s="13" t="s">
        <v>18</v>
      </c>
      <c r="N173"/>
    </row>
    <row r="174" spans="1:14" ht="24.75" customHeight="1">
      <c r="A174" s="5">
        <v>172</v>
      </c>
      <c r="B174" s="5" t="s">
        <v>14</v>
      </c>
      <c r="C174" s="5" t="str">
        <f>"廖奋"</f>
        <v>廖奋</v>
      </c>
      <c r="D174" s="5" t="str">
        <f>"469023199106200027"</f>
        <v>469023199106200027</v>
      </c>
      <c r="E174" s="5" t="s">
        <v>15</v>
      </c>
      <c r="F174" s="5" t="str">
        <f>"073101010122"</f>
        <v>073101010122</v>
      </c>
      <c r="G174" s="7">
        <v>0</v>
      </c>
      <c r="H174" s="7">
        <f t="shared" si="14"/>
        <v>0</v>
      </c>
      <c r="I174" s="7">
        <v>0</v>
      </c>
      <c r="J174" s="7">
        <f t="shared" si="15"/>
        <v>0</v>
      </c>
      <c r="K174" s="10">
        <f t="shared" si="17"/>
        <v>0</v>
      </c>
      <c r="L174" s="7">
        <f>RANK(K174,$K$3:$K$280,0)</f>
        <v>163</v>
      </c>
      <c r="M174" s="13" t="s">
        <v>18</v>
      </c>
      <c r="N174"/>
    </row>
    <row r="175" spans="1:14" ht="24.75" customHeight="1">
      <c r="A175" s="5">
        <v>173</v>
      </c>
      <c r="B175" s="5" t="s">
        <v>14</v>
      </c>
      <c r="C175" s="5" t="str">
        <f>"李向城"</f>
        <v>李向城</v>
      </c>
      <c r="D175" s="5" t="str">
        <f>"460026199510132418"</f>
        <v>460026199510132418</v>
      </c>
      <c r="E175" s="5" t="s">
        <v>15</v>
      </c>
      <c r="F175" s="5" t="str">
        <f>"073101010123"</f>
        <v>073101010123</v>
      </c>
      <c r="G175" s="7">
        <v>0</v>
      </c>
      <c r="H175" s="7">
        <f t="shared" si="14"/>
        <v>0</v>
      </c>
      <c r="I175" s="7">
        <v>0</v>
      </c>
      <c r="J175" s="7">
        <f t="shared" si="15"/>
        <v>0</v>
      </c>
      <c r="K175" s="10">
        <f t="shared" si="17"/>
        <v>0</v>
      </c>
      <c r="L175" s="7">
        <f>RANK(K175,$K$3:$K$280,0)</f>
        <v>163</v>
      </c>
      <c r="M175" s="13" t="s">
        <v>18</v>
      </c>
      <c r="N175"/>
    </row>
    <row r="176" spans="1:14" ht="24.75" customHeight="1">
      <c r="A176" s="5">
        <v>174</v>
      </c>
      <c r="B176" s="5" t="s">
        <v>14</v>
      </c>
      <c r="C176" s="5" t="str">
        <f>"李惠珊"</f>
        <v>李惠珊</v>
      </c>
      <c r="D176" s="5" t="str">
        <f>"460028199904023241"</f>
        <v>460028199904023241</v>
      </c>
      <c r="E176" s="5" t="s">
        <v>15</v>
      </c>
      <c r="F176" s="5" t="str">
        <f>"073101010126"</f>
        <v>073101010126</v>
      </c>
      <c r="G176" s="7">
        <v>0</v>
      </c>
      <c r="H176" s="7">
        <f t="shared" si="14"/>
        <v>0</v>
      </c>
      <c r="I176" s="7">
        <v>0</v>
      </c>
      <c r="J176" s="7">
        <f t="shared" si="15"/>
        <v>0</v>
      </c>
      <c r="K176" s="10">
        <f t="shared" si="17"/>
        <v>0</v>
      </c>
      <c r="L176" s="7">
        <f>RANK(K176,$K$3:$K$280,0)</f>
        <v>163</v>
      </c>
      <c r="M176" s="13" t="s">
        <v>18</v>
      </c>
      <c r="N176"/>
    </row>
    <row r="177" spans="1:14" ht="24.75" customHeight="1">
      <c r="A177" s="5">
        <v>175</v>
      </c>
      <c r="B177" s="5" t="s">
        <v>14</v>
      </c>
      <c r="C177" s="5" t="str">
        <f>"郭学章"</f>
        <v>郭学章</v>
      </c>
      <c r="D177" s="5" t="str">
        <f>"46003419990819001X"</f>
        <v>46003419990819001X</v>
      </c>
      <c r="E177" s="5" t="s">
        <v>15</v>
      </c>
      <c r="F177" s="5" t="str">
        <f>"073101010131"</f>
        <v>073101010131</v>
      </c>
      <c r="G177" s="7">
        <v>0</v>
      </c>
      <c r="H177" s="7">
        <f t="shared" si="14"/>
        <v>0</v>
      </c>
      <c r="I177" s="7">
        <v>0</v>
      </c>
      <c r="J177" s="7">
        <f t="shared" si="15"/>
        <v>0</v>
      </c>
      <c r="K177" s="10">
        <f t="shared" si="17"/>
        <v>0</v>
      </c>
      <c r="L177" s="7">
        <f>RANK(K177,$K$3:$K$280,0)</f>
        <v>163</v>
      </c>
      <c r="M177" s="13" t="s">
        <v>18</v>
      </c>
      <c r="N177"/>
    </row>
    <row r="178" spans="1:14" ht="24.75" customHeight="1">
      <c r="A178" s="5">
        <v>176</v>
      </c>
      <c r="B178" s="5" t="s">
        <v>14</v>
      </c>
      <c r="C178" s="5" t="str">
        <f>"莫小静"</f>
        <v>莫小静</v>
      </c>
      <c r="D178" s="5" t="str">
        <f>"460006199508100227"</f>
        <v>460006199508100227</v>
      </c>
      <c r="E178" s="5" t="s">
        <v>15</v>
      </c>
      <c r="F178" s="5" t="str">
        <f>"073101010132"</f>
        <v>073101010132</v>
      </c>
      <c r="G178" s="7">
        <v>0</v>
      </c>
      <c r="H178" s="7">
        <f t="shared" si="14"/>
        <v>0</v>
      </c>
      <c r="I178" s="7">
        <v>0</v>
      </c>
      <c r="J178" s="7">
        <f t="shared" si="15"/>
        <v>0</v>
      </c>
      <c r="K178" s="10">
        <f t="shared" si="17"/>
        <v>0</v>
      </c>
      <c r="L178" s="7">
        <f>RANK(K178,$K$3:$K$280,0)</f>
        <v>163</v>
      </c>
      <c r="M178" s="13" t="s">
        <v>18</v>
      </c>
      <c r="N178"/>
    </row>
    <row r="179" spans="1:14" ht="24.75" customHeight="1">
      <c r="A179" s="5">
        <v>177</v>
      </c>
      <c r="B179" s="5" t="s">
        <v>14</v>
      </c>
      <c r="C179" s="5" t="str">
        <f>"蒙俞欣"</f>
        <v>蒙俞欣</v>
      </c>
      <c r="D179" s="5" t="str">
        <f>"460103199607181823"</f>
        <v>460103199607181823</v>
      </c>
      <c r="E179" s="5" t="s">
        <v>15</v>
      </c>
      <c r="F179" s="5" t="str">
        <f>"073101010133"</f>
        <v>073101010133</v>
      </c>
      <c r="G179" s="7">
        <v>0</v>
      </c>
      <c r="H179" s="7">
        <f t="shared" si="14"/>
        <v>0</v>
      </c>
      <c r="I179" s="7">
        <v>0</v>
      </c>
      <c r="J179" s="7">
        <f t="shared" si="15"/>
        <v>0</v>
      </c>
      <c r="K179" s="10">
        <f t="shared" si="17"/>
        <v>0</v>
      </c>
      <c r="L179" s="7">
        <f>RANK(K179,$K$3:$K$280,0)</f>
        <v>163</v>
      </c>
      <c r="M179" s="13" t="s">
        <v>18</v>
      </c>
      <c r="N179"/>
    </row>
    <row r="180" spans="1:14" ht="24.75" customHeight="1">
      <c r="A180" s="5">
        <v>178</v>
      </c>
      <c r="B180" s="5" t="s">
        <v>14</v>
      </c>
      <c r="C180" s="5" t="str">
        <f>"李艳阳"</f>
        <v>李艳阳</v>
      </c>
      <c r="D180" s="5" t="str">
        <f>"220722199810256824"</f>
        <v>220722199810256824</v>
      </c>
      <c r="E180" s="5" t="s">
        <v>15</v>
      </c>
      <c r="F180" s="5" t="str">
        <f>"073101010134"</f>
        <v>073101010134</v>
      </c>
      <c r="G180" s="7">
        <v>0</v>
      </c>
      <c r="H180" s="7">
        <f t="shared" si="14"/>
        <v>0</v>
      </c>
      <c r="I180" s="7">
        <v>0</v>
      </c>
      <c r="J180" s="7">
        <f t="shared" si="15"/>
        <v>0</v>
      </c>
      <c r="K180" s="10">
        <f t="shared" si="17"/>
        <v>0</v>
      </c>
      <c r="L180" s="7">
        <f>RANK(K180,$K$3:$K$280,0)</f>
        <v>163</v>
      </c>
      <c r="M180" s="13" t="s">
        <v>18</v>
      </c>
      <c r="N180"/>
    </row>
    <row r="181" spans="1:14" ht="24.75" customHeight="1">
      <c r="A181" s="5">
        <v>179</v>
      </c>
      <c r="B181" s="5" t="s">
        <v>14</v>
      </c>
      <c r="C181" s="5" t="str">
        <f>"伍世发"</f>
        <v>伍世发</v>
      </c>
      <c r="D181" s="5" t="str">
        <f>"460005199810131511"</f>
        <v>460005199810131511</v>
      </c>
      <c r="E181" s="5" t="s">
        <v>15</v>
      </c>
      <c r="F181" s="5" t="str">
        <f>"073101010136"</f>
        <v>073101010136</v>
      </c>
      <c r="G181" s="7">
        <v>0</v>
      </c>
      <c r="H181" s="7">
        <f t="shared" si="14"/>
        <v>0</v>
      </c>
      <c r="I181" s="7">
        <v>0</v>
      </c>
      <c r="J181" s="7">
        <f t="shared" si="15"/>
        <v>0</v>
      </c>
      <c r="K181" s="10">
        <f t="shared" si="17"/>
        <v>0</v>
      </c>
      <c r="L181" s="7">
        <f>RANK(K181,$K$3:$K$280,0)</f>
        <v>163</v>
      </c>
      <c r="M181" s="13" t="s">
        <v>18</v>
      </c>
      <c r="N181"/>
    </row>
    <row r="182" spans="1:14" ht="24.75" customHeight="1">
      <c r="A182" s="5">
        <v>180</v>
      </c>
      <c r="B182" s="5" t="s">
        <v>14</v>
      </c>
      <c r="C182" s="5" t="str">
        <f>"林启浩"</f>
        <v>林启浩</v>
      </c>
      <c r="D182" s="5" t="str">
        <f>"460026199603232434"</f>
        <v>460026199603232434</v>
      </c>
      <c r="E182" s="5" t="s">
        <v>15</v>
      </c>
      <c r="F182" s="5" t="str">
        <f>"073101010137"</f>
        <v>073101010137</v>
      </c>
      <c r="G182" s="7">
        <v>0</v>
      </c>
      <c r="H182" s="7">
        <f t="shared" si="14"/>
        <v>0</v>
      </c>
      <c r="I182" s="7">
        <v>0</v>
      </c>
      <c r="J182" s="7">
        <f t="shared" si="15"/>
        <v>0</v>
      </c>
      <c r="K182" s="10">
        <f t="shared" si="17"/>
        <v>0</v>
      </c>
      <c r="L182" s="7">
        <f>RANK(K182,$K$3:$K$280,0)</f>
        <v>163</v>
      </c>
      <c r="M182" s="13" t="s">
        <v>18</v>
      </c>
      <c r="N182"/>
    </row>
    <row r="183" spans="1:14" ht="24.75" customHeight="1">
      <c r="A183" s="5">
        <v>181</v>
      </c>
      <c r="B183" s="5" t="s">
        <v>14</v>
      </c>
      <c r="C183" s="5" t="str">
        <f>"吴艺珠"</f>
        <v>吴艺珠</v>
      </c>
      <c r="D183" s="5" t="str">
        <f>"460035199403210923"</f>
        <v>460035199403210923</v>
      </c>
      <c r="E183" s="5" t="s">
        <v>16</v>
      </c>
      <c r="F183" s="5" t="str">
        <f>"073101010139"</f>
        <v>073101010139</v>
      </c>
      <c r="G183" s="7">
        <v>0</v>
      </c>
      <c r="H183" s="7">
        <f t="shared" si="14"/>
        <v>0</v>
      </c>
      <c r="I183" s="7">
        <v>0</v>
      </c>
      <c r="J183" s="7">
        <f t="shared" si="15"/>
        <v>0</v>
      </c>
      <c r="K183" s="10">
        <f t="shared" si="17"/>
        <v>0</v>
      </c>
      <c r="L183" s="7">
        <f>RANK(K183,$K$3:$K$280,0)</f>
        <v>163</v>
      </c>
      <c r="M183" s="13" t="s">
        <v>18</v>
      </c>
      <c r="N183"/>
    </row>
    <row r="184" spans="1:14" ht="24.75" customHeight="1">
      <c r="A184" s="5">
        <v>182</v>
      </c>
      <c r="B184" s="5" t="s">
        <v>14</v>
      </c>
      <c r="C184" s="5" t="str">
        <f>"吴瑛琪"</f>
        <v>吴瑛琪</v>
      </c>
      <c r="D184" s="5" t="str">
        <f>"460028199903292861"</f>
        <v>460028199903292861</v>
      </c>
      <c r="E184" s="5" t="s">
        <v>15</v>
      </c>
      <c r="F184" s="5" t="str">
        <f>"073101010140"</f>
        <v>073101010140</v>
      </c>
      <c r="G184" s="7">
        <v>0</v>
      </c>
      <c r="H184" s="7">
        <f t="shared" si="14"/>
        <v>0</v>
      </c>
      <c r="I184" s="7">
        <v>0</v>
      </c>
      <c r="J184" s="7">
        <f t="shared" si="15"/>
        <v>0</v>
      </c>
      <c r="K184" s="10">
        <f t="shared" si="17"/>
        <v>0</v>
      </c>
      <c r="L184" s="7">
        <f>RANK(K184,$K$3:$K$280,0)</f>
        <v>163</v>
      </c>
      <c r="M184" s="13" t="s">
        <v>18</v>
      </c>
      <c r="N184"/>
    </row>
    <row r="185" spans="1:14" ht="24.75" customHeight="1">
      <c r="A185" s="5">
        <v>183</v>
      </c>
      <c r="B185" s="5" t="s">
        <v>14</v>
      </c>
      <c r="C185" s="5" t="str">
        <f>"陈奕泽"</f>
        <v>陈奕泽</v>
      </c>
      <c r="D185" s="5" t="str">
        <f>"460005199806160731"</f>
        <v>460005199806160731</v>
      </c>
      <c r="E185" s="5" t="s">
        <v>15</v>
      </c>
      <c r="F185" s="5" t="str">
        <f>"073101010201"</f>
        <v>073101010201</v>
      </c>
      <c r="G185" s="7">
        <v>0</v>
      </c>
      <c r="H185" s="7">
        <f t="shared" si="14"/>
        <v>0</v>
      </c>
      <c r="I185" s="7">
        <v>0</v>
      </c>
      <c r="J185" s="7">
        <f t="shared" si="15"/>
        <v>0</v>
      </c>
      <c r="K185" s="10">
        <f t="shared" si="17"/>
        <v>0</v>
      </c>
      <c r="L185" s="7">
        <f>RANK(K185,$K$3:$K$280,0)</f>
        <v>163</v>
      </c>
      <c r="M185" s="13" t="s">
        <v>18</v>
      </c>
      <c r="N185"/>
    </row>
    <row r="186" spans="1:14" ht="24.75" customHeight="1">
      <c r="A186" s="5">
        <v>184</v>
      </c>
      <c r="B186" s="5" t="s">
        <v>14</v>
      </c>
      <c r="C186" s="5" t="str">
        <f>"文玉伦"</f>
        <v>文玉伦</v>
      </c>
      <c r="D186" s="5" t="str">
        <f>"460007199802247218"</f>
        <v>460007199802247218</v>
      </c>
      <c r="E186" s="5" t="s">
        <v>15</v>
      </c>
      <c r="F186" s="5" t="str">
        <f>"073101010203"</f>
        <v>073101010203</v>
      </c>
      <c r="G186" s="7">
        <v>0</v>
      </c>
      <c r="H186" s="7">
        <f t="shared" si="14"/>
        <v>0</v>
      </c>
      <c r="I186" s="7">
        <v>0</v>
      </c>
      <c r="J186" s="7">
        <f t="shared" si="15"/>
        <v>0</v>
      </c>
      <c r="K186" s="10">
        <f t="shared" si="17"/>
        <v>0</v>
      </c>
      <c r="L186" s="7">
        <f>RANK(K186,$K$3:$K$280,0)</f>
        <v>163</v>
      </c>
      <c r="M186" s="13" t="s">
        <v>18</v>
      </c>
      <c r="N186"/>
    </row>
    <row r="187" spans="1:14" ht="24.75" customHeight="1">
      <c r="A187" s="5">
        <v>185</v>
      </c>
      <c r="B187" s="5" t="s">
        <v>14</v>
      </c>
      <c r="C187" s="5" t="str">
        <f>"李嘉茵"</f>
        <v>李嘉茵</v>
      </c>
      <c r="D187" s="5" t="str">
        <f>"460031199411260028"</f>
        <v>460031199411260028</v>
      </c>
      <c r="E187" s="5" t="s">
        <v>16</v>
      </c>
      <c r="F187" s="5" t="str">
        <f>"073101010206"</f>
        <v>073101010206</v>
      </c>
      <c r="G187" s="7">
        <v>0</v>
      </c>
      <c r="H187" s="7">
        <f t="shared" si="14"/>
        <v>0</v>
      </c>
      <c r="I187" s="7">
        <v>0</v>
      </c>
      <c r="J187" s="7">
        <f t="shared" si="15"/>
        <v>0</v>
      </c>
      <c r="K187" s="10">
        <f t="shared" si="17"/>
        <v>0</v>
      </c>
      <c r="L187" s="7">
        <f>RANK(K187,$K$3:$K$280,0)</f>
        <v>163</v>
      </c>
      <c r="M187" s="13" t="s">
        <v>18</v>
      </c>
      <c r="N187"/>
    </row>
    <row r="188" spans="1:14" ht="24.75" customHeight="1">
      <c r="A188" s="5">
        <v>186</v>
      </c>
      <c r="B188" s="5" t="s">
        <v>14</v>
      </c>
      <c r="C188" s="5" t="str">
        <f>"叶晓蕾"</f>
        <v>叶晓蕾</v>
      </c>
      <c r="D188" s="5" t="str">
        <f>"460006199608251620"</f>
        <v>460006199608251620</v>
      </c>
      <c r="E188" s="5" t="s">
        <v>15</v>
      </c>
      <c r="F188" s="5" t="str">
        <f>"073101010212"</f>
        <v>073101010212</v>
      </c>
      <c r="G188" s="7">
        <v>0</v>
      </c>
      <c r="H188" s="7">
        <f t="shared" si="14"/>
        <v>0</v>
      </c>
      <c r="I188" s="7">
        <v>0</v>
      </c>
      <c r="J188" s="7">
        <f t="shared" si="15"/>
        <v>0</v>
      </c>
      <c r="K188" s="10">
        <f t="shared" si="17"/>
        <v>0</v>
      </c>
      <c r="L188" s="7">
        <f>RANK(K188,$K$3:$K$280,0)</f>
        <v>163</v>
      </c>
      <c r="M188" s="13" t="s">
        <v>18</v>
      </c>
      <c r="N188"/>
    </row>
    <row r="189" spans="1:14" ht="24.75" customHeight="1">
      <c r="A189" s="5">
        <v>187</v>
      </c>
      <c r="B189" s="5" t="s">
        <v>14</v>
      </c>
      <c r="C189" s="5" t="str">
        <f>"张兆冬"</f>
        <v>张兆冬</v>
      </c>
      <c r="D189" s="5" t="str">
        <f>"152123199009134829"</f>
        <v>152123199009134829</v>
      </c>
      <c r="E189" s="5" t="s">
        <v>15</v>
      </c>
      <c r="F189" s="5" t="str">
        <f>"073101010213"</f>
        <v>073101010213</v>
      </c>
      <c r="G189" s="7">
        <v>0</v>
      </c>
      <c r="H189" s="7">
        <f t="shared" si="14"/>
        <v>0</v>
      </c>
      <c r="I189" s="7">
        <v>0</v>
      </c>
      <c r="J189" s="7">
        <f t="shared" si="15"/>
        <v>0</v>
      </c>
      <c r="K189" s="10">
        <f t="shared" si="17"/>
        <v>0</v>
      </c>
      <c r="L189" s="7">
        <f>RANK(K189,$K$3:$K$280,0)</f>
        <v>163</v>
      </c>
      <c r="M189" s="13" t="s">
        <v>18</v>
      </c>
      <c r="N189"/>
    </row>
    <row r="190" spans="1:14" ht="24.75" customHeight="1">
      <c r="A190" s="5">
        <v>188</v>
      </c>
      <c r="B190" s="5" t="s">
        <v>14</v>
      </c>
      <c r="C190" s="5" t="str">
        <f>"马巧妹"</f>
        <v>马巧妹</v>
      </c>
      <c r="D190" s="5" t="str">
        <f>"460034199607301222"</f>
        <v>460034199607301222</v>
      </c>
      <c r="E190" s="5" t="s">
        <v>16</v>
      </c>
      <c r="F190" s="5" t="str">
        <f>"073101010214"</f>
        <v>073101010214</v>
      </c>
      <c r="G190" s="7">
        <v>0</v>
      </c>
      <c r="H190" s="7">
        <f t="shared" si="14"/>
        <v>0</v>
      </c>
      <c r="I190" s="7">
        <v>0</v>
      </c>
      <c r="J190" s="7">
        <f t="shared" si="15"/>
        <v>0</v>
      </c>
      <c r="K190" s="10">
        <f t="shared" si="17"/>
        <v>0</v>
      </c>
      <c r="L190" s="7">
        <f>RANK(K190,$K$3:$K$280,0)</f>
        <v>163</v>
      </c>
      <c r="M190" s="13" t="s">
        <v>18</v>
      </c>
      <c r="N190"/>
    </row>
    <row r="191" spans="1:14" ht="24.75" customHeight="1">
      <c r="A191" s="5">
        <v>189</v>
      </c>
      <c r="B191" s="5" t="s">
        <v>14</v>
      </c>
      <c r="C191" s="5" t="str">
        <f>"谢意"</f>
        <v>谢意</v>
      </c>
      <c r="D191" s="5" t="str">
        <f>"460025199606201223"</f>
        <v>460025199606201223</v>
      </c>
      <c r="E191" s="5" t="s">
        <v>15</v>
      </c>
      <c r="F191" s="5" t="str">
        <f>"073101010215"</f>
        <v>073101010215</v>
      </c>
      <c r="G191" s="7">
        <v>0</v>
      </c>
      <c r="H191" s="7">
        <f t="shared" si="14"/>
        <v>0</v>
      </c>
      <c r="I191" s="7">
        <v>0</v>
      </c>
      <c r="J191" s="7">
        <f t="shared" si="15"/>
        <v>0</v>
      </c>
      <c r="K191" s="10">
        <f t="shared" si="17"/>
        <v>0</v>
      </c>
      <c r="L191" s="7">
        <f>RANK(K191,$K$3:$K$280,0)</f>
        <v>163</v>
      </c>
      <c r="M191" s="13" t="s">
        <v>18</v>
      </c>
      <c r="N191"/>
    </row>
    <row r="192" spans="1:14" ht="24.75" customHeight="1">
      <c r="A192" s="5">
        <v>190</v>
      </c>
      <c r="B192" s="5" t="s">
        <v>14</v>
      </c>
      <c r="C192" s="5" t="str">
        <f>"杨玉"</f>
        <v>杨玉</v>
      </c>
      <c r="D192" s="5" t="str">
        <f>"460002199804024120"</f>
        <v>460002199804024120</v>
      </c>
      <c r="E192" s="5" t="s">
        <v>15</v>
      </c>
      <c r="F192" s="5" t="str">
        <f>"073101010219"</f>
        <v>073101010219</v>
      </c>
      <c r="G192" s="7">
        <v>0</v>
      </c>
      <c r="H192" s="7">
        <f t="shared" si="14"/>
        <v>0</v>
      </c>
      <c r="I192" s="7">
        <v>0</v>
      </c>
      <c r="J192" s="7">
        <f t="shared" si="15"/>
        <v>0</v>
      </c>
      <c r="K192" s="10">
        <f t="shared" si="17"/>
        <v>0</v>
      </c>
      <c r="L192" s="7">
        <f>RANK(K192,$K$3:$K$280,0)</f>
        <v>163</v>
      </c>
      <c r="M192" s="13" t="s">
        <v>18</v>
      </c>
      <c r="N192"/>
    </row>
    <row r="193" spans="1:14" ht="24.75" customHeight="1">
      <c r="A193" s="5">
        <v>191</v>
      </c>
      <c r="B193" s="5" t="s">
        <v>14</v>
      </c>
      <c r="C193" s="5" t="str">
        <f>"吉少稀"</f>
        <v>吉少稀</v>
      </c>
      <c r="D193" s="5" t="str">
        <f>"460033199510054572"</f>
        <v>460033199510054572</v>
      </c>
      <c r="E193" s="5" t="s">
        <v>15</v>
      </c>
      <c r="F193" s="5" t="str">
        <f>"073101010221"</f>
        <v>073101010221</v>
      </c>
      <c r="G193" s="7">
        <v>0</v>
      </c>
      <c r="H193" s="7">
        <f t="shared" si="14"/>
        <v>0</v>
      </c>
      <c r="I193" s="7">
        <v>0</v>
      </c>
      <c r="J193" s="7">
        <f t="shared" si="15"/>
        <v>0</v>
      </c>
      <c r="K193" s="10">
        <f t="shared" si="17"/>
        <v>0</v>
      </c>
      <c r="L193" s="7">
        <f>RANK(K193,$K$3:$K$280,0)</f>
        <v>163</v>
      </c>
      <c r="M193" s="13" t="s">
        <v>18</v>
      </c>
      <c r="N193"/>
    </row>
    <row r="194" spans="1:14" ht="24.75" customHeight="1">
      <c r="A194" s="5">
        <v>192</v>
      </c>
      <c r="B194" s="5" t="s">
        <v>14</v>
      </c>
      <c r="C194" s="5" t="str">
        <f>"符红茹"</f>
        <v>符红茹</v>
      </c>
      <c r="D194" s="5" t="str">
        <f>"460022199411243264"</f>
        <v>460022199411243264</v>
      </c>
      <c r="E194" s="5" t="s">
        <v>15</v>
      </c>
      <c r="F194" s="5" t="str">
        <f>"073101010224"</f>
        <v>073101010224</v>
      </c>
      <c r="G194" s="7">
        <v>0</v>
      </c>
      <c r="H194" s="7">
        <f t="shared" si="14"/>
        <v>0</v>
      </c>
      <c r="I194" s="7">
        <v>0</v>
      </c>
      <c r="J194" s="7">
        <f t="shared" si="15"/>
        <v>0</v>
      </c>
      <c r="K194" s="10">
        <f t="shared" si="17"/>
        <v>0</v>
      </c>
      <c r="L194" s="7">
        <f>RANK(K194,$K$3:$K$280,0)</f>
        <v>163</v>
      </c>
      <c r="M194" s="13" t="s">
        <v>18</v>
      </c>
      <c r="N194"/>
    </row>
    <row r="195" spans="1:14" ht="24.75" customHeight="1">
      <c r="A195" s="5">
        <v>193</v>
      </c>
      <c r="B195" s="5" t="s">
        <v>14</v>
      </c>
      <c r="C195" s="5" t="str">
        <f>"庄霞"</f>
        <v>庄霞</v>
      </c>
      <c r="D195" s="5" t="str">
        <f>"460007199110184981"</f>
        <v>460007199110184981</v>
      </c>
      <c r="E195" s="5" t="s">
        <v>15</v>
      </c>
      <c r="F195" s="5" t="str">
        <f>"073101010225"</f>
        <v>073101010225</v>
      </c>
      <c r="G195" s="7">
        <v>0</v>
      </c>
      <c r="H195" s="7">
        <f aca="true" t="shared" si="18" ref="H195:H258">G195*0.5</f>
        <v>0</v>
      </c>
      <c r="I195" s="7">
        <v>0</v>
      </c>
      <c r="J195" s="7">
        <f aca="true" t="shared" si="19" ref="J195:J258">I195*0.5</f>
        <v>0</v>
      </c>
      <c r="K195" s="10">
        <f t="shared" si="17"/>
        <v>0</v>
      </c>
      <c r="L195" s="7">
        <f>RANK(K195,$K$3:$K$280,0)</f>
        <v>163</v>
      </c>
      <c r="M195" s="13" t="s">
        <v>18</v>
      </c>
      <c r="N195"/>
    </row>
    <row r="196" spans="1:14" ht="24.75" customHeight="1">
      <c r="A196" s="5">
        <v>194</v>
      </c>
      <c r="B196" s="5" t="s">
        <v>14</v>
      </c>
      <c r="C196" s="5" t="str">
        <f>"吴丽娜"</f>
        <v>吴丽娜</v>
      </c>
      <c r="D196" s="5" t="str">
        <f>"46000419981204022X"</f>
        <v>46000419981204022X</v>
      </c>
      <c r="E196" s="5" t="s">
        <v>15</v>
      </c>
      <c r="F196" s="5" t="str">
        <f>"073101010226"</f>
        <v>073101010226</v>
      </c>
      <c r="G196" s="7">
        <v>0</v>
      </c>
      <c r="H196" s="7">
        <f t="shared" si="18"/>
        <v>0</v>
      </c>
      <c r="I196" s="7">
        <v>0</v>
      </c>
      <c r="J196" s="7">
        <f t="shared" si="19"/>
        <v>0</v>
      </c>
      <c r="K196" s="10">
        <f t="shared" si="17"/>
        <v>0</v>
      </c>
      <c r="L196" s="7">
        <f>RANK(K196,$K$3:$K$280,0)</f>
        <v>163</v>
      </c>
      <c r="M196" s="13" t="s">
        <v>18</v>
      </c>
      <c r="N196"/>
    </row>
    <row r="197" spans="1:14" ht="24.75" customHeight="1">
      <c r="A197" s="5">
        <v>195</v>
      </c>
      <c r="B197" s="5" t="s">
        <v>14</v>
      </c>
      <c r="C197" s="5" t="str">
        <f>"陈家凤"</f>
        <v>陈家凤</v>
      </c>
      <c r="D197" s="5" t="str">
        <f>"460002200001074621"</f>
        <v>460002200001074621</v>
      </c>
      <c r="E197" s="5" t="s">
        <v>15</v>
      </c>
      <c r="F197" s="5" t="str">
        <f>"073101010228"</f>
        <v>073101010228</v>
      </c>
      <c r="G197" s="7">
        <v>0</v>
      </c>
      <c r="H197" s="7">
        <f t="shared" si="18"/>
        <v>0</v>
      </c>
      <c r="I197" s="7">
        <v>0</v>
      </c>
      <c r="J197" s="7">
        <f t="shared" si="19"/>
        <v>0</v>
      </c>
      <c r="K197" s="10">
        <f t="shared" si="17"/>
        <v>0</v>
      </c>
      <c r="L197" s="7">
        <f>RANK(K197,$K$3:$K$280,0)</f>
        <v>163</v>
      </c>
      <c r="M197" s="13" t="s">
        <v>18</v>
      </c>
      <c r="N197"/>
    </row>
    <row r="198" spans="1:14" ht="24.75" customHeight="1">
      <c r="A198" s="5">
        <v>196</v>
      </c>
      <c r="B198" s="5" t="s">
        <v>14</v>
      </c>
      <c r="C198" s="5" t="str">
        <f>"吴淑颖"</f>
        <v>吴淑颖</v>
      </c>
      <c r="D198" s="5" t="str">
        <f>"460004199703134016"</f>
        <v>460004199703134016</v>
      </c>
      <c r="E198" s="5" t="s">
        <v>15</v>
      </c>
      <c r="F198" s="5" t="str">
        <f>"073101010231"</f>
        <v>073101010231</v>
      </c>
      <c r="G198" s="7">
        <v>0</v>
      </c>
      <c r="H198" s="7">
        <f t="shared" si="18"/>
        <v>0</v>
      </c>
      <c r="I198" s="7">
        <v>0</v>
      </c>
      <c r="J198" s="7">
        <f t="shared" si="19"/>
        <v>0</v>
      </c>
      <c r="K198" s="10">
        <f t="shared" si="17"/>
        <v>0</v>
      </c>
      <c r="L198" s="7">
        <f>RANK(K198,$K$3:$K$280,0)</f>
        <v>163</v>
      </c>
      <c r="M198" s="13" t="s">
        <v>18</v>
      </c>
      <c r="N198"/>
    </row>
    <row r="199" spans="1:14" ht="24.75" customHeight="1">
      <c r="A199" s="5">
        <v>197</v>
      </c>
      <c r="B199" s="5" t="s">
        <v>14</v>
      </c>
      <c r="C199" s="5" t="str">
        <f>"李春雪"</f>
        <v>李春雪</v>
      </c>
      <c r="D199" s="5" t="str">
        <f>"452122199301040621"</f>
        <v>452122199301040621</v>
      </c>
      <c r="E199" s="5" t="s">
        <v>15</v>
      </c>
      <c r="F199" s="5" t="str">
        <f>"073101010232"</f>
        <v>073101010232</v>
      </c>
      <c r="G199" s="7">
        <v>0</v>
      </c>
      <c r="H199" s="7">
        <f t="shared" si="18"/>
        <v>0</v>
      </c>
      <c r="I199" s="7">
        <v>0</v>
      </c>
      <c r="J199" s="7">
        <f t="shared" si="19"/>
        <v>0</v>
      </c>
      <c r="K199" s="10">
        <f t="shared" si="17"/>
        <v>0</v>
      </c>
      <c r="L199" s="7">
        <f>RANK(K199,$K$3:$K$280,0)</f>
        <v>163</v>
      </c>
      <c r="M199" s="13" t="s">
        <v>18</v>
      </c>
      <c r="N199"/>
    </row>
    <row r="200" spans="1:14" ht="24.75" customHeight="1">
      <c r="A200" s="5">
        <v>198</v>
      </c>
      <c r="B200" s="5" t="s">
        <v>14</v>
      </c>
      <c r="C200" s="5" t="str">
        <f>"黄欢"</f>
        <v>黄欢</v>
      </c>
      <c r="D200" s="5" t="str">
        <f>"460006199611286824"</f>
        <v>460006199611286824</v>
      </c>
      <c r="E200" s="5" t="s">
        <v>15</v>
      </c>
      <c r="F200" s="5" t="str">
        <f>"073101010235"</f>
        <v>073101010235</v>
      </c>
      <c r="G200" s="7">
        <v>0</v>
      </c>
      <c r="H200" s="7">
        <f t="shared" si="18"/>
        <v>0</v>
      </c>
      <c r="I200" s="7">
        <v>0</v>
      </c>
      <c r="J200" s="7">
        <f t="shared" si="19"/>
        <v>0</v>
      </c>
      <c r="K200" s="10">
        <f t="shared" si="17"/>
        <v>0</v>
      </c>
      <c r="L200" s="7">
        <f>RANK(K200,$K$3:$K$280,0)</f>
        <v>163</v>
      </c>
      <c r="M200" s="13" t="s">
        <v>18</v>
      </c>
      <c r="N200"/>
    </row>
    <row r="201" spans="1:14" ht="24.75" customHeight="1">
      <c r="A201" s="5">
        <v>199</v>
      </c>
      <c r="B201" s="5" t="s">
        <v>14</v>
      </c>
      <c r="C201" s="5" t="str">
        <f>"吴雨诺"</f>
        <v>吴雨诺</v>
      </c>
      <c r="D201" s="5" t="str">
        <f>"460028199503240026"</f>
        <v>460028199503240026</v>
      </c>
      <c r="E201" s="5" t="s">
        <v>15</v>
      </c>
      <c r="F201" s="5" t="str">
        <f>"073101010236"</f>
        <v>073101010236</v>
      </c>
      <c r="G201" s="7">
        <v>0</v>
      </c>
      <c r="H201" s="7">
        <f t="shared" si="18"/>
        <v>0</v>
      </c>
      <c r="I201" s="7">
        <v>0</v>
      </c>
      <c r="J201" s="7">
        <f t="shared" si="19"/>
        <v>0</v>
      </c>
      <c r="K201" s="10">
        <f t="shared" si="17"/>
        <v>0</v>
      </c>
      <c r="L201" s="7">
        <f>RANK(K201,$K$3:$K$280,0)</f>
        <v>163</v>
      </c>
      <c r="M201" s="13" t="s">
        <v>18</v>
      </c>
      <c r="N201"/>
    </row>
    <row r="202" spans="1:14" ht="24.75" customHeight="1">
      <c r="A202" s="5">
        <v>200</v>
      </c>
      <c r="B202" s="5" t="s">
        <v>14</v>
      </c>
      <c r="C202" s="5" t="str">
        <f>"胡海怡"</f>
        <v>胡海怡</v>
      </c>
      <c r="D202" s="5" t="str">
        <f>"230604199703141865"</f>
        <v>230604199703141865</v>
      </c>
      <c r="E202" s="5" t="s">
        <v>15</v>
      </c>
      <c r="F202" s="5" t="str">
        <f>"073101010237"</f>
        <v>073101010237</v>
      </c>
      <c r="G202" s="7">
        <v>0</v>
      </c>
      <c r="H202" s="7">
        <f t="shared" si="18"/>
        <v>0</v>
      </c>
      <c r="I202" s="7">
        <v>0</v>
      </c>
      <c r="J202" s="7">
        <f t="shared" si="19"/>
        <v>0</v>
      </c>
      <c r="K202" s="10">
        <f t="shared" si="17"/>
        <v>0</v>
      </c>
      <c r="L202" s="7">
        <f>RANK(K202,$K$3:$K$280,0)</f>
        <v>163</v>
      </c>
      <c r="M202" s="13" t="s">
        <v>18</v>
      </c>
      <c r="N202"/>
    </row>
    <row r="203" spans="1:14" ht="24.75" customHeight="1">
      <c r="A203" s="5">
        <v>201</v>
      </c>
      <c r="B203" s="5" t="s">
        <v>14</v>
      </c>
      <c r="C203" s="5" t="str">
        <f>"邢增坛"</f>
        <v>邢增坛</v>
      </c>
      <c r="D203" s="5" t="str">
        <f>"460033199801117799"</f>
        <v>460033199801117799</v>
      </c>
      <c r="E203" s="5" t="s">
        <v>15</v>
      </c>
      <c r="F203" s="5" t="str">
        <f>"073101010238"</f>
        <v>073101010238</v>
      </c>
      <c r="G203" s="7">
        <v>0</v>
      </c>
      <c r="H203" s="7">
        <f t="shared" si="18"/>
        <v>0</v>
      </c>
      <c r="I203" s="7">
        <v>0</v>
      </c>
      <c r="J203" s="7">
        <f t="shared" si="19"/>
        <v>0</v>
      </c>
      <c r="K203" s="10">
        <f t="shared" si="17"/>
        <v>0</v>
      </c>
      <c r="L203" s="7">
        <f>RANK(K203,$K$3:$K$280,0)</f>
        <v>163</v>
      </c>
      <c r="M203" s="13" t="s">
        <v>18</v>
      </c>
      <c r="N203"/>
    </row>
    <row r="204" spans="1:14" ht="24.75" customHeight="1">
      <c r="A204" s="5">
        <v>202</v>
      </c>
      <c r="B204" s="5" t="s">
        <v>14</v>
      </c>
      <c r="C204" s="5" t="str">
        <f>"陈贤龙"</f>
        <v>陈贤龙</v>
      </c>
      <c r="D204" s="5" t="str">
        <f>"460027199912134412"</f>
        <v>460027199912134412</v>
      </c>
      <c r="E204" s="5" t="s">
        <v>15</v>
      </c>
      <c r="F204" s="5" t="str">
        <f>"073101010240"</f>
        <v>073101010240</v>
      </c>
      <c r="G204" s="7">
        <v>0</v>
      </c>
      <c r="H204" s="7">
        <f t="shared" si="18"/>
        <v>0</v>
      </c>
      <c r="I204" s="7">
        <v>0</v>
      </c>
      <c r="J204" s="7">
        <f t="shared" si="19"/>
        <v>0</v>
      </c>
      <c r="K204" s="10">
        <f t="shared" si="17"/>
        <v>0</v>
      </c>
      <c r="L204" s="7">
        <f>RANK(K204,$K$3:$K$280,0)</f>
        <v>163</v>
      </c>
      <c r="M204" s="13" t="s">
        <v>18</v>
      </c>
      <c r="N204"/>
    </row>
    <row r="205" spans="1:14" ht="24.75" customHeight="1">
      <c r="A205" s="5">
        <v>203</v>
      </c>
      <c r="B205" s="5" t="s">
        <v>14</v>
      </c>
      <c r="C205" s="5" t="str">
        <f>"王陈园"</f>
        <v>王陈园</v>
      </c>
      <c r="D205" s="5" t="str">
        <f>"469024199708036822"</f>
        <v>469024199708036822</v>
      </c>
      <c r="E205" s="5" t="s">
        <v>15</v>
      </c>
      <c r="F205" s="5" t="str">
        <f>"073101010303"</f>
        <v>073101010303</v>
      </c>
      <c r="G205" s="7">
        <v>0</v>
      </c>
      <c r="H205" s="7">
        <f t="shared" si="18"/>
        <v>0</v>
      </c>
      <c r="I205" s="7">
        <v>0</v>
      </c>
      <c r="J205" s="7">
        <f t="shared" si="19"/>
        <v>0</v>
      </c>
      <c r="K205" s="10">
        <f t="shared" si="17"/>
        <v>0</v>
      </c>
      <c r="L205" s="7">
        <f>RANK(K205,$K$3:$K$280,0)</f>
        <v>163</v>
      </c>
      <c r="M205" s="13" t="s">
        <v>18</v>
      </c>
      <c r="N205"/>
    </row>
    <row r="206" spans="1:14" ht="24.75" customHeight="1">
      <c r="A206" s="5">
        <v>204</v>
      </c>
      <c r="B206" s="5" t="s">
        <v>14</v>
      </c>
      <c r="C206" s="5" t="str">
        <f>"虞晶晶"</f>
        <v>虞晶晶</v>
      </c>
      <c r="D206" s="5" t="str">
        <f>"460028199210030025"</f>
        <v>460028199210030025</v>
      </c>
      <c r="E206" s="5" t="s">
        <v>15</v>
      </c>
      <c r="F206" s="5" t="str">
        <f>"073101010309"</f>
        <v>073101010309</v>
      </c>
      <c r="G206" s="7">
        <v>0</v>
      </c>
      <c r="H206" s="7">
        <f t="shared" si="18"/>
        <v>0</v>
      </c>
      <c r="I206" s="7">
        <v>0</v>
      </c>
      <c r="J206" s="7">
        <f t="shared" si="19"/>
        <v>0</v>
      </c>
      <c r="K206" s="10">
        <f t="shared" si="17"/>
        <v>0</v>
      </c>
      <c r="L206" s="7">
        <f>RANK(K206,$K$3:$K$280,0)</f>
        <v>163</v>
      </c>
      <c r="M206" s="13" t="s">
        <v>18</v>
      </c>
      <c r="N206"/>
    </row>
    <row r="207" spans="1:14" ht="24.75" customHeight="1">
      <c r="A207" s="5">
        <v>205</v>
      </c>
      <c r="B207" s="5" t="s">
        <v>14</v>
      </c>
      <c r="C207" s="5" t="str">
        <f>"王紫倩"</f>
        <v>王紫倩</v>
      </c>
      <c r="D207" s="5" t="str">
        <f>"460004199804130444"</f>
        <v>460004199804130444</v>
      </c>
      <c r="E207" s="5" t="s">
        <v>15</v>
      </c>
      <c r="F207" s="5" t="str">
        <f>"073101010312"</f>
        <v>073101010312</v>
      </c>
      <c r="G207" s="7">
        <v>0</v>
      </c>
      <c r="H207" s="7">
        <f t="shared" si="18"/>
        <v>0</v>
      </c>
      <c r="I207" s="7">
        <v>0</v>
      </c>
      <c r="J207" s="7">
        <f t="shared" si="19"/>
        <v>0</v>
      </c>
      <c r="K207" s="10">
        <f t="shared" si="17"/>
        <v>0</v>
      </c>
      <c r="L207" s="7">
        <f>RANK(K207,$K$3:$K$280,0)</f>
        <v>163</v>
      </c>
      <c r="M207" s="13" t="s">
        <v>18</v>
      </c>
      <c r="N207"/>
    </row>
    <row r="208" spans="1:14" ht="24.75" customHeight="1">
      <c r="A208" s="5">
        <v>206</v>
      </c>
      <c r="B208" s="5" t="s">
        <v>14</v>
      </c>
      <c r="C208" s="5" t="str">
        <f>"黄婷"</f>
        <v>黄婷</v>
      </c>
      <c r="D208" s="5" t="str">
        <f>"460200200102183606"</f>
        <v>460200200102183606</v>
      </c>
      <c r="E208" s="5" t="s">
        <v>15</v>
      </c>
      <c r="F208" s="5" t="str">
        <f>"073101010314"</f>
        <v>073101010314</v>
      </c>
      <c r="G208" s="7">
        <v>0</v>
      </c>
      <c r="H208" s="7">
        <f t="shared" si="18"/>
        <v>0</v>
      </c>
      <c r="I208" s="7">
        <v>0</v>
      </c>
      <c r="J208" s="7">
        <f t="shared" si="19"/>
        <v>0</v>
      </c>
      <c r="K208" s="10">
        <f t="shared" si="17"/>
        <v>0</v>
      </c>
      <c r="L208" s="7">
        <f>RANK(K208,$K$3:$K$280,0)</f>
        <v>163</v>
      </c>
      <c r="M208" s="13" t="s">
        <v>18</v>
      </c>
      <c r="N208"/>
    </row>
    <row r="209" spans="1:14" ht="24.75" customHeight="1">
      <c r="A209" s="5">
        <v>207</v>
      </c>
      <c r="B209" s="5" t="s">
        <v>14</v>
      </c>
      <c r="C209" s="5" t="str">
        <f>"吉慧琳"</f>
        <v>吉慧琳</v>
      </c>
      <c r="D209" s="5" t="str">
        <f>"460031199610250041"</f>
        <v>460031199610250041</v>
      </c>
      <c r="E209" s="5" t="s">
        <v>15</v>
      </c>
      <c r="F209" s="5" t="str">
        <f>"073101010315"</f>
        <v>073101010315</v>
      </c>
      <c r="G209" s="7">
        <v>0</v>
      </c>
      <c r="H209" s="7">
        <f t="shared" si="18"/>
        <v>0</v>
      </c>
      <c r="I209" s="7">
        <v>0</v>
      </c>
      <c r="J209" s="7">
        <f t="shared" si="19"/>
        <v>0</v>
      </c>
      <c r="K209" s="10">
        <f t="shared" si="17"/>
        <v>0</v>
      </c>
      <c r="L209" s="7">
        <f>RANK(K209,$K$3:$K$280,0)</f>
        <v>163</v>
      </c>
      <c r="M209" s="13" t="s">
        <v>18</v>
      </c>
      <c r="N209"/>
    </row>
    <row r="210" spans="1:14" ht="24.75" customHeight="1">
      <c r="A210" s="5">
        <v>208</v>
      </c>
      <c r="B210" s="5" t="s">
        <v>14</v>
      </c>
      <c r="C210" s="5" t="str">
        <f>"许娟"</f>
        <v>许娟</v>
      </c>
      <c r="D210" s="5" t="str">
        <f>"460004199702100420"</f>
        <v>460004199702100420</v>
      </c>
      <c r="E210" s="5" t="s">
        <v>15</v>
      </c>
      <c r="F210" s="5" t="str">
        <f>"073101010322"</f>
        <v>073101010322</v>
      </c>
      <c r="G210" s="7">
        <v>0</v>
      </c>
      <c r="H210" s="7">
        <f t="shared" si="18"/>
        <v>0</v>
      </c>
      <c r="I210" s="7">
        <v>0</v>
      </c>
      <c r="J210" s="7">
        <f t="shared" si="19"/>
        <v>0</v>
      </c>
      <c r="K210" s="10">
        <f t="shared" si="17"/>
        <v>0</v>
      </c>
      <c r="L210" s="7">
        <f>RANK(K210,$K$3:$K$280,0)</f>
        <v>163</v>
      </c>
      <c r="M210" s="13" t="s">
        <v>18</v>
      </c>
      <c r="N210"/>
    </row>
    <row r="211" spans="1:14" ht="24.75" customHeight="1">
      <c r="A211" s="5">
        <v>209</v>
      </c>
      <c r="B211" s="5" t="s">
        <v>14</v>
      </c>
      <c r="C211" s="5" t="str">
        <f>"符卓慧"</f>
        <v>符卓慧</v>
      </c>
      <c r="D211" s="5" t="str">
        <f>"46000319971001290X"</f>
        <v>46000319971001290X</v>
      </c>
      <c r="E211" s="5" t="s">
        <v>15</v>
      </c>
      <c r="F211" s="5" t="str">
        <f>"073101010324"</f>
        <v>073101010324</v>
      </c>
      <c r="G211" s="7">
        <v>0</v>
      </c>
      <c r="H211" s="7">
        <f t="shared" si="18"/>
        <v>0</v>
      </c>
      <c r="I211" s="7">
        <v>0</v>
      </c>
      <c r="J211" s="7">
        <f t="shared" si="19"/>
        <v>0</v>
      </c>
      <c r="K211" s="10">
        <f t="shared" si="17"/>
        <v>0</v>
      </c>
      <c r="L211" s="7">
        <f>RANK(K211,$K$3:$K$280,0)</f>
        <v>163</v>
      </c>
      <c r="M211" s="13" t="s">
        <v>18</v>
      </c>
      <c r="N211"/>
    </row>
    <row r="212" spans="1:14" ht="24.75" customHeight="1">
      <c r="A212" s="5">
        <v>210</v>
      </c>
      <c r="B212" s="5" t="s">
        <v>14</v>
      </c>
      <c r="C212" s="5" t="str">
        <f>"张芳苑"</f>
        <v>张芳苑</v>
      </c>
      <c r="D212" s="5" t="str">
        <f>"460036199904134822"</f>
        <v>460036199904134822</v>
      </c>
      <c r="E212" s="5" t="s">
        <v>15</v>
      </c>
      <c r="F212" s="5" t="str">
        <f>"073101010325"</f>
        <v>073101010325</v>
      </c>
      <c r="G212" s="7">
        <v>0</v>
      </c>
      <c r="H212" s="7">
        <f t="shared" si="18"/>
        <v>0</v>
      </c>
      <c r="I212" s="7">
        <v>0</v>
      </c>
      <c r="J212" s="7">
        <f t="shared" si="19"/>
        <v>0</v>
      </c>
      <c r="K212" s="10">
        <f t="shared" si="17"/>
        <v>0</v>
      </c>
      <c r="L212" s="7">
        <f>RANK(K212,$K$3:$K$280,0)</f>
        <v>163</v>
      </c>
      <c r="M212" s="13" t="s">
        <v>18</v>
      </c>
      <c r="N212"/>
    </row>
    <row r="213" spans="1:14" ht="24.75" customHeight="1">
      <c r="A213" s="5">
        <v>211</v>
      </c>
      <c r="B213" s="5" t="s">
        <v>14</v>
      </c>
      <c r="C213" s="5" t="str">
        <f>"黄柏栋"</f>
        <v>黄柏栋</v>
      </c>
      <c r="D213" s="5" t="str">
        <f>"460028199612220411"</f>
        <v>460028199612220411</v>
      </c>
      <c r="E213" s="5" t="s">
        <v>15</v>
      </c>
      <c r="F213" s="5" t="str">
        <f>"073101010326"</f>
        <v>073101010326</v>
      </c>
      <c r="G213" s="7">
        <v>0</v>
      </c>
      <c r="H213" s="7">
        <f t="shared" si="18"/>
        <v>0</v>
      </c>
      <c r="I213" s="7">
        <v>0</v>
      </c>
      <c r="J213" s="7">
        <f t="shared" si="19"/>
        <v>0</v>
      </c>
      <c r="K213" s="10">
        <f t="shared" si="17"/>
        <v>0</v>
      </c>
      <c r="L213" s="7">
        <f>RANK(K213,$K$3:$K$280,0)</f>
        <v>163</v>
      </c>
      <c r="M213" s="13" t="s">
        <v>18</v>
      </c>
      <c r="N213"/>
    </row>
    <row r="214" spans="1:14" ht="24.75" customHeight="1">
      <c r="A214" s="5">
        <v>212</v>
      </c>
      <c r="B214" s="5" t="s">
        <v>14</v>
      </c>
      <c r="C214" s="5" t="str">
        <f>"张翠"</f>
        <v>张翠</v>
      </c>
      <c r="D214" s="5" t="str">
        <f>"460007199712235766"</f>
        <v>460007199712235766</v>
      </c>
      <c r="E214" s="5" t="s">
        <v>15</v>
      </c>
      <c r="F214" s="5" t="str">
        <f>"073101010329"</f>
        <v>073101010329</v>
      </c>
      <c r="G214" s="7">
        <v>0</v>
      </c>
      <c r="H214" s="7">
        <f t="shared" si="18"/>
        <v>0</v>
      </c>
      <c r="I214" s="7">
        <v>0</v>
      </c>
      <c r="J214" s="7">
        <f t="shared" si="19"/>
        <v>0</v>
      </c>
      <c r="K214" s="10">
        <f t="shared" si="17"/>
        <v>0</v>
      </c>
      <c r="L214" s="7">
        <f>RANK(K214,$K$3:$K$280,0)</f>
        <v>163</v>
      </c>
      <c r="M214" s="13" t="s">
        <v>18</v>
      </c>
      <c r="N214"/>
    </row>
    <row r="215" spans="1:14" ht="24.75" customHeight="1">
      <c r="A215" s="5">
        <v>213</v>
      </c>
      <c r="B215" s="5" t="s">
        <v>14</v>
      </c>
      <c r="C215" s="5" t="str">
        <f>"杨帆"</f>
        <v>杨帆</v>
      </c>
      <c r="D215" s="5" t="str">
        <f>"460002199609023421"</f>
        <v>460002199609023421</v>
      </c>
      <c r="E215" s="5" t="s">
        <v>15</v>
      </c>
      <c r="F215" s="5" t="str">
        <f>"073101010335"</f>
        <v>073101010335</v>
      </c>
      <c r="G215" s="7">
        <v>0</v>
      </c>
      <c r="H215" s="7">
        <f t="shared" si="18"/>
        <v>0</v>
      </c>
      <c r="I215" s="7">
        <v>0</v>
      </c>
      <c r="J215" s="7">
        <f t="shared" si="19"/>
        <v>0</v>
      </c>
      <c r="K215" s="10">
        <f t="shared" si="17"/>
        <v>0</v>
      </c>
      <c r="L215" s="7">
        <f>RANK(K215,$K$3:$K$280,0)</f>
        <v>163</v>
      </c>
      <c r="M215" s="13" t="s">
        <v>18</v>
      </c>
      <c r="N215"/>
    </row>
    <row r="216" spans="1:14" ht="24.75" customHeight="1">
      <c r="A216" s="5">
        <v>214</v>
      </c>
      <c r="B216" s="5" t="s">
        <v>14</v>
      </c>
      <c r="C216" s="5" t="str">
        <f>"符青"</f>
        <v>符青</v>
      </c>
      <c r="D216" s="5" t="str">
        <f>"460026199810023328"</f>
        <v>460026199810023328</v>
      </c>
      <c r="E216" s="5" t="s">
        <v>15</v>
      </c>
      <c r="F216" s="5" t="str">
        <f>"073101010338"</f>
        <v>073101010338</v>
      </c>
      <c r="G216" s="7">
        <v>0</v>
      </c>
      <c r="H216" s="7">
        <f t="shared" si="18"/>
        <v>0</v>
      </c>
      <c r="I216" s="7">
        <v>0</v>
      </c>
      <c r="J216" s="7">
        <f t="shared" si="19"/>
        <v>0</v>
      </c>
      <c r="K216" s="10">
        <f t="shared" si="17"/>
        <v>0</v>
      </c>
      <c r="L216" s="7">
        <f>RANK(K216,$K$3:$K$280,0)</f>
        <v>163</v>
      </c>
      <c r="M216" s="13" t="s">
        <v>18</v>
      </c>
      <c r="N216"/>
    </row>
    <row r="217" spans="1:14" ht="24.75" customHeight="1">
      <c r="A217" s="5">
        <v>215</v>
      </c>
      <c r="B217" s="5" t="s">
        <v>14</v>
      </c>
      <c r="C217" s="5" t="str">
        <f>"蒋树娜"</f>
        <v>蒋树娜</v>
      </c>
      <c r="D217" s="5" t="str">
        <f>"630121199111245349"</f>
        <v>630121199111245349</v>
      </c>
      <c r="E217" s="5" t="s">
        <v>15</v>
      </c>
      <c r="F217" s="5" t="str">
        <f>"073101010340"</f>
        <v>073101010340</v>
      </c>
      <c r="G217" s="7">
        <v>0</v>
      </c>
      <c r="H217" s="7">
        <f t="shared" si="18"/>
        <v>0</v>
      </c>
      <c r="I217" s="7">
        <v>0</v>
      </c>
      <c r="J217" s="7">
        <f t="shared" si="19"/>
        <v>0</v>
      </c>
      <c r="K217" s="10">
        <f t="shared" si="17"/>
        <v>0</v>
      </c>
      <c r="L217" s="7">
        <f>RANK(K217,$K$3:$K$280,0)</f>
        <v>163</v>
      </c>
      <c r="M217" s="13" t="s">
        <v>18</v>
      </c>
      <c r="N217"/>
    </row>
    <row r="218" spans="1:14" ht="24.75" customHeight="1">
      <c r="A218" s="5">
        <v>216</v>
      </c>
      <c r="B218" s="5" t="s">
        <v>14</v>
      </c>
      <c r="C218" s="5" t="str">
        <f>"满雅萍"</f>
        <v>满雅萍</v>
      </c>
      <c r="D218" s="5" t="str">
        <f>"460032199304070823"</f>
        <v>460032199304070823</v>
      </c>
      <c r="E218" s="5" t="s">
        <v>15</v>
      </c>
      <c r="F218" s="5" t="str">
        <f>"073101010402"</f>
        <v>073101010402</v>
      </c>
      <c r="G218" s="7">
        <v>0</v>
      </c>
      <c r="H218" s="7">
        <f t="shared" si="18"/>
        <v>0</v>
      </c>
      <c r="I218" s="7">
        <v>0</v>
      </c>
      <c r="J218" s="7">
        <f t="shared" si="19"/>
        <v>0</v>
      </c>
      <c r="K218" s="10">
        <f t="shared" si="17"/>
        <v>0</v>
      </c>
      <c r="L218" s="7">
        <f>RANK(K218,$K$3:$K$280,0)</f>
        <v>163</v>
      </c>
      <c r="M218" s="13" t="s">
        <v>18</v>
      </c>
      <c r="N218"/>
    </row>
    <row r="219" spans="1:14" ht="24.75" customHeight="1">
      <c r="A219" s="5">
        <v>217</v>
      </c>
      <c r="B219" s="5" t="s">
        <v>14</v>
      </c>
      <c r="C219" s="5" t="str">
        <f>"梁亚敏"</f>
        <v>梁亚敏</v>
      </c>
      <c r="D219" s="5" t="str">
        <f>"460106199801064427"</f>
        <v>460106199801064427</v>
      </c>
      <c r="E219" s="5" t="s">
        <v>15</v>
      </c>
      <c r="F219" s="5" t="str">
        <f>"073101010406"</f>
        <v>073101010406</v>
      </c>
      <c r="G219" s="7">
        <v>0</v>
      </c>
      <c r="H219" s="7">
        <f t="shared" si="18"/>
        <v>0</v>
      </c>
      <c r="I219" s="7">
        <v>0</v>
      </c>
      <c r="J219" s="7">
        <f t="shared" si="19"/>
        <v>0</v>
      </c>
      <c r="K219" s="10">
        <f t="shared" si="17"/>
        <v>0</v>
      </c>
      <c r="L219" s="7">
        <f>RANK(K219,$K$3:$K$280,0)</f>
        <v>163</v>
      </c>
      <c r="M219" s="13" t="s">
        <v>18</v>
      </c>
      <c r="N219"/>
    </row>
    <row r="220" spans="1:14" ht="24.75" customHeight="1">
      <c r="A220" s="5">
        <v>218</v>
      </c>
      <c r="B220" s="5" t="s">
        <v>14</v>
      </c>
      <c r="C220" s="5" t="str">
        <f>"罗俏"</f>
        <v>罗俏</v>
      </c>
      <c r="D220" s="5" t="str">
        <f>"460033199408264485"</f>
        <v>460033199408264485</v>
      </c>
      <c r="E220" s="5" t="s">
        <v>15</v>
      </c>
      <c r="F220" s="5" t="str">
        <f>"073101010408"</f>
        <v>073101010408</v>
      </c>
      <c r="G220" s="7">
        <v>0</v>
      </c>
      <c r="H220" s="7">
        <f t="shared" si="18"/>
        <v>0</v>
      </c>
      <c r="I220" s="7">
        <v>0</v>
      </c>
      <c r="J220" s="7">
        <f t="shared" si="19"/>
        <v>0</v>
      </c>
      <c r="K220" s="10">
        <f t="shared" si="17"/>
        <v>0</v>
      </c>
      <c r="L220" s="7">
        <f>RANK(K220,$K$3:$K$280,0)</f>
        <v>163</v>
      </c>
      <c r="M220" s="13" t="s">
        <v>18</v>
      </c>
      <c r="N220"/>
    </row>
    <row r="221" spans="1:14" ht="24.75" customHeight="1">
      <c r="A221" s="5">
        <v>219</v>
      </c>
      <c r="B221" s="5" t="s">
        <v>14</v>
      </c>
      <c r="C221" s="5" t="str">
        <f>"潘德凤"</f>
        <v>潘德凤</v>
      </c>
      <c r="D221" s="5" t="str">
        <f>"460006199901241325"</f>
        <v>460006199901241325</v>
      </c>
      <c r="E221" s="5" t="s">
        <v>15</v>
      </c>
      <c r="F221" s="5" t="str">
        <f>"073101010411"</f>
        <v>073101010411</v>
      </c>
      <c r="G221" s="7">
        <v>0</v>
      </c>
      <c r="H221" s="7">
        <f t="shared" si="18"/>
        <v>0</v>
      </c>
      <c r="I221" s="7">
        <v>0</v>
      </c>
      <c r="J221" s="7">
        <f t="shared" si="19"/>
        <v>0</v>
      </c>
      <c r="K221" s="10">
        <f t="shared" si="17"/>
        <v>0</v>
      </c>
      <c r="L221" s="7">
        <f>RANK(K221,$K$3:$K$280,0)</f>
        <v>163</v>
      </c>
      <c r="M221" s="13" t="s">
        <v>18</v>
      </c>
      <c r="N221"/>
    </row>
    <row r="222" spans="1:14" ht="24.75" customHeight="1">
      <c r="A222" s="5">
        <v>220</v>
      </c>
      <c r="B222" s="5" t="s">
        <v>14</v>
      </c>
      <c r="C222" s="5" t="str">
        <f>"王洋洋"</f>
        <v>王洋洋</v>
      </c>
      <c r="D222" s="5" t="str">
        <f>"469006199709206229"</f>
        <v>469006199709206229</v>
      </c>
      <c r="E222" s="5" t="s">
        <v>15</v>
      </c>
      <c r="F222" s="5" t="str">
        <f>"073101010416"</f>
        <v>073101010416</v>
      </c>
      <c r="G222" s="7">
        <v>0</v>
      </c>
      <c r="H222" s="7">
        <f t="shared" si="18"/>
        <v>0</v>
      </c>
      <c r="I222" s="7">
        <v>0</v>
      </c>
      <c r="J222" s="7">
        <f t="shared" si="19"/>
        <v>0</v>
      </c>
      <c r="K222" s="10">
        <f t="shared" si="17"/>
        <v>0</v>
      </c>
      <c r="L222" s="7">
        <f>RANK(K222,$K$3:$K$280,0)</f>
        <v>163</v>
      </c>
      <c r="M222" s="13" t="s">
        <v>18</v>
      </c>
      <c r="N222"/>
    </row>
    <row r="223" spans="1:14" ht="24.75" customHeight="1">
      <c r="A223" s="5">
        <v>221</v>
      </c>
      <c r="B223" s="5" t="s">
        <v>14</v>
      </c>
      <c r="C223" s="5" t="str">
        <f>"陈烨"</f>
        <v>陈烨</v>
      </c>
      <c r="D223" s="5" t="str">
        <f>"460003199207067428"</f>
        <v>460003199207067428</v>
      </c>
      <c r="E223" s="5" t="s">
        <v>15</v>
      </c>
      <c r="F223" s="5" t="str">
        <f>"073101010421"</f>
        <v>073101010421</v>
      </c>
      <c r="G223" s="7">
        <v>0</v>
      </c>
      <c r="H223" s="7">
        <f t="shared" si="18"/>
        <v>0</v>
      </c>
      <c r="I223" s="7">
        <v>0</v>
      </c>
      <c r="J223" s="7">
        <f t="shared" si="19"/>
        <v>0</v>
      </c>
      <c r="K223" s="10">
        <f t="shared" si="17"/>
        <v>0</v>
      </c>
      <c r="L223" s="7">
        <f>RANK(K223,$K$3:$K$280,0)</f>
        <v>163</v>
      </c>
      <c r="M223" s="13" t="s">
        <v>18</v>
      </c>
      <c r="N223"/>
    </row>
    <row r="224" spans="1:14" ht="24.75" customHeight="1">
      <c r="A224" s="5">
        <v>222</v>
      </c>
      <c r="B224" s="5" t="s">
        <v>14</v>
      </c>
      <c r="C224" s="5" t="str">
        <f>"符以全"</f>
        <v>符以全</v>
      </c>
      <c r="D224" s="5" t="str">
        <f>"460003199704165619"</f>
        <v>460003199704165619</v>
      </c>
      <c r="E224" s="5" t="s">
        <v>15</v>
      </c>
      <c r="F224" s="5" t="str">
        <f>"073101010422"</f>
        <v>073101010422</v>
      </c>
      <c r="G224" s="7">
        <v>0</v>
      </c>
      <c r="H224" s="7">
        <f t="shared" si="18"/>
        <v>0</v>
      </c>
      <c r="I224" s="7">
        <v>0</v>
      </c>
      <c r="J224" s="7">
        <f t="shared" si="19"/>
        <v>0</v>
      </c>
      <c r="K224" s="10">
        <f t="shared" si="17"/>
        <v>0</v>
      </c>
      <c r="L224" s="7">
        <f>RANK(K224,$K$3:$K$280,0)</f>
        <v>163</v>
      </c>
      <c r="M224" s="13" t="s">
        <v>18</v>
      </c>
      <c r="N224"/>
    </row>
    <row r="225" spans="1:14" ht="24.75" customHeight="1">
      <c r="A225" s="5">
        <v>223</v>
      </c>
      <c r="B225" s="5" t="s">
        <v>14</v>
      </c>
      <c r="C225" s="5" t="str">
        <f>"孙晓微"</f>
        <v>孙晓微</v>
      </c>
      <c r="D225" s="5" t="str">
        <f>"460102199706280628"</f>
        <v>460102199706280628</v>
      </c>
      <c r="E225" s="5" t="s">
        <v>15</v>
      </c>
      <c r="F225" s="5" t="str">
        <f>"073101010425"</f>
        <v>073101010425</v>
      </c>
      <c r="G225" s="7">
        <v>0</v>
      </c>
      <c r="H225" s="7">
        <f t="shared" si="18"/>
        <v>0</v>
      </c>
      <c r="I225" s="7">
        <v>0</v>
      </c>
      <c r="J225" s="7">
        <f t="shared" si="19"/>
        <v>0</v>
      </c>
      <c r="K225" s="10">
        <f t="shared" si="17"/>
        <v>0</v>
      </c>
      <c r="L225" s="7">
        <f>RANK(K225,$K$3:$K$280,0)</f>
        <v>163</v>
      </c>
      <c r="M225" s="13" t="s">
        <v>18</v>
      </c>
      <c r="N225"/>
    </row>
    <row r="226" spans="1:14" ht="24.75" customHeight="1">
      <c r="A226" s="5">
        <v>224</v>
      </c>
      <c r="B226" s="5" t="s">
        <v>14</v>
      </c>
      <c r="C226" s="5" t="str">
        <f>"王伟丹"</f>
        <v>王伟丹</v>
      </c>
      <c r="D226" s="5" t="str">
        <f>"460004199709180427"</f>
        <v>460004199709180427</v>
      </c>
      <c r="E226" s="5" t="s">
        <v>15</v>
      </c>
      <c r="F226" s="5" t="str">
        <f>"073101010430"</f>
        <v>073101010430</v>
      </c>
      <c r="G226" s="7">
        <v>0</v>
      </c>
      <c r="H226" s="7">
        <f t="shared" si="18"/>
        <v>0</v>
      </c>
      <c r="I226" s="7">
        <v>0</v>
      </c>
      <c r="J226" s="7">
        <f t="shared" si="19"/>
        <v>0</v>
      </c>
      <c r="K226" s="10">
        <f t="shared" si="17"/>
        <v>0</v>
      </c>
      <c r="L226" s="7">
        <f>RANK(K226,$K$3:$K$280,0)</f>
        <v>163</v>
      </c>
      <c r="M226" s="13" t="s">
        <v>18</v>
      </c>
      <c r="N226"/>
    </row>
    <row r="227" spans="1:14" ht="24.75" customHeight="1">
      <c r="A227" s="5">
        <v>225</v>
      </c>
      <c r="B227" s="5" t="s">
        <v>14</v>
      </c>
      <c r="C227" s="5" t="str">
        <f>"龙菲燕"</f>
        <v>龙菲燕</v>
      </c>
      <c r="D227" s="5" t="str">
        <f>"511526199802181329"</f>
        <v>511526199802181329</v>
      </c>
      <c r="E227" s="5" t="s">
        <v>15</v>
      </c>
      <c r="F227" s="5" t="str">
        <f>"073101010434"</f>
        <v>073101010434</v>
      </c>
      <c r="G227" s="7">
        <v>0</v>
      </c>
      <c r="H227" s="7">
        <f t="shared" si="18"/>
        <v>0</v>
      </c>
      <c r="I227" s="7">
        <v>0</v>
      </c>
      <c r="J227" s="7">
        <f t="shared" si="19"/>
        <v>0</v>
      </c>
      <c r="K227" s="10">
        <f t="shared" si="17"/>
        <v>0</v>
      </c>
      <c r="L227" s="7">
        <f>RANK(K227,$K$3:$K$280,0)</f>
        <v>163</v>
      </c>
      <c r="M227" s="13" t="s">
        <v>18</v>
      </c>
      <c r="N227"/>
    </row>
    <row r="228" spans="1:14" ht="24.75" customHeight="1">
      <c r="A228" s="5">
        <v>226</v>
      </c>
      <c r="B228" s="5" t="s">
        <v>14</v>
      </c>
      <c r="C228" s="5" t="str">
        <f>"翁玉婷"</f>
        <v>翁玉婷</v>
      </c>
      <c r="D228" s="5" t="str">
        <f>"460022199603275121"</f>
        <v>460022199603275121</v>
      </c>
      <c r="E228" s="5" t="s">
        <v>15</v>
      </c>
      <c r="F228" s="5" t="str">
        <f>"073101010435"</f>
        <v>073101010435</v>
      </c>
      <c r="G228" s="7">
        <v>0</v>
      </c>
      <c r="H228" s="7">
        <f t="shared" si="18"/>
        <v>0</v>
      </c>
      <c r="I228" s="7">
        <v>0</v>
      </c>
      <c r="J228" s="7">
        <f t="shared" si="19"/>
        <v>0</v>
      </c>
      <c r="K228" s="10">
        <f aca="true" t="shared" si="20" ref="K228:K291">H228+J228</f>
        <v>0</v>
      </c>
      <c r="L228" s="7">
        <f>RANK(K228,$K$3:$K$280,0)</f>
        <v>163</v>
      </c>
      <c r="M228" s="13" t="s">
        <v>18</v>
      </c>
      <c r="N228"/>
    </row>
    <row r="229" spans="1:14" ht="24.75" customHeight="1">
      <c r="A229" s="5">
        <v>227</v>
      </c>
      <c r="B229" s="5" t="s">
        <v>14</v>
      </c>
      <c r="C229" s="5" t="str">
        <f>"黎俊希"</f>
        <v>黎俊希</v>
      </c>
      <c r="D229" s="5" t="str">
        <f>"460200199505203362"</f>
        <v>460200199505203362</v>
      </c>
      <c r="E229" s="5" t="s">
        <v>15</v>
      </c>
      <c r="F229" s="5" t="str">
        <f>"073101010436"</f>
        <v>073101010436</v>
      </c>
      <c r="G229" s="7">
        <v>0</v>
      </c>
      <c r="H229" s="7">
        <f t="shared" si="18"/>
        <v>0</v>
      </c>
      <c r="I229" s="7">
        <v>0</v>
      </c>
      <c r="J229" s="7">
        <f t="shared" si="19"/>
        <v>0</v>
      </c>
      <c r="K229" s="10">
        <f t="shared" si="20"/>
        <v>0</v>
      </c>
      <c r="L229" s="7">
        <f>RANK(K229,$K$3:$K$280,0)</f>
        <v>163</v>
      </c>
      <c r="M229" s="13" t="s">
        <v>18</v>
      </c>
      <c r="N229"/>
    </row>
    <row r="230" spans="1:14" ht="24.75" customHeight="1">
      <c r="A230" s="5">
        <v>228</v>
      </c>
      <c r="B230" s="5" t="s">
        <v>14</v>
      </c>
      <c r="C230" s="5" t="str">
        <f>"陈佳秀"</f>
        <v>陈佳秀</v>
      </c>
      <c r="D230" s="5" t="str">
        <f>"460004199010140843"</f>
        <v>460004199010140843</v>
      </c>
      <c r="E230" s="5" t="s">
        <v>15</v>
      </c>
      <c r="F230" s="5" t="str">
        <f>"073101010438"</f>
        <v>073101010438</v>
      </c>
      <c r="G230" s="7">
        <v>0</v>
      </c>
      <c r="H230" s="7">
        <f t="shared" si="18"/>
        <v>0</v>
      </c>
      <c r="I230" s="7">
        <v>0</v>
      </c>
      <c r="J230" s="7">
        <f t="shared" si="19"/>
        <v>0</v>
      </c>
      <c r="K230" s="10">
        <f t="shared" si="20"/>
        <v>0</v>
      </c>
      <c r="L230" s="7">
        <f>RANK(K230,$K$3:$K$280,0)</f>
        <v>163</v>
      </c>
      <c r="M230" s="13" t="s">
        <v>18</v>
      </c>
      <c r="N230"/>
    </row>
    <row r="231" spans="1:14" ht="24.75" customHeight="1">
      <c r="A231" s="5">
        <v>229</v>
      </c>
      <c r="B231" s="5" t="s">
        <v>14</v>
      </c>
      <c r="C231" s="5" t="str">
        <f>"代福"</f>
        <v>代福</v>
      </c>
      <c r="D231" s="5" t="str">
        <f>"460007199505023621"</f>
        <v>460007199505023621</v>
      </c>
      <c r="E231" s="5" t="s">
        <v>15</v>
      </c>
      <c r="F231" s="5" t="str">
        <f>"073101010439"</f>
        <v>073101010439</v>
      </c>
      <c r="G231" s="7">
        <v>0</v>
      </c>
      <c r="H231" s="7">
        <f t="shared" si="18"/>
        <v>0</v>
      </c>
      <c r="I231" s="7">
        <v>0</v>
      </c>
      <c r="J231" s="7">
        <f t="shared" si="19"/>
        <v>0</v>
      </c>
      <c r="K231" s="10">
        <f t="shared" si="20"/>
        <v>0</v>
      </c>
      <c r="L231" s="7">
        <f>RANK(K231,$K$3:$K$280,0)</f>
        <v>163</v>
      </c>
      <c r="M231" s="13" t="s">
        <v>18</v>
      </c>
      <c r="N231"/>
    </row>
    <row r="232" spans="1:14" ht="24.75" customHeight="1">
      <c r="A232" s="5">
        <v>230</v>
      </c>
      <c r="B232" s="5" t="s">
        <v>14</v>
      </c>
      <c r="C232" s="5" t="str">
        <f>"王琪"</f>
        <v>王琪</v>
      </c>
      <c r="D232" s="5" t="str">
        <f>"460004199504242022"</f>
        <v>460004199504242022</v>
      </c>
      <c r="E232" s="5" t="s">
        <v>15</v>
      </c>
      <c r="F232" s="5" t="str">
        <f>"073101010440"</f>
        <v>073101010440</v>
      </c>
      <c r="G232" s="7">
        <v>0</v>
      </c>
      <c r="H232" s="7">
        <f t="shared" si="18"/>
        <v>0</v>
      </c>
      <c r="I232" s="7">
        <v>0</v>
      </c>
      <c r="J232" s="7">
        <f t="shared" si="19"/>
        <v>0</v>
      </c>
      <c r="K232" s="10">
        <f t="shared" si="20"/>
        <v>0</v>
      </c>
      <c r="L232" s="7">
        <f>RANK(K232,$K$3:$K$280,0)</f>
        <v>163</v>
      </c>
      <c r="M232" s="13" t="s">
        <v>18</v>
      </c>
      <c r="N232"/>
    </row>
    <row r="233" spans="1:14" ht="24.75" customHeight="1">
      <c r="A233" s="5">
        <v>231</v>
      </c>
      <c r="B233" s="5" t="s">
        <v>14</v>
      </c>
      <c r="C233" s="5" t="str">
        <f>"吴潇"</f>
        <v>吴潇</v>
      </c>
      <c r="D233" s="5" t="str">
        <f>"422202199607123424"</f>
        <v>422202199607123424</v>
      </c>
      <c r="E233" s="5" t="s">
        <v>15</v>
      </c>
      <c r="F233" s="5" t="str">
        <f>"073101010503"</f>
        <v>073101010503</v>
      </c>
      <c r="G233" s="7">
        <v>0</v>
      </c>
      <c r="H233" s="7">
        <f t="shared" si="18"/>
        <v>0</v>
      </c>
      <c r="I233" s="7">
        <v>0</v>
      </c>
      <c r="J233" s="7">
        <f t="shared" si="19"/>
        <v>0</v>
      </c>
      <c r="K233" s="10">
        <f t="shared" si="20"/>
        <v>0</v>
      </c>
      <c r="L233" s="7">
        <f>RANK(K233,$K$3:$K$280,0)</f>
        <v>163</v>
      </c>
      <c r="M233" s="13" t="s">
        <v>18</v>
      </c>
      <c r="N233"/>
    </row>
    <row r="234" spans="1:14" ht="24.75" customHeight="1">
      <c r="A234" s="5">
        <v>232</v>
      </c>
      <c r="B234" s="5" t="s">
        <v>14</v>
      </c>
      <c r="C234" s="5" t="str">
        <f>"王杰仪"</f>
        <v>王杰仪</v>
      </c>
      <c r="D234" s="5" t="str">
        <f>"460036199405240022"</f>
        <v>460036199405240022</v>
      </c>
      <c r="E234" s="5" t="s">
        <v>15</v>
      </c>
      <c r="F234" s="5" t="str">
        <f>"073101010505"</f>
        <v>073101010505</v>
      </c>
      <c r="G234" s="7">
        <v>0</v>
      </c>
      <c r="H234" s="7">
        <f t="shared" si="18"/>
        <v>0</v>
      </c>
      <c r="I234" s="7">
        <v>0</v>
      </c>
      <c r="J234" s="7">
        <f t="shared" si="19"/>
        <v>0</v>
      </c>
      <c r="K234" s="10">
        <f t="shared" si="20"/>
        <v>0</v>
      </c>
      <c r="L234" s="7">
        <f>RANK(K234,$K$3:$K$280,0)</f>
        <v>163</v>
      </c>
      <c r="M234" s="13" t="s">
        <v>18</v>
      </c>
      <c r="N234"/>
    </row>
    <row r="235" spans="1:14" ht="24.75" customHeight="1">
      <c r="A235" s="5">
        <v>233</v>
      </c>
      <c r="B235" s="5" t="s">
        <v>14</v>
      </c>
      <c r="C235" s="5" t="str">
        <f>"刘宇裕"</f>
        <v>刘宇裕</v>
      </c>
      <c r="D235" s="5" t="str">
        <f>"441602199305070229"</f>
        <v>441602199305070229</v>
      </c>
      <c r="E235" s="5" t="s">
        <v>15</v>
      </c>
      <c r="F235" s="5" t="str">
        <f>"073101010507"</f>
        <v>073101010507</v>
      </c>
      <c r="G235" s="7">
        <v>0</v>
      </c>
      <c r="H235" s="7">
        <f t="shared" si="18"/>
        <v>0</v>
      </c>
      <c r="I235" s="7">
        <v>0</v>
      </c>
      <c r="J235" s="7">
        <f t="shared" si="19"/>
        <v>0</v>
      </c>
      <c r="K235" s="10">
        <f t="shared" si="20"/>
        <v>0</v>
      </c>
      <c r="L235" s="7">
        <f>RANK(K235,$K$3:$K$280,0)</f>
        <v>163</v>
      </c>
      <c r="M235" s="13" t="s">
        <v>18</v>
      </c>
      <c r="N235"/>
    </row>
    <row r="236" spans="1:14" ht="24.75" customHeight="1">
      <c r="A236" s="5">
        <v>234</v>
      </c>
      <c r="B236" s="5" t="s">
        <v>14</v>
      </c>
      <c r="C236" s="5" t="str">
        <f>"林安慧"</f>
        <v>林安慧</v>
      </c>
      <c r="D236" s="5" t="str">
        <f>"460200199802083387"</f>
        <v>460200199802083387</v>
      </c>
      <c r="E236" s="5" t="s">
        <v>15</v>
      </c>
      <c r="F236" s="5" t="str">
        <f>"073101010509"</f>
        <v>073101010509</v>
      </c>
      <c r="G236" s="7">
        <v>0</v>
      </c>
      <c r="H236" s="7">
        <f t="shared" si="18"/>
        <v>0</v>
      </c>
      <c r="I236" s="7">
        <v>0</v>
      </c>
      <c r="J236" s="7">
        <f t="shared" si="19"/>
        <v>0</v>
      </c>
      <c r="K236" s="10">
        <f t="shared" si="20"/>
        <v>0</v>
      </c>
      <c r="L236" s="7">
        <f>RANK(K236,$K$3:$K$280,0)</f>
        <v>163</v>
      </c>
      <c r="M236" s="13" t="s">
        <v>18</v>
      </c>
      <c r="N236"/>
    </row>
    <row r="237" spans="1:14" ht="24.75" customHeight="1">
      <c r="A237" s="5">
        <v>235</v>
      </c>
      <c r="B237" s="5" t="s">
        <v>14</v>
      </c>
      <c r="C237" s="5" t="str">
        <f>"陈丽珠"</f>
        <v>陈丽珠</v>
      </c>
      <c r="D237" s="5" t="str">
        <f>"460006199908187229"</f>
        <v>460006199908187229</v>
      </c>
      <c r="E237" s="5" t="s">
        <v>15</v>
      </c>
      <c r="F237" s="5" t="str">
        <f>"073101010514"</f>
        <v>073101010514</v>
      </c>
      <c r="G237" s="7">
        <v>0</v>
      </c>
      <c r="H237" s="7">
        <f t="shared" si="18"/>
        <v>0</v>
      </c>
      <c r="I237" s="7">
        <v>0</v>
      </c>
      <c r="J237" s="7">
        <f t="shared" si="19"/>
        <v>0</v>
      </c>
      <c r="K237" s="10">
        <f t="shared" si="20"/>
        <v>0</v>
      </c>
      <c r="L237" s="7">
        <f>RANK(K237,$K$3:$K$280,0)</f>
        <v>163</v>
      </c>
      <c r="M237" s="13" t="s">
        <v>18</v>
      </c>
      <c r="N237"/>
    </row>
    <row r="238" spans="1:14" ht="24.75" customHeight="1">
      <c r="A238" s="5">
        <v>236</v>
      </c>
      <c r="B238" s="5" t="s">
        <v>14</v>
      </c>
      <c r="C238" s="5" t="str">
        <f>"李宛姿"</f>
        <v>李宛姿</v>
      </c>
      <c r="D238" s="5" t="str">
        <f>"460004199810040824"</f>
        <v>460004199810040824</v>
      </c>
      <c r="E238" s="5" t="s">
        <v>15</v>
      </c>
      <c r="F238" s="5" t="str">
        <f>"073101010516"</f>
        <v>073101010516</v>
      </c>
      <c r="G238" s="7">
        <v>0</v>
      </c>
      <c r="H238" s="7">
        <f t="shared" si="18"/>
        <v>0</v>
      </c>
      <c r="I238" s="7">
        <v>0</v>
      </c>
      <c r="J238" s="7">
        <f t="shared" si="19"/>
        <v>0</v>
      </c>
      <c r="K238" s="10">
        <f t="shared" si="20"/>
        <v>0</v>
      </c>
      <c r="L238" s="7">
        <f>RANK(K238,$K$3:$K$280,0)</f>
        <v>163</v>
      </c>
      <c r="M238" s="13" t="s">
        <v>18</v>
      </c>
      <c r="N238"/>
    </row>
    <row r="239" spans="1:14" ht="24.75" customHeight="1">
      <c r="A239" s="5">
        <v>237</v>
      </c>
      <c r="B239" s="5" t="s">
        <v>14</v>
      </c>
      <c r="C239" s="5" t="str">
        <f>"莫海燕"</f>
        <v>莫海燕</v>
      </c>
      <c r="D239" s="5" t="str">
        <f>"460007199511060429"</f>
        <v>460007199511060429</v>
      </c>
      <c r="E239" s="5" t="s">
        <v>15</v>
      </c>
      <c r="F239" s="5" t="str">
        <f>"073101010520"</f>
        <v>073101010520</v>
      </c>
      <c r="G239" s="7">
        <v>0</v>
      </c>
      <c r="H239" s="7">
        <f t="shared" si="18"/>
        <v>0</v>
      </c>
      <c r="I239" s="7">
        <v>0</v>
      </c>
      <c r="J239" s="7">
        <f t="shared" si="19"/>
        <v>0</v>
      </c>
      <c r="K239" s="10">
        <f t="shared" si="20"/>
        <v>0</v>
      </c>
      <c r="L239" s="7">
        <f>RANK(K239,$K$3:$K$280,0)</f>
        <v>163</v>
      </c>
      <c r="M239" s="13" t="s">
        <v>18</v>
      </c>
      <c r="N239"/>
    </row>
    <row r="240" spans="1:14" ht="24.75" customHeight="1">
      <c r="A240" s="5">
        <v>238</v>
      </c>
      <c r="B240" s="5" t="s">
        <v>14</v>
      </c>
      <c r="C240" s="5" t="str">
        <f>"黄紫薇"</f>
        <v>黄紫薇</v>
      </c>
      <c r="D240" s="5" t="str">
        <f>"460004199308250244"</f>
        <v>460004199308250244</v>
      </c>
      <c r="E240" s="5" t="s">
        <v>15</v>
      </c>
      <c r="F240" s="5" t="str">
        <f>"073101010521"</f>
        <v>073101010521</v>
      </c>
      <c r="G240" s="7">
        <v>0</v>
      </c>
      <c r="H240" s="7">
        <f t="shared" si="18"/>
        <v>0</v>
      </c>
      <c r="I240" s="7">
        <v>0</v>
      </c>
      <c r="J240" s="7">
        <f t="shared" si="19"/>
        <v>0</v>
      </c>
      <c r="K240" s="10">
        <f t="shared" si="20"/>
        <v>0</v>
      </c>
      <c r="L240" s="7">
        <f>RANK(K240,$K$3:$K$280,0)</f>
        <v>163</v>
      </c>
      <c r="M240" s="13" t="s">
        <v>18</v>
      </c>
      <c r="N240"/>
    </row>
    <row r="241" spans="1:14" ht="24.75" customHeight="1">
      <c r="A241" s="5">
        <v>239</v>
      </c>
      <c r="B241" s="5" t="s">
        <v>14</v>
      </c>
      <c r="C241" s="5" t="str">
        <f>"孙冰冰"</f>
        <v>孙冰冰</v>
      </c>
      <c r="D241" s="5" t="str">
        <f>"210423199407143027"</f>
        <v>210423199407143027</v>
      </c>
      <c r="E241" s="5" t="s">
        <v>15</v>
      </c>
      <c r="F241" s="5" t="str">
        <f>"073101010524"</f>
        <v>073101010524</v>
      </c>
      <c r="G241" s="7">
        <v>0</v>
      </c>
      <c r="H241" s="7">
        <f t="shared" si="18"/>
        <v>0</v>
      </c>
      <c r="I241" s="7">
        <v>0</v>
      </c>
      <c r="J241" s="7">
        <f t="shared" si="19"/>
        <v>0</v>
      </c>
      <c r="K241" s="10">
        <f t="shared" si="20"/>
        <v>0</v>
      </c>
      <c r="L241" s="7">
        <f>RANK(K241,$K$3:$K$280,0)</f>
        <v>163</v>
      </c>
      <c r="M241" s="13" t="s">
        <v>18</v>
      </c>
      <c r="N241"/>
    </row>
    <row r="242" spans="1:14" ht="24.75" customHeight="1">
      <c r="A242" s="5">
        <v>240</v>
      </c>
      <c r="B242" s="5" t="s">
        <v>14</v>
      </c>
      <c r="C242" s="5" t="str">
        <f>"刘秋余"</f>
        <v>刘秋余</v>
      </c>
      <c r="D242" s="5" t="str">
        <f>"460004199509082427"</f>
        <v>460004199509082427</v>
      </c>
      <c r="E242" s="5" t="s">
        <v>15</v>
      </c>
      <c r="F242" s="5" t="str">
        <f>"073101010530"</f>
        <v>073101010530</v>
      </c>
      <c r="G242" s="7">
        <v>0</v>
      </c>
      <c r="H242" s="7">
        <f t="shared" si="18"/>
        <v>0</v>
      </c>
      <c r="I242" s="7">
        <v>0</v>
      </c>
      <c r="J242" s="7">
        <f t="shared" si="19"/>
        <v>0</v>
      </c>
      <c r="K242" s="10">
        <f t="shared" si="20"/>
        <v>0</v>
      </c>
      <c r="L242" s="7">
        <f>RANK(K242,$K$3:$K$280,0)</f>
        <v>163</v>
      </c>
      <c r="M242" s="13" t="s">
        <v>18</v>
      </c>
      <c r="N242"/>
    </row>
    <row r="243" spans="1:14" ht="24.75" customHeight="1">
      <c r="A243" s="5">
        <v>241</v>
      </c>
      <c r="B243" s="5" t="s">
        <v>14</v>
      </c>
      <c r="C243" s="5" t="str">
        <f>"薛小羽"</f>
        <v>薛小羽</v>
      </c>
      <c r="D243" s="5" t="str">
        <f>"460107199710291428"</f>
        <v>460107199710291428</v>
      </c>
      <c r="E243" s="5" t="s">
        <v>15</v>
      </c>
      <c r="F243" s="5" t="str">
        <f>"073101010534"</f>
        <v>073101010534</v>
      </c>
      <c r="G243" s="7">
        <v>0</v>
      </c>
      <c r="H243" s="7">
        <f t="shared" si="18"/>
        <v>0</v>
      </c>
      <c r="I243" s="7">
        <v>0</v>
      </c>
      <c r="J243" s="7">
        <f t="shared" si="19"/>
        <v>0</v>
      </c>
      <c r="K243" s="10">
        <f t="shared" si="20"/>
        <v>0</v>
      </c>
      <c r="L243" s="7">
        <f>RANK(K243,$K$3:$K$280,0)</f>
        <v>163</v>
      </c>
      <c r="M243" s="13" t="s">
        <v>18</v>
      </c>
      <c r="N243"/>
    </row>
    <row r="244" spans="1:14" ht="24.75" customHeight="1">
      <c r="A244" s="5">
        <v>242</v>
      </c>
      <c r="B244" s="5" t="s">
        <v>14</v>
      </c>
      <c r="C244" s="5" t="str">
        <f>"邢丽婧"</f>
        <v>邢丽婧</v>
      </c>
      <c r="D244" s="5" t="str">
        <f>"460007199709120028"</f>
        <v>460007199709120028</v>
      </c>
      <c r="E244" s="5" t="s">
        <v>15</v>
      </c>
      <c r="F244" s="5" t="str">
        <f>"073101010535"</f>
        <v>073101010535</v>
      </c>
      <c r="G244" s="7">
        <v>0</v>
      </c>
      <c r="H244" s="7">
        <f t="shared" si="18"/>
        <v>0</v>
      </c>
      <c r="I244" s="7">
        <v>0</v>
      </c>
      <c r="J244" s="7">
        <f t="shared" si="19"/>
        <v>0</v>
      </c>
      <c r="K244" s="10">
        <f t="shared" si="20"/>
        <v>0</v>
      </c>
      <c r="L244" s="7">
        <f>RANK(K244,$K$3:$K$280,0)</f>
        <v>163</v>
      </c>
      <c r="M244" s="13" t="s">
        <v>18</v>
      </c>
      <c r="N244"/>
    </row>
    <row r="245" spans="1:14" ht="24.75" customHeight="1">
      <c r="A245" s="5">
        <v>243</v>
      </c>
      <c r="B245" s="5" t="s">
        <v>14</v>
      </c>
      <c r="C245" s="5" t="str">
        <f>"蔡晶莹"</f>
        <v>蔡晶莹</v>
      </c>
      <c r="D245" s="5" t="str">
        <f>"460102199806261547"</f>
        <v>460102199806261547</v>
      </c>
      <c r="E245" s="5" t="s">
        <v>15</v>
      </c>
      <c r="F245" s="5" t="str">
        <f>"073101010538"</f>
        <v>073101010538</v>
      </c>
      <c r="G245" s="7">
        <v>0</v>
      </c>
      <c r="H245" s="7">
        <f t="shared" si="18"/>
        <v>0</v>
      </c>
      <c r="I245" s="7">
        <v>0</v>
      </c>
      <c r="J245" s="7">
        <f t="shared" si="19"/>
        <v>0</v>
      </c>
      <c r="K245" s="10">
        <f t="shared" si="20"/>
        <v>0</v>
      </c>
      <c r="L245" s="7">
        <f>RANK(K245,$K$3:$K$280,0)</f>
        <v>163</v>
      </c>
      <c r="M245" s="13" t="s">
        <v>18</v>
      </c>
      <c r="N245"/>
    </row>
    <row r="246" spans="1:14" ht="24.75" customHeight="1">
      <c r="A246" s="5">
        <v>244</v>
      </c>
      <c r="B246" s="5" t="s">
        <v>14</v>
      </c>
      <c r="C246" s="5" t="str">
        <f>"郑洋"</f>
        <v>郑洋</v>
      </c>
      <c r="D246" s="5" t="str">
        <f>"460026199406070034"</f>
        <v>460026199406070034</v>
      </c>
      <c r="E246" s="5" t="s">
        <v>15</v>
      </c>
      <c r="F246" s="5" t="str">
        <f>"073101010605"</f>
        <v>073101010605</v>
      </c>
      <c r="G246" s="7">
        <v>0</v>
      </c>
      <c r="H246" s="7">
        <f t="shared" si="18"/>
        <v>0</v>
      </c>
      <c r="I246" s="7">
        <v>0</v>
      </c>
      <c r="J246" s="7">
        <f t="shared" si="19"/>
        <v>0</v>
      </c>
      <c r="K246" s="10">
        <f t="shared" si="20"/>
        <v>0</v>
      </c>
      <c r="L246" s="7">
        <f>RANK(K246,$K$3:$K$280,0)</f>
        <v>163</v>
      </c>
      <c r="M246" s="13" t="s">
        <v>18</v>
      </c>
      <c r="N246"/>
    </row>
    <row r="247" spans="1:14" ht="24.75" customHeight="1">
      <c r="A247" s="5">
        <v>245</v>
      </c>
      <c r="B247" s="5" t="s">
        <v>14</v>
      </c>
      <c r="C247" s="5" t="str">
        <f>"王延"</f>
        <v>王延</v>
      </c>
      <c r="D247" s="5" t="str">
        <f>"46003419961125502X"</f>
        <v>46003419961125502X</v>
      </c>
      <c r="E247" s="5" t="s">
        <v>15</v>
      </c>
      <c r="F247" s="5" t="str">
        <f>"073101010606"</f>
        <v>073101010606</v>
      </c>
      <c r="G247" s="7">
        <v>0</v>
      </c>
      <c r="H247" s="7">
        <f t="shared" si="18"/>
        <v>0</v>
      </c>
      <c r="I247" s="7">
        <v>0</v>
      </c>
      <c r="J247" s="7">
        <f t="shared" si="19"/>
        <v>0</v>
      </c>
      <c r="K247" s="10">
        <f t="shared" si="20"/>
        <v>0</v>
      </c>
      <c r="L247" s="7">
        <f>RANK(K247,$K$3:$K$280,0)</f>
        <v>163</v>
      </c>
      <c r="M247" s="13" t="s">
        <v>18</v>
      </c>
      <c r="N247"/>
    </row>
    <row r="248" spans="1:14" ht="24.75" customHeight="1">
      <c r="A248" s="5">
        <v>246</v>
      </c>
      <c r="B248" s="5" t="s">
        <v>14</v>
      </c>
      <c r="C248" s="5" t="str">
        <f>"刘子婷"</f>
        <v>刘子婷</v>
      </c>
      <c r="D248" s="5" t="str">
        <f>"460033199711206288"</f>
        <v>460033199711206288</v>
      </c>
      <c r="E248" s="5" t="s">
        <v>15</v>
      </c>
      <c r="F248" s="5" t="str">
        <f>"073101010607"</f>
        <v>073101010607</v>
      </c>
      <c r="G248" s="7">
        <v>0</v>
      </c>
      <c r="H248" s="7">
        <f t="shared" si="18"/>
        <v>0</v>
      </c>
      <c r="I248" s="7">
        <v>0</v>
      </c>
      <c r="J248" s="7">
        <f t="shared" si="19"/>
        <v>0</v>
      </c>
      <c r="K248" s="10">
        <f t="shared" si="20"/>
        <v>0</v>
      </c>
      <c r="L248" s="7">
        <f>RANK(K248,$K$3:$K$280,0)</f>
        <v>163</v>
      </c>
      <c r="M248" s="13" t="s">
        <v>18</v>
      </c>
      <c r="N248"/>
    </row>
    <row r="249" spans="1:14" ht="24.75" customHeight="1">
      <c r="A249" s="5">
        <v>247</v>
      </c>
      <c r="B249" s="5" t="s">
        <v>14</v>
      </c>
      <c r="C249" s="5" t="str">
        <f>"罗浩"</f>
        <v>罗浩</v>
      </c>
      <c r="D249" s="5" t="str">
        <f>"421223199906113219"</f>
        <v>421223199906113219</v>
      </c>
      <c r="E249" s="5" t="s">
        <v>15</v>
      </c>
      <c r="F249" s="5" t="str">
        <f>"073101010608"</f>
        <v>073101010608</v>
      </c>
      <c r="G249" s="7">
        <v>0</v>
      </c>
      <c r="H249" s="7">
        <f t="shared" si="18"/>
        <v>0</v>
      </c>
      <c r="I249" s="7">
        <v>0</v>
      </c>
      <c r="J249" s="7">
        <f t="shared" si="19"/>
        <v>0</v>
      </c>
      <c r="K249" s="10">
        <f t="shared" si="20"/>
        <v>0</v>
      </c>
      <c r="L249" s="7">
        <f>RANK(K249,$K$3:$K$280,0)</f>
        <v>163</v>
      </c>
      <c r="M249" s="13" t="s">
        <v>18</v>
      </c>
      <c r="N249"/>
    </row>
    <row r="250" spans="1:14" ht="24.75" customHeight="1">
      <c r="A250" s="5">
        <v>248</v>
      </c>
      <c r="B250" s="5" t="s">
        <v>14</v>
      </c>
      <c r="C250" s="5" t="str">
        <f>"符德娴"</f>
        <v>符德娴</v>
      </c>
      <c r="D250" s="5" t="str">
        <f>"460007199202190422"</f>
        <v>460007199202190422</v>
      </c>
      <c r="E250" s="5" t="s">
        <v>15</v>
      </c>
      <c r="F250" s="5" t="str">
        <f>"073101010609"</f>
        <v>073101010609</v>
      </c>
      <c r="G250" s="7">
        <v>0</v>
      </c>
      <c r="H250" s="7">
        <f t="shared" si="18"/>
        <v>0</v>
      </c>
      <c r="I250" s="7">
        <v>0</v>
      </c>
      <c r="J250" s="7">
        <f t="shared" si="19"/>
        <v>0</v>
      </c>
      <c r="K250" s="10">
        <f t="shared" si="20"/>
        <v>0</v>
      </c>
      <c r="L250" s="7">
        <f>RANK(K250,$K$3:$K$280,0)</f>
        <v>163</v>
      </c>
      <c r="M250" s="13" t="s">
        <v>18</v>
      </c>
      <c r="N250"/>
    </row>
    <row r="251" spans="1:14" ht="24.75" customHeight="1">
      <c r="A251" s="5">
        <v>249</v>
      </c>
      <c r="B251" s="5" t="s">
        <v>14</v>
      </c>
      <c r="C251" s="5" t="str">
        <f>"邢敏"</f>
        <v>邢敏</v>
      </c>
      <c r="D251" s="5" t="str">
        <f>"460005199908200327"</f>
        <v>460005199908200327</v>
      </c>
      <c r="E251" s="5" t="s">
        <v>15</v>
      </c>
      <c r="F251" s="5" t="str">
        <f>"073101010610"</f>
        <v>073101010610</v>
      </c>
      <c r="G251" s="7">
        <v>0</v>
      </c>
      <c r="H251" s="7">
        <f t="shared" si="18"/>
        <v>0</v>
      </c>
      <c r="I251" s="7">
        <v>0</v>
      </c>
      <c r="J251" s="7">
        <f t="shared" si="19"/>
        <v>0</v>
      </c>
      <c r="K251" s="10">
        <f t="shared" si="20"/>
        <v>0</v>
      </c>
      <c r="L251" s="7">
        <f>RANK(K251,$K$3:$K$280,0)</f>
        <v>163</v>
      </c>
      <c r="M251" s="13" t="s">
        <v>18</v>
      </c>
      <c r="N251"/>
    </row>
    <row r="252" spans="1:14" ht="24.75" customHeight="1">
      <c r="A252" s="5">
        <v>250</v>
      </c>
      <c r="B252" s="5" t="s">
        <v>14</v>
      </c>
      <c r="C252" s="5" t="str">
        <f>"温尚槟"</f>
        <v>温尚槟</v>
      </c>
      <c r="D252" s="5" t="str">
        <f>"460006199811030217"</f>
        <v>460006199811030217</v>
      </c>
      <c r="E252" s="5" t="s">
        <v>15</v>
      </c>
      <c r="F252" s="5" t="str">
        <f>"073101010612"</f>
        <v>073101010612</v>
      </c>
      <c r="G252" s="7">
        <v>0</v>
      </c>
      <c r="H252" s="7">
        <f t="shared" si="18"/>
        <v>0</v>
      </c>
      <c r="I252" s="7">
        <v>0</v>
      </c>
      <c r="J252" s="7">
        <f t="shared" si="19"/>
        <v>0</v>
      </c>
      <c r="K252" s="10">
        <f t="shared" si="20"/>
        <v>0</v>
      </c>
      <c r="L252" s="7">
        <f>RANK(K252,$K$3:$K$280,0)</f>
        <v>163</v>
      </c>
      <c r="M252" s="13" t="s">
        <v>18</v>
      </c>
      <c r="N252"/>
    </row>
    <row r="253" spans="1:14" ht="24.75" customHeight="1">
      <c r="A253" s="5">
        <v>251</v>
      </c>
      <c r="B253" s="5" t="s">
        <v>14</v>
      </c>
      <c r="C253" s="5" t="str">
        <f>"潘金妹"</f>
        <v>潘金妹</v>
      </c>
      <c r="D253" s="5" t="str">
        <f>"460027199808195944"</f>
        <v>460027199808195944</v>
      </c>
      <c r="E253" s="5" t="s">
        <v>15</v>
      </c>
      <c r="F253" s="5" t="str">
        <f>"073101010618"</f>
        <v>073101010618</v>
      </c>
      <c r="G253" s="7">
        <v>0</v>
      </c>
      <c r="H253" s="7">
        <f t="shared" si="18"/>
        <v>0</v>
      </c>
      <c r="I253" s="7">
        <v>0</v>
      </c>
      <c r="J253" s="7">
        <f t="shared" si="19"/>
        <v>0</v>
      </c>
      <c r="K253" s="10">
        <f t="shared" si="20"/>
        <v>0</v>
      </c>
      <c r="L253" s="7">
        <f>RANK(K253,$K$3:$K$280,0)</f>
        <v>163</v>
      </c>
      <c r="M253" s="13" t="s">
        <v>18</v>
      </c>
      <c r="N253"/>
    </row>
    <row r="254" spans="1:14" ht="24.75" customHeight="1">
      <c r="A254" s="5">
        <v>252</v>
      </c>
      <c r="B254" s="5" t="s">
        <v>14</v>
      </c>
      <c r="C254" s="5" t="str">
        <f>"钟秋虹"</f>
        <v>钟秋虹</v>
      </c>
      <c r="D254" s="5" t="str">
        <f>"460005199111235127"</f>
        <v>460005199111235127</v>
      </c>
      <c r="E254" s="5" t="s">
        <v>15</v>
      </c>
      <c r="F254" s="5" t="str">
        <f>"073101010619"</f>
        <v>073101010619</v>
      </c>
      <c r="G254" s="7">
        <v>0</v>
      </c>
      <c r="H254" s="7">
        <f t="shared" si="18"/>
        <v>0</v>
      </c>
      <c r="I254" s="7">
        <v>0</v>
      </c>
      <c r="J254" s="7">
        <f t="shared" si="19"/>
        <v>0</v>
      </c>
      <c r="K254" s="10">
        <f t="shared" si="20"/>
        <v>0</v>
      </c>
      <c r="L254" s="7">
        <f>RANK(K254,$K$3:$K$280,0)</f>
        <v>163</v>
      </c>
      <c r="M254" s="13" t="s">
        <v>18</v>
      </c>
      <c r="N254"/>
    </row>
    <row r="255" spans="1:14" ht="24.75" customHeight="1">
      <c r="A255" s="5">
        <v>253</v>
      </c>
      <c r="B255" s="5" t="s">
        <v>14</v>
      </c>
      <c r="C255" s="5" t="str">
        <f>"马方韬"</f>
        <v>马方韬</v>
      </c>
      <c r="D255" s="5" t="str">
        <f>"23100519970703202X"</f>
        <v>23100519970703202X</v>
      </c>
      <c r="E255" s="5" t="s">
        <v>15</v>
      </c>
      <c r="F255" s="5" t="str">
        <f>"073101010620"</f>
        <v>073101010620</v>
      </c>
      <c r="G255" s="7">
        <v>0</v>
      </c>
      <c r="H255" s="7">
        <f t="shared" si="18"/>
        <v>0</v>
      </c>
      <c r="I255" s="7">
        <v>0</v>
      </c>
      <c r="J255" s="7">
        <f t="shared" si="19"/>
        <v>0</v>
      </c>
      <c r="K255" s="10">
        <f t="shared" si="20"/>
        <v>0</v>
      </c>
      <c r="L255" s="7">
        <f>RANK(K255,$K$3:$K$280,0)</f>
        <v>163</v>
      </c>
      <c r="M255" s="13" t="s">
        <v>18</v>
      </c>
      <c r="N255"/>
    </row>
    <row r="256" spans="1:14" ht="24.75" customHeight="1">
      <c r="A256" s="5">
        <v>254</v>
      </c>
      <c r="B256" s="5" t="s">
        <v>14</v>
      </c>
      <c r="C256" s="5" t="str">
        <f>"王小月"</f>
        <v>王小月</v>
      </c>
      <c r="D256" s="5" t="str">
        <f>"460028199512085646"</f>
        <v>460028199512085646</v>
      </c>
      <c r="E256" s="5" t="s">
        <v>15</v>
      </c>
      <c r="F256" s="5" t="str">
        <f>"073101010622"</f>
        <v>073101010622</v>
      </c>
      <c r="G256" s="7">
        <v>0</v>
      </c>
      <c r="H256" s="7">
        <f t="shared" si="18"/>
        <v>0</v>
      </c>
      <c r="I256" s="7">
        <v>0</v>
      </c>
      <c r="J256" s="7">
        <f t="shared" si="19"/>
        <v>0</v>
      </c>
      <c r="K256" s="10">
        <f t="shared" si="20"/>
        <v>0</v>
      </c>
      <c r="L256" s="7">
        <f>RANK(K256,$K$3:$K$280,0)</f>
        <v>163</v>
      </c>
      <c r="M256" s="13" t="s">
        <v>18</v>
      </c>
      <c r="N256"/>
    </row>
    <row r="257" spans="1:14" ht="24.75" customHeight="1">
      <c r="A257" s="5">
        <v>255</v>
      </c>
      <c r="B257" s="5" t="s">
        <v>14</v>
      </c>
      <c r="C257" s="5" t="str">
        <f>"郭安琪"</f>
        <v>郭安琪</v>
      </c>
      <c r="D257" s="5" t="str">
        <f>"460004199712121428"</f>
        <v>460004199712121428</v>
      </c>
      <c r="E257" s="5" t="s">
        <v>15</v>
      </c>
      <c r="F257" s="5" t="str">
        <f>"073101010626"</f>
        <v>073101010626</v>
      </c>
      <c r="G257" s="7">
        <v>0</v>
      </c>
      <c r="H257" s="7">
        <f t="shared" si="18"/>
        <v>0</v>
      </c>
      <c r="I257" s="7">
        <v>0</v>
      </c>
      <c r="J257" s="7">
        <f t="shared" si="19"/>
        <v>0</v>
      </c>
      <c r="K257" s="10">
        <f t="shared" si="20"/>
        <v>0</v>
      </c>
      <c r="L257" s="7">
        <f>RANK(K257,$K$3:$K$280,0)</f>
        <v>163</v>
      </c>
      <c r="M257" s="13" t="s">
        <v>18</v>
      </c>
      <c r="N257"/>
    </row>
    <row r="258" spans="1:14" ht="24.75" customHeight="1">
      <c r="A258" s="5">
        <v>256</v>
      </c>
      <c r="B258" s="5" t="s">
        <v>14</v>
      </c>
      <c r="C258" s="5" t="str">
        <f>"黄微"</f>
        <v>黄微</v>
      </c>
      <c r="D258" s="5" t="str">
        <f>"460002199308114645"</f>
        <v>460002199308114645</v>
      </c>
      <c r="E258" s="5" t="s">
        <v>15</v>
      </c>
      <c r="F258" s="5" t="str">
        <f>"073101010632"</f>
        <v>073101010632</v>
      </c>
      <c r="G258" s="7">
        <v>0</v>
      </c>
      <c r="H258" s="7">
        <f t="shared" si="18"/>
        <v>0</v>
      </c>
      <c r="I258" s="7">
        <v>0</v>
      </c>
      <c r="J258" s="7">
        <f t="shared" si="19"/>
        <v>0</v>
      </c>
      <c r="K258" s="10">
        <f t="shared" si="20"/>
        <v>0</v>
      </c>
      <c r="L258" s="7">
        <f>RANK(K258,$K$3:$K$280,0)</f>
        <v>163</v>
      </c>
      <c r="M258" s="13" t="s">
        <v>18</v>
      </c>
      <c r="N258"/>
    </row>
    <row r="259" spans="1:14" ht="24.75" customHeight="1">
      <c r="A259" s="5">
        <v>257</v>
      </c>
      <c r="B259" s="5" t="s">
        <v>14</v>
      </c>
      <c r="C259" s="5" t="str">
        <f>"方佳"</f>
        <v>方佳</v>
      </c>
      <c r="D259" s="5" t="str">
        <f>"460028199805230026"</f>
        <v>460028199805230026</v>
      </c>
      <c r="E259" s="5" t="s">
        <v>15</v>
      </c>
      <c r="F259" s="5" t="str">
        <f>"073101010633"</f>
        <v>073101010633</v>
      </c>
      <c r="G259" s="7">
        <v>0</v>
      </c>
      <c r="H259" s="7">
        <f aca="true" t="shared" si="21" ref="H259:H322">G259*0.5</f>
        <v>0</v>
      </c>
      <c r="I259" s="7">
        <v>0</v>
      </c>
      <c r="J259" s="7">
        <f aca="true" t="shared" si="22" ref="J259:J322">I259*0.5</f>
        <v>0</v>
      </c>
      <c r="K259" s="10">
        <f t="shared" si="20"/>
        <v>0</v>
      </c>
      <c r="L259" s="7">
        <f>RANK(K259,$K$3:$K$280,0)</f>
        <v>163</v>
      </c>
      <c r="M259" s="13" t="s">
        <v>18</v>
      </c>
      <c r="N259"/>
    </row>
    <row r="260" spans="1:14" ht="24.75" customHeight="1">
      <c r="A260" s="5">
        <v>258</v>
      </c>
      <c r="B260" s="5" t="s">
        <v>14</v>
      </c>
      <c r="C260" s="5" t="str">
        <f>"吉冬帅"</f>
        <v>吉冬帅</v>
      </c>
      <c r="D260" s="5" t="str">
        <f>"460103199101241817"</f>
        <v>460103199101241817</v>
      </c>
      <c r="E260" s="5" t="s">
        <v>15</v>
      </c>
      <c r="F260" s="5" t="str">
        <f>"073101010637"</f>
        <v>073101010637</v>
      </c>
      <c r="G260" s="7">
        <v>0</v>
      </c>
      <c r="H260" s="7">
        <f t="shared" si="21"/>
        <v>0</v>
      </c>
      <c r="I260" s="7">
        <v>0</v>
      </c>
      <c r="J260" s="7">
        <f t="shared" si="22"/>
        <v>0</v>
      </c>
      <c r="K260" s="10">
        <f t="shared" si="20"/>
        <v>0</v>
      </c>
      <c r="L260" s="7">
        <f>RANK(K260,$K$3:$K$280,0)</f>
        <v>163</v>
      </c>
      <c r="M260" s="13" t="s">
        <v>18</v>
      </c>
      <c r="N260"/>
    </row>
    <row r="261" spans="1:14" ht="24.75" customHeight="1">
      <c r="A261" s="5">
        <v>259</v>
      </c>
      <c r="B261" s="5" t="s">
        <v>14</v>
      </c>
      <c r="C261" s="5" t="str">
        <f>"王溪竹"</f>
        <v>王溪竹</v>
      </c>
      <c r="D261" s="5" t="str">
        <f>"210404199305202429"</f>
        <v>210404199305202429</v>
      </c>
      <c r="E261" s="5" t="s">
        <v>15</v>
      </c>
      <c r="F261" s="5" t="str">
        <f>"073101010702"</f>
        <v>073101010702</v>
      </c>
      <c r="G261" s="7">
        <v>0</v>
      </c>
      <c r="H261" s="7">
        <f t="shared" si="21"/>
        <v>0</v>
      </c>
      <c r="I261" s="7">
        <v>0</v>
      </c>
      <c r="J261" s="7">
        <f t="shared" si="22"/>
        <v>0</v>
      </c>
      <c r="K261" s="10">
        <f t="shared" si="20"/>
        <v>0</v>
      </c>
      <c r="L261" s="7">
        <f>RANK(K261,$K$3:$K$280,0)</f>
        <v>163</v>
      </c>
      <c r="M261" s="13" t="s">
        <v>18</v>
      </c>
      <c r="N261"/>
    </row>
    <row r="262" spans="1:14" ht="24.75" customHeight="1">
      <c r="A262" s="5">
        <v>260</v>
      </c>
      <c r="B262" s="5" t="s">
        <v>14</v>
      </c>
      <c r="C262" s="5" t="str">
        <f>"郑祥花"</f>
        <v>郑祥花</v>
      </c>
      <c r="D262" s="5" t="str">
        <f>"460103199305291824"</f>
        <v>460103199305291824</v>
      </c>
      <c r="E262" s="5" t="s">
        <v>15</v>
      </c>
      <c r="F262" s="5" t="str">
        <f>"073101010704"</f>
        <v>073101010704</v>
      </c>
      <c r="G262" s="7">
        <v>0</v>
      </c>
      <c r="H262" s="7">
        <f t="shared" si="21"/>
        <v>0</v>
      </c>
      <c r="I262" s="7">
        <v>0</v>
      </c>
      <c r="J262" s="7">
        <f t="shared" si="22"/>
        <v>0</v>
      </c>
      <c r="K262" s="10">
        <f t="shared" si="20"/>
        <v>0</v>
      </c>
      <c r="L262" s="7">
        <f>RANK(K262,$K$3:$K$280,0)</f>
        <v>163</v>
      </c>
      <c r="M262" s="13" t="s">
        <v>18</v>
      </c>
      <c r="N262"/>
    </row>
    <row r="263" spans="1:14" ht="24.75" customHeight="1">
      <c r="A263" s="5">
        <v>261</v>
      </c>
      <c r="B263" s="5" t="s">
        <v>14</v>
      </c>
      <c r="C263" s="5" t="str">
        <f>"郭淑芬"</f>
        <v>郭淑芬</v>
      </c>
      <c r="D263" s="5" t="str">
        <f>"46000519951003412X"</f>
        <v>46000519951003412X</v>
      </c>
      <c r="E263" s="5" t="s">
        <v>15</v>
      </c>
      <c r="F263" s="5" t="str">
        <f>"073101010708"</f>
        <v>073101010708</v>
      </c>
      <c r="G263" s="7">
        <v>0</v>
      </c>
      <c r="H263" s="7">
        <f t="shared" si="21"/>
        <v>0</v>
      </c>
      <c r="I263" s="7">
        <v>0</v>
      </c>
      <c r="J263" s="7">
        <f t="shared" si="22"/>
        <v>0</v>
      </c>
      <c r="K263" s="10">
        <f t="shared" si="20"/>
        <v>0</v>
      </c>
      <c r="L263" s="7">
        <f>RANK(K263,$K$3:$K$280,0)</f>
        <v>163</v>
      </c>
      <c r="M263" s="13" t="s">
        <v>18</v>
      </c>
      <c r="N263"/>
    </row>
    <row r="264" spans="1:14" ht="24.75" customHeight="1">
      <c r="A264" s="5">
        <v>262</v>
      </c>
      <c r="B264" s="5" t="s">
        <v>14</v>
      </c>
      <c r="C264" s="5" t="str">
        <f>"吕美霖"</f>
        <v>吕美霖</v>
      </c>
      <c r="D264" s="5" t="str">
        <f>"511102199903280729"</f>
        <v>511102199903280729</v>
      </c>
      <c r="E264" s="5" t="s">
        <v>15</v>
      </c>
      <c r="F264" s="5" t="str">
        <f>"073101010713"</f>
        <v>073101010713</v>
      </c>
      <c r="G264" s="7">
        <v>0</v>
      </c>
      <c r="H264" s="7">
        <f t="shared" si="21"/>
        <v>0</v>
      </c>
      <c r="I264" s="7">
        <v>0</v>
      </c>
      <c r="J264" s="7">
        <f t="shared" si="22"/>
        <v>0</v>
      </c>
      <c r="K264" s="10">
        <f t="shared" si="20"/>
        <v>0</v>
      </c>
      <c r="L264" s="7">
        <f>RANK(K264,$K$3:$K$280,0)</f>
        <v>163</v>
      </c>
      <c r="M264" s="13" t="s">
        <v>18</v>
      </c>
      <c r="N264"/>
    </row>
    <row r="265" spans="1:14" ht="24.75" customHeight="1">
      <c r="A265" s="5">
        <v>263</v>
      </c>
      <c r="B265" s="5" t="s">
        <v>14</v>
      </c>
      <c r="C265" s="5" t="str">
        <f>"王慧梅"</f>
        <v>王慧梅</v>
      </c>
      <c r="D265" s="5" t="str">
        <f>"460028199302162826"</f>
        <v>460028199302162826</v>
      </c>
      <c r="E265" s="5" t="s">
        <v>15</v>
      </c>
      <c r="F265" s="5" t="str">
        <f>"073101010718"</f>
        <v>073101010718</v>
      </c>
      <c r="G265" s="7">
        <v>0</v>
      </c>
      <c r="H265" s="7">
        <f t="shared" si="21"/>
        <v>0</v>
      </c>
      <c r="I265" s="7">
        <v>0</v>
      </c>
      <c r="J265" s="7">
        <f t="shared" si="22"/>
        <v>0</v>
      </c>
      <c r="K265" s="10">
        <f t="shared" si="20"/>
        <v>0</v>
      </c>
      <c r="L265" s="7">
        <f>RANK(K265,$K$3:$K$280,0)</f>
        <v>163</v>
      </c>
      <c r="M265" s="13" t="s">
        <v>18</v>
      </c>
      <c r="N265"/>
    </row>
    <row r="266" spans="1:14" ht="24.75" customHeight="1">
      <c r="A266" s="5">
        <v>264</v>
      </c>
      <c r="B266" s="5" t="s">
        <v>14</v>
      </c>
      <c r="C266" s="5" t="str">
        <f>"周小剑"</f>
        <v>周小剑</v>
      </c>
      <c r="D266" s="5" t="str">
        <f>"460028199310020895"</f>
        <v>460028199310020895</v>
      </c>
      <c r="E266" s="5" t="s">
        <v>15</v>
      </c>
      <c r="F266" s="5" t="str">
        <f>"073101010719"</f>
        <v>073101010719</v>
      </c>
      <c r="G266" s="7">
        <v>0</v>
      </c>
      <c r="H266" s="7">
        <f t="shared" si="21"/>
        <v>0</v>
      </c>
      <c r="I266" s="7">
        <v>0</v>
      </c>
      <c r="J266" s="7">
        <f t="shared" si="22"/>
        <v>0</v>
      </c>
      <c r="K266" s="10">
        <f t="shared" si="20"/>
        <v>0</v>
      </c>
      <c r="L266" s="7">
        <f>RANK(K266,$K$3:$K$280,0)</f>
        <v>163</v>
      </c>
      <c r="M266" s="13" t="s">
        <v>18</v>
      </c>
      <c r="N266"/>
    </row>
    <row r="267" spans="1:14" ht="24.75" customHeight="1">
      <c r="A267" s="5">
        <v>265</v>
      </c>
      <c r="B267" s="5" t="s">
        <v>14</v>
      </c>
      <c r="C267" s="5" t="str">
        <f>"王惠暖"</f>
        <v>王惠暖</v>
      </c>
      <c r="D267" s="5" t="str">
        <f>"46010619980414342X"</f>
        <v>46010619980414342X</v>
      </c>
      <c r="E267" s="5" t="s">
        <v>15</v>
      </c>
      <c r="F267" s="5" t="str">
        <f>"073101010720"</f>
        <v>073101010720</v>
      </c>
      <c r="G267" s="7">
        <v>0</v>
      </c>
      <c r="H267" s="7">
        <f t="shared" si="21"/>
        <v>0</v>
      </c>
      <c r="I267" s="7">
        <v>0</v>
      </c>
      <c r="J267" s="7">
        <f t="shared" si="22"/>
        <v>0</v>
      </c>
      <c r="K267" s="10">
        <f t="shared" si="20"/>
        <v>0</v>
      </c>
      <c r="L267" s="7">
        <f>RANK(K267,$K$3:$K$280,0)</f>
        <v>163</v>
      </c>
      <c r="M267" s="13" t="s">
        <v>18</v>
      </c>
      <c r="N267"/>
    </row>
    <row r="268" spans="1:14" ht="24.75" customHeight="1">
      <c r="A268" s="5">
        <v>266</v>
      </c>
      <c r="B268" s="5" t="s">
        <v>14</v>
      </c>
      <c r="C268" s="5" t="str">
        <f>"朱金玉"</f>
        <v>朱金玉</v>
      </c>
      <c r="D268" s="5" t="str">
        <f>"460002199404222566"</f>
        <v>460002199404222566</v>
      </c>
      <c r="E268" s="5" t="s">
        <v>15</v>
      </c>
      <c r="F268" s="5" t="str">
        <f>"073101010721"</f>
        <v>073101010721</v>
      </c>
      <c r="G268" s="7">
        <v>0</v>
      </c>
      <c r="H268" s="7">
        <f t="shared" si="21"/>
        <v>0</v>
      </c>
      <c r="I268" s="7">
        <v>0</v>
      </c>
      <c r="J268" s="7">
        <f t="shared" si="22"/>
        <v>0</v>
      </c>
      <c r="K268" s="10">
        <f t="shared" si="20"/>
        <v>0</v>
      </c>
      <c r="L268" s="7">
        <f>RANK(K268,$K$3:$K$280,0)</f>
        <v>163</v>
      </c>
      <c r="M268" s="13" t="s">
        <v>18</v>
      </c>
      <c r="N268"/>
    </row>
    <row r="269" spans="1:14" ht="24.75" customHeight="1">
      <c r="A269" s="5">
        <v>267</v>
      </c>
      <c r="B269" s="5" t="s">
        <v>14</v>
      </c>
      <c r="C269" s="5" t="str">
        <f>"董子莹"</f>
        <v>董子莹</v>
      </c>
      <c r="D269" s="5" t="str">
        <f>"460200199707153367"</f>
        <v>460200199707153367</v>
      </c>
      <c r="E269" s="5" t="s">
        <v>16</v>
      </c>
      <c r="F269" s="5" t="str">
        <f>"073101010722"</f>
        <v>073101010722</v>
      </c>
      <c r="G269" s="7">
        <v>0</v>
      </c>
      <c r="H269" s="7">
        <f t="shared" si="21"/>
        <v>0</v>
      </c>
      <c r="I269" s="7">
        <v>0</v>
      </c>
      <c r="J269" s="7">
        <f t="shared" si="22"/>
        <v>0</v>
      </c>
      <c r="K269" s="10">
        <f t="shared" si="20"/>
        <v>0</v>
      </c>
      <c r="L269" s="7">
        <f>RANK(K269,$K$3:$K$280,0)</f>
        <v>163</v>
      </c>
      <c r="M269" s="13" t="s">
        <v>18</v>
      </c>
      <c r="N269"/>
    </row>
    <row r="270" spans="1:14" ht="24.75" customHeight="1">
      <c r="A270" s="5">
        <v>268</v>
      </c>
      <c r="B270" s="5" t="s">
        <v>14</v>
      </c>
      <c r="C270" s="5" t="str">
        <f>"胡可可"</f>
        <v>胡可可</v>
      </c>
      <c r="D270" s="5" t="str">
        <f>"469028199904293629"</f>
        <v>469028199904293629</v>
      </c>
      <c r="E270" s="5" t="s">
        <v>15</v>
      </c>
      <c r="F270" s="5" t="str">
        <f>"073101010723"</f>
        <v>073101010723</v>
      </c>
      <c r="G270" s="7">
        <v>0</v>
      </c>
      <c r="H270" s="7">
        <f t="shared" si="21"/>
        <v>0</v>
      </c>
      <c r="I270" s="7">
        <v>0</v>
      </c>
      <c r="J270" s="7">
        <f t="shared" si="22"/>
        <v>0</v>
      </c>
      <c r="K270" s="10">
        <f t="shared" si="20"/>
        <v>0</v>
      </c>
      <c r="L270" s="7">
        <f>RANK(K270,$K$3:$K$280,0)</f>
        <v>163</v>
      </c>
      <c r="M270" s="13" t="s">
        <v>18</v>
      </c>
      <c r="N270"/>
    </row>
    <row r="271" spans="1:14" ht="24.75" customHeight="1">
      <c r="A271" s="5">
        <v>269</v>
      </c>
      <c r="B271" s="5" t="s">
        <v>14</v>
      </c>
      <c r="C271" s="5" t="str">
        <f>"陈泽斌"</f>
        <v>陈泽斌</v>
      </c>
      <c r="D271" s="5" t="str">
        <f>"460026199109090071"</f>
        <v>460026199109090071</v>
      </c>
      <c r="E271" s="5" t="s">
        <v>15</v>
      </c>
      <c r="F271" s="5" t="str">
        <f>"073101010725"</f>
        <v>073101010725</v>
      </c>
      <c r="G271" s="7">
        <v>0</v>
      </c>
      <c r="H271" s="7">
        <f t="shared" si="21"/>
        <v>0</v>
      </c>
      <c r="I271" s="7">
        <v>0</v>
      </c>
      <c r="J271" s="7">
        <f t="shared" si="22"/>
        <v>0</v>
      </c>
      <c r="K271" s="10">
        <f t="shared" si="20"/>
        <v>0</v>
      </c>
      <c r="L271" s="7">
        <f>RANK(K271,$K$3:$K$280,0)</f>
        <v>163</v>
      </c>
      <c r="M271" s="13" t="s">
        <v>18</v>
      </c>
      <c r="N271"/>
    </row>
    <row r="272" spans="1:14" ht="24.75" customHeight="1">
      <c r="A272" s="5">
        <v>270</v>
      </c>
      <c r="B272" s="5" t="s">
        <v>14</v>
      </c>
      <c r="C272" s="5" t="str">
        <f>"周亚贞"</f>
        <v>周亚贞</v>
      </c>
      <c r="D272" s="5" t="str">
        <f>"460007199411124966"</f>
        <v>460007199411124966</v>
      </c>
      <c r="E272" s="5" t="s">
        <v>15</v>
      </c>
      <c r="F272" s="5" t="str">
        <f>"073101010726"</f>
        <v>073101010726</v>
      </c>
      <c r="G272" s="7">
        <v>0</v>
      </c>
      <c r="H272" s="7">
        <f t="shared" si="21"/>
        <v>0</v>
      </c>
      <c r="I272" s="7">
        <v>0</v>
      </c>
      <c r="J272" s="7">
        <f t="shared" si="22"/>
        <v>0</v>
      </c>
      <c r="K272" s="10">
        <f t="shared" si="20"/>
        <v>0</v>
      </c>
      <c r="L272" s="7">
        <f>RANK(K272,$K$3:$K$280,0)</f>
        <v>163</v>
      </c>
      <c r="M272" s="13" t="s">
        <v>18</v>
      </c>
      <c r="N272"/>
    </row>
    <row r="273" spans="1:14" ht="24.75" customHeight="1">
      <c r="A273" s="5">
        <v>271</v>
      </c>
      <c r="B273" s="5" t="s">
        <v>14</v>
      </c>
      <c r="C273" s="5" t="str">
        <f>"陈青"</f>
        <v>陈青</v>
      </c>
      <c r="D273" s="5" t="str">
        <f>"362430199303220022"</f>
        <v>362430199303220022</v>
      </c>
      <c r="E273" s="5" t="s">
        <v>15</v>
      </c>
      <c r="F273" s="5" t="str">
        <f>"073101010727"</f>
        <v>073101010727</v>
      </c>
      <c r="G273" s="7">
        <v>0</v>
      </c>
      <c r="H273" s="7">
        <f t="shared" si="21"/>
        <v>0</v>
      </c>
      <c r="I273" s="7">
        <v>0</v>
      </c>
      <c r="J273" s="7">
        <f t="shared" si="22"/>
        <v>0</v>
      </c>
      <c r="K273" s="10">
        <f t="shared" si="20"/>
        <v>0</v>
      </c>
      <c r="L273" s="7">
        <f>RANK(K273,$K$3:$K$280,0)</f>
        <v>163</v>
      </c>
      <c r="M273" s="13" t="s">
        <v>18</v>
      </c>
      <c r="N273"/>
    </row>
    <row r="274" spans="1:14" ht="24.75" customHeight="1">
      <c r="A274" s="5">
        <v>272</v>
      </c>
      <c r="B274" s="5" t="s">
        <v>14</v>
      </c>
      <c r="C274" s="5" t="str">
        <f>"胡笑曼"</f>
        <v>胡笑曼</v>
      </c>
      <c r="D274" s="5" t="str">
        <f>"460007199708208028"</f>
        <v>460007199708208028</v>
      </c>
      <c r="E274" s="5" t="s">
        <v>15</v>
      </c>
      <c r="F274" s="5" t="str">
        <f>"073101010728"</f>
        <v>073101010728</v>
      </c>
      <c r="G274" s="7">
        <v>0</v>
      </c>
      <c r="H274" s="7">
        <f t="shared" si="21"/>
        <v>0</v>
      </c>
      <c r="I274" s="7">
        <v>0</v>
      </c>
      <c r="J274" s="7">
        <f t="shared" si="22"/>
        <v>0</v>
      </c>
      <c r="K274" s="10">
        <f t="shared" si="20"/>
        <v>0</v>
      </c>
      <c r="L274" s="7">
        <f>RANK(K274,$K$3:$K$280,0)</f>
        <v>163</v>
      </c>
      <c r="M274" s="13" t="s">
        <v>18</v>
      </c>
      <c r="N274"/>
    </row>
    <row r="275" spans="1:14" ht="24.75" customHeight="1">
      <c r="A275" s="5">
        <v>273</v>
      </c>
      <c r="B275" s="5" t="s">
        <v>14</v>
      </c>
      <c r="C275" s="5" t="str">
        <f>"张秀"</f>
        <v>张秀</v>
      </c>
      <c r="D275" s="5" t="str">
        <f>"460031199605260026"</f>
        <v>460031199605260026</v>
      </c>
      <c r="E275" s="5" t="s">
        <v>15</v>
      </c>
      <c r="F275" s="5" t="str">
        <f>"073101010730"</f>
        <v>073101010730</v>
      </c>
      <c r="G275" s="7">
        <v>0</v>
      </c>
      <c r="H275" s="7">
        <f t="shared" si="21"/>
        <v>0</v>
      </c>
      <c r="I275" s="7">
        <v>0</v>
      </c>
      <c r="J275" s="7">
        <f t="shared" si="22"/>
        <v>0</v>
      </c>
      <c r="K275" s="10">
        <f t="shared" si="20"/>
        <v>0</v>
      </c>
      <c r="L275" s="7">
        <f>RANK(K275,$K$3:$K$280,0)</f>
        <v>163</v>
      </c>
      <c r="M275" s="13" t="s">
        <v>18</v>
      </c>
      <c r="N275"/>
    </row>
    <row r="276" spans="1:14" ht="24.75" customHeight="1">
      <c r="A276" s="5">
        <v>274</v>
      </c>
      <c r="B276" s="5" t="s">
        <v>14</v>
      </c>
      <c r="C276" s="5" t="str">
        <f>"王康涛"</f>
        <v>王康涛</v>
      </c>
      <c r="D276" s="5" t="str">
        <f>"460103199712120918"</f>
        <v>460103199712120918</v>
      </c>
      <c r="E276" s="5" t="s">
        <v>15</v>
      </c>
      <c r="F276" s="5" t="str">
        <f>"073101010731"</f>
        <v>073101010731</v>
      </c>
      <c r="G276" s="7">
        <v>0</v>
      </c>
      <c r="H276" s="7">
        <f t="shared" si="21"/>
        <v>0</v>
      </c>
      <c r="I276" s="7">
        <v>0</v>
      </c>
      <c r="J276" s="7">
        <f t="shared" si="22"/>
        <v>0</v>
      </c>
      <c r="K276" s="10">
        <f t="shared" si="20"/>
        <v>0</v>
      </c>
      <c r="L276" s="7">
        <f>RANK(K276,$K$3:$K$280,0)</f>
        <v>163</v>
      </c>
      <c r="M276" s="13" t="s">
        <v>18</v>
      </c>
      <c r="N276"/>
    </row>
    <row r="277" spans="1:14" ht="24.75" customHeight="1">
      <c r="A277" s="5">
        <v>275</v>
      </c>
      <c r="B277" s="5" t="s">
        <v>14</v>
      </c>
      <c r="C277" s="5" t="str">
        <f>"王文路"</f>
        <v>王文路</v>
      </c>
      <c r="D277" s="5" t="str">
        <f>"230503199505250444"</f>
        <v>230503199505250444</v>
      </c>
      <c r="E277" s="5" t="s">
        <v>15</v>
      </c>
      <c r="F277" s="5" t="str">
        <f>"073101010732"</f>
        <v>073101010732</v>
      </c>
      <c r="G277" s="7">
        <v>0</v>
      </c>
      <c r="H277" s="7">
        <f t="shared" si="21"/>
        <v>0</v>
      </c>
      <c r="I277" s="7">
        <v>0</v>
      </c>
      <c r="J277" s="7">
        <f t="shared" si="22"/>
        <v>0</v>
      </c>
      <c r="K277" s="10">
        <f t="shared" si="20"/>
        <v>0</v>
      </c>
      <c r="L277" s="7">
        <f>RANK(K277,$K$3:$K$280,0)</f>
        <v>163</v>
      </c>
      <c r="M277" s="13" t="s">
        <v>18</v>
      </c>
      <c r="N277"/>
    </row>
    <row r="278" spans="1:14" ht="24.75" customHeight="1">
      <c r="A278" s="5">
        <v>276</v>
      </c>
      <c r="B278" s="5" t="s">
        <v>14</v>
      </c>
      <c r="C278" s="5" t="str">
        <f>"陈琼铭"</f>
        <v>陈琼铭</v>
      </c>
      <c r="D278" s="5" t="str">
        <f>"460003199204180038"</f>
        <v>460003199204180038</v>
      </c>
      <c r="E278" s="5" t="s">
        <v>15</v>
      </c>
      <c r="F278" s="5" t="str">
        <f>"073101010734"</f>
        <v>073101010734</v>
      </c>
      <c r="G278" s="7">
        <v>0</v>
      </c>
      <c r="H278" s="7">
        <f t="shared" si="21"/>
        <v>0</v>
      </c>
      <c r="I278" s="7">
        <v>0</v>
      </c>
      <c r="J278" s="7">
        <f t="shared" si="22"/>
        <v>0</v>
      </c>
      <c r="K278" s="10">
        <f t="shared" si="20"/>
        <v>0</v>
      </c>
      <c r="L278" s="7">
        <f>RANK(K278,$K$3:$K$280,0)</f>
        <v>163</v>
      </c>
      <c r="M278" s="13" t="s">
        <v>18</v>
      </c>
      <c r="N278"/>
    </row>
    <row r="279" spans="1:14" ht="24.75" customHeight="1">
      <c r="A279" s="5">
        <v>277</v>
      </c>
      <c r="B279" s="5" t="s">
        <v>14</v>
      </c>
      <c r="C279" s="5" t="str">
        <f>"杨琳"</f>
        <v>杨琳</v>
      </c>
      <c r="D279" s="5" t="str">
        <f>"460033199102091200"</f>
        <v>460033199102091200</v>
      </c>
      <c r="E279" s="5" t="s">
        <v>15</v>
      </c>
      <c r="F279" s="5" t="str">
        <f>"073101010735"</f>
        <v>073101010735</v>
      </c>
      <c r="G279" s="7">
        <v>0</v>
      </c>
      <c r="H279" s="7">
        <f t="shared" si="21"/>
        <v>0</v>
      </c>
      <c r="I279" s="7">
        <v>0</v>
      </c>
      <c r="J279" s="7">
        <f t="shared" si="22"/>
        <v>0</v>
      </c>
      <c r="K279" s="10">
        <f t="shared" si="20"/>
        <v>0</v>
      </c>
      <c r="L279" s="7">
        <f>RANK(K279,$K$3:$K$280,0)</f>
        <v>163</v>
      </c>
      <c r="M279" s="13" t="s">
        <v>18</v>
      </c>
      <c r="N279"/>
    </row>
    <row r="280" spans="1:14" ht="24.75" customHeight="1">
      <c r="A280" s="5">
        <v>278</v>
      </c>
      <c r="B280" s="5" t="s">
        <v>14</v>
      </c>
      <c r="C280" s="5" t="str">
        <f>"张肇广"</f>
        <v>张肇广</v>
      </c>
      <c r="D280" s="5" t="str">
        <f>"460200199906160535"</f>
        <v>460200199906160535</v>
      </c>
      <c r="E280" s="5" t="s">
        <v>15</v>
      </c>
      <c r="F280" s="5" t="str">
        <f>"073101010736"</f>
        <v>073101010736</v>
      </c>
      <c r="G280" s="7">
        <v>0</v>
      </c>
      <c r="H280" s="7">
        <f t="shared" si="21"/>
        <v>0</v>
      </c>
      <c r="I280" s="7">
        <v>0</v>
      </c>
      <c r="J280" s="7">
        <f t="shared" si="22"/>
        <v>0</v>
      </c>
      <c r="K280" s="10">
        <f t="shared" si="20"/>
        <v>0</v>
      </c>
      <c r="L280" s="7">
        <f>RANK(K280,$K$3:$K$280,0)</f>
        <v>163</v>
      </c>
      <c r="M280" s="13" t="s">
        <v>18</v>
      </c>
      <c r="N280"/>
    </row>
    <row r="281" spans="1:14" ht="24.75" customHeight="1">
      <c r="A281" s="5">
        <v>279</v>
      </c>
      <c r="B281" s="5" t="s">
        <v>19</v>
      </c>
      <c r="C281" s="5" t="str">
        <f>"麦琳慧"</f>
        <v>麦琳慧</v>
      </c>
      <c r="D281" s="5" t="str">
        <f>"460003199701170025"</f>
        <v>460003199701170025</v>
      </c>
      <c r="E281" s="5" t="s">
        <v>15</v>
      </c>
      <c r="F281" s="5" t="str">
        <f>"073102030315"</f>
        <v>073102030315</v>
      </c>
      <c r="G281" s="7">
        <v>88.8</v>
      </c>
      <c r="H281" s="7">
        <f t="shared" si="21"/>
        <v>44.4</v>
      </c>
      <c r="I281" s="7">
        <v>91.471</v>
      </c>
      <c r="J281" s="7">
        <f t="shared" si="22"/>
        <v>45.7355</v>
      </c>
      <c r="K281" s="10">
        <f t="shared" si="20"/>
        <v>90.13550000000001</v>
      </c>
      <c r="L281" s="7">
        <f aca="true" t="shared" si="23" ref="L281:L344">RANK(K281,$K$281:$K$1299,0)</f>
        <v>1</v>
      </c>
      <c r="M281" s="11"/>
      <c r="N281"/>
    </row>
    <row r="282" spans="1:14" ht="24.75" customHeight="1">
      <c r="A282" s="5">
        <v>280</v>
      </c>
      <c r="B282" s="5" t="s">
        <v>19</v>
      </c>
      <c r="C282" s="5" t="str">
        <f>"庞鑫雅"</f>
        <v>庞鑫雅</v>
      </c>
      <c r="D282" s="5" t="str">
        <f>"460003199409160241"</f>
        <v>460003199409160241</v>
      </c>
      <c r="E282" s="5" t="s">
        <v>15</v>
      </c>
      <c r="F282" s="5" t="str">
        <f>"073102020623"</f>
        <v>073102020623</v>
      </c>
      <c r="G282" s="7">
        <v>87.9</v>
      </c>
      <c r="H282" s="7">
        <f t="shared" si="21"/>
        <v>43.95</v>
      </c>
      <c r="I282" s="7">
        <v>85.556</v>
      </c>
      <c r="J282" s="7">
        <f t="shared" si="22"/>
        <v>42.778</v>
      </c>
      <c r="K282" s="10">
        <f t="shared" si="20"/>
        <v>86.72800000000001</v>
      </c>
      <c r="L282" s="7">
        <f t="shared" si="23"/>
        <v>2</v>
      </c>
      <c r="M282" s="11"/>
      <c r="N282"/>
    </row>
    <row r="283" spans="1:14" ht="24.75" customHeight="1">
      <c r="A283" s="5">
        <v>281</v>
      </c>
      <c r="B283" s="5" t="s">
        <v>19</v>
      </c>
      <c r="C283" s="5" t="str">
        <f>"符肇尤"</f>
        <v>符肇尤</v>
      </c>
      <c r="D283" s="5" t="str">
        <f>"460003199206130018"</f>
        <v>460003199206130018</v>
      </c>
      <c r="E283" s="5" t="s">
        <v>15</v>
      </c>
      <c r="F283" s="5" t="str">
        <f>"073102030408"</f>
        <v>073102030408</v>
      </c>
      <c r="G283" s="7">
        <v>84</v>
      </c>
      <c r="H283" s="7">
        <f t="shared" si="21"/>
        <v>42</v>
      </c>
      <c r="I283" s="7">
        <v>87.24</v>
      </c>
      <c r="J283" s="7">
        <f t="shared" si="22"/>
        <v>43.62</v>
      </c>
      <c r="K283" s="10">
        <f t="shared" si="20"/>
        <v>85.62</v>
      </c>
      <c r="L283" s="7">
        <f t="shared" si="23"/>
        <v>3</v>
      </c>
      <c r="M283" s="11"/>
      <c r="N283"/>
    </row>
    <row r="284" spans="1:14" ht="24.75" customHeight="1">
      <c r="A284" s="5">
        <v>282</v>
      </c>
      <c r="B284" s="5" t="s">
        <v>19</v>
      </c>
      <c r="C284" s="5" t="str">
        <f>"羊学贤"</f>
        <v>羊学贤</v>
      </c>
      <c r="D284" s="5" t="str">
        <f>"46030019990108003X"</f>
        <v>46030019990108003X</v>
      </c>
      <c r="E284" s="5" t="s">
        <v>15</v>
      </c>
      <c r="F284" s="5" t="str">
        <f>"073102021135"</f>
        <v>073102021135</v>
      </c>
      <c r="G284" s="7">
        <v>91</v>
      </c>
      <c r="H284" s="7">
        <f t="shared" si="21"/>
        <v>45.5</v>
      </c>
      <c r="I284" s="7">
        <v>79.961</v>
      </c>
      <c r="J284" s="7">
        <f t="shared" si="22"/>
        <v>39.9805</v>
      </c>
      <c r="K284" s="10">
        <f t="shared" si="20"/>
        <v>85.4805</v>
      </c>
      <c r="L284" s="7">
        <f t="shared" si="23"/>
        <v>4</v>
      </c>
      <c r="M284" s="11"/>
      <c r="N284"/>
    </row>
    <row r="285" spans="1:14" ht="24.75" customHeight="1">
      <c r="A285" s="5">
        <v>283</v>
      </c>
      <c r="B285" s="5" t="s">
        <v>19</v>
      </c>
      <c r="C285" s="5" t="str">
        <f>"王瑜"</f>
        <v>王瑜</v>
      </c>
      <c r="D285" s="5" t="str">
        <f>"46002819971215081X"</f>
        <v>46002819971215081X</v>
      </c>
      <c r="E285" s="5" t="s">
        <v>15</v>
      </c>
      <c r="F285" s="5" t="str">
        <f>"073102020230"</f>
        <v>073102020230</v>
      </c>
      <c r="G285" s="7">
        <v>85.9</v>
      </c>
      <c r="H285" s="7">
        <f t="shared" si="21"/>
        <v>42.95</v>
      </c>
      <c r="I285" s="7">
        <v>82.433</v>
      </c>
      <c r="J285" s="7">
        <f t="shared" si="22"/>
        <v>41.2165</v>
      </c>
      <c r="K285" s="10">
        <f t="shared" si="20"/>
        <v>84.16650000000001</v>
      </c>
      <c r="L285" s="7">
        <f t="shared" si="23"/>
        <v>5</v>
      </c>
      <c r="M285" s="11"/>
      <c r="N285"/>
    </row>
    <row r="286" spans="1:14" ht="24.75" customHeight="1">
      <c r="A286" s="5">
        <v>284</v>
      </c>
      <c r="B286" s="5" t="s">
        <v>19</v>
      </c>
      <c r="C286" s="5" t="str">
        <f>"韦静雅"</f>
        <v>韦静雅</v>
      </c>
      <c r="D286" s="5" t="str">
        <f>"460003199412310044"</f>
        <v>460003199412310044</v>
      </c>
      <c r="E286" s="5" t="s">
        <v>15</v>
      </c>
      <c r="F286" s="5" t="str">
        <f>"073102020130"</f>
        <v>073102020130</v>
      </c>
      <c r="G286" s="7">
        <v>84.3</v>
      </c>
      <c r="H286" s="7">
        <f t="shared" si="21"/>
        <v>42.15</v>
      </c>
      <c r="I286" s="7">
        <v>83.8</v>
      </c>
      <c r="J286" s="7">
        <f t="shared" si="22"/>
        <v>41.9</v>
      </c>
      <c r="K286" s="10">
        <f t="shared" si="20"/>
        <v>84.05</v>
      </c>
      <c r="L286" s="7">
        <f t="shared" si="23"/>
        <v>6</v>
      </c>
      <c r="M286" s="11"/>
      <c r="N286"/>
    </row>
    <row r="287" spans="1:14" ht="24.75" customHeight="1">
      <c r="A287" s="5">
        <v>285</v>
      </c>
      <c r="B287" s="5" t="s">
        <v>19</v>
      </c>
      <c r="C287" s="5" t="str">
        <f>"林诗珏"</f>
        <v>林诗珏</v>
      </c>
      <c r="D287" s="5" t="str">
        <f>"460001199504040720"</f>
        <v>460001199504040720</v>
      </c>
      <c r="E287" s="5" t="s">
        <v>15</v>
      </c>
      <c r="F287" s="5" t="str">
        <f>"073102020309"</f>
        <v>073102020309</v>
      </c>
      <c r="G287" s="7">
        <v>88.2</v>
      </c>
      <c r="H287" s="7">
        <f t="shared" si="21"/>
        <v>44.1</v>
      </c>
      <c r="I287" s="7">
        <v>78.269</v>
      </c>
      <c r="J287" s="7">
        <f t="shared" si="22"/>
        <v>39.1345</v>
      </c>
      <c r="K287" s="10">
        <f t="shared" si="20"/>
        <v>83.2345</v>
      </c>
      <c r="L287" s="7">
        <f t="shared" si="23"/>
        <v>7</v>
      </c>
      <c r="M287" s="11"/>
      <c r="N287"/>
    </row>
    <row r="288" spans="1:14" ht="24.75" customHeight="1">
      <c r="A288" s="5">
        <v>286</v>
      </c>
      <c r="B288" s="5" t="s">
        <v>19</v>
      </c>
      <c r="C288" s="5" t="str">
        <f>"苏雨婷"</f>
        <v>苏雨婷</v>
      </c>
      <c r="D288" s="5" t="str">
        <f>"460006199609186824"</f>
        <v>460006199609186824</v>
      </c>
      <c r="E288" s="5" t="s">
        <v>15</v>
      </c>
      <c r="F288" s="5" t="str">
        <f>"073102020514"</f>
        <v>073102020514</v>
      </c>
      <c r="G288" s="7">
        <v>82</v>
      </c>
      <c r="H288" s="7">
        <f t="shared" si="21"/>
        <v>41</v>
      </c>
      <c r="I288" s="7">
        <v>84.255</v>
      </c>
      <c r="J288" s="7">
        <f t="shared" si="22"/>
        <v>42.1275</v>
      </c>
      <c r="K288" s="10">
        <f t="shared" si="20"/>
        <v>83.1275</v>
      </c>
      <c r="L288" s="7">
        <f t="shared" si="23"/>
        <v>8</v>
      </c>
      <c r="M288" s="11"/>
      <c r="N288"/>
    </row>
    <row r="289" spans="1:14" ht="24.75" customHeight="1">
      <c r="A289" s="5">
        <v>287</v>
      </c>
      <c r="B289" s="5" t="s">
        <v>19</v>
      </c>
      <c r="C289" s="5" t="str">
        <f>"梁小燕"</f>
        <v>梁小燕</v>
      </c>
      <c r="D289" s="5" t="str">
        <f>"46000719960127042X"</f>
        <v>46000719960127042X</v>
      </c>
      <c r="E289" s="5" t="s">
        <v>15</v>
      </c>
      <c r="F289" s="5" t="str">
        <f>"073102030202"</f>
        <v>073102030202</v>
      </c>
      <c r="G289" s="7">
        <v>83.8</v>
      </c>
      <c r="H289" s="7">
        <f t="shared" si="21"/>
        <v>41.9</v>
      </c>
      <c r="I289" s="7">
        <v>78.979</v>
      </c>
      <c r="J289" s="7">
        <f t="shared" si="22"/>
        <v>39.4895</v>
      </c>
      <c r="K289" s="10">
        <f t="shared" si="20"/>
        <v>81.3895</v>
      </c>
      <c r="L289" s="7">
        <f t="shared" si="23"/>
        <v>9</v>
      </c>
      <c r="M289" s="11"/>
      <c r="N289"/>
    </row>
    <row r="290" spans="1:14" ht="24.75" customHeight="1">
      <c r="A290" s="5">
        <v>288</v>
      </c>
      <c r="B290" s="5" t="s">
        <v>19</v>
      </c>
      <c r="C290" s="5" t="str">
        <f>"李惠"</f>
        <v>李惠</v>
      </c>
      <c r="D290" s="5" t="str">
        <f>"460030199611220024"</f>
        <v>460030199611220024</v>
      </c>
      <c r="E290" s="5" t="s">
        <v>15</v>
      </c>
      <c r="F290" s="5" t="str">
        <f>"073102031138"</f>
        <v>073102031138</v>
      </c>
      <c r="G290" s="7">
        <v>78.9</v>
      </c>
      <c r="H290" s="7">
        <f t="shared" si="21"/>
        <v>39.45</v>
      </c>
      <c r="I290" s="7">
        <v>83.546</v>
      </c>
      <c r="J290" s="7">
        <f t="shared" si="22"/>
        <v>41.773</v>
      </c>
      <c r="K290" s="10">
        <f t="shared" si="20"/>
        <v>81.22300000000001</v>
      </c>
      <c r="L290" s="7">
        <f t="shared" si="23"/>
        <v>10</v>
      </c>
      <c r="M290" s="11"/>
      <c r="N290"/>
    </row>
    <row r="291" spans="1:14" ht="24.75" customHeight="1">
      <c r="A291" s="5">
        <v>289</v>
      </c>
      <c r="B291" s="5" t="s">
        <v>19</v>
      </c>
      <c r="C291" s="5" t="str">
        <f>"何倩莹"</f>
        <v>何倩莹</v>
      </c>
      <c r="D291" s="5" t="str">
        <f>"460033199502050045"</f>
        <v>460033199502050045</v>
      </c>
      <c r="E291" s="5" t="s">
        <v>15</v>
      </c>
      <c r="F291" s="5" t="str">
        <f>"073102020925"</f>
        <v>073102020925</v>
      </c>
      <c r="G291" s="7">
        <v>81.8</v>
      </c>
      <c r="H291" s="7">
        <f t="shared" si="21"/>
        <v>40.9</v>
      </c>
      <c r="I291" s="7">
        <v>79.245</v>
      </c>
      <c r="J291" s="7">
        <f t="shared" si="22"/>
        <v>39.6225</v>
      </c>
      <c r="K291" s="10">
        <f t="shared" si="20"/>
        <v>80.52250000000001</v>
      </c>
      <c r="L291" s="7">
        <f t="shared" si="23"/>
        <v>11</v>
      </c>
      <c r="M291" s="11"/>
      <c r="N291"/>
    </row>
    <row r="292" spans="1:14" ht="24.75" customHeight="1">
      <c r="A292" s="5">
        <v>290</v>
      </c>
      <c r="B292" s="5" t="s">
        <v>19</v>
      </c>
      <c r="C292" s="5" t="str">
        <f>"羊群"</f>
        <v>羊群</v>
      </c>
      <c r="D292" s="5" t="str">
        <f>"460003199408298812"</f>
        <v>460003199408298812</v>
      </c>
      <c r="E292" s="5" t="s">
        <v>15</v>
      </c>
      <c r="F292" s="5" t="str">
        <f>"073102020436"</f>
        <v>073102020436</v>
      </c>
      <c r="G292" s="7">
        <v>84</v>
      </c>
      <c r="H292" s="7">
        <f t="shared" si="21"/>
        <v>42</v>
      </c>
      <c r="I292" s="7">
        <v>75.927</v>
      </c>
      <c r="J292" s="7">
        <f t="shared" si="22"/>
        <v>37.9635</v>
      </c>
      <c r="K292" s="10">
        <f aca="true" t="shared" si="24" ref="K292:K331">H292+J292</f>
        <v>79.96350000000001</v>
      </c>
      <c r="L292" s="7">
        <f t="shared" si="23"/>
        <v>12</v>
      </c>
      <c r="M292" s="11"/>
      <c r="N292"/>
    </row>
    <row r="293" spans="1:14" ht="24.75" customHeight="1">
      <c r="A293" s="5">
        <v>291</v>
      </c>
      <c r="B293" s="5" t="s">
        <v>19</v>
      </c>
      <c r="C293" s="5" t="str">
        <f>"冯尤山"</f>
        <v>冯尤山</v>
      </c>
      <c r="D293" s="5" t="str">
        <f>"46002619980821001X"</f>
        <v>46002619980821001X</v>
      </c>
      <c r="E293" s="5" t="s">
        <v>15</v>
      </c>
      <c r="F293" s="5" t="str">
        <f>"073102020908"</f>
        <v>073102020908</v>
      </c>
      <c r="G293" s="7">
        <v>83.8</v>
      </c>
      <c r="H293" s="7">
        <f t="shared" si="21"/>
        <v>41.9</v>
      </c>
      <c r="I293" s="7">
        <v>76.122</v>
      </c>
      <c r="J293" s="7">
        <f t="shared" si="22"/>
        <v>38.061</v>
      </c>
      <c r="K293" s="10">
        <f t="shared" si="24"/>
        <v>79.961</v>
      </c>
      <c r="L293" s="7">
        <f t="shared" si="23"/>
        <v>13</v>
      </c>
      <c r="M293" s="11"/>
      <c r="N293"/>
    </row>
    <row r="294" spans="1:14" ht="24.75" customHeight="1">
      <c r="A294" s="5">
        <v>292</v>
      </c>
      <c r="B294" s="5" t="s">
        <v>19</v>
      </c>
      <c r="C294" s="5" t="str">
        <f>"王尊宇"</f>
        <v>王尊宇</v>
      </c>
      <c r="D294" s="5" t="str">
        <f>"460102199607042114"</f>
        <v>460102199607042114</v>
      </c>
      <c r="E294" s="5" t="s">
        <v>15</v>
      </c>
      <c r="F294" s="5" t="str">
        <f>"073102030312"</f>
        <v>073102030312</v>
      </c>
      <c r="G294" s="7">
        <v>77.1</v>
      </c>
      <c r="H294" s="7">
        <f t="shared" si="21"/>
        <v>38.55</v>
      </c>
      <c r="I294" s="7">
        <v>82.404</v>
      </c>
      <c r="J294" s="7">
        <f t="shared" si="22"/>
        <v>41.202</v>
      </c>
      <c r="K294" s="10">
        <f t="shared" si="24"/>
        <v>79.752</v>
      </c>
      <c r="L294" s="7">
        <f t="shared" si="23"/>
        <v>14</v>
      </c>
      <c r="M294" s="11"/>
      <c r="N294"/>
    </row>
    <row r="295" spans="1:14" ht="24.75" customHeight="1">
      <c r="A295" s="5">
        <v>293</v>
      </c>
      <c r="B295" s="5" t="s">
        <v>19</v>
      </c>
      <c r="C295" s="5" t="str">
        <f>"林燕红"</f>
        <v>林燕红</v>
      </c>
      <c r="D295" s="5" t="str">
        <f>"460003199411237826"</f>
        <v>460003199411237826</v>
      </c>
      <c r="E295" s="5" t="s">
        <v>15</v>
      </c>
      <c r="F295" s="5" t="str">
        <f>"073102020521"</f>
        <v>073102020521</v>
      </c>
      <c r="G295" s="7">
        <v>83.2</v>
      </c>
      <c r="H295" s="7">
        <f t="shared" si="21"/>
        <v>41.6</v>
      </c>
      <c r="I295" s="7">
        <v>76.057</v>
      </c>
      <c r="J295" s="7">
        <f t="shared" si="22"/>
        <v>38.0285</v>
      </c>
      <c r="K295" s="10">
        <f t="shared" si="24"/>
        <v>79.6285</v>
      </c>
      <c r="L295" s="7">
        <f t="shared" si="23"/>
        <v>15</v>
      </c>
      <c r="M295" s="11"/>
      <c r="N295"/>
    </row>
    <row r="296" spans="1:14" ht="24.75" customHeight="1">
      <c r="A296" s="5">
        <v>294</v>
      </c>
      <c r="B296" s="5" t="s">
        <v>19</v>
      </c>
      <c r="C296" s="5" t="str">
        <f>"苏迈"</f>
        <v>苏迈</v>
      </c>
      <c r="D296" s="5" t="str">
        <f>"460007199411085792"</f>
        <v>460007199411085792</v>
      </c>
      <c r="E296" s="5" t="s">
        <v>15</v>
      </c>
      <c r="F296" s="5" t="str">
        <f>"073102020708"</f>
        <v>073102020708</v>
      </c>
      <c r="G296" s="7">
        <v>79.8</v>
      </c>
      <c r="H296" s="7">
        <f t="shared" si="21"/>
        <v>39.9</v>
      </c>
      <c r="I296" s="7">
        <v>78.725</v>
      </c>
      <c r="J296" s="7">
        <f t="shared" si="22"/>
        <v>39.3625</v>
      </c>
      <c r="K296" s="10">
        <f t="shared" si="24"/>
        <v>79.26249999999999</v>
      </c>
      <c r="L296" s="7">
        <f t="shared" si="23"/>
        <v>16</v>
      </c>
      <c r="M296" s="11"/>
      <c r="N296"/>
    </row>
    <row r="297" spans="1:14" ht="24.75" customHeight="1">
      <c r="A297" s="5">
        <v>295</v>
      </c>
      <c r="B297" s="5" t="s">
        <v>19</v>
      </c>
      <c r="C297" s="5" t="str">
        <f>"谭德周"</f>
        <v>谭德周</v>
      </c>
      <c r="D297" s="5" t="str">
        <f>"460003199501180018"</f>
        <v>460003199501180018</v>
      </c>
      <c r="E297" s="5" t="s">
        <v>15</v>
      </c>
      <c r="F297" s="5" t="str">
        <f>"073102021103"</f>
        <v>073102021103</v>
      </c>
      <c r="G297" s="7">
        <v>84.2</v>
      </c>
      <c r="H297" s="7">
        <f t="shared" si="21"/>
        <v>42.1</v>
      </c>
      <c r="I297" s="7">
        <v>74.04</v>
      </c>
      <c r="J297" s="7">
        <f t="shared" si="22"/>
        <v>37.02</v>
      </c>
      <c r="K297" s="10">
        <f t="shared" si="24"/>
        <v>79.12</v>
      </c>
      <c r="L297" s="7">
        <f t="shared" si="23"/>
        <v>17</v>
      </c>
      <c r="M297" s="11"/>
      <c r="N297"/>
    </row>
    <row r="298" spans="1:14" ht="24.75" customHeight="1">
      <c r="A298" s="5">
        <v>296</v>
      </c>
      <c r="B298" s="5" t="s">
        <v>19</v>
      </c>
      <c r="C298" s="5" t="str">
        <f>"陈承祥"</f>
        <v>陈承祥</v>
      </c>
      <c r="D298" s="5" t="str">
        <f>"460003199401030637"</f>
        <v>460003199401030637</v>
      </c>
      <c r="E298" s="5" t="s">
        <v>15</v>
      </c>
      <c r="F298" s="5" t="str">
        <f>"073102020916"</f>
        <v>073102020916</v>
      </c>
      <c r="G298" s="7">
        <v>75.9</v>
      </c>
      <c r="H298" s="7">
        <f t="shared" si="21"/>
        <v>37.95</v>
      </c>
      <c r="I298" s="7">
        <v>80.742</v>
      </c>
      <c r="J298" s="7">
        <f t="shared" si="22"/>
        <v>40.371</v>
      </c>
      <c r="K298" s="10">
        <f t="shared" si="24"/>
        <v>78.321</v>
      </c>
      <c r="L298" s="7">
        <f t="shared" si="23"/>
        <v>18</v>
      </c>
      <c r="M298" s="11"/>
      <c r="N298"/>
    </row>
    <row r="299" spans="1:14" ht="24.75" customHeight="1">
      <c r="A299" s="5">
        <v>297</v>
      </c>
      <c r="B299" s="5" t="s">
        <v>19</v>
      </c>
      <c r="C299" s="5" t="str">
        <f>"梁舒怡"</f>
        <v>梁舒怡</v>
      </c>
      <c r="D299" s="5" t="str">
        <f>"460102199610041825"</f>
        <v>460102199610041825</v>
      </c>
      <c r="E299" s="5" t="s">
        <v>15</v>
      </c>
      <c r="F299" s="5" t="str">
        <f>"073102030422"</f>
        <v>073102030422</v>
      </c>
      <c r="G299" s="7">
        <v>85.7</v>
      </c>
      <c r="H299" s="7">
        <f t="shared" si="21"/>
        <v>42.85</v>
      </c>
      <c r="I299" s="7">
        <v>70.316</v>
      </c>
      <c r="J299" s="7">
        <f t="shared" si="22"/>
        <v>35.158</v>
      </c>
      <c r="K299" s="10">
        <f t="shared" si="24"/>
        <v>78.00800000000001</v>
      </c>
      <c r="L299" s="7">
        <f t="shared" si="23"/>
        <v>19</v>
      </c>
      <c r="M299" s="11"/>
      <c r="N299"/>
    </row>
    <row r="300" spans="1:14" ht="24.75" customHeight="1">
      <c r="A300" s="5">
        <v>298</v>
      </c>
      <c r="B300" s="5" t="s">
        <v>19</v>
      </c>
      <c r="C300" s="5" t="str">
        <f>"李佳施"</f>
        <v>李佳施</v>
      </c>
      <c r="D300" s="5" t="str">
        <f>"460003199809020029"</f>
        <v>460003199809020029</v>
      </c>
      <c r="E300" s="5" t="s">
        <v>15</v>
      </c>
      <c r="F300" s="5" t="str">
        <f>"073102021015"</f>
        <v>073102021015</v>
      </c>
      <c r="G300" s="7">
        <v>81</v>
      </c>
      <c r="H300" s="7">
        <f t="shared" si="21"/>
        <v>40.5</v>
      </c>
      <c r="I300" s="7">
        <v>74.821</v>
      </c>
      <c r="J300" s="7">
        <f t="shared" si="22"/>
        <v>37.4105</v>
      </c>
      <c r="K300" s="10">
        <f t="shared" si="24"/>
        <v>77.9105</v>
      </c>
      <c r="L300" s="7">
        <f t="shared" si="23"/>
        <v>20</v>
      </c>
      <c r="M300" s="11"/>
      <c r="N300"/>
    </row>
    <row r="301" spans="1:14" ht="24.75" customHeight="1">
      <c r="A301" s="5">
        <v>299</v>
      </c>
      <c r="B301" s="5" t="s">
        <v>19</v>
      </c>
      <c r="C301" s="5" t="str">
        <f>"欧方才"</f>
        <v>欧方才</v>
      </c>
      <c r="D301" s="5" t="str">
        <f>"460003199511210014"</f>
        <v>460003199511210014</v>
      </c>
      <c r="E301" s="5" t="s">
        <v>15</v>
      </c>
      <c r="F301" s="5" t="str">
        <f>"073102020433"</f>
        <v>073102020433</v>
      </c>
      <c r="G301" s="7">
        <v>74.6</v>
      </c>
      <c r="H301" s="7">
        <f t="shared" si="21"/>
        <v>37.3</v>
      </c>
      <c r="I301" s="7">
        <v>81.002</v>
      </c>
      <c r="J301" s="7">
        <f t="shared" si="22"/>
        <v>40.501</v>
      </c>
      <c r="K301" s="10">
        <f t="shared" si="24"/>
        <v>77.80099999999999</v>
      </c>
      <c r="L301" s="7">
        <f t="shared" si="23"/>
        <v>21</v>
      </c>
      <c r="M301" s="11"/>
      <c r="N301"/>
    </row>
    <row r="302" spans="1:14" ht="24.75" customHeight="1">
      <c r="A302" s="5">
        <v>300</v>
      </c>
      <c r="B302" s="5" t="s">
        <v>19</v>
      </c>
      <c r="C302" s="5" t="str">
        <f>"黄秋霞"</f>
        <v>黄秋霞</v>
      </c>
      <c r="D302" s="5" t="str">
        <f>"460003199702181826"</f>
        <v>460003199702181826</v>
      </c>
      <c r="E302" s="5" t="s">
        <v>15</v>
      </c>
      <c r="F302" s="5" t="str">
        <f>"073102020502"</f>
        <v>073102020502</v>
      </c>
      <c r="G302" s="7">
        <v>78.8</v>
      </c>
      <c r="H302" s="7">
        <f t="shared" si="21"/>
        <v>39.4</v>
      </c>
      <c r="I302" s="7">
        <v>76.383</v>
      </c>
      <c r="J302" s="7">
        <f t="shared" si="22"/>
        <v>38.1915</v>
      </c>
      <c r="K302" s="10">
        <f t="shared" si="24"/>
        <v>77.5915</v>
      </c>
      <c r="L302" s="7">
        <f t="shared" si="23"/>
        <v>22</v>
      </c>
      <c r="M302" s="11"/>
      <c r="N302"/>
    </row>
    <row r="303" spans="1:14" ht="24.75" customHeight="1">
      <c r="A303" s="5">
        <v>301</v>
      </c>
      <c r="B303" s="5" t="s">
        <v>19</v>
      </c>
      <c r="C303" s="5" t="str">
        <f>"廖丽莎"</f>
        <v>廖丽莎</v>
      </c>
      <c r="D303" s="5" t="str">
        <f>"460003199308281829"</f>
        <v>460003199308281829</v>
      </c>
      <c r="E303" s="5" t="s">
        <v>15</v>
      </c>
      <c r="F303" s="5" t="str">
        <f>"073102031139"</f>
        <v>073102031139</v>
      </c>
      <c r="G303" s="7">
        <v>90.1</v>
      </c>
      <c r="H303" s="7">
        <f t="shared" si="21"/>
        <v>45.05</v>
      </c>
      <c r="I303" s="7">
        <v>64.07</v>
      </c>
      <c r="J303" s="7">
        <f t="shared" si="22"/>
        <v>32.035</v>
      </c>
      <c r="K303" s="10">
        <f t="shared" si="24"/>
        <v>77.085</v>
      </c>
      <c r="L303" s="7">
        <f t="shared" si="23"/>
        <v>23</v>
      </c>
      <c r="M303" s="11"/>
      <c r="N303"/>
    </row>
    <row r="304" spans="1:14" ht="24.75" customHeight="1">
      <c r="A304" s="5">
        <v>302</v>
      </c>
      <c r="B304" s="5" t="s">
        <v>19</v>
      </c>
      <c r="C304" s="5" t="str">
        <f>"王如秀"</f>
        <v>王如秀</v>
      </c>
      <c r="D304" s="5" t="str">
        <f>"460003199508300422"</f>
        <v>460003199508300422</v>
      </c>
      <c r="E304" s="5" t="s">
        <v>15</v>
      </c>
      <c r="F304" s="5" t="str">
        <f>"073102030522"</f>
        <v>073102030522</v>
      </c>
      <c r="G304" s="7">
        <v>68.3</v>
      </c>
      <c r="H304" s="7">
        <f t="shared" si="21"/>
        <v>34.15</v>
      </c>
      <c r="I304" s="7">
        <v>85.762</v>
      </c>
      <c r="J304" s="7">
        <f t="shared" si="22"/>
        <v>42.881</v>
      </c>
      <c r="K304" s="10">
        <f t="shared" si="24"/>
        <v>77.031</v>
      </c>
      <c r="L304" s="7">
        <f t="shared" si="23"/>
        <v>24</v>
      </c>
      <c r="M304" s="11"/>
      <c r="N304"/>
    </row>
    <row r="305" spans="1:14" ht="24.75" customHeight="1">
      <c r="A305" s="5">
        <v>303</v>
      </c>
      <c r="B305" s="5" t="s">
        <v>19</v>
      </c>
      <c r="C305" s="5" t="str">
        <f>"曾香盈"</f>
        <v>曾香盈</v>
      </c>
      <c r="D305" s="5" t="str">
        <f>"460004199809090226"</f>
        <v>460004199809090226</v>
      </c>
      <c r="E305" s="5" t="s">
        <v>15</v>
      </c>
      <c r="F305" s="5" t="str">
        <f>"073102020107"</f>
        <v>073102020107</v>
      </c>
      <c r="G305" s="7">
        <v>82.4</v>
      </c>
      <c r="H305" s="7">
        <f t="shared" si="21"/>
        <v>41.2</v>
      </c>
      <c r="I305" s="7">
        <v>71.308</v>
      </c>
      <c r="J305" s="7">
        <f t="shared" si="22"/>
        <v>35.654</v>
      </c>
      <c r="K305" s="10">
        <f t="shared" si="24"/>
        <v>76.85400000000001</v>
      </c>
      <c r="L305" s="7">
        <f t="shared" si="23"/>
        <v>25</v>
      </c>
      <c r="M305" s="11"/>
      <c r="N305"/>
    </row>
    <row r="306" spans="1:14" ht="24.75" customHeight="1">
      <c r="A306" s="5">
        <v>304</v>
      </c>
      <c r="B306" s="5" t="s">
        <v>19</v>
      </c>
      <c r="C306" s="5" t="str">
        <f>"许嘉宏"</f>
        <v>许嘉宏</v>
      </c>
      <c r="D306" s="5" t="str">
        <f>"445222199811070376"</f>
        <v>445222199811070376</v>
      </c>
      <c r="E306" s="5" t="s">
        <v>15</v>
      </c>
      <c r="F306" s="5" t="str">
        <f>"073102031024"</f>
        <v>073102031024</v>
      </c>
      <c r="G306" s="7">
        <v>80.7</v>
      </c>
      <c r="H306" s="7">
        <f t="shared" si="21"/>
        <v>40.35</v>
      </c>
      <c r="I306" s="7">
        <v>72.801</v>
      </c>
      <c r="J306" s="7">
        <f t="shared" si="22"/>
        <v>36.4005</v>
      </c>
      <c r="K306" s="10">
        <f t="shared" si="24"/>
        <v>76.7505</v>
      </c>
      <c r="L306" s="7">
        <f t="shared" si="23"/>
        <v>26</v>
      </c>
      <c r="M306" s="11"/>
      <c r="N306"/>
    </row>
    <row r="307" spans="1:14" ht="24.75" customHeight="1">
      <c r="A307" s="5">
        <v>305</v>
      </c>
      <c r="B307" s="5" t="s">
        <v>19</v>
      </c>
      <c r="C307" s="5" t="str">
        <f>"李明英"</f>
        <v>李明英</v>
      </c>
      <c r="D307" s="5" t="str">
        <f>"460003199507010423"</f>
        <v>460003199507010423</v>
      </c>
      <c r="E307" s="5" t="s">
        <v>15</v>
      </c>
      <c r="F307" s="5" t="str">
        <f>"073102020301"</f>
        <v>073102020301</v>
      </c>
      <c r="G307" s="7">
        <v>73.2</v>
      </c>
      <c r="H307" s="7">
        <f t="shared" si="21"/>
        <v>36.6</v>
      </c>
      <c r="I307" s="7">
        <v>80.026</v>
      </c>
      <c r="J307" s="7">
        <f t="shared" si="22"/>
        <v>40.013</v>
      </c>
      <c r="K307" s="10">
        <f t="shared" si="24"/>
        <v>76.613</v>
      </c>
      <c r="L307" s="7">
        <f t="shared" si="23"/>
        <v>27</v>
      </c>
      <c r="M307" s="11"/>
      <c r="N307"/>
    </row>
    <row r="308" spans="1:14" ht="24.75" customHeight="1">
      <c r="A308" s="5">
        <v>306</v>
      </c>
      <c r="B308" s="5" t="s">
        <v>19</v>
      </c>
      <c r="C308" s="5" t="str">
        <f>"柳芯芯"</f>
        <v>柳芯芯</v>
      </c>
      <c r="D308" s="5" t="str">
        <f>"460006199903140026"</f>
        <v>460006199903140026</v>
      </c>
      <c r="E308" s="5" t="s">
        <v>15</v>
      </c>
      <c r="F308" s="5" t="str">
        <f>"073102020636"</f>
        <v>073102020636</v>
      </c>
      <c r="G308" s="7">
        <v>80.7</v>
      </c>
      <c r="H308" s="7">
        <f t="shared" si="21"/>
        <v>40.35</v>
      </c>
      <c r="I308" s="7">
        <v>72.414</v>
      </c>
      <c r="J308" s="7">
        <f t="shared" si="22"/>
        <v>36.207</v>
      </c>
      <c r="K308" s="10">
        <f t="shared" si="24"/>
        <v>76.557</v>
      </c>
      <c r="L308" s="7">
        <f t="shared" si="23"/>
        <v>28</v>
      </c>
      <c r="M308" s="11"/>
      <c r="N308"/>
    </row>
    <row r="309" spans="1:14" ht="24.75" customHeight="1">
      <c r="A309" s="5">
        <v>307</v>
      </c>
      <c r="B309" s="5" t="s">
        <v>19</v>
      </c>
      <c r="C309" s="5" t="str">
        <f>"叶丽萍"</f>
        <v>叶丽萍</v>
      </c>
      <c r="D309" s="5" t="str">
        <f>"460025199506063329"</f>
        <v>460025199506063329</v>
      </c>
      <c r="E309" s="5" t="s">
        <v>15</v>
      </c>
      <c r="F309" s="5" t="str">
        <f>"073102020637"</f>
        <v>073102020637</v>
      </c>
      <c r="G309" s="7">
        <v>86.1</v>
      </c>
      <c r="H309" s="7">
        <f t="shared" si="21"/>
        <v>43.05</v>
      </c>
      <c r="I309" s="7">
        <v>65.647</v>
      </c>
      <c r="J309" s="7">
        <f t="shared" si="22"/>
        <v>32.8235</v>
      </c>
      <c r="K309" s="10">
        <f t="shared" si="24"/>
        <v>75.8735</v>
      </c>
      <c r="L309" s="7">
        <f t="shared" si="23"/>
        <v>29</v>
      </c>
      <c r="M309" s="11"/>
      <c r="N309"/>
    </row>
    <row r="310" spans="1:14" ht="24.75" customHeight="1">
      <c r="A310" s="5">
        <v>308</v>
      </c>
      <c r="B310" s="5" t="s">
        <v>19</v>
      </c>
      <c r="C310" s="5" t="str">
        <f>"王江"</f>
        <v>王江</v>
      </c>
      <c r="D310" s="5" t="str">
        <f>"460027199601081018"</f>
        <v>460027199601081018</v>
      </c>
      <c r="E310" s="5" t="s">
        <v>15</v>
      </c>
      <c r="F310" s="5" t="str">
        <f>"073102020531"</f>
        <v>073102020531</v>
      </c>
      <c r="G310" s="7">
        <v>75.8</v>
      </c>
      <c r="H310" s="7">
        <f t="shared" si="21"/>
        <v>37.9</v>
      </c>
      <c r="I310" s="7">
        <v>75.927</v>
      </c>
      <c r="J310" s="7">
        <f t="shared" si="22"/>
        <v>37.9635</v>
      </c>
      <c r="K310" s="10">
        <f t="shared" si="24"/>
        <v>75.8635</v>
      </c>
      <c r="L310" s="7">
        <f t="shared" si="23"/>
        <v>30</v>
      </c>
      <c r="M310" s="11"/>
      <c r="N310"/>
    </row>
    <row r="311" spans="1:14" ht="24.75" customHeight="1">
      <c r="A311" s="5">
        <v>309</v>
      </c>
      <c r="B311" s="5" t="s">
        <v>19</v>
      </c>
      <c r="C311" s="5" t="str">
        <f>"曾思颉"</f>
        <v>曾思颉</v>
      </c>
      <c r="D311" s="5" t="str">
        <f>"460003199204060431"</f>
        <v>460003199204060431</v>
      </c>
      <c r="E311" s="5" t="s">
        <v>15</v>
      </c>
      <c r="F311" s="5" t="str">
        <f>"073102020423"</f>
        <v>073102020423</v>
      </c>
      <c r="G311" s="7">
        <v>80.6</v>
      </c>
      <c r="H311" s="7">
        <f t="shared" si="21"/>
        <v>40.3</v>
      </c>
      <c r="I311" s="7">
        <v>71.047</v>
      </c>
      <c r="J311" s="7">
        <f t="shared" si="22"/>
        <v>35.5235</v>
      </c>
      <c r="K311" s="10">
        <f t="shared" si="24"/>
        <v>75.8235</v>
      </c>
      <c r="L311" s="7">
        <f t="shared" si="23"/>
        <v>31</v>
      </c>
      <c r="M311" s="11"/>
      <c r="N311"/>
    </row>
    <row r="312" spans="1:14" ht="24.75" customHeight="1">
      <c r="A312" s="5">
        <v>310</v>
      </c>
      <c r="B312" s="5" t="s">
        <v>19</v>
      </c>
      <c r="C312" s="5" t="str">
        <f>"黎诗玲"</f>
        <v>黎诗玲</v>
      </c>
      <c r="D312" s="5" t="str">
        <f>"460003199211137820"</f>
        <v>460003199211137820</v>
      </c>
      <c r="E312" s="5" t="s">
        <v>15</v>
      </c>
      <c r="F312" s="5" t="str">
        <f>"073102031012"</f>
        <v>073102031012</v>
      </c>
      <c r="G312" s="7">
        <v>89.7</v>
      </c>
      <c r="H312" s="7">
        <f t="shared" si="21"/>
        <v>44.85</v>
      </c>
      <c r="I312" s="7">
        <v>61.921</v>
      </c>
      <c r="J312" s="7">
        <f t="shared" si="22"/>
        <v>30.9605</v>
      </c>
      <c r="K312" s="10">
        <f t="shared" si="24"/>
        <v>75.8105</v>
      </c>
      <c r="L312" s="7">
        <f t="shared" si="23"/>
        <v>32</v>
      </c>
      <c r="M312" s="11"/>
      <c r="N312"/>
    </row>
    <row r="313" spans="1:14" ht="24.75" customHeight="1">
      <c r="A313" s="5">
        <v>311</v>
      </c>
      <c r="B313" s="5" t="s">
        <v>19</v>
      </c>
      <c r="C313" s="5" t="str">
        <f>"朱鹤"</f>
        <v>朱鹤</v>
      </c>
      <c r="D313" s="5" t="str">
        <f>"230521199010191326"</f>
        <v>230521199010191326</v>
      </c>
      <c r="E313" s="5" t="s">
        <v>15</v>
      </c>
      <c r="F313" s="5" t="str">
        <f>"073102021138"</f>
        <v>073102021138</v>
      </c>
      <c r="G313" s="7">
        <v>70.2</v>
      </c>
      <c r="H313" s="7">
        <f t="shared" si="21"/>
        <v>35.1</v>
      </c>
      <c r="I313" s="7">
        <v>80.351</v>
      </c>
      <c r="J313" s="7">
        <f t="shared" si="22"/>
        <v>40.1755</v>
      </c>
      <c r="K313" s="10">
        <f t="shared" si="24"/>
        <v>75.2755</v>
      </c>
      <c r="L313" s="7">
        <f t="shared" si="23"/>
        <v>33</v>
      </c>
      <c r="M313" s="11"/>
      <c r="N313"/>
    </row>
    <row r="314" spans="1:14" ht="24.75" customHeight="1">
      <c r="A314" s="5">
        <v>312</v>
      </c>
      <c r="B314" s="5" t="s">
        <v>19</v>
      </c>
      <c r="C314" s="5" t="str">
        <f>"林丽祺"</f>
        <v>林丽祺</v>
      </c>
      <c r="D314" s="5" t="str">
        <f>"460003199502110249"</f>
        <v>460003199502110249</v>
      </c>
      <c r="E314" s="5" t="s">
        <v>15</v>
      </c>
      <c r="F314" s="5" t="str">
        <f>"073102030341"</f>
        <v>073102030341</v>
      </c>
      <c r="G314" s="7">
        <v>79.2</v>
      </c>
      <c r="H314" s="7">
        <f t="shared" si="21"/>
        <v>39.6</v>
      </c>
      <c r="I314" s="7">
        <v>71.256</v>
      </c>
      <c r="J314" s="7">
        <f t="shared" si="22"/>
        <v>35.628</v>
      </c>
      <c r="K314" s="10">
        <f t="shared" si="24"/>
        <v>75.22800000000001</v>
      </c>
      <c r="L314" s="7">
        <f t="shared" si="23"/>
        <v>34</v>
      </c>
      <c r="M314" s="11"/>
      <c r="N314"/>
    </row>
    <row r="315" spans="1:14" ht="24.75" customHeight="1">
      <c r="A315" s="5">
        <v>313</v>
      </c>
      <c r="B315" s="5" t="s">
        <v>19</v>
      </c>
      <c r="C315" s="5" t="str">
        <f>"何俏"</f>
        <v>何俏</v>
      </c>
      <c r="D315" s="5" t="str">
        <f>"460003199008122420"</f>
        <v>460003199008122420</v>
      </c>
      <c r="E315" s="5" t="s">
        <v>15</v>
      </c>
      <c r="F315" s="5" t="str">
        <f>"073102020626"</f>
        <v>073102020626</v>
      </c>
      <c r="G315" s="7">
        <v>73.7</v>
      </c>
      <c r="H315" s="7">
        <f t="shared" si="21"/>
        <v>36.85</v>
      </c>
      <c r="I315" s="7">
        <v>76.449</v>
      </c>
      <c r="J315" s="7">
        <f t="shared" si="22"/>
        <v>38.2245</v>
      </c>
      <c r="K315" s="10">
        <f t="shared" si="24"/>
        <v>75.0745</v>
      </c>
      <c r="L315" s="7">
        <f t="shared" si="23"/>
        <v>35</v>
      </c>
      <c r="M315" s="11"/>
      <c r="N315"/>
    </row>
    <row r="316" spans="1:14" ht="24.75" customHeight="1">
      <c r="A316" s="5">
        <v>314</v>
      </c>
      <c r="B316" s="5" t="s">
        <v>19</v>
      </c>
      <c r="C316" s="5" t="str">
        <f>"郭仪琳"</f>
        <v>郭仪琳</v>
      </c>
      <c r="D316" s="5" t="str">
        <f>"460200199908181209"</f>
        <v>460200199908181209</v>
      </c>
      <c r="E316" s="5" t="s">
        <v>15</v>
      </c>
      <c r="F316" s="5" t="str">
        <f>"073102030430"</f>
        <v>073102030430</v>
      </c>
      <c r="G316" s="7">
        <v>91</v>
      </c>
      <c r="H316" s="7">
        <f t="shared" si="21"/>
        <v>45.5</v>
      </c>
      <c r="I316" s="7">
        <v>59.1</v>
      </c>
      <c r="J316" s="7">
        <f t="shared" si="22"/>
        <v>29.55</v>
      </c>
      <c r="K316" s="10">
        <f t="shared" si="24"/>
        <v>75.05</v>
      </c>
      <c r="L316" s="7">
        <f t="shared" si="23"/>
        <v>36</v>
      </c>
      <c r="M316" s="11"/>
      <c r="N316"/>
    </row>
    <row r="317" spans="1:14" ht="24.75" customHeight="1">
      <c r="A317" s="5">
        <v>315</v>
      </c>
      <c r="B317" s="5" t="s">
        <v>19</v>
      </c>
      <c r="C317" s="5" t="str">
        <f>"陈小春"</f>
        <v>陈小春</v>
      </c>
      <c r="D317" s="5" t="str">
        <f>"469003199910286129"</f>
        <v>469003199910286129</v>
      </c>
      <c r="E317" s="5" t="s">
        <v>15</v>
      </c>
      <c r="F317" s="5" t="str">
        <f>"073102031214"</f>
        <v>073102031214</v>
      </c>
      <c r="G317" s="7">
        <v>91.3</v>
      </c>
      <c r="H317" s="7">
        <f t="shared" si="21"/>
        <v>45.65</v>
      </c>
      <c r="I317" s="7">
        <v>58.764</v>
      </c>
      <c r="J317" s="7">
        <f t="shared" si="22"/>
        <v>29.382</v>
      </c>
      <c r="K317" s="10">
        <f t="shared" si="24"/>
        <v>75.032</v>
      </c>
      <c r="L317" s="7">
        <f t="shared" si="23"/>
        <v>37</v>
      </c>
      <c r="M317" s="11"/>
      <c r="N317"/>
    </row>
    <row r="318" spans="1:14" ht="24.75" customHeight="1">
      <c r="A318" s="5">
        <v>316</v>
      </c>
      <c r="B318" s="5" t="s">
        <v>19</v>
      </c>
      <c r="C318" s="5" t="str">
        <f>"梅曼秋"</f>
        <v>梅曼秋</v>
      </c>
      <c r="D318" s="5" t="str">
        <f>"230622199408080409"</f>
        <v>230622199408080409</v>
      </c>
      <c r="E318" s="5" t="s">
        <v>15</v>
      </c>
      <c r="F318" s="5" t="str">
        <f>"073102021010"</f>
        <v>073102021010</v>
      </c>
      <c r="G318" s="7">
        <v>84</v>
      </c>
      <c r="H318" s="7">
        <f t="shared" si="21"/>
        <v>42</v>
      </c>
      <c r="I318" s="7">
        <v>66.038</v>
      </c>
      <c r="J318" s="7">
        <f t="shared" si="22"/>
        <v>33.019</v>
      </c>
      <c r="K318" s="10">
        <f t="shared" si="24"/>
        <v>75.019</v>
      </c>
      <c r="L318" s="7">
        <f t="shared" si="23"/>
        <v>38</v>
      </c>
      <c r="M318" s="11"/>
      <c r="N318"/>
    </row>
    <row r="319" spans="1:14" ht="24.75" customHeight="1">
      <c r="A319" s="5">
        <v>317</v>
      </c>
      <c r="B319" s="5" t="s">
        <v>19</v>
      </c>
      <c r="C319" s="5" t="str">
        <f>"陈美茜"</f>
        <v>陈美茜</v>
      </c>
      <c r="D319" s="5" t="str">
        <f>"460003199606084225"</f>
        <v>460003199606084225</v>
      </c>
      <c r="E319" s="5" t="s">
        <v>15</v>
      </c>
      <c r="F319" s="5" t="str">
        <f>"073102021002"</f>
        <v>073102021002</v>
      </c>
      <c r="G319" s="7">
        <v>82.8</v>
      </c>
      <c r="H319" s="7">
        <f t="shared" si="21"/>
        <v>41.4</v>
      </c>
      <c r="I319" s="7">
        <v>67.014</v>
      </c>
      <c r="J319" s="7">
        <f t="shared" si="22"/>
        <v>33.507</v>
      </c>
      <c r="K319" s="10">
        <f t="shared" si="24"/>
        <v>74.907</v>
      </c>
      <c r="L319" s="7">
        <f t="shared" si="23"/>
        <v>39</v>
      </c>
      <c r="M319" s="11"/>
      <c r="N319"/>
    </row>
    <row r="320" spans="1:14" ht="24.75" customHeight="1">
      <c r="A320" s="5">
        <v>318</v>
      </c>
      <c r="B320" s="5" t="s">
        <v>19</v>
      </c>
      <c r="C320" s="5" t="str">
        <f>"金海银"</f>
        <v>金海银</v>
      </c>
      <c r="D320" s="5" t="str">
        <f>"460103199303122760"</f>
        <v>460103199303122760</v>
      </c>
      <c r="E320" s="5" t="s">
        <v>15</v>
      </c>
      <c r="F320" s="5" t="str">
        <f>"073102031221"</f>
        <v>073102031221</v>
      </c>
      <c r="G320" s="7">
        <v>70.7</v>
      </c>
      <c r="H320" s="7">
        <f t="shared" si="21"/>
        <v>35.35</v>
      </c>
      <c r="I320" s="7">
        <v>78.375</v>
      </c>
      <c r="J320" s="7">
        <f t="shared" si="22"/>
        <v>39.1875</v>
      </c>
      <c r="K320" s="10">
        <f t="shared" si="24"/>
        <v>74.5375</v>
      </c>
      <c r="L320" s="7">
        <f t="shared" si="23"/>
        <v>40</v>
      </c>
      <c r="M320" s="11"/>
      <c r="N320"/>
    </row>
    <row r="321" spans="1:14" ht="24.75" customHeight="1">
      <c r="A321" s="5">
        <v>319</v>
      </c>
      <c r="B321" s="5" t="s">
        <v>19</v>
      </c>
      <c r="C321" s="5" t="str">
        <f>"廖峻"</f>
        <v>廖峻</v>
      </c>
      <c r="D321" s="5" t="str">
        <f>"460027199803050017"</f>
        <v>460027199803050017</v>
      </c>
      <c r="E321" s="5" t="s">
        <v>15</v>
      </c>
      <c r="F321" s="5" t="str">
        <f>"073102030406"</f>
        <v>073102030406</v>
      </c>
      <c r="G321" s="7">
        <v>90.5</v>
      </c>
      <c r="H321" s="7">
        <f t="shared" si="21"/>
        <v>45.25</v>
      </c>
      <c r="I321" s="7">
        <v>58.227</v>
      </c>
      <c r="J321" s="7">
        <f t="shared" si="22"/>
        <v>29.1135</v>
      </c>
      <c r="K321" s="10">
        <f t="shared" si="24"/>
        <v>74.3635</v>
      </c>
      <c r="L321" s="7">
        <f t="shared" si="23"/>
        <v>41</v>
      </c>
      <c r="M321" s="11"/>
      <c r="N321"/>
    </row>
    <row r="322" spans="1:14" ht="24.75" customHeight="1">
      <c r="A322" s="5">
        <v>320</v>
      </c>
      <c r="B322" s="5" t="s">
        <v>19</v>
      </c>
      <c r="C322" s="5" t="str">
        <f>"张莉莉"</f>
        <v>张莉莉</v>
      </c>
      <c r="D322" s="5" t="str">
        <f>"460007199504205407"</f>
        <v>460007199504205407</v>
      </c>
      <c r="E322" s="5" t="s">
        <v>15</v>
      </c>
      <c r="F322" s="5" t="str">
        <f>"073102020912"</f>
        <v>073102020912</v>
      </c>
      <c r="G322" s="7">
        <v>77.6</v>
      </c>
      <c r="H322" s="7">
        <f t="shared" si="21"/>
        <v>38.8</v>
      </c>
      <c r="I322" s="7">
        <v>71.047</v>
      </c>
      <c r="J322" s="7">
        <f t="shared" si="22"/>
        <v>35.5235</v>
      </c>
      <c r="K322" s="10">
        <f t="shared" si="24"/>
        <v>74.3235</v>
      </c>
      <c r="L322" s="7">
        <f t="shared" si="23"/>
        <v>42</v>
      </c>
      <c r="M322" s="11"/>
      <c r="N322"/>
    </row>
    <row r="323" spans="1:14" ht="24.75" customHeight="1">
      <c r="A323" s="5">
        <v>321</v>
      </c>
      <c r="B323" s="5" t="s">
        <v>19</v>
      </c>
      <c r="C323" s="5" t="str">
        <f>"陈佳俏"</f>
        <v>陈佳俏</v>
      </c>
      <c r="D323" s="5" t="str">
        <f>"460003199409272067"</f>
        <v>460003199409272067</v>
      </c>
      <c r="E323" s="5" t="s">
        <v>15</v>
      </c>
      <c r="F323" s="5" t="str">
        <f>"073102030301"</f>
        <v>073102030301</v>
      </c>
      <c r="G323" s="7">
        <v>85</v>
      </c>
      <c r="H323" s="7">
        <f aca="true" t="shared" si="25" ref="H323:H386">G323*0.5</f>
        <v>42.5</v>
      </c>
      <c r="I323" s="7">
        <v>63.062</v>
      </c>
      <c r="J323" s="7">
        <f aca="true" t="shared" si="26" ref="J323:J386">I323*0.5</f>
        <v>31.531</v>
      </c>
      <c r="K323" s="10">
        <f t="shared" si="24"/>
        <v>74.031</v>
      </c>
      <c r="L323" s="7">
        <f t="shared" si="23"/>
        <v>43</v>
      </c>
      <c r="M323" s="11"/>
      <c r="N323"/>
    </row>
    <row r="324" spans="1:14" ht="24.75" customHeight="1">
      <c r="A324" s="5">
        <v>322</v>
      </c>
      <c r="B324" s="5" t="s">
        <v>19</v>
      </c>
      <c r="C324" s="5" t="str">
        <f>"王爱花"</f>
        <v>王爱花</v>
      </c>
      <c r="D324" s="5" t="str">
        <f>"460003199109104088"</f>
        <v>460003199109104088</v>
      </c>
      <c r="E324" s="5" t="s">
        <v>15</v>
      </c>
      <c r="F324" s="5" t="str">
        <f>"073102031104"</f>
        <v>073102031104</v>
      </c>
      <c r="G324" s="7">
        <v>85.1</v>
      </c>
      <c r="H324" s="7">
        <f t="shared" si="25"/>
        <v>42.55</v>
      </c>
      <c r="I324" s="7">
        <v>62.122</v>
      </c>
      <c r="J324" s="7">
        <f t="shared" si="26"/>
        <v>31.061</v>
      </c>
      <c r="K324" s="10">
        <f t="shared" si="24"/>
        <v>73.61099999999999</v>
      </c>
      <c r="L324" s="7">
        <f t="shared" si="23"/>
        <v>44</v>
      </c>
      <c r="M324" s="11"/>
      <c r="N324"/>
    </row>
    <row r="325" spans="1:14" ht="24.75" customHeight="1">
      <c r="A325" s="5">
        <v>323</v>
      </c>
      <c r="B325" s="5" t="s">
        <v>19</v>
      </c>
      <c r="C325" s="5" t="str">
        <f>"杨晨"</f>
        <v>杨晨</v>
      </c>
      <c r="D325" s="5" t="str">
        <f>"362429199708200315"</f>
        <v>362429199708200315</v>
      </c>
      <c r="E325" s="5" t="s">
        <v>15</v>
      </c>
      <c r="F325" s="5" t="str">
        <f>"073102021006"</f>
        <v>073102021006</v>
      </c>
      <c r="G325" s="7">
        <v>80</v>
      </c>
      <c r="H325" s="7">
        <f t="shared" si="25"/>
        <v>40</v>
      </c>
      <c r="I325" s="7">
        <v>66.753</v>
      </c>
      <c r="J325" s="7">
        <f t="shared" si="26"/>
        <v>33.3765</v>
      </c>
      <c r="K325" s="10">
        <f t="shared" si="24"/>
        <v>73.3765</v>
      </c>
      <c r="L325" s="7">
        <f t="shared" si="23"/>
        <v>45</v>
      </c>
      <c r="M325" s="11"/>
      <c r="N325"/>
    </row>
    <row r="326" spans="1:14" ht="24.75" customHeight="1">
      <c r="A326" s="5">
        <v>324</v>
      </c>
      <c r="B326" s="5" t="s">
        <v>19</v>
      </c>
      <c r="C326" s="5" t="str">
        <f>"肖丰"</f>
        <v>肖丰</v>
      </c>
      <c r="D326" s="5" t="str">
        <f>"460003199511190615"</f>
        <v>460003199511190615</v>
      </c>
      <c r="E326" s="5" t="s">
        <v>15</v>
      </c>
      <c r="F326" s="5" t="str">
        <f>"073102020142"</f>
        <v>073102020142</v>
      </c>
      <c r="G326" s="7">
        <v>64</v>
      </c>
      <c r="H326" s="7">
        <f t="shared" si="25"/>
        <v>32</v>
      </c>
      <c r="I326" s="7">
        <v>82.628</v>
      </c>
      <c r="J326" s="7">
        <f t="shared" si="26"/>
        <v>41.314</v>
      </c>
      <c r="K326" s="10">
        <f t="shared" si="24"/>
        <v>73.314</v>
      </c>
      <c r="L326" s="7">
        <f t="shared" si="23"/>
        <v>46</v>
      </c>
      <c r="M326" s="11"/>
      <c r="N326"/>
    </row>
    <row r="327" spans="1:14" ht="24.75" customHeight="1">
      <c r="A327" s="5">
        <v>325</v>
      </c>
      <c r="B327" s="5" t="s">
        <v>19</v>
      </c>
      <c r="C327" s="5" t="str">
        <f>"符笔江"</f>
        <v>符笔江</v>
      </c>
      <c r="D327" s="5" t="str">
        <f>"46000319961201221X"</f>
        <v>46000319961201221X</v>
      </c>
      <c r="E327" s="5" t="s">
        <v>15</v>
      </c>
      <c r="F327" s="5" t="str">
        <f>"073102030830"</f>
        <v>073102030830</v>
      </c>
      <c r="G327" s="7">
        <v>67.9</v>
      </c>
      <c r="H327" s="7">
        <f t="shared" si="25"/>
        <v>33.95</v>
      </c>
      <c r="I327" s="7">
        <v>78.643</v>
      </c>
      <c r="J327" s="7">
        <f t="shared" si="26"/>
        <v>39.3215</v>
      </c>
      <c r="K327" s="10">
        <f t="shared" si="24"/>
        <v>73.2715</v>
      </c>
      <c r="L327" s="7">
        <f t="shared" si="23"/>
        <v>47</v>
      </c>
      <c r="M327" s="11"/>
      <c r="N327"/>
    </row>
    <row r="328" spans="1:14" ht="24.75" customHeight="1">
      <c r="A328" s="5">
        <v>326</v>
      </c>
      <c r="B328" s="5" t="s">
        <v>19</v>
      </c>
      <c r="C328" s="5" t="str">
        <f>"邢增煜"</f>
        <v>邢增煜</v>
      </c>
      <c r="D328" s="5" t="str">
        <f>"460200199205080030"</f>
        <v>460200199205080030</v>
      </c>
      <c r="E328" s="5" t="s">
        <v>15</v>
      </c>
      <c r="F328" s="5" t="str">
        <f>"073102030135"</f>
        <v>073102030135</v>
      </c>
      <c r="G328" s="7">
        <v>81.1</v>
      </c>
      <c r="H328" s="7">
        <f t="shared" si="25"/>
        <v>40.55</v>
      </c>
      <c r="I328" s="7">
        <v>65.212</v>
      </c>
      <c r="J328" s="7">
        <f t="shared" si="26"/>
        <v>32.606</v>
      </c>
      <c r="K328" s="10">
        <f t="shared" si="24"/>
        <v>73.156</v>
      </c>
      <c r="L328" s="7">
        <f t="shared" si="23"/>
        <v>48</v>
      </c>
      <c r="M328" s="11"/>
      <c r="N328"/>
    </row>
    <row r="329" spans="1:14" ht="24.75" customHeight="1">
      <c r="A329" s="5">
        <v>327</v>
      </c>
      <c r="B329" s="5" t="s">
        <v>19</v>
      </c>
      <c r="C329" s="5" t="str">
        <f>"钟晓艳"</f>
        <v>钟晓艳</v>
      </c>
      <c r="D329" s="5" t="str">
        <f>"460007199804170445"</f>
        <v>460007199804170445</v>
      </c>
      <c r="E329" s="5" t="s">
        <v>15</v>
      </c>
      <c r="F329" s="5" t="str">
        <f>"073102031041"</f>
        <v>073102031041</v>
      </c>
      <c r="G329" s="7">
        <v>79.1</v>
      </c>
      <c r="H329" s="7">
        <f t="shared" si="25"/>
        <v>39.55</v>
      </c>
      <c r="I329" s="7">
        <v>67.159</v>
      </c>
      <c r="J329" s="7">
        <f t="shared" si="26"/>
        <v>33.5795</v>
      </c>
      <c r="K329" s="10">
        <f t="shared" si="24"/>
        <v>73.12950000000001</v>
      </c>
      <c r="L329" s="7">
        <f t="shared" si="23"/>
        <v>49</v>
      </c>
      <c r="M329" s="11"/>
      <c r="N329"/>
    </row>
    <row r="330" spans="1:14" ht="24.75" customHeight="1">
      <c r="A330" s="5">
        <v>328</v>
      </c>
      <c r="B330" s="5" t="s">
        <v>19</v>
      </c>
      <c r="C330" s="5" t="str">
        <f>"吴文君"</f>
        <v>吴文君</v>
      </c>
      <c r="D330" s="5" t="str">
        <f>"460026199202020625"</f>
        <v>460026199202020625</v>
      </c>
      <c r="E330" s="5" t="s">
        <v>15</v>
      </c>
      <c r="F330" s="5" t="str">
        <f>"073102031123"</f>
        <v>073102031123</v>
      </c>
      <c r="G330" s="7">
        <v>81.1</v>
      </c>
      <c r="H330" s="7">
        <f t="shared" si="25"/>
        <v>40.55</v>
      </c>
      <c r="I330" s="7">
        <v>64.607</v>
      </c>
      <c r="J330" s="7">
        <f t="shared" si="26"/>
        <v>32.3035</v>
      </c>
      <c r="K330" s="10">
        <f t="shared" si="24"/>
        <v>72.8535</v>
      </c>
      <c r="L330" s="7">
        <f t="shared" si="23"/>
        <v>50</v>
      </c>
      <c r="M330" s="11"/>
      <c r="N330"/>
    </row>
    <row r="331" spans="1:14" ht="24.75" customHeight="1">
      <c r="A331" s="5">
        <v>329</v>
      </c>
      <c r="B331" s="5" t="s">
        <v>19</v>
      </c>
      <c r="C331" s="5" t="str">
        <f>"王乃馨"</f>
        <v>王乃馨</v>
      </c>
      <c r="D331" s="5" t="str">
        <f>"152223199410240025"</f>
        <v>152223199410240025</v>
      </c>
      <c r="E331" s="5" t="s">
        <v>15</v>
      </c>
      <c r="F331" s="5" t="str">
        <f>"073102020103"</f>
        <v>073102020103</v>
      </c>
      <c r="G331" s="7">
        <v>77.8</v>
      </c>
      <c r="H331" s="7">
        <f t="shared" si="25"/>
        <v>38.9</v>
      </c>
      <c r="I331" s="7">
        <v>67.729</v>
      </c>
      <c r="J331" s="7">
        <f t="shared" si="26"/>
        <v>33.8645</v>
      </c>
      <c r="K331" s="10">
        <f t="shared" si="24"/>
        <v>72.7645</v>
      </c>
      <c r="L331" s="7">
        <f t="shared" si="23"/>
        <v>51</v>
      </c>
      <c r="M331" s="11"/>
      <c r="N331"/>
    </row>
    <row r="332" spans="1:13" ht="24.75" customHeight="1">
      <c r="A332" s="5">
        <v>330</v>
      </c>
      <c r="B332" s="5" t="s">
        <v>19</v>
      </c>
      <c r="C332" s="5" t="str">
        <f>"徐艺哲"</f>
        <v>徐艺哲</v>
      </c>
      <c r="D332" s="5" t="str">
        <f>"460003199403100037"</f>
        <v>460003199403100037</v>
      </c>
      <c r="E332" s="5" t="s">
        <v>16</v>
      </c>
      <c r="F332" s="5" t="str">
        <f>"073102021030"</f>
        <v>073102021030</v>
      </c>
      <c r="G332" s="7">
        <v>73.9</v>
      </c>
      <c r="H332" s="7">
        <f t="shared" si="25"/>
        <v>36.95</v>
      </c>
      <c r="I332" s="7">
        <v>64.671</v>
      </c>
      <c r="J332" s="7">
        <f t="shared" si="26"/>
        <v>32.3355</v>
      </c>
      <c r="K332" s="12">
        <v>72.74977500000001</v>
      </c>
      <c r="L332" s="7">
        <f t="shared" si="23"/>
        <v>52</v>
      </c>
      <c r="M332" s="11" t="s">
        <v>17</v>
      </c>
    </row>
    <row r="333" spans="1:14" ht="24.75" customHeight="1">
      <c r="A333" s="5">
        <v>331</v>
      </c>
      <c r="B333" s="5" t="s">
        <v>19</v>
      </c>
      <c r="C333" s="5" t="str">
        <f>"邓伟博"</f>
        <v>邓伟博</v>
      </c>
      <c r="D333" s="5" t="str">
        <f>"460003199512010217"</f>
        <v>460003199512010217</v>
      </c>
      <c r="E333" s="5" t="s">
        <v>15</v>
      </c>
      <c r="F333" s="5" t="str">
        <f>"073102020426"</f>
        <v>073102020426</v>
      </c>
      <c r="G333" s="7">
        <v>84.7</v>
      </c>
      <c r="H333" s="7">
        <f t="shared" si="25"/>
        <v>42.35</v>
      </c>
      <c r="I333" s="7">
        <v>60.573</v>
      </c>
      <c r="J333" s="7">
        <f t="shared" si="26"/>
        <v>30.2865</v>
      </c>
      <c r="K333" s="10">
        <f aca="true" t="shared" si="27" ref="K333:K353">H333+J333</f>
        <v>72.6365</v>
      </c>
      <c r="L333" s="7">
        <f t="shared" si="23"/>
        <v>53</v>
      </c>
      <c r="M333" s="11"/>
      <c r="N333"/>
    </row>
    <row r="334" spans="1:14" ht="24.75" customHeight="1">
      <c r="A334" s="5">
        <v>332</v>
      </c>
      <c r="B334" s="5" t="s">
        <v>19</v>
      </c>
      <c r="C334" s="5" t="str">
        <f>"罗斌燕"</f>
        <v>罗斌燕</v>
      </c>
      <c r="D334" s="5" t="str">
        <f>"469003199605046428"</f>
        <v>469003199605046428</v>
      </c>
      <c r="E334" s="5" t="s">
        <v>15</v>
      </c>
      <c r="F334" s="5" t="str">
        <f>"073102021209"</f>
        <v>073102021209</v>
      </c>
      <c r="G334" s="7">
        <v>58.3</v>
      </c>
      <c r="H334" s="7">
        <f t="shared" si="25"/>
        <v>29.15</v>
      </c>
      <c r="I334" s="7">
        <v>86.858</v>
      </c>
      <c r="J334" s="7">
        <f t="shared" si="26"/>
        <v>43.429</v>
      </c>
      <c r="K334" s="10">
        <f t="shared" si="27"/>
        <v>72.57900000000001</v>
      </c>
      <c r="L334" s="7">
        <f t="shared" si="23"/>
        <v>54</v>
      </c>
      <c r="M334" s="11"/>
      <c r="N334"/>
    </row>
    <row r="335" spans="1:14" ht="24.75" customHeight="1">
      <c r="A335" s="5">
        <v>333</v>
      </c>
      <c r="B335" s="5" t="s">
        <v>19</v>
      </c>
      <c r="C335" s="5" t="str">
        <f>"张秀怡"</f>
        <v>张秀怡</v>
      </c>
      <c r="D335" s="5" t="str">
        <f>"460003199909100229"</f>
        <v>460003199909100229</v>
      </c>
      <c r="E335" s="5" t="s">
        <v>15</v>
      </c>
      <c r="F335" s="5" t="str">
        <f>"073102021003"</f>
        <v>073102021003</v>
      </c>
      <c r="G335" s="7">
        <v>78.9</v>
      </c>
      <c r="H335" s="7">
        <f t="shared" si="25"/>
        <v>39.45</v>
      </c>
      <c r="I335" s="7">
        <v>65.843</v>
      </c>
      <c r="J335" s="7">
        <f t="shared" si="26"/>
        <v>32.9215</v>
      </c>
      <c r="K335" s="10">
        <f t="shared" si="27"/>
        <v>72.3715</v>
      </c>
      <c r="L335" s="7">
        <f t="shared" si="23"/>
        <v>55</v>
      </c>
      <c r="M335" s="11"/>
      <c r="N335"/>
    </row>
    <row r="336" spans="1:14" ht="24.75" customHeight="1">
      <c r="A336" s="5">
        <v>334</v>
      </c>
      <c r="B336" s="5" t="s">
        <v>19</v>
      </c>
      <c r="C336" s="5" t="str">
        <f>"冯程"</f>
        <v>冯程</v>
      </c>
      <c r="D336" s="5" t="str">
        <f>"460027199405158516"</f>
        <v>460027199405158516</v>
      </c>
      <c r="E336" s="5" t="s">
        <v>15</v>
      </c>
      <c r="F336" s="5" t="str">
        <f>"073102021127"</f>
        <v>073102021127</v>
      </c>
      <c r="G336" s="7">
        <v>68.5</v>
      </c>
      <c r="H336" s="7">
        <f t="shared" si="25"/>
        <v>34.25</v>
      </c>
      <c r="I336" s="7">
        <v>76.187</v>
      </c>
      <c r="J336" s="7">
        <f t="shared" si="26"/>
        <v>38.0935</v>
      </c>
      <c r="K336" s="10">
        <f t="shared" si="27"/>
        <v>72.3435</v>
      </c>
      <c r="L336" s="7">
        <f t="shared" si="23"/>
        <v>56</v>
      </c>
      <c r="M336" s="11"/>
      <c r="N336"/>
    </row>
    <row r="337" spans="1:14" ht="24.75" customHeight="1">
      <c r="A337" s="5">
        <v>335</v>
      </c>
      <c r="B337" s="5" t="s">
        <v>19</v>
      </c>
      <c r="C337" s="5" t="str">
        <f>"梁宏伟"</f>
        <v>梁宏伟</v>
      </c>
      <c r="D337" s="5" t="str">
        <f>"460003199208150215"</f>
        <v>460003199208150215</v>
      </c>
      <c r="E337" s="5" t="s">
        <v>15</v>
      </c>
      <c r="F337" s="5" t="str">
        <f>"073102020141"</f>
        <v>073102020141</v>
      </c>
      <c r="G337" s="7">
        <v>69.3</v>
      </c>
      <c r="H337" s="7">
        <f t="shared" si="25"/>
        <v>34.65</v>
      </c>
      <c r="I337" s="7">
        <v>74.496</v>
      </c>
      <c r="J337" s="7">
        <f t="shared" si="26"/>
        <v>37.248</v>
      </c>
      <c r="K337" s="10">
        <f t="shared" si="27"/>
        <v>71.898</v>
      </c>
      <c r="L337" s="7">
        <f t="shared" si="23"/>
        <v>57</v>
      </c>
      <c r="M337" s="11"/>
      <c r="N337"/>
    </row>
    <row r="338" spans="1:14" ht="24.75" customHeight="1">
      <c r="A338" s="5">
        <v>336</v>
      </c>
      <c r="B338" s="5" t="s">
        <v>19</v>
      </c>
      <c r="C338" s="5" t="str">
        <f>"吕航"</f>
        <v>吕航</v>
      </c>
      <c r="D338" s="5" t="str">
        <f>"460003199801085821"</f>
        <v>460003199801085821</v>
      </c>
      <c r="E338" s="5" t="s">
        <v>15</v>
      </c>
      <c r="F338" s="5" t="str">
        <f>"073102020506"</f>
        <v>073102020506</v>
      </c>
      <c r="G338" s="7">
        <v>78.5</v>
      </c>
      <c r="H338" s="7">
        <f t="shared" si="25"/>
        <v>39.25</v>
      </c>
      <c r="I338" s="7">
        <v>65.257</v>
      </c>
      <c r="J338" s="7">
        <f t="shared" si="26"/>
        <v>32.6285</v>
      </c>
      <c r="K338" s="10">
        <f t="shared" si="27"/>
        <v>71.8785</v>
      </c>
      <c r="L338" s="7">
        <f t="shared" si="23"/>
        <v>58</v>
      </c>
      <c r="M338" s="11"/>
      <c r="N338"/>
    </row>
    <row r="339" spans="1:14" ht="24.75" customHeight="1">
      <c r="A339" s="5">
        <v>337</v>
      </c>
      <c r="B339" s="5" t="s">
        <v>19</v>
      </c>
      <c r="C339" s="5" t="str">
        <f>"黄丹凤"</f>
        <v>黄丹凤</v>
      </c>
      <c r="D339" s="5" t="str">
        <f>"460028199306185224"</f>
        <v>460028199306185224</v>
      </c>
      <c r="E339" s="5" t="s">
        <v>15</v>
      </c>
      <c r="F339" s="5" t="str">
        <f>"073102021021"</f>
        <v>073102021021</v>
      </c>
      <c r="G339" s="7">
        <v>75.1</v>
      </c>
      <c r="H339" s="7">
        <f t="shared" si="25"/>
        <v>37.55</v>
      </c>
      <c r="I339" s="7">
        <v>67.99</v>
      </c>
      <c r="J339" s="7">
        <f t="shared" si="26"/>
        <v>33.995</v>
      </c>
      <c r="K339" s="10">
        <f t="shared" si="27"/>
        <v>71.54499999999999</v>
      </c>
      <c r="L339" s="7">
        <f t="shared" si="23"/>
        <v>59</v>
      </c>
      <c r="M339" s="11"/>
      <c r="N339"/>
    </row>
    <row r="340" spans="1:14" ht="24.75" customHeight="1">
      <c r="A340" s="5">
        <v>338</v>
      </c>
      <c r="B340" s="5" t="s">
        <v>19</v>
      </c>
      <c r="C340" s="5" t="str">
        <f>"许自强"</f>
        <v>许自强</v>
      </c>
      <c r="D340" s="5" t="str">
        <f>"460033199708171774"</f>
        <v>460033199708171774</v>
      </c>
      <c r="E340" s="5" t="s">
        <v>15</v>
      </c>
      <c r="F340" s="5" t="str">
        <f>"073102020415"</f>
        <v>073102020415</v>
      </c>
      <c r="G340" s="7">
        <v>77.9</v>
      </c>
      <c r="H340" s="7">
        <f t="shared" si="25"/>
        <v>38.95</v>
      </c>
      <c r="I340" s="7">
        <v>65.062</v>
      </c>
      <c r="J340" s="7">
        <f t="shared" si="26"/>
        <v>32.531</v>
      </c>
      <c r="K340" s="10">
        <f t="shared" si="27"/>
        <v>71.481</v>
      </c>
      <c r="L340" s="7">
        <f t="shared" si="23"/>
        <v>60</v>
      </c>
      <c r="M340" s="11"/>
      <c r="N340"/>
    </row>
    <row r="341" spans="1:14" ht="24.75" customHeight="1">
      <c r="A341" s="5">
        <v>339</v>
      </c>
      <c r="B341" s="5" t="s">
        <v>19</v>
      </c>
      <c r="C341" s="5" t="str">
        <f>"刘琴"</f>
        <v>刘琴</v>
      </c>
      <c r="D341" s="5" t="str">
        <f>"460003199306114824"</f>
        <v>460003199306114824</v>
      </c>
      <c r="E341" s="5" t="s">
        <v>15</v>
      </c>
      <c r="F341" s="5" t="str">
        <f>"073102030631"</f>
        <v>073102030631</v>
      </c>
      <c r="G341" s="7">
        <v>88.7</v>
      </c>
      <c r="H341" s="7">
        <f t="shared" si="25"/>
        <v>44.35</v>
      </c>
      <c r="I341" s="7">
        <v>53.794</v>
      </c>
      <c r="J341" s="7">
        <f t="shared" si="26"/>
        <v>26.897</v>
      </c>
      <c r="K341" s="10">
        <f t="shared" si="27"/>
        <v>71.247</v>
      </c>
      <c r="L341" s="7">
        <f t="shared" si="23"/>
        <v>61</v>
      </c>
      <c r="M341" s="11"/>
      <c r="N341"/>
    </row>
    <row r="342" spans="1:14" ht="24.75" customHeight="1">
      <c r="A342" s="5">
        <v>340</v>
      </c>
      <c r="B342" s="5" t="s">
        <v>19</v>
      </c>
      <c r="C342" s="5" t="str">
        <f>"李秀颖"</f>
        <v>李秀颖</v>
      </c>
      <c r="D342" s="5" t="str">
        <f>"460300199606140044"</f>
        <v>460300199606140044</v>
      </c>
      <c r="E342" s="5" t="s">
        <v>15</v>
      </c>
      <c r="F342" s="5" t="str">
        <f>"073102030802"</f>
        <v>073102030802</v>
      </c>
      <c r="G342" s="7">
        <v>85.9</v>
      </c>
      <c r="H342" s="7">
        <f t="shared" si="25"/>
        <v>42.95</v>
      </c>
      <c r="I342" s="7">
        <v>56.414</v>
      </c>
      <c r="J342" s="7">
        <f t="shared" si="26"/>
        <v>28.207</v>
      </c>
      <c r="K342" s="10">
        <f t="shared" si="27"/>
        <v>71.15700000000001</v>
      </c>
      <c r="L342" s="7">
        <f t="shared" si="23"/>
        <v>62</v>
      </c>
      <c r="M342" s="11"/>
      <c r="N342"/>
    </row>
    <row r="343" spans="1:14" ht="24.75" customHeight="1">
      <c r="A343" s="5">
        <v>341</v>
      </c>
      <c r="B343" s="5" t="s">
        <v>19</v>
      </c>
      <c r="C343" s="5" t="str">
        <f>"邢晨曦"</f>
        <v>邢晨曦</v>
      </c>
      <c r="D343" s="5" t="str">
        <f>"460033199703140020"</f>
        <v>460033199703140020</v>
      </c>
      <c r="E343" s="5" t="s">
        <v>15</v>
      </c>
      <c r="F343" s="5" t="str">
        <f>"073102020437"</f>
        <v>073102020437</v>
      </c>
      <c r="G343" s="7">
        <v>74.5</v>
      </c>
      <c r="H343" s="7">
        <f t="shared" si="25"/>
        <v>37.25</v>
      </c>
      <c r="I343" s="7">
        <v>67.205</v>
      </c>
      <c r="J343" s="7">
        <f t="shared" si="26"/>
        <v>33.6025</v>
      </c>
      <c r="K343" s="10">
        <f t="shared" si="27"/>
        <v>70.85249999999999</v>
      </c>
      <c r="L343" s="7">
        <f t="shared" si="23"/>
        <v>63</v>
      </c>
      <c r="M343" s="11"/>
      <c r="N343"/>
    </row>
    <row r="344" spans="1:14" ht="24.75" customHeight="1">
      <c r="A344" s="5">
        <v>342</v>
      </c>
      <c r="B344" s="5" t="s">
        <v>19</v>
      </c>
      <c r="C344" s="5" t="str">
        <f>"罗春钰"</f>
        <v>罗春钰</v>
      </c>
      <c r="D344" s="5" t="str">
        <f>"460003199603195421"</f>
        <v>460003199603195421</v>
      </c>
      <c r="E344" s="5" t="s">
        <v>15</v>
      </c>
      <c r="F344" s="5" t="str">
        <f>"073102030723"</f>
        <v>073102030723</v>
      </c>
      <c r="G344" s="7">
        <v>82</v>
      </c>
      <c r="H344" s="7">
        <f t="shared" si="25"/>
        <v>41</v>
      </c>
      <c r="I344" s="7">
        <v>59.503</v>
      </c>
      <c r="J344" s="7">
        <f t="shared" si="26"/>
        <v>29.7515</v>
      </c>
      <c r="K344" s="10">
        <f t="shared" si="27"/>
        <v>70.7515</v>
      </c>
      <c r="L344" s="7">
        <f t="shared" si="23"/>
        <v>64</v>
      </c>
      <c r="M344" s="11"/>
      <c r="N344"/>
    </row>
    <row r="345" spans="1:14" ht="24.75" customHeight="1">
      <c r="A345" s="5">
        <v>343</v>
      </c>
      <c r="B345" s="5" t="s">
        <v>19</v>
      </c>
      <c r="C345" s="5" t="str">
        <f>"林娇"</f>
        <v>林娇</v>
      </c>
      <c r="D345" s="5" t="str">
        <f>"46002619990425002X"</f>
        <v>46002619990425002X</v>
      </c>
      <c r="E345" s="5" t="s">
        <v>15</v>
      </c>
      <c r="F345" s="5" t="str">
        <f>"073102020519"</f>
        <v>073102020519</v>
      </c>
      <c r="G345" s="7">
        <v>73.7</v>
      </c>
      <c r="H345" s="7">
        <f t="shared" si="25"/>
        <v>36.85</v>
      </c>
      <c r="I345" s="7">
        <v>67.664</v>
      </c>
      <c r="J345" s="7">
        <f t="shared" si="26"/>
        <v>33.832</v>
      </c>
      <c r="K345" s="10">
        <f t="shared" si="27"/>
        <v>70.682</v>
      </c>
      <c r="L345" s="7">
        <f aca="true" t="shared" si="28" ref="L345:L408">RANK(K345,$K$281:$K$1299,0)</f>
        <v>65</v>
      </c>
      <c r="M345" s="11"/>
      <c r="N345"/>
    </row>
    <row r="346" spans="1:14" ht="24.75" customHeight="1">
      <c r="A346" s="5">
        <v>344</v>
      </c>
      <c r="B346" s="5" t="s">
        <v>19</v>
      </c>
      <c r="C346" s="5" t="str">
        <f>"张霞"</f>
        <v>张霞</v>
      </c>
      <c r="D346" s="5" t="str">
        <f>"460033199604023881"</f>
        <v>460033199604023881</v>
      </c>
      <c r="E346" s="5" t="s">
        <v>15</v>
      </c>
      <c r="F346" s="5" t="str">
        <f>"073102030528"</f>
        <v>073102030528</v>
      </c>
      <c r="G346" s="7">
        <v>84.4</v>
      </c>
      <c r="H346" s="7">
        <f t="shared" si="25"/>
        <v>42.2</v>
      </c>
      <c r="I346" s="7">
        <v>56.951</v>
      </c>
      <c r="J346" s="7">
        <f t="shared" si="26"/>
        <v>28.4755</v>
      </c>
      <c r="K346" s="10">
        <f t="shared" si="27"/>
        <v>70.6755</v>
      </c>
      <c r="L346" s="7">
        <f t="shared" si="28"/>
        <v>66</v>
      </c>
      <c r="M346" s="11"/>
      <c r="N346"/>
    </row>
    <row r="347" spans="1:14" ht="24.75" customHeight="1">
      <c r="A347" s="5">
        <v>345</v>
      </c>
      <c r="B347" s="5" t="s">
        <v>19</v>
      </c>
      <c r="C347" s="5" t="str">
        <f>"王育豪"</f>
        <v>王育豪</v>
      </c>
      <c r="D347" s="5" t="str">
        <f>"460003199611056616"</f>
        <v>460003199611056616</v>
      </c>
      <c r="E347" s="5" t="s">
        <v>15</v>
      </c>
      <c r="F347" s="5" t="str">
        <f>"073102020128"</f>
        <v>073102020128</v>
      </c>
      <c r="G347" s="7">
        <v>73.5</v>
      </c>
      <c r="H347" s="7">
        <f t="shared" si="25"/>
        <v>36.75</v>
      </c>
      <c r="I347" s="7">
        <v>67.794</v>
      </c>
      <c r="J347" s="7">
        <f t="shared" si="26"/>
        <v>33.897</v>
      </c>
      <c r="K347" s="10">
        <f t="shared" si="27"/>
        <v>70.64699999999999</v>
      </c>
      <c r="L347" s="7">
        <f t="shared" si="28"/>
        <v>67</v>
      </c>
      <c r="M347" s="11"/>
      <c r="N347"/>
    </row>
    <row r="348" spans="1:14" ht="24.75" customHeight="1">
      <c r="A348" s="5">
        <v>346</v>
      </c>
      <c r="B348" s="5" t="s">
        <v>19</v>
      </c>
      <c r="C348" s="5" t="str">
        <f>"李玲玲"</f>
        <v>李玲玲</v>
      </c>
      <c r="D348" s="5" t="str">
        <f>"460002199908283223"</f>
        <v>460002199908283223</v>
      </c>
      <c r="E348" s="5" t="s">
        <v>15</v>
      </c>
      <c r="F348" s="5" t="str">
        <f>"073102020411"</f>
        <v>073102020411</v>
      </c>
      <c r="G348" s="7">
        <v>83.9</v>
      </c>
      <c r="H348" s="7">
        <f t="shared" si="25"/>
        <v>41.95</v>
      </c>
      <c r="I348" s="7">
        <v>56.864</v>
      </c>
      <c r="J348" s="7">
        <f t="shared" si="26"/>
        <v>28.432</v>
      </c>
      <c r="K348" s="10">
        <f t="shared" si="27"/>
        <v>70.382</v>
      </c>
      <c r="L348" s="7">
        <f t="shared" si="28"/>
        <v>68</v>
      </c>
      <c r="M348" s="11"/>
      <c r="N348"/>
    </row>
    <row r="349" spans="1:14" ht="24.75" customHeight="1">
      <c r="A349" s="5">
        <v>347</v>
      </c>
      <c r="B349" s="5" t="s">
        <v>19</v>
      </c>
      <c r="C349" s="5" t="str">
        <f>"吴颖"</f>
        <v>吴颖</v>
      </c>
      <c r="D349" s="5" t="str">
        <f>"460003199810124722"</f>
        <v>460003199810124722</v>
      </c>
      <c r="E349" s="5" t="s">
        <v>15</v>
      </c>
      <c r="F349" s="5" t="str">
        <f>"073102020528"</f>
        <v>073102020528</v>
      </c>
      <c r="G349" s="7">
        <v>80.9</v>
      </c>
      <c r="H349" s="7">
        <f t="shared" si="25"/>
        <v>40.45</v>
      </c>
      <c r="I349" s="7">
        <v>59.597</v>
      </c>
      <c r="J349" s="7">
        <f t="shared" si="26"/>
        <v>29.7985</v>
      </c>
      <c r="K349" s="10">
        <f t="shared" si="27"/>
        <v>70.2485</v>
      </c>
      <c r="L349" s="7">
        <f t="shared" si="28"/>
        <v>69</v>
      </c>
      <c r="M349" s="11"/>
      <c r="N349"/>
    </row>
    <row r="350" spans="1:14" ht="24.75" customHeight="1">
      <c r="A350" s="5">
        <v>348</v>
      </c>
      <c r="B350" s="5" t="s">
        <v>19</v>
      </c>
      <c r="C350" s="5" t="str">
        <f>"吴武晋"</f>
        <v>吴武晋</v>
      </c>
      <c r="D350" s="5" t="str">
        <f>"460004199512090217"</f>
        <v>460004199512090217</v>
      </c>
      <c r="E350" s="5" t="s">
        <v>15</v>
      </c>
      <c r="F350" s="5" t="str">
        <f>"073102020245"</f>
        <v>073102020245</v>
      </c>
      <c r="G350" s="7">
        <v>68.7</v>
      </c>
      <c r="H350" s="7">
        <f t="shared" si="25"/>
        <v>34.35</v>
      </c>
      <c r="I350" s="7">
        <v>71.568</v>
      </c>
      <c r="J350" s="7">
        <f t="shared" si="26"/>
        <v>35.784</v>
      </c>
      <c r="K350" s="10">
        <f t="shared" si="27"/>
        <v>70.134</v>
      </c>
      <c r="L350" s="7">
        <f t="shared" si="28"/>
        <v>70</v>
      </c>
      <c r="M350" s="11"/>
      <c r="N350"/>
    </row>
    <row r="351" spans="1:14" ht="24.75" customHeight="1">
      <c r="A351" s="5">
        <v>349</v>
      </c>
      <c r="B351" s="5" t="s">
        <v>19</v>
      </c>
      <c r="C351" s="5" t="str">
        <f>"黄菲菲"</f>
        <v>黄菲菲</v>
      </c>
      <c r="D351" s="5" t="str">
        <f>"460003199812115424"</f>
        <v>460003199812115424</v>
      </c>
      <c r="E351" s="5" t="s">
        <v>15</v>
      </c>
      <c r="F351" s="5" t="str">
        <f>"073102031031"</f>
        <v>073102031031</v>
      </c>
      <c r="G351" s="7">
        <v>73.7</v>
      </c>
      <c r="H351" s="7">
        <f t="shared" si="25"/>
        <v>36.85</v>
      </c>
      <c r="I351" s="7">
        <v>66.555</v>
      </c>
      <c r="J351" s="7">
        <f t="shared" si="26"/>
        <v>33.2775</v>
      </c>
      <c r="K351" s="10">
        <f t="shared" si="27"/>
        <v>70.1275</v>
      </c>
      <c r="L351" s="7">
        <f t="shared" si="28"/>
        <v>71</v>
      </c>
      <c r="M351" s="11"/>
      <c r="N351"/>
    </row>
    <row r="352" spans="1:14" ht="24.75" customHeight="1">
      <c r="A352" s="5">
        <v>350</v>
      </c>
      <c r="B352" s="5" t="s">
        <v>19</v>
      </c>
      <c r="C352" s="5" t="str">
        <f>"崔小蓉"</f>
        <v>崔小蓉</v>
      </c>
      <c r="D352" s="5" t="str">
        <f>"46000319990604142X"</f>
        <v>46000319990604142X</v>
      </c>
      <c r="E352" s="5" t="s">
        <v>15</v>
      </c>
      <c r="F352" s="5" t="str">
        <f>"073102030136"</f>
        <v>073102030136</v>
      </c>
      <c r="G352" s="7">
        <v>82</v>
      </c>
      <c r="H352" s="7">
        <f t="shared" si="25"/>
        <v>41</v>
      </c>
      <c r="I352" s="7">
        <v>57.555</v>
      </c>
      <c r="J352" s="7">
        <f t="shared" si="26"/>
        <v>28.7775</v>
      </c>
      <c r="K352" s="10">
        <f t="shared" si="27"/>
        <v>69.7775</v>
      </c>
      <c r="L352" s="7">
        <f t="shared" si="28"/>
        <v>72</v>
      </c>
      <c r="M352" s="11"/>
      <c r="N352"/>
    </row>
    <row r="353" spans="1:14" ht="24.75" customHeight="1">
      <c r="A353" s="5">
        <v>351</v>
      </c>
      <c r="B353" s="5" t="s">
        <v>19</v>
      </c>
      <c r="C353" s="5" t="str">
        <f>"李琦"</f>
        <v>李琦</v>
      </c>
      <c r="D353" s="5" t="str">
        <f>"460027199911086623"</f>
        <v>460027199911086623</v>
      </c>
      <c r="E353" s="5" t="s">
        <v>15</v>
      </c>
      <c r="F353" s="5" t="str">
        <f>"073102031135"</f>
        <v>073102031135</v>
      </c>
      <c r="G353" s="7">
        <v>79.3</v>
      </c>
      <c r="H353" s="7">
        <f t="shared" si="25"/>
        <v>39.65</v>
      </c>
      <c r="I353" s="7">
        <v>60.107</v>
      </c>
      <c r="J353" s="7">
        <f t="shared" si="26"/>
        <v>30.0535</v>
      </c>
      <c r="K353" s="10">
        <f t="shared" si="27"/>
        <v>69.70349999999999</v>
      </c>
      <c r="L353" s="7">
        <f t="shared" si="28"/>
        <v>73</v>
      </c>
      <c r="M353" s="11"/>
      <c r="N353"/>
    </row>
    <row r="354" spans="1:13" ht="24.75" customHeight="1">
      <c r="A354" s="5">
        <v>352</v>
      </c>
      <c r="B354" s="5" t="s">
        <v>19</v>
      </c>
      <c r="C354" s="5" t="str">
        <f>"魏凯"</f>
        <v>魏凯</v>
      </c>
      <c r="D354" s="5" t="str">
        <f>"460003199103264419"</f>
        <v>460003199103264419</v>
      </c>
      <c r="E354" s="5" t="s">
        <v>16</v>
      </c>
      <c r="F354" s="5" t="str">
        <f>"073102020441"</f>
        <v>073102020441</v>
      </c>
      <c r="G354" s="7">
        <v>59.5</v>
      </c>
      <c r="H354" s="7">
        <f t="shared" si="25"/>
        <v>29.75</v>
      </c>
      <c r="I354" s="7">
        <v>72.934</v>
      </c>
      <c r="J354" s="7">
        <f t="shared" si="26"/>
        <v>36.467</v>
      </c>
      <c r="K354" s="12">
        <v>69.52785</v>
      </c>
      <c r="L354" s="7">
        <f t="shared" si="28"/>
        <v>74</v>
      </c>
      <c r="M354" s="11" t="s">
        <v>17</v>
      </c>
    </row>
    <row r="355" spans="1:14" ht="24.75" customHeight="1">
      <c r="A355" s="5">
        <v>353</v>
      </c>
      <c r="B355" s="5" t="s">
        <v>19</v>
      </c>
      <c r="C355" s="5" t="str">
        <f>"陈锋"</f>
        <v>陈锋</v>
      </c>
      <c r="D355" s="5" t="str">
        <f>"460003199512080610"</f>
        <v>460003199512080610</v>
      </c>
      <c r="E355" s="5" t="s">
        <v>15</v>
      </c>
      <c r="F355" s="5" t="str">
        <f>"073102021125"</f>
        <v>073102021125</v>
      </c>
      <c r="G355" s="7">
        <v>66.3</v>
      </c>
      <c r="H355" s="7">
        <f t="shared" si="25"/>
        <v>33.15</v>
      </c>
      <c r="I355" s="7">
        <v>72.674</v>
      </c>
      <c r="J355" s="7">
        <f t="shared" si="26"/>
        <v>36.337</v>
      </c>
      <c r="K355" s="10">
        <f aca="true" t="shared" si="29" ref="K355:K418">H355+J355</f>
        <v>69.487</v>
      </c>
      <c r="L355" s="7">
        <f t="shared" si="28"/>
        <v>75</v>
      </c>
      <c r="M355" s="11"/>
      <c r="N355"/>
    </row>
    <row r="356" spans="1:14" ht="24.75" customHeight="1">
      <c r="A356" s="5">
        <v>354</v>
      </c>
      <c r="B356" s="5" t="s">
        <v>19</v>
      </c>
      <c r="C356" s="5" t="str">
        <f>"龙映菁"</f>
        <v>龙映菁</v>
      </c>
      <c r="D356" s="5" t="str">
        <f>"460034199604090028"</f>
        <v>460034199604090028</v>
      </c>
      <c r="E356" s="5" t="s">
        <v>15</v>
      </c>
      <c r="F356" s="5" t="str">
        <f>"073102021231"</f>
        <v>073102021231</v>
      </c>
      <c r="G356" s="7">
        <v>80.7</v>
      </c>
      <c r="H356" s="7">
        <f t="shared" si="25"/>
        <v>40.35</v>
      </c>
      <c r="I356" s="7">
        <v>58.23</v>
      </c>
      <c r="J356" s="7">
        <f t="shared" si="26"/>
        <v>29.115</v>
      </c>
      <c r="K356" s="10">
        <f t="shared" si="29"/>
        <v>69.465</v>
      </c>
      <c r="L356" s="7">
        <f t="shared" si="28"/>
        <v>76</v>
      </c>
      <c r="M356" s="11"/>
      <c r="N356"/>
    </row>
    <row r="357" spans="1:14" ht="24.75" customHeight="1">
      <c r="A357" s="5">
        <v>355</v>
      </c>
      <c r="B357" s="5" t="s">
        <v>19</v>
      </c>
      <c r="C357" s="5" t="str">
        <f>"王婕妤"</f>
        <v>王婕妤</v>
      </c>
      <c r="D357" s="5" t="str">
        <f>"460200199801190041"</f>
        <v>460200199801190041</v>
      </c>
      <c r="E357" s="5" t="s">
        <v>15</v>
      </c>
      <c r="F357" s="5" t="str">
        <f>"073102020936"</f>
        <v>073102020936</v>
      </c>
      <c r="G357" s="7">
        <v>89.9</v>
      </c>
      <c r="H357" s="7">
        <f t="shared" si="25"/>
        <v>44.95</v>
      </c>
      <c r="I357" s="7">
        <v>48.536</v>
      </c>
      <c r="J357" s="7">
        <f t="shared" si="26"/>
        <v>24.268</v>
      </c>
      <c r="K357" s="10">
        <f t="shared" si="29"/>
        <v>69.218</v>
      </c>
      <c r="L357" s="7">
        <f t="shared" si="28"/>
        <v>77</v>
      </c>
      <c r="M357" s="11"/>
      <c r="N357"/>
    </row>
    <row r="358" spans="1:14" ht="24.75" customHeight="1">
      <c r="A358" s="5">
        <v>356</v>
      </c>
      <c r="B358" s="5" t="s">
        <v>19</v>
      </c>
      <c r="C358" s="5" t="str">
        <f>"陈丁云"</f>
        <v>陈丁云</v>
      </c>
      <c r="D358" s="5" t="str">
        <f>"460003199010180224"</f>
        <v>460003199010180224</v>
      </c>
      <c r="E358" s="5" t="s">
        <v>15</v>
      </c>
      <c r="F358" s="5" t="str">
        <f>"073102020234"</f>
        <v>073102020234</v>
      </c>
      <c r="G358" s="7">
        <v>76.2</v>
      </c>
      <c r="H358" s="7">
        <f t="shared" si="25"/>
        <v>38.1</v>
      </c>
      <c r="I358" s="7">
        <v>62.134</v>
      </c>
      <c r="J358" s="7">
        <f t="shared" si="26"/>
        <v>31.067</v>
      </c>
      <c r="K358" s="10">
        <f t="shared" si="29"/>
        <v>69.167</v>
      </c>
      <c r="L358" s="7">
        <f t="shared" si="28"/>
        <v>78</v>
      </c>
      <c r="M358" s="11"/>
      <c r="N358"/>
    </row>
    <row r="359" spans="1:14" ht="24.75" customHeight="1">
      <c r="A359" s="5">
        <v>357</v>
      </c>
      <c r="B359" s="5" t="s">
        <v>19</v>
      </c>
      <c r="C359" s="5" t="str">
        <f>"王萍"</f>
        <v>王萍</v>
      </c>
      <c r="D359" s="5" t="str">
        <f>"46000419970817122X"</f>
        <v>46000419970817122X</v>
      </c>
      <c r="E359" s="5" t="s">
        <v>15</v>
      </c>
      <c r="F359" s="5" t="str">
        <f>"073102021207"</f>
        <v>073102021207</v>
      </c>
      <c r="G359" s="7">
        <v>88.7</v>
      </c>
      <c r="H359" s="7">
        <f t="shared" si="25"/>
        <v>44.35</v>
      </c>
      <c r="I359" s="7">
        <v>49.187</v>
      </c>
      <c r="J359" s="7">
        <f t="shared" si="26"/>
        <v>24.5935</v>
      </c>
      <c r="K359" s="10">
        <f t="shared" si="29"/>
        <v>68.9435</v>
      </c>
      <c r="L359" s="7">
        <f t="shared" si="28"/>
        <v>79</v>
      </c>
      <c r="M359" s="11"/>
      <c r="N359"/>
    </row>
    <row r="360" spans="1:14" ht="24.75" customHeight="1">
      <c r="A360" s="5">
        <v>358</v>
      </c>
      <c r="B360" s="5" t="s">
        <v>19</v>
      </c>
      <c r="C360" s="5" t="str">
        <f>"徐兴平"</f>
        <v>徐兴平</v>
      </c>
      <c r="D360" s="5" t="str">
        <f>"460003199809134616"</f>
        <v>460003199809134616</v>
      </c>
      <c r="E360" s="5" t="s">
        <v>15</v>
      </c>
      <c r="F360" s="5" t="str">
        <f>"073102030835"</f>
        <v>073102030835</v>
      </c>
      <c r="G360" s="7">
        <v>63.1</v>
      </c>
      <c r="H360" s="7">
        <f t="shared" si="25"/>
        <v>31.55</v>
      </c>
      <c r="I360" s="7">
        <v>74.748</v>
      </c>
      <c r="J360" s="7">
        <f t="shared" si="26"/>
        <v>37.374</v>
      </c>
      <c r="K360" s="10">
        <f t="shared" si="29"/>
        <v>68.924</v>
      </c>
      <c r="L360" s="7">
        <f t="shared" si="28"/>
        <v>80</v>
      </c>
      <c r="M360" s="11"/>
      <c r="N360"/>
    </row>
    <row r="361" spans="1:14" ht="24.75" customHeight="1">
      <c r="A361" s="5">
        <v>359</v>
      </c>
      <c r="B361" s="5" t="s">
        <v>19</v>
      </c>
      <c r="C361" s="5" t="str">
        <f>"符振扬"</f>
        <v>符振扬</v>
      </c>
      <c r="D361" s="5" t="str">
        <f>"460003199709015433"</f>
        <v>460003199709015433</v>
      </c>
      <c r="E361" s="5" t="s">
        <v>15</v>
      </c>
      <c r="F361" s="5" t="str">
        <f>"073102031037"</f>
        <v>073102031037</v>
      </c>
      <c r="G361" s="7">
        <v>60.9</v>
      </c>
      <c r="H361" s="7">
        <f t="shared" si="25"/>
        <v>30.45</v>
      </c>
      <c r="I361" s="7">
        <v>76.897</v>
      </c>
      <c r="J361" s="7">
        <f t="shared" si="26"/>
        <v>38.4485</v>
      </c>
      <c r="K361" s="10">
        <f t="shared" si="29"/>
        <v>68.8985</v>
      </c>
      <c r="L361" s="7">
        <f t="shared" si="28"/>
        <v>81</v>
      </c>
      <c r="M361" s="11"/>
      <c r="N361"/>
    </row>
    <row r="362" spans="1:14" ht="24.75" customHeight="1">
      <c r="A362" s="5">
        <v>360</v>
      </c>
      <c r="B362" s="5" t="s">
        <v>19</v>
      </c>
      <c r="C362" s="5" t="str">
        <f>"林文玲"</f>
        <v>林文玲</v>
      </c>
      <c r="D362" s="5" t="str">
        <f>"460003199510164423"</f>
        <v>460003199510164423</v>
      </c>
      <c r="E362" s="5" t="s">
        <v>15</v>
      </c>
      <c r="F362" s="5" t="str">
        <f>"073102030318"</f>
        <v>073102030318</v>
      </c>
      <c r="G362" s="7">
        <v>83.9</v>
      </c>
      <c r="H362" s="7">
        <f t="shared" si="25"/>
        <v>41.95</v>
      </c>
      <c r="I362" s="7">
        <v>53.794</v>
      </c>
      <c r="J362" s="7">
        <f t="shared" si="26"/>
        <v>26.897</v>
      </c>
      <c r="K362" s="10">
        <f t="shared" si="29"/>
        <v>68.84700000000001</v>
      </c>
      <c r="L362" s="7">
        <f t="shared" si="28"/>
        <v>82</v>
      </c>
      <c r="M362" s="11"/>
      <c r="N362"/>
    </row>
    <row r="363" spans="1:14" ht="24.75" customHeight="1">
      <c r="A363" s="5">
        <v>361</v>
      </c>
      <c r="B363" s="5" t="s">
        <v>19</v>
      </c>
      <c r="C363" s="5" t="str">
        <f>"叶造艳"</f>
        <v>叶造艳</v>
      </c>
      <c r="D363" s="5" t="str">
        <f>"460003199807014629"</f>
        <v>460003199807014629</v>
      </c>
      <c r="E363" s="5" t="s">
        <v>15</v>
      </c>
      <c r="F363" s="5" t="str">
        <f>"073102020607"</f>
        <v>073102020607</v>
      </c>
      <c r="G363" s="7">
        <v>89.2</v>
      </c>
      <c r="H363" s="7">
        <f t="shared" si="25"/>
        <v>44.6</v>
      </c>
      <c r="I363" s="7">
        <v>48.016</v>
      </c>
      <c r="J363" s="7">
        <f t="shared" si="26"/>
        <v>24.008</v>
      </c>
      <c r="K363" s="10">
        <f t="shared" si="29"/>
        <v>68.608</v>
      </c>
      <c r="L363" s="7">
        <f t="shared" si="28"/>
        <v>83</v>
      </c>
      <c r="M363" s="11"/>
      <c r="N363"/>
    </row>
    <row r="364" spans="1:14" ht="24.75" customHeight="1">
      <c r="A364" s="5">
        <v>362</v>
      </c>
      <c r="B364" s="5" t="s">
        <v>19</v>
      </c>
      <c r="C364" s="5" t="str">
        <f>"潘显丰"</f>
        <v>潘显丰</v>
      </c>
      <c r="D364" s="5" t="str">
        <f>"460003199408153015"</f>
        <v>460003199408153015</v>
      </c>
      <c r="E364" s="5" t="s">
        <v>15</v>
      </c>
      <c r="F364" s="5" t="str">
        <f>"073102030133"</f>
        <v>073102030133</v>
      </c>
      <c r="G364" s="7">
        <v>71.5</v>
      </c>
      <c r="H364" s="7">
        <f t="shared" si="25"/>
        <v>35.75</v>
      </c>
      <c r="I364" s="7">
        <v>65.01</v>
      </c>
      <c r="J364" s="7">
        <f t="shared" si="26"/>
        <v>32.505</v>
      </c>
      <c r="K364" s="10">
        <f t="shared" si="29"/>
        <v>68.255</v>
      </c>
      <c r="L364" s="7">
        <f t="shared" si="28"/>
        <v>84</v>
      </c>
      <c r="M364" s="11"/>
      <c r="N364"/>
    </row>
    <row r="365" spans="1:14" ht="24.75" customHeight="1">
      <c r="A365" s="5">
        <v>363</v>
      </c>
      <c r="B365" s="5" t="s">
        <v>19</v>
      </c>
      <c r="C365" s="5" t="str">
        <f>"叶周昊"</f>
        <v>叶周昊</v>
      </c>
      <c r="D365" s="5" t="str">
        <f>"460003199709200217"</f>
        <v>460003199709200217</v>
      </c>
      <c r="E365" s="5" t="s">
        <v>15</v>
      </c>
      <c r="F365" s="5" t="str">
        <f>"073102021205"</f>
        <v>073102021205</v>
      </c>
      <c r="G365" s="7">
        <v>58.5</v>
      </c>
      <c r="H365" s="7">
        <f t="shared" si="25"/>
        <v>29.25</v>
      </c>
      <c r="I365" s="7">
        <v>77.814</v>
      </c>
      <c r="J365" s="7">
        <f t="shared" si="26"/>
        <v>38.907</v>
      </c>
      <c r="K365" s="10">
        <f t="shared" si="29"/>
        <v>68.157</v>
      </c>
      <c r="L365" s="7">
        <f t="shared" si="28"/>
        <v>85</v>
      </c>
      <c r="M365" s="11"/>
      <c r="N365"/>
    </row>
    <row r="366" spans="1:14" ht="24.75" customHeight="1">
      <c r="A366" s="5">
        <v>364</v>
      </c>
      <c r="B366" s="5" t="s">
        <v>19</v>
      </c>
      <c r="C366" s="5" t="str">
        <f>"蔡辉艳"</f>
        <v>蔡辉艳</v>
      </c>
      <c r="D366" s="5" t="str">
        <f>"460003199611065424"</f>
        <v>460003199611065424</v>
      </c>
      <c r="E366" s="5" t="s">
        <v>15</v>
      </c>
      <c r="F366" s="5" t="str">
        <f>"073102030132"</f>
        <v>073102030132</v>
      </c>
      <c r="G366" s="7">
        <v>70</v>
      </c>
      <c r="H366" s="7">
        <f t="shared" si="25"/>
        <v>35</v>
      </c>
      <c r="I366" s="7">
        <v>66.152</v>
      </c>
      <c r="J366" s="7">
        <f t="shared" si="26"/>
        <v>33.076</v>
      </c>
      <c r="K366" s="10">
        <f t="shared" si="29"/>
        <v>68.076</v>
      </c>
      <c r="L366" s="7">
        <f t="shared" si="28"/>
        <v>86</v>
      </c>
      <c r="M366" s="11"/>
      <c r="N366"/>
    </row>
    <row r="367" spans="1:14" ht="24.75" customHeight="1">
      <c r="A367" s="5">
        <v>365</v>
      </c>
      <c r="B367" s="5" t="s">
        <v>19</v>
      </c>
      <c r="C367" s="5" t="str">
        <f>"叶丽娜"</f>
        <v>叶丽娜</v>
      </c>
      <c r="D367" s="5" t="str">
        <f>"460003199510270621"</f>
        <v>460003199510270621</v>
      </c>
      <c r="E367" s="5" t="s">
        <v>15</v>
      </c>
      <c r="F367" s="5" t="str">
        <f>"073102020202"</f>
        <v>073102020202</v>
      </c>
      <c r="G367" s="7">
        <v>76.3</v>
      </c>
      <c r="H367" s="7">
        <f t="shared" si="25"/>
        <v>38.15</v>
      </c>
      <c r="I367" s="7">
        <v>59.792</v>
      </c>
      <c r="J367" s="7">
        <f t="shared" si="26"/>
        <v>29.896</v>
      </c>
      <c r="K367" s="10">
        <f t="shared" si="29"/>
        <v>68.04599999999999</v>
      </c>
      <c r="L367" s="7">
        <f t="shared" si="28"/>
        <v>87</v>
      </c>
      <c r="M367" s="11"/>
      <c r="N367"/>
    </row>
    <row r="368" spans="1:14" ht="24.75" customHeight="1">
      <c r="A368" s="5">
        <v>366</v>
      </c>
      <c r="B368" s="5" t="s">
        <v>19</v>
      </c>
      <c r="C368" s="5" t="str">
        <f>"何欣姿"</f>
        <v>何欣姿</v>
      </c>
      <c r="D368" s="5" t="str">
        <f>"460102199703220929"</f>
        <v>460102199703220929</v>
      </c>
      <c r="E368" s="5" t="s">
        <v>15</v>
      </c>
      <c r="F368" s="5" t="str">
        <f>"073102020522"</f>
        <v>073102020522</v>
      </c>
      <c r="G368" s="7">
        <v>65.4</v>
      </c>
      <c r="H368" s="7">
        <f t="shared" si="25"/>
        <v>32.7</v>
      </c>
      <c r="I368" s="7">
        <v>70.657</v>
      </c>
      <c r="J368" s="7">
        <f t="shared" si="26"/>
        <v>35.3285</v>
      </c>
      <c r="K368" s="10">
        <f t="shared" si="29"/>
        <v>68.02850000000001</v>
      </c>
      <c r="L368" s="7">
        <f t="shared" si="28"/>
        <v>88</v>
      </c>
      <c r="M368" s="11"/>
      <c r="N368"/>
    </row>
    <row r="369" spans="1:14" ht="24.75" customHeight="1">
      <c r="A369" s="5">
        <v>367</v>
      </c>
      <c r="B369" s="5" t="s">
        <v>19</v>
      </c>
      <c r="C369" s="5" t="str">
        <f>"梁颖"</f>
        <v>梁颖</v>
      </c>
      <c r="D369" s="5" t="str">
        <f>"460027199612111024"</f>
        <v>460027199612111024</v>
      </c>
      <c r="E369" s="5" t="s">
        <v>15</v>
      </c>
      <c r="F369" s="5" t="str">
        <f>"073102021011"</f>
        <v>073102021011</v>
      </c>
      <c r="G369" s="7">
        <v>80.9</v>
      </c>
      <c r="H369" s="7">
        <f t="shared" si="25"/>
        <v>40.45</v>
      </c>
      <c r="I369" s="7">
        <v>55.107</v>
      </c>
      <c r="J369" s="7">
        <f t="shared" si="26"/>
        <v>27.5535</v>
      </c>
      <c r="K369" s="10">
        <f t="shared" si="29"/>
        <v>68.0035</v>
      </c>
      <c r="L369" s="7">
        <f t="shared" si="28"/>
        <v>89</v>
      </c>
      <c r="M369" s="11"/>
      <c r="N369"/>
    </row>
    <row r="370" spans="1:14" ht="24.75" customHeight="1">
      <c r="A370" s="5">
        <v>368</v>
      </c>
      <c r="B370" s="5" t="s">
        <v>19</v>
      </c>
      <c r="C370" s="5" t="str">
        <f>"潘新玉"</f>
        <v>潘新玉</v>
      </c>
      <c r="D370" s="5" t="str">
        <f>"460003199305014610"</f>
        <v>460003199305014610</v>
      </c>
      <c r="E370" s="5" t="s">
        <v>15</v>
      </c>
      <c r="F370" s="5" t="str">
        <f>"073102020329"</f>
        <v>073102020329</v>
      </c>
      <c r="G370" s="7">
        <v>72.8</v>
      </c>
      <c r="H370" s="7">
        <f t="shared" si="25"/>
        <v>36.4</v>
      </c>
      <c r="I370" s="7">
        <v>63.045</v>
      </c>
      <c r="J370" s="7">
        <f t="shared" si="26"/>
        <v>31.5225</v>
      </c>
      <c r="K370" s="10">
        <f t="shared" si="29"/>
        <v>67.9225</v>
      </c>
      <c r="L370" s="7">
        <f t="shared" si="28"/>
        <v>90</v>
      </c>
      <c r="M370" s="11"/>
      <c r="N370"/>
    </row>
    <row r="371" spans="1:14" ht="24.75" customHeight="1">
      <c r="A371" s="5">
        <v>369</v>
      </c>
      <c r="B371" s="5" t="s">
        <v>19</v>
      </c>
      <c r="C371" s="5" t="str">
        <f>"林书仕"</f>
        <v>林书仕</v>
      </c>
      <c r="D371" s="5" t="str">
        <f>"46000419960119005X"</f>
        <v>46000419960119005X</v>
      </c>
      <c r="E371" s="5" t="s">
        <v>15</v>
      </c>
      <c r="F371" s="5" t="str">
        <f>"073102030921"</f>
        <v>073102030921</v>
      </c>
      <c r="G371" s="7">
        <v>71.2</v>
      </c>
      <c r="H371" s="7">
        <f t="shared" si="25"/>
        <v>35.6</v>
      </c>
      <c r="I371" s="7">
        <v>64.473</v>
      </c>
      <c r="J371" s="7">
        <f t="shared" si="26"/>
        <v>32.2365</v>
      </c>
      <c r="K371" s="10">
        <f t="shared" si="29"/>
        <v>67.8365</v>
      </c>
      <c r="L371" s="7">
        <f t="shared" si="28"/>
        <v>91</v>
      </c>
      <c r="M371" s="11"/>
      <c r="N371"/>
    </row>
    <row r="372" spans="1:14" ht="24.75" customHeight="1">
      <c r="A372" s="5">
        <v>370</v>
      </c>
      <c r="B372" s="5" t="s">
        <v>19</v>
      </c>
      <c r="C372" s="5" t="str">
        <f>"钟秒"</f>
        <v>钟秒</v>
      </c>
      <c r="D372" s="5" t="str">
        <f>"460004199512104228"</f>
        <v>460004199512104228</v>
      </c>
      <c r="E372" s="5" t="s">
        <v>15</v>
      </c>
      <c r="F372" s="5" t="str">
        <f>"073102030330"</f>
        <v>073102030330</v>
      </c>
      <c r="G372" s="7">
        <v>85.7</v>
      </c>
      <c r="H372" s="7">
        <f t="shared" si="25"/>
        <v>42.85</v>
      </c>
      <c r="I372" s="7">
        <v>49.698</v>
      </c>
      <c r="J372" s="7">
        <f t="shared" si="26"/>
        <v>24.849</v>
      </c>
      <c r="K372" s="10">
        <f t="shared" si="29"/>
        <v>67.699</v>
      </c>
      <c r="L372" s="7">
        <f t="shared" si="28"/>
        <v>92</v>
      </c>
      <c r="M372" s="11"/>
      <c r="N372"/>
    </row>
    <row r="373" spans="1:14" ht="24.75" customHeight="1">
      <c r="A373" s="5">
        <v>371</v>
      </c>
      <c r="B373" s="5" t="s">
        <v>19</v>
      </c>
      <c r="C373" s="5" t="str">
        <f>"羊科俊"</f>
        <v>羊科俊</v>
      </c>
      <c r="D373" s="5" t="str">
        <f>"46000319970708251X"</f>
        <v>46000319970708251X</v>
      </c>
      <c r="E373" s="5" t="s">
        <v>15</v>
      </c>
      <c r="F373" s="5" t="str">
        <f>"073102020429"</f>
        <v>073102020429</v>
      </c>
      <c r="G373" s="7">
        <v>61.2</v>
      </c>
      <c r="H373" s="7">
        <f t="shared" si="25"/>
        <v>30.6</v>
      </c>
      <c r="I373" s="7">
        <v>74.04</v>
      </c>
      <c r="J373" s="7">
        <f t="shared" si="26"/>
        <v>37.02</v>
      </c>
      <c r="K373" s="10">
        <f t="shared" si="29"/>
        <v>67.62</v>
      </c>
      <c r="L373" s="7">
        <f t="shared" si="28"/>
        <v>93</v>
      </c>
      <c r="M373" s="11"/>
      <c r="N373"/>
    </row>
    <row r="374" spans="1:14" ht="24.75" customHeight="1">
      <c r="A374" s="5">
        <v>372</v>
      </c>
      <c r="B374" s="5" t="s">
        <v>19</v>
      </c>
      <c r="C374" s="5" t="str">
        <f>"李琼花"</f>
        <v>李琼花</v>
      </c>
      <c r="D374" s="5" t="str">
        <f>"460003199710082246"</f>
        <v>460003199710082246</v>
      </c>
      <c r="E374" s="5" t="s">
        <v>15</v>
      </c>
      <c r="F374" s="5" t="str">
        <f>"073102031213"</f>
        <v>073102031213</v>
      </c>
      <c r="G374" s="7">
        <v>64.4</v>
      </c>
      <c r="H374" s="7">
        <f t="shared" si="25"/>
        <v>32.2</v>
      </c>
      <c r="I374" s="7">
        <v>70.584</v>
      </c>
      <c r="J374" s="7">
        <f t="shared" si="26"/>
        <v>35.292</v>
      </c>
      <c r="K374" s="10">
        <f t="shared" si="29"/>
        <v>67.492</v>
      </c>
      <c r="L374" s="7">
        <f t="shared" si="28"/>
        <v>94</v>
      </c>
      <c r="M374" s="11"/>
      <c r="N374"/>
    </row>
    <row r="375" spans="1:14" ht="24.75" customHeight="1">
      <c r="A375" s="5">
        <v>373</v>
      </c>
      <c r="B375" s="5" t="s">
        <v>19</v>
      </c>
      <c r="C375" s="5" t="str">
        <f>"许心慧"</f>
        <v>许心慧</v>
      </c>
      <c r="D375" s="5" t="str">
        <f>"460006199602252921"</f>
        <v>460006199602252921</v>
      </c>
      <c r="E375" s="5" t="s">
        <v>15</v>
      </c>
      <c r="F375" s="5" t="str">
        <f>"073102030130"</f>
        <v>073102030130</v>
      </c>
      <c r="G375" s="7">
        <v>67.9</v>
      </c>
      <c r="H375" s="7">
        <f t="shared" si="25"/>
        <v>33.95</v>
      </c>
      <c r="I375" s="7">
        <v>67.025</v>
      </c>
      <c r="J375" s="7">
        <f t="shared" si="26"/>
        <v>33.5125</v>
      </c>
      <c r="K375" s="10">
        <f t="shared" si="29"/>
        <v>67.4625</v>
      </c>
      <c r="L375" s="7">
        <f t="shared" si="28"/>
        <v>95</v>
      </c>
      <c r="M375" s="11"/>
      <c r="N375"/>
    </row>
    <row r="376" spans="1:14" ht="24.75" customHeight="1">
      <c r="A376" s="5">
        <v>374</v>
      </c>
      <c r="B376" s="5" t="s">
        <v>19</v>
      </c>
      <c r="C376" s="5" t="str">
        <f>"何鸾美"</f>
        <v>何鸾美</v>
      </c>
      <c r="D376" s="5" t="str">
        <f>"460003199304192829"</f>
        <v>460003199304192829</v>
      </c>
      <c r="E376" s="5" t="s">
        <v>15</v>
      </c>
      <c r="F376" s="5" t="str">
        <f>"073102020315"</f>
        <v>073102020315</v>
      </c>
      <c r="G376" s="7">
        <v>76.2</v>
      </c>
      <c r="H376" s="7">
        <f t="shared" si="25"/>
        <v>38.1</v>
      </c>
      <c r="I376" s="7">
        <v>58.686</v>
      </c>
      <c r="J376" s="7">
        <f t="shared" si="26"/>
        <v>29.343</v>
      </c>
      <c r="K376" s="10">
        <f t="shared" si="29"/>
        <v>67.443</v>
      </c>
      <c r="L376" s="7">
        <f t="shared" si="28"/>
        <v>96</v>
      </c>
      <c r="M376" s="11"/>
      <c r="N376"/>
    </row>
    <row r="377" spans="1:14" ht="24.75" customHeight="1">
      <c r="A377" s="5">
        <v>375</v>
      </c>
      <c r="B377" s="5" t="s">
        <v>19</v>
      </c>
      <c r="C377" s="5" t="str">
        <f>"林鸿娟"</f>
        <v>林鸿娟</v>
      </c>
      <c r="D377" s="5" t="str">
        <f>"460003199901020224"</f>
        <v>460003199901020224</v>
      </c>
      <c r="E377" s="5" t="s">
        <v>15</v>
      </c>
      <c r="F377" s="5" t="str">
        <f>"073102020643"</f>
        <v>073102020643</v>
      </c>
      <c r="G377" s="7">
        <v>73.8</v>
      </c>
      <c r="H377" s="7">
        <f t="shared" si="25"/>
        <v>36.9</v>
      </c>
      <c r="I377" s="7">
        <v>60.898</v>
      </c>
      <c r="J377" s="7">
        <f t="shared" si="26"/>
        <v>30.449</v>
      </c>
      <c r="K377" s="10">
        <f t="shared" si="29"/>
        <v>67.349</v>
      </c>
      <c r="L377" s="7">
        <f t="shared" si="28"/>
        <v>97</v>
      </c>
      <c r="M377" s="11"/>
      <c r="N377"/>
    </row>
    <row r="378" spans="1:14" ht="24.75" customHeight="1">
      <c r="A378" s="5">
        <v>376</v>
      </c>
      <c r="B378" s="5" t="s">
        <v>19</v>
      </c>
      <c r="C378" s="5" t="str">
        <f>"吴俊龙"</f>
        <v>吴俊龙</v>
      </c>
      <c r="D378" s="5" t="str">
        <f>"460103199008251818"</f>
        <v>460103199008251818</v>
      </c>
      <c r="E378" s="5" t="s">
        <v>15</v>
      </c>
      <c r="F378" s="5" t="str">
        <f>"073102030305"</f>
        <v>073102030305</v>
      </c>
      <c r="G378" s="7">
        <v>57.3</v>
      </c>
      <c r="H378" s="7">
        <f t="shared" si="25"/>
        <v>28.65</v>
      </c>
      <c r="I378" s="7">
        <v>77.166</v>
      </c>
      <c r="J378" s="7">
        <f t="shared" si="26"/>
        <v>38.583</v>
      </c>
      <c r="K378" s="10">
        <f t="shared" si="29"/>
        <v>67.233</v>
      </c>
      <c r="L378" s="7">
        <f t="shared" si="28"/>
        <v>98</v>
      </c>
      <c r="M378" s="11"/>
      <c r="N378"/>
    </row>
    <row r="379" spans="1:14" ht="24.75" customHeight="1">
      <c r="A379" s="5">
        <v>377</v>
      </c>
      <c r="B379" s="5" t="s">
        <v>19</v>
      </c>
      <c r="C379" s="5" t="str">
        <f>"陈奕颖"</f>
        <v>陈奕颖</v>
      </c>
      <c r="D379" s="5" t="str">
        <f>"460103199906261524"</f>
        <v>460103199906261524</v>
      </c>
      <c r="E379" s="5" t="s">
        <v>15</v>
      </c>
      <c r="F379" s="5" t="str">
        <f>"073102020331"</f>
        <v>073102020331</v>
      </c>
      <c r="G379" s="7">
        <v>78.9</v>
      </c>
      <c r="H379" s="7">
        <f t="shared" si="25"/>
        <v>39.45</v>
      </c>
      <c r="I379" s="7">
        <v>55.498</v>
      </c>
      <c r="J379" s="7">
        <f t="shared" si="26"/>
        <v>27.749</v>
      </c>
      <c r="K379" s="10">
        <f t="shared" si="29"/>
        <v>67.199</v>
      </c>
      <c r="L379" s="7">
        <f t="shared" si="28"/>
        <v>99</v>
      </c>
      <c r="M379" s="11"/>
      <c r="N379"/>
    </row>
    <row r="380" spans="1:14" ht="24.75" customHeight="1">
      <c r="A380" s="5">
        <v>378</v>
      </c>
      <c r="B380" s="5" t="s">
        <v>19</v>
      </c>
      <c r="C380" s="5" t="str">
        <f>"黄妍妍"</f>
        <v>黄妍妍</v>
      </c>
      <c r="D380" s="5" t="str">
        <f>"460001199607050526"</f>
        <v>460001199607050526</v>
      </c>
      <c r="E380" s="5" t="s">
        <v>15</v>
      </c>
      <c r="F380" s="5" t="str">
        <f>"073102031042"</f>
        <v>073102031042</v>
      </c>
      <c r="G380" s="7">
        <v>60.7</v>
      </c>
      <c r="H380" s="7">
        <f t="shared" si="25"/>
        <v>30.35</v>
      </c>
      <c r="I380" s="7">
        <v>73.472</v>
      </c>
      <c r="J380" s="7">
        <f t="shared" si="26"/>
        <v>36.736</v>
      </c>
      <c r="K380" s="10">
        <f t="shared" si="29"/>
        <v>67.086</v>
      </c>
      <c r="L380" s="7">
        <f t="shared" si="28"/>
        <v>100</v>
      </c>
      <c r="M380" s="11"/>
      <c r="N380"/>
    </row>
    <row r="381" spans="1:14" ht="24.75" customHeight="1">
      <c r="A381" s="5">
        <v>379</v>
      </c>
      <c r="B381" s="5" t="s">
        <v>19</v>
      </c>
      <c r="C381" s="5" t="str">
        <f>"张振栋"</f>
        <v>张振栋</v>
      </c>
      <c r="D381" s="5" t="str">
        <f>"460003199504060038"</f>
        <v>460003199504060038</v>
      </c>
      <c r="E381" s="5" t="s">
        <v>15</v>
      </c>
      <c r="F381" s="5" t="str">
        <f>"073102021220"</f>
        <v>073102021220</v>
      </c>
      <c r="G381" s="7">
        <v>57.4</v>
      </c>
      <c r="H381" s="7">
        <f t="shared" si="25"/>
        <v>28.7</v>
      </c>
      <c r="I381" s="7">
        <v>76.708</v>
      </c>
      <c r="J381" s="7">
        <f t="shared" si="26"/>
        <v>38.354</v>
      </c>
      <c r="K381" s="10">
        <f t="shared" si="29"/>
        <v>67.054</v>
      </c>
      <c r="L381" s="7">
        <f t="shared" si="28"/>
        <v>101</v>
      </c>
      <c r="M381" s="11"/>
      <c r="N381"/>
    </row>
    <row r="382" spans="1:14" ht="24.75" customHeight="1">
      <c r="A382" s="5">
        <v>380</v>
      </c>
      <c r="B382" s="5" t="s">
        <v>19</v>
      </c>
      <c r="C382" s="5" t="str">
        <f>"郑淑琴"</f>
        <v>郑淑琴</v>
      </c>
      <c r="D382" s="5" t="str">
        <f>"460003199908064465"</f>
        <v>460003199908064465</v>
      </c>
      <c r="E382" s="5" t="s">
        <v>15</v>
      </c>
      <c r="F382" s="5" t="str">
        <f>"073102030619"</f>
        <v>073102030619</v>
      </c>
      <c r="G382" s="7">
        <v>72.4</v>
      </c>
      <c r="H382" s="7">
        <f t="shared" si="25"/>
        <v>36.2</v>
      </c>
      <c r="I382" s="7">
        <v>61.249</v>
      </c>
      <c r="J382" s="7">
        <f t="shared" si="26"/>
        <v>30.6245</v>
      </c>
      <c r="K382" s="10">
        <f t="shared" si="29"/>
        <v>66.8245</v>
      </c>
      <c r="L382" s="7">
        <f t="shared" si="28"/>
        <v>102</v>
      </c>
      <c r="M382" s="11"/>
      <c r="N382"/>
    </row>
    <row r="383" spans="1:14" ht="24.75" customHeight="1">
      <c r="A383" s="5">
        <v>381</v>
      </c>
      <c r="B383" s="5" t="s">
        <v>19</v>
      </c>
      <c r="C383" s="5" t="str">
        <f>"陈开恒"</f>
        <v>陈开恒</v>
      </c>
      <c r="D383" s="5" t="str">
        <f>"460003199202062417"</f>
        <v>460003199202062417</v>
      </c>
      <c r="E383" s="5" t="s">
        <v>15</v>
      </c>
      <c r="F383" s="5" t="str">
        <f>"073102020137"</f>
        <v>073102020137</v>
      </c>
      <c r="G383" s="7">
        <v>68.7</v>
      </c>
      <c r="H383" s="7">
        <f t="shared" si="25"/>
        <v>34.35</v>
      </c>
      <c r="I383" s="7">
        <v>64.867</v>
      </c>
      <c r="J383" s="7">
        <f t="shared" si="26"/>
        <v>32.4335</v>
      </c>
      <c r="K383" s="10">
        <f t="shared" si="29"/>
        <v>66.7835</v>
      </c>
      <c r="L383" s="7">
        <f t="shared" si="28"/>
        <v>103</v>
      </c>
      <c r="M383" s="11"/>
      <c r="N383"/>
    </row>
    <row r="384" spans="1:14" ht="24.75" customHeight="1">
      <c r="A384" s="5">
        <v>382</v>
      </c>
      <c r="B384" s="5" t="s">
        <v>19</v>
      </c>
      <c r="C384" s="5" t="str">
        <f>"吴菲"</f>
        <v>吴菲</v>
      </c>
      <c r="D384" s="5" t="str">
        <f>"460003199301105822"</f>
        <v>460003199301105822</v>
      </c>
      <c r="E384" s="5" t="s">
        <v>15</v>
      </c>
      <c r="F384" s="5" t="str">
        <f>"073102020715"</f>
        <v>073102020715</v>
      </c>
      <c r="G384" s="7">
        <v>76.4</v>
      </c>
      <c r="H384" s="7">
        <f t="shared" si="25"/>
        <v>38.2</v>
      </c>
      <c r="I384" s="7">
        <v>56.994</v>
      </c>
      <c r="J384" s="7">
        <f t="shared" si="26"/>
        <v>28.497</v>
      </c>
      <c r="K384" s="10">
        <f t="shared" si="29"/>
        <v>66.697</v>
      </c>
      <c r="L384" s="7">
        <f t="shared" si="28"/>
        <v>104</v>
      </c>
      <c r="M384" s="11"/>
      <c r="N384"/>
    </row>
    <row r="385" spans="1:14" ht="24.75" customHeight="1">
      <c r="A385" s="5">
        <v>383</v>
      </c>
      <c r="B385" s="5" t="s">
        <v>19</v>
      </c>
      <c r="C385" s="5" t="str">
        <f>"林秋翰"</f>
        <v>林秋翰</v>
      </c>
      <c r="D385" s="5" t="str">
        <f>"460103199805181816"</f>
        <v>460103199805181816</v>
      </c>
      <c r="E385" s="5" t="s">
        <v>15</v>
      </c>
      <c r="F385" s="5" t="str">
        <f>"073102021219"</f>
        <v>073102021219</v>
      </c>
      <c r="G385" s="7">
        <v>53.2</v>
      </c>
      <c r="H385" s="7">
        <f t="shared" si="25"/>
        <v>26.6</v>
      </c>
      <c r="I385" s="7">
        <v>80.091</v>
      </c>
      <c r="J385" s="7">
        <f t="shared" si="26"/>
        <v>40.0455</v>
      </c>
      <c r="K385" s="10">
        <f t="shared" si="29"/>
        <v>66.6455</v>
      </c>
      <c r="L385" s="7">
        <f t="shared" si="28"/>
        <v>105</v>
      </c>
      <c r="M385" s="11"/>
      <c r="N385"/>
    </row>
    <row r="386" spans="1:14" ht="24.75" customHeight="1">
      <c r="A386" s="5">
        <v>384</v>
      </c>
      <c r="B386" s="5" t="s">
        <v>19</v>
      </c>
      <c r="C386" s="5" t="str">
        <f>"宁慧婕"</f>
        <v>宁慧婕</v>
      </c>
      <c r="D386" s="5" t="str">
        <f>"460032199412280828"</f>
        <v>460032199412280828</v>
      </c>
      <c r="E386" s="5" t="s">
        <v>15</v>
      </c>
      <c r="F386" s="5" t="str">
        <f>"073102030439"</f>
        <v>073102030439</v>
      </c>
      <c r="G386" s="7">
        <v>57.4</v>
      </c>
      <c r="H386" s="7">
        <f t="shared" si="25"/>
        <v>28.7</v>
      </c>
      <c r="I386" s="7">
        <v>75.621</v>
      </c>
      <c r="J386" s="7">
        <f t="shared" si="26"/>
        <v>37.8105</v>
      </c>
      <c r="K386" s="10">
        <f t="shared" si="29"/>
        <v>66.5105</v>
      </c>
      <c r="L386" s="7">
        <f t="shared" si="28"/>
        <v>106</v>
      </c>
      <c r="M386" s="11"/>
      <c r="N386"/>
    </row>
    <row r="387" spans="1:14" ht="24.75" customHeight="1">
      <c r="A387" s="5">
        <v>385</v>
      </c>
      <c r="B387" s="5" t="s">
        <v>19</v>
      </c>
      <c r="C387" s="5" t="str">
        <f>"朱春风"</f>
        <v>朱春风</v>
      </c>
      <c r="D387" s="5" t="str">
        <f>"460003199807192847"</f>
        <v>460003199807192847</v>
      </c>
      <c r="E387" s="5" t="s">
        <v>15</v>
      </c>
      <c r="F387" s="5" t="str">
        <f>"073102021237"</f>
        <v>073102021237</v>
      </c>
      <c r="G387" s="7">
        <v>70.9</v>
      </c>
      <c r="H387" s="7">
        <f aca="true" t="shared" si="30" ref="H387:H450">G387*0.5</f>
        <v>35.45</v>
      </c>
      <c r="I387" s="7">
        <v>62.004</v>
      </c>
      <c r="J387" s="7">
        <f aca="true" t="shared" si="31" ref="J387:J450">I387*0.5</f>
        <v>31.002</v>
      </c>
      <c r="K387" s="10">
        <f t="shared" si="29"/>
        <v>66.452</v>
      </c>
      <c r="L387" s="7">
        <f t="shared" si="28"/>
        <v>107</v>
      </c>
      <c r="M387" s="11"/>
      <c r="N387"/>
    </row>
    <row r="388" spans="1:14" ht="24.75" customHeight="1">
      <c r="A388" s="5">
        <v>386</v>
      </c>
      <c r="B388" s="5" t="s">
        <v>19</v>
      </c>
      <c r="C388" s="5" t="str">
        <f>"董江义"</f>
        <v>董江义</v>
      </c>
      <c r="D388" s="5" t="str">
        <f>"460003200012162615"</f>
        <v>460003200012162615</v>
      </c>
      <c r="E388" s="5" t="s">
        <v>15</v>
      </c>
      <c r="F388" s="5" t="str">
        <f>"073102030335"</f>
        <v>073102030335</v>
      </c>
      <c r="G388" s="7">
        <v>78.8</v>
      </c>
      <c r="H388" s="7">
        <f t="shared" si="30"/>
        <v>39.4</v>
      </c>
      <c r="I388" s="7">
        <v>54.063</v>
      </c>
      <c r="J388" s="7">
        <f t="shared" si="31"/>
        <v>27.0315</v>
      </c>
      <c r="K388" s="10">
        <f t="shared" si="29"/>
        <v>66.4315</v>
      </c>
      <c r="L388" s="7">
        <f t="shared" si="28"/>
        <v>108</v>
      </c>
      <c r="M388" s="11"/>
      <c r="N388"/>
    </row>
    <row r="389" spans="1:14" ht="24.75" customHeight="1">
      <c r="A389" s="5">
        <v>387</v>
      </c>
      <c r="B389" s="5" t="s">
        <v>19</v>
      </c>
      <c r="C389" s="5" t="str">
        <f>"竺秋明"</f>
        <v>竺秋明</v>
      </c>
      <c r="D389" s="5" t="str">
        <f>"460004199607151625"</f>
        <v>460004199607151625</v>
      </c>
      <c r="E389" s="5" t="s">
        <v>15</v>
      </c>
      <c r="F389" s="5" t="str">
        <f>"073102031122"</f>
        <v>073102031122</v>
      </c>
      <c r="G389" s="7">
        <v>77.9</v>
      </c>
      <c r="H389" s="7">
        <f t="shared" si="30"/>
        <v>38.95</v>
      </c>
      <c r="I389" s="7">
        <v>54.735</v>
      </c>
      <c r="J389" s="7">
        <f t="shared" si="31"/>
        <v>27.3675</v>
      </c>
      <c r="K389" s="10">
        <f t="shared" si="29"/>
        <v>66.3175</v>
      </c>
      <c r="L389" s="7">
        <f t="shared" si="28"/>
        <v>109</v>
      </c>
      <c r="M389" s="11"/>
      <c r="N389"/>
    </row>
    <row r="390" spans="1:14" ht="24.75" customHeight="1">
      <c r="A390" s="5">
        <v>388</v>
      </c>
      <c r="B390" s="5" t="s">
        <v>19</v>
      </c>
      <c r="C390" s="5" t="str">
        <f>"李丽庆"</f>
        <v>李丽庆</v>
      </c>
      <c r="D390" s="5" t="str">
        <f>"460003199206206828"</f>
        <v>460003199206206828</v>
      </c>
      <c r="E390" s="5" t="s">
        <v>15</v>
      </c>
      <c r="F390" s="5" t="str">
        <f>"073102020813"</f>
        <v>073102020813</v>
      </c>
      <c r="G390" s="7">
        <v>70.7</v>
      </c>
      <c r="H390" s="7">
        <f t="shared" si="30"/>
        <v>35.35</v>
      </c>
      <c r="I390" s="7">
        <v>61.874</v>
      </c>
      <c r="J390" s="7">
        <f t="shared" si="31"/>
        <v>30.937</v>
      </c>
      <c r="K390" s="10">
        <f t="shared" si="29"/>
        <v>66.287</v>
      </c>
      <c r="L390" s="7">
        <f t="shared" si="28"/>
        <v>110</v>
      </c>
      <c r="M390" s="11"/>
      <c r="N390"/>
    </row>
    <row r="391" spans="1:14" ht="24.75" customHeight="1">
      <c r="A391" s="5">
        <v>389</v>
      </c>
      <c r="B391" s="5" t="s">
        <v>19</v>
      </c>
      <c r="C391" s="5" t="str">
        <f>"高春媚"</f>
        <v>高春媚</v>
      </c>
      <c r="D391" s="5" t="str">
        <f>"469003200006213525"</f>
        <v>469003200006213525</v>
      </c>
      <c r="E391" s="5" t="s">
        <v>15</v>
      </c>
      <c r="F391" s="5" t="str">
        <f>"073102020640"</f>
        <v>073102020640</v>
      </c>
      <c r="G391" s="7">
        <v>74.5</v>
      </c>
      <c r="H391" s="7">
        <f t="shared" si="30"/>
        <v>37.25</v>
      </c>
      <c r="I391" s="7">
        <v>57.45</v>
      </c>
      <c r="J391" s="7">
        <f t="shared" si="31"/>
        <v>28.725</v>
      </c>
      <c r="K391" s="10">
        <f t="shared" si="29"/>
        <v>65.975</v>
      </c>
      <c r="L391" s="7">
        <f t="shared" si="28"/>
        <v>111</v>
      </c>
      <c r="M391" s="11"/>
      <c r="N391"/>
    </row>
    <row r="392" spans="1:14" ht="24.75" customHeight="1">
      <c r="A392" s="5">
        <v>390</v>
      </c>
      <c r="B392" s="5" t="s">
        <v>19</v>
      </c>
      <c r="C392" s="5" t="str">
        <f>"刘颖"</f>
        <v>刘颖</v>
      </c>
      <c r="D392" s="5" t="str">
        <f>"460003199501194022"</f>
        <v>460003199501194022</v>
      </c>
      <c r="E392" s="5" t="s">
        <v>15</v>
      </c>
      <c r="F392" s="5" t="str">
        <f>"073102030413"</f>
        <v>073102030413</v>
      </c>
      <c r="G392" s="7">
        <v>76</v>
      </c>
      <c r="H392" s="7">
        <f t="shared" si="30"/>
        <v>38</v>
      </c>
      <c r="I392" s="7">
        <v>55.944</v>
      </c>
      <c r="J392" s="7">
        <f t="shared" si="31"/>
        <v>27.972</v>
      </c>
      <c r="K392" s="10">
        <f t="shared" si="29"/>
        <v>65.97200000000001</v>
      </c>
      <c r="L392" s="7">
        <f t="shared" si="28"/>
        <v>112</v>
      </c>
      <c r="M392" s="11"/>
      <c r="N392"/>
    </row>
    <row r="393" spans="1:14" ht="24.75" customHeight="1">
      <c r="A393" s="5">
        <v>391</v>
      </c>
      <c r="B393" s="5" t="s">
        <v>19</v>
      </c>
      <c r="C393" s="5" t="str">
        <f>"王莹莹"</f>
        <v>王莹莹</v>
      </c>
      <c r="D393" s="5" t="str">
        <f>"460003199701211624"</f>
        <v>460003199701211624</v>
      </c>
      <c r="E393" s="5" t="s">
        <v>15</v>
      </c>
      <c r="F393" s="5" t="str">
        <f>"073102020307"</f>
        <v>073102020307</v>
      </c>
      <c r="G393" s="7">
        <v>81.8</v>
      </c>
      <c r="H393" s="7">
        <f t="shared" si="30"/>
        <v>40.9</v>
      </c>
      <c r="I393" s="7">
        <v>50.098</v>
      </c>
      <c r="J393" s="7">
        <f t="shared" si="31"/>
        <v>25.049</v>
      </c>
      <c r="K393" s="10">
        <f t="shared" si="29"/>
        <v>65.949</v>
      </c>
      <c r="L393" s="7">
        <f t="shared" si="28"/>
        <v>113</v>
      </c>
      <c r="M393" s="11"/>
      <c r="N393"/>
    </row>
    <row r="394" spans="1:14" ht="24.75" customHeight="1">
      <c r="A394" s="5">
        <v>392</v>
      </c>
      <c r="B394" s="5" t="s">
        <v>19</v>
      </c>
      <c r="C394" s="5" t="str">
        <f>"陈新海"</f>
        <v>陈新海</v>
      </c>
      <c r="D394" s="5" t="str">
        <f>"460003199908050813"</f>
        <v>460003199908050813</v>
      </c>
      <c r="E394" s="5" t="s">
        <v>15</v>
      </c>
      <c r="F394" s="5" t="str">
        <f>"073102021236"</f>
        <v>073102021236</v>
      </c>
      <c r="G394" s="7">
        <v>61.2</v>
      </c>
      <c r="H394" s="7">
        <f t="shared" si="30"/>
        <v>30.6</v>
      </c>
      <c r="I394" s="7">
        <v>70.657</v>
      </c>
      <c r="J394" s="7">
        <f t="shared" si="31"/>
        <v>35.3285</v>
      </c>
      <c r="K394" s="10">
        <f t="shared" si="29"/>
        <v>65.9285</v>
      </c>
      <c r="L394" s="7">
        <f t="shared" si="28"/>
        <v>114</v>
      </c>
      <c r="M394" s="11"/>
      <c r="N394"/>
    </row>
    <row r="395" spans="1:14" ht="24.75" customHeight="1">
      <c r="A395" s="5">
        <v>393</v>
      </c>
      <c r="B395" s="5" t="s">
        <v>19</v>
      </c>
      <c r="C395" s="5" t="str">
        <f>"曾紫璇"</f>
        <v>曾紫璇</v>
      </c>
      <c r="D395" s="5" t="str">
        <f>"460031199901090025"</f>
        <v>460031199901090025</v>
      </c>
      <c r="E395" s="5" t="s">
        <v>15</v>
      </c>
      <c r="F395" s="5" t="str">
        <f>"073102020341"</f>
        <v>073102020341</v>
      </c>
      <c r="G395" s="7">
        <v>70</v>
      </c>
      <c r="H395" s="7">
        <f t="shared" si="30"/>
        <v>35</v>
      </c>
      <c r="I395" s="7">
        <v>61.614</v>
      </c>
      <c r="J395" s="7">
        <f t="shared" si="31"/>
        <v>30.807</v>
      </c>
      <c r="K395" s="10">
        <f t="shared" si="29"/>
        <v>65.807</v>
      </c>
      <c r="L395" s="7">
        <f t="shared" si="28"/>
        <v>115</v>
      </c>
      <c r="M395" s="11"/>
      <c r="N395"/>
    </row>
    <row r="396" spans="1:14" ht="24.75" customHeight="1">
      <c r="A396" s="5">
        <v>394</v>
      </c>
      <c r="B396" s="5" t="s">
        <v>19</v>
      </c>
      <c r="C396" s="5" t="str">
        <f>"王宙"</f>
        <v>王宙</v>
      </c>
      <c r="D396" s="5" t="str">
        <f>"460028199609040057"</f>
        <v>460028199609040057</v>
      </c>
      <c r="E396" s="5" t="s">
        <v>15</v>
      </c>
      <c r="F396" s="5" t="str">
        <f>"073102030506"</f>
        <v>073102030506</v>
      </c>
      <c r="G396" s="7">
        <v>62.1</v>
      </c>
      <c r="H396" s="7">
        <f t="shared" si="30"/>
        <v>31.05</v>
      </c>
      <c r="I396" s="7">
        <v>69.443</v>
      </c>
      <c r="J396" s="7">
        <f t="shared" si="31"/>
        <v>34.7215</v>
      </c>
      <c r="K396" s="10">
        <f t="shared" si="29"/>
        <v>65.7715</v>
      </c>
      <c r="L396" s="7">
        <f t="shared" si="28"/>
        <v>116</v>
      </c>
      <c r="M396" s="11"/>
      <c r="N396"/>
    </row>
    <row r="397" spans="1:14" ht="24.75" customHeight="1">
      <c r="A397" s="5">
        <v>395</v>
      </c>
      <c r="B397" s="5" t="s">
        <v>19</v>
      </c>
      <c r="C397" s="5" t="str">
        <f>"陈可龙"</f>
        <v>陈可龙</v>
      </c>
      <c r="D397" s="5" t="str">
        <f>"460003199606163214"</f>
        <v>460003199606163214</v>
      </c>
      <c r="E397" s="5" t="s">
        <v>15</v>
      </c>
      <c r="F397" s="5" t="str">
        <f>"073102020516"</f>
        <v>073102020516</v>
      </c>
      <c r="G397" s="7">
        <v>67.9</v>
      </c>
      <c r="H397" s="7">
        <f t="shared" si="30"/>
        <v>33.95</v>
      </c>
      <c r="I397" s="7">
        <v>63.565</v>
      </c>
      <c r="J397" s="7">
        <f t="shared" si="31"/>
        <v>31.7825</v>
      </c>
      <c r="K397" s="10">
        <f t="shared" si="29"/>
        <v>65.7325</v>
      </c>
      <c r="L397" s="7">
        <f t="shared" si="28"/>
        <v>117</v>
      </c>
      <c r="M397" s="11"/>
      <c r="N397"/>
    </row>
    <row r="398" spans="1:14" ht="24.75" customHeight="1">
      <c r="A398" s="5">
        <v>396</v>
      </c>
      <c r="B398" s="5" t="s">
        <v>19</v>
      </c>
      <c r="C398" s="5" t="str">
        <f>"高飞"</f>
        <v>高飞</v>
      </c>
      <c r="D398" s="5" t="str">
        <f>"46003619981116001X"</f>
        <v>46003619981116001X</v>
      </c>
      <c r="E398" s="5" t="s">
        <v>15</v>
      </c>
      <c r="F398" s="5" t="str">
        <f>"073102021224"</f>
        <v>073102021224</v>
      </c>
      <c r="G398" s="7">
        <v>84.9</v>
      </c>
      <c r="H398" s="7">
        <f t="shared" si="30"/>
        <v>42.45</v>
      </c>
      <c r="I398" s="7">
        <v>46.519</v>
      </c>
      <c r="J398" s="7">
        <f t="shared" si="31"/>
        <v>23.2595</v>
      </c>
      <c r="K398" s="10">
        <f t="shared" si="29"/>
        <v>65.7095</v>
      </c>
      <c r="L398" s="7">
        <f t="shared" si="28"/>
        <v>118</v>
      </c>
      <c r="M398" s="11"/>
      <c r="N398"/>
    </row>
    <row r="399" spans="1:14" ht="24.75" customHeight="1">
      <c r="A399" s="5">
        <v>397</v>
      </c>
      <c r="B399" s="5" t="s">
        <v>19</v>
      </c>
      <c r="C399" s="5" t="str">
        <f>"周玉莹"</f>
        <v>周玉莹</v>
      </c>
      <c r="D399" s="5" t="str">
        <f>"460002200002274123"</f>
        <v>460002200002274123</v>
      </c>
      <c r="E399" s="5" t="s">
        <v>15</v>
      </c>
      <c r="F399" s="5" t="str">
        <f>"073102030101"</f>
        <v>073102030101</v>
      </c>
      <c r="G399" s="7">
        <v>63.2</v>
      </c>
      <c r="H399" s="7">
        <f t="shared" si="30"/>
        <v>31.6</v>
      </c>
      <c r="I399" s="7">
        <v>68.167</v>
      </c>
      <c r="J399" s="7">
        <f t="shared" si="31"/>
        <v>34.0835</v>
      </c>
      <c r="K399" s="10">
        <f t="shared" si="29"/>
        <v>65.68350000000001</v>
      </c>
      <c r="L399" s="7">
        <f t="shared" si="28"/>
        <v>119</v>
      </c>
      <c r="M399" s="11"/>
      <c r="N399"/>
    </row>
    <row r="400" spans="1:14" ht="24.75" customHeight="1">
      <c r="A400" s="5">
        <v>398</v>
      </c>
      <c r="B400" s="5" t="s">
        <v>19</v>
      </c>
      <c r="C400" s="5" t="str">
        <f>"马雅凤"</f>
        <v>马雅凤</v>
      </c>
      <c r="D400" s="5" t="str">
        <f>"460007199803124121"</f>
        <v>460007199803124121</v>
      </c>
      <c r="E400" s="5" t="s">
        <v>15</v>
      </c>
      <c r="F400" s="5" t="str">
        <f>"073102020129"</f>
        <v>073102020129</v>
      </c>
      <c r="G400" s="7">
        <v>76.3</v>
      </c>
      <c r="H400" s="7">
        <f t="shared" si="30"/>
        <v>38.15</v>
      </c>
      <c r="I400" s="7">
        <v>54.912</v>
      </c>
      <c r="J400" s="7">
        <f t="shared" si="31"/>
        <v>27.456</v>
      </c>
      <c r="K400" s="10">
        <f t="shared" si="29"/>
        <v>65.606</v>
      </c>
      <c r="L400" s="7">
        <f t="shared" si="28"/>
        <v>120</v>
      </c>
      <c r="M400" s="11"/>
      <c r="N400"/>
    </row>
    <row r="401" spans="1:14" ht="24.75" customHeight="1">
      <c r="A401" s="5">
        <v>399</v>
      </c>
      <c r="B401" s="5" t="s">
        <v>19</v>
      </c>
      <c r="C401" s="5" t="str">
        <f>"韦海波"</f>
        <v>韦海波</v>
      </c>
      <c r="D401" s="5" t="str">
        <f>"460003199201100012"</f>
        <v>460003199201100012</v>
      </c>
      <c r="E401" s="5" t="s">
        <v>15</v>
      </c>
      <c r="F401" s="5" t="str">
        <f>"073102021034"</f>
        <v>073102021034</v>
      </c>
      <c r="G401" s="7">
        <v>69.9</v>
      </c>
      <c r="H401" s="7">
        <f t="shared" si="30"/>
        <v>34.95</v>
      </c>
      <c r="I401" s="7">
        <v>61.158</v>
      </c>
      <c r="J401" s="7">
        <f t="shared" si="31"/>
        <v>30.579</v>
      </c>
      <c r="K401" s="10">
        <f t="shared" si="29"/>
        <v>65.529</v>
      </c>
      <c r="L401" s="7">
        <f t="shared" si="28"/>
        <v>121</v>
      </c>
      <c r="M401" s="11"/>
      <c r="N401"/>
    </row>
    <row r="402" spans="1:14" ht="24.75" customHeight="1">
      <c r="A402" s="5">
        <v>400</v>
      </c>
      <c r="B402" s="5" t="s">
        <v>19</v>
      </c>
      <c r="C402" s="5" t="str">
        <f>"叶嘉俊"</f>
        <v>叶嘉俊</v>
      </c>
      <c r="D402" s="5" t="str">
        <f>"460003199709260631"</f>
        <v>460003199709260631</v>
      </c>
      <c r="E402" s="5" t="s">
        <v>15</v>
      </c>
      <c r="F402" s="5" t="str">
        <f>"073102030205"</f>
        <v>073102030205</v>
      </c>
      <c r="G402" s="7">
        <v>53.6</v>
      </c>
      <c r="H402" s="7">
        <f t="shared" si="30"/>
        <v>26.8</v>
      </c>
      <c r="I402" s="7">
        <v>77.435</v>
      </c>
      <c r="J402" s="7">
        <f t="shared" si="31"/>
        <v>38.7175</v>
      </c>
      <c r="K402" s="10">
        <f t="shared" si="29"/>
        <v>65.5175</v>
      </c>
      <c r="L402" s="7">
        <f t="shared" si="28"/>
        <v>122</v>
      </c>
      <c r="M402" s="11"/>
      <c r="N402"/>
    </row>
    <row r="403" spans="1:14" ht="24.75" customHeight="1">
      <c r="A403" s="5">
        <v>401</v>
      </c>
      <c r="B403" s="5" t="s">
        <v>19</v>
      </c>
      <c r="C403" s="5" t="str">
        <f>"林道成"</f>
        <v>林道成</v>
      </c>
      <c r="D403" s="5" t="str">
        <f>"460025199903280036"</f>
        <v>460025199903280036</v>
      </c>
      <c r="E403" s="5" t="s">
        <v>15</v>
      </c>
      <c r="F403" s="5" t="str">
        <f>"073102021226"</f>
        <v>073102021226</v>
      </c>
      <c r="G403" s="7">
        <v>65.9</v>
      </c>
      <c r="H403" s="7">
        <f t="shared" si="30"/>
        <v>32.95</v>
      </c>
      <c r="I403" s="7">
        <v>64.997</v>
      </c>
      <c r="J403" s="7">
        <f t="shared" si="31"/>
        <v>32.4985</v>
      </c>
      <c r="K403" s="10">
        <f t="shared" si="29"/>
        <v>65.4485</v>
      </c>
      <c r="L403" s="7">
        <f t="shared" si="28"/>
        <v>123</v>
      </c>
      <c r="M403" s="11"/>
      <c r="N403"/>
    </row>
    <row r="404" spans="1:14" ht="24.75" customHeight="1">
      <c r="A404" s="5">
        <v>402</v>
      </c>
      <c r="B404" s="5" t="s">
        <v>19</v>
      </c>
      <c r="C404" s="5" t="str">
        <f>"陈明锋"</f>
        <v>陈明锋</v>
      </c>
      <c r="D404" s="5" t="str">
        <f>"460004199908261211"</f>
        <v>460004199908261211</v>
      </c>
      <c r="E404" s="5" t="s">
        <v>15</v>
      </c>
      <c r="F404" s="5" t="str">
        <f>"073102030729"</f>
        <v>073102030729</v>
      </c>
      <c r="G404" s="7">
        <v>74.9</v>
      </c>
      <c r="H404" s="7">
        <f t="shared" si="30"/>
        <v>37.45</v>
      </c>
      <c r="I404" s="7">
        <v>55.944</v>
      </c>
      <c r="J404" s="7">
        <f t="shared" si="31"/>
        <v>27.972</v>
      </c>
      <c r="K404" s="10">
        <f t="shared" si="29"/>
        <v>65.422</v>
      </c>
      <c r="L404" s="7">
        <f t="shared" si="28"/>
        <v>124</v>
      </c>
      <c r="M404" s="11"/>
      <c r="N404"/>
    </row>
    <row r="405" spans="1:14" ht="24.75" customHeight="1">
      <c r="A405" s="5">
        <v>403</v>
      </c>
      <c r="B405" s="5" t="s">
        <v>19</v>
      </c>
      <c r="C405" s="5" t="str">
        <f>"陈源源"</f>
        <v>陈源源</v>
      </c>
      <c r="D405" s="5" t="str">
        <f>"460036199409190026"</f>
        <v>460036199409190026</v>
      </c>
      <c r="E405" s="5" t="s">
        <v>15</v>
      </c>
      <c r="F405" s="5" t="str">
        <f>"073102030230"</f>
        <v>073102030230</v>
      </c>
      <c r="G405" s="7">
        <v>59.4</v>
      </c>
      <c r="H405" s="7">
        <f t="shared" si="30"/>
        <v>29.7</v>
      </c>
      <c r="I405" s="7">
        <v>71.323</v>
      </c>
      <c r="J405" s="7">
        <f t="shared" si="31"/>
        <v>35.6615</v>
      </c>
      <c r="K405" s="10">
        <f t="shared" si="29"/>
        <v>65.36149999999999</v>
      </c>
      <c r="L405" s="7">
        <f t="shared" si="28"/>
        <v>125</v>
      </c>
      <c r="M405" s="11"/>
      <c r="N405"/>
    </row>
    <row r="406" spans="1:14" ht="24.75" customHeight="1">
      <c r="A406" s="5">
        <v>404</v>
      </c>
      <c r="B406" s="5" t="s">
        <v>19</v>
      </c>
      <c r="C406" s="5" t="str">
        <f>"何崧铣"</f>
        <v>何崧铣</v>
      </c>
      <c r="D406" s="5" t="str">
        <f>"46000219980912282X"</f>
        <v>46000219980912282X</v>
      </c>
      <c r="E406" s="5" t="s">
        <v>15</v>
      </c>
      <c r="F406" s="5" t="str">
        <f>"073102021215"</f>
        <v>073102021215</v>
      </c>
      <c r="G406" s="7">
        <v>72.5</v>
      </c>
      <c r="H406" s="7">
        <f t="shared" si="30"/>
        <v>36.25</v>
      </c>
      <c r="I406" s="7">
        <v>57.905</v>
      </c>
      <c r="J406" s="7">
        <f t="shared" si="31"/>
        <v>28.9525</v>
      </c>
      <c r="K406" s="10">
        <f t="shared" si="29"/>
        <v>65.2025</v>
      </c>
      <c r="L406" s="7">
        <f t="shared" si="28"/>
        <v>126</v>
      </c>
      <c r="M406" s="11"/>
      <c r="N406"/>
    </row>
    <row r="407" spans="1:14" ht="24.75" customHeight="1">
      <c r="A407" s="5">
        <v>405</v>
      </c>
      <c r="B407" s="5" t="s">
        <v>19</v>
      </c>
      <c r="C407" s="5" t="str">
        <f>"唐懿"</f>
        <v>唐懿</v>
      </c>
      <c r="D407" s="5" t="str">
        <f>"46000319990123023X"</f>
        <v>46000319990123023X</v>
      </c>
      <c r="E407" s="5" t="s">
        <v>15</v>
      </c>
      <c r="F407" s="5" t="str">
        <f>"073102030324"</f>
        <v>073102030324</v>
      </c>
      <c r="G407" s="7">
        <v>78.8</v>
      </c>
      <c r="H407" s="7">
        <f t="shared" si="30"/>
        <v>39.4</v>
      </c>
      <c r="I407" s="7">
        <v>51.242</v>
      </c>
      <c r="J407" s="7">
        <f t="shared" si="31"/>
        <v>25.621</v>
      </c>
      <c r="K407" s="10">
        <f t="shared" si="29"/>
        <v>65.021</v>
      </c>
      <c r="L407" s="7">
        <f t="shared" si="28"/>
        <v>127</v>
      </c>
      <c r="M407" s="11"/>
      <c r="N407"/>
    </row>
    <row r="408" spans="1:14" ht="24.75" customHeight="1">
      <c r="A408" s="5">
        <v>406</v>
      </c>
      <c r="B408" s="5" t="s">
        <v>19</v>
      </c>
      <c r="C408" s="5" t="str">
        <f>"洪阳爱"</f>
        <v>洪阳爱</v>
      </c>
      <c r="D408" s="5" t="str">
        <f>"460003199910287641"</f>
        <v>460003199910287641</v>
      </c>
      <c r="E408" s="5" t="s">
        <v>15</v>
      </c>
      <c r="F408" s="5" t="str">
        <f>"073102020501"</f>
        <v>073102020501</v>
      </c>
      <c r="G408" s="7">
        <v>82.2</v>
      </c>
      <c r="H408" s="7">
        <f t="shared" si="30"/>
        <v>41.1</v>
      </c>
      <c r="I408" s="7">
        <v>47.69</v>
      </c>
      <c r="J408" s="7">
        <f t="shared" si="31"/>
        <v>23.845</v>
      </c>
      <c r="K408" s="10">
        <f t="shared" si="29"/>
        <v>64.945</v>
      </c>
      <c r="L408" s="7">
        <f t="shared" si="28"/>
        <v>128</v>
      </c>
      <c r="M408" s="11"/>
      <c r="N408"/>
    </row>
    <row r="409" spans="1:14" ht="24.75" customHeight="1">
      <c r="A409" s="5">
        <v>407</v>
      </c>
      <c r="B409" s="5" t="s">
        <v>19</v>
      </c>
      <c r="C409" s="5" t="str">
        <f>"黎先爱"</f>
        <v>黎先爱</v>
      </c>
      <c r="D409" s="5" t="str">
        <f>"460200199810184444"</f>
        <v>460200199810184444</v>
      </c>
      <c r="E409" s="5" t="s">
        <v>15</v>
      </c>
      <c r="F409" s="5" t="str">
        <f>"073102021122"</f>
        <v>073102021122</v>
      </c>
      <c r="G409" s="7">
        <v>85.8</v>
      </c>
      <c r="H409" s="7">
        <f t="shared" si="30"/>
        <v>42.9</v>
      </c>
      <c r="I409" s="7">
        <v>43.787</v>
      </c>
      <c r="J409" s="7">
        <f t="shared" si="31"/>
        <v>21.8935</v>
      </c>
      <c r="K409" s="10">
        <f t="shared" si="29"/>
        <v>64.7935</v>
      </c>
      <c r="L409" s="7">
        <f aca="true" t="shared" si="32" ref="L409:L472">RANK(K409,$K$281:$K$1299,0)</f>
        <v>129</v>
      </c>
      <c r="M409" s="11"/>
      <c r="N409"/>
    </row>
    <row r="410" spans="1:14" ht="24.75" customHeight="1">
      <c r="A410" s="5">
        <v>408</v>
      </c>
      <c r="B410" s="5" t="s">
        <v>19</v>
      </c>
      <c r="C410" s="5" t="str">
        <f>"刘伟"</f>
        <v>刘伟</v>
      </c>
      <c r="D410" s="5" t="str">
        <f>"460003199708260218"</f>
        <v>460003199708260218</v>
      </c>
      <c r="E410" s="5" t="s">
        <v>15</v>
      </c>
      <c r="F410" s="5" t="str">
        <f>"073102020543"</f>
        <v>073102020543</v>
      </c>
      <c r="G410" s="7">
        <v>76.3</v>
      </c>
      <c r="H410" s="7">
        <f t="shared" si="30"/>
        <v>38.15</v>
      </c>
      <c r="I410" s="7">
        <v>52.96</v>
      </c>
      <c r="J410" s="7">
        <f t="shared" si="31"/>
        <v>26.48</v>
      </c>
      <c r="K410" s="10">
        <f t="shared" si="29"/>
        <v>64.63</v>
      </c>
      <c r="L410" s="7">
        <f t="shared" si="32"/>
        <v>130</v>
      </c>
      <c r="M410" s="11"/>
      <c r="N410"/>
    </row>
    <row r="411" spans="1:14" ht="24.75" customHeight="1">
      <c r="A411" s="5">
        <v>409</v>
      </c>
      <c r="B411" s="5" t="s">
        <v>19</v>
      </c>
      <c r="C411" s="5" t="str">
        <f>"王德智"</f>
        <v>王德智</v>
      </c>
      <c r="D411" s="5" t="str">
        <f>"460028199506060039"</f>
        <v>460028199506060039</v>
      </c>
      <c r="E411" s="5" t="s">
        <v>15</v>
      </c>
      <c r="F411" s="5" t="str">
        <f>"073102020229"</f>
        <v>073102020229</v>
      </c>
      <c r="G411" s="7">
        <v>59.9</v>
      </c>
      <c r="H411" s="7">
        <f t="shared" si="30"/>
        <v>29.95</v>
      </c>
      <c r="I411" s="7">
        <v>69.291</v>
      </c>
      <c r="J411" s="7">
        <f t="shared" si="31"/>
        <v>34.6455</v>
      </c>
      <c r="K411" s="10">
        <f t="shared" si="29"/>
        <v>64.5955</v>
      </c>
      <c r="L411" s="7">
        <f t="shared" si="32"/>
        <v>131</v>
      </c>
      <c r="M411" s="11"/>
      <c r="N411"/>
    </row>
    <row r="412" spans="1:14" ht="24.75" customHeight="1">
      <c r="A412" s="5">
        <v>410</v>
      </c>
      <c r="B412" s="5" t="s">
        <v>19</v>
      </c>
      <c r="C412" s="5" t="str">
        <f>"羊翠鸾"</f>
        <v>羊翠鸾</v>
      </c>
      <c r="D412" s="5" t="str">
        <f>"460003199106053422"</f>
        <v>460003199106053422</v>
      </c>
      <c r="E412" s="5" t="s">
        <v>15</v>
      </c>
      <c r="F412" s="5" t="str">
        <f>"073102020523"</f>
        <v>073102020523</v>
      </c>
      <c r="G412" s="7">
        <v>53.1</v>
      </c>
      <c r="H412" s="7">
        <f t="shared" si="30"/>
        <v>26.55</v>
      </c>
      <c r="I412" s="7">
        <v>76.057</v>
      </c>
      <c r="J412" s="7">
        <f t="shared" si="31"/>
        <v>38.0285</v>
      </c>
      <c r="K412" s="10">
        <f t="shared" si="29"/>
        <v>64.5785</v>
      </c>
      <c r="L412" s="7">
        <f t="shared" si="32"/>
        <v>132</v>
      </c>
      <c r="M412" s="11"/>
      <c r="N412"/>
    </row>
    <row r="413" spans="1:14" ht="24.75" customHeight="1">
      <c r="A413" s="5">
        <v>411</v>
      </c>
      <c r="B413" s="5" t="s">
        <v>19</v>
      </c>
      <c r="C413" s="5" t="str">
        <f>"陈联爱"</f>
        <v>陈联爱</v>
      </c>
      <c r="D413" s="5" t="str">
        <f>"460003199705084044"</f>
        <v>460003199705084044</v>
      </c>
      <c r="E413" s="5" t="s">
        <v>15</v>
      </c>
      <c r="F413" s="5" t="str">
        <f>"073102030903"</f>
        <v>073102030903</v>
      </c>
      <c r="G413" s="7">
        <v>69.2</v>
      </c>
      <c r="H413" s="7">
        <f t="shared" si="30"/>
        <v>34.6</v>
      </c>
      <c r="I413" s="7">
        <v>59.772</v>
      </c>
      <c r="J413" s="7">
        <f t="shared" si="31"/>
        <v>29.886</v>
      </c>
      <c r="K413" s="10">
        <f t="shared" si="29"/>
        <v>64.486</v>
      </c>
      <c r="L413" s="7">
        <f t="shared" si="32"/>
        <v>133</v>
      </c>
      <c r="M413" s="11"/>
      <c r="N413"/>
    </row>
    <row r="414" spans="1:14" ht="24.75" customHeight="1">
      <c r="A414" s="5">
        <v>412</v>
      </c>
      <c r="B414" s="5" t="s">
        <v>19</v>
      </c>
      <c r="C414" s="5" t="str">
        <f>"封晓云"</f>
        <v>封晓云</v>
      </c>
      <c r="D414" s="5" t="str">
        <f>"46000319991115834X"</f>
        <v>46000319991115834X</v>
      </c>
      <c r="E414" s="5" t="s">
        <v>15</v>
      </c>
      <c r="F414" s="5" t="str">
        <f>"073102020544"</f>
        <v>073102020544</v>
      </c>
      <c r="G414" s="7">
        <v>73.9</v>
      </c>
      <c r="H414" s="7">
        <f t="shared" si="30"/>
        <v>36.95</v>
      </c>
      <c r="I414" s="7">
        <v>54.912</v>
      </c>
      <c r="J414" s="7">
        <f t="shared" si="31"/>
        <v>27.456</v>
      </c>
      <c r="K414" s="10">
        <f t="shared" si="29"/>
        <v>64.406</v>
      </c>
      <c r="L414" s="7">
        <f t="shared" si="32"/>
        <v>134</v>
      </c>
      <c r="M414" s="11"/>
      <c r="N414"/>
    </row>
    <row r="415" spans="1:14" ht="24.75" customHeight="1">
      <c r="A415" s="5">
        <v>413</v>
      </c>
      <c r="B415" s="5" t="s">
        <v>19</v>
      </c>
      <c r="C415" s="5" t="str">
        <f>"严安"</f>
        <v>严安</v>
      </c>
      <c r="D415" s="5" t="str">
        <f>"460003199507040016"</f>
        <v>460003199507040016</v>
      </c>
      <c r="E415" s="5" t="s">
        <v>15</v>
      </c>
      <c r="F415" s="5" t="str">
        <f>"073102030604"</f>
        <v>073102030604</v>
      </c>
      <c r="G415" s="7">
        <v>68.5</v>
      </c>
      <c r="H415" s="7">
        <f t="shared" si="30"/>
        <v>34.25</v>
      </c>
      <c r="I415" s="7">
        <v>60.107</v>
      </c>
      <c r="J415" s="7">
        <f t="shared" si="31"/>
        <v>30.0535</v>
      </c>
      <c r="K415" s="10">
        <f t="shared" si="29"/>
        <v>64.3035</v>
      </c>
      <c r="L415" s="7">
        <f t="shared" si="32"/>
        <v>135</v>
      </c>
      <c r="M415" s="11"/>
      <c r="N415"/>
    </row>
    <row r="416" spans="1:14" ht="24.75" customHeight="1">
      <c r="A416" s="5">
        <v>414</v>
      </c>
      <c r="B416" s="5" t="s">
        <v>19</v>
      </c>
      <c r="C416" s="5" t="str">
        <f>"吉才琳"</f>
        <v>吉才琳</v>
      </c>
      <c r="D416" s="5" t="str">
        <f>"460033199809223908"</f>
        <v>460033199809223908</v>
      </c>
      <c r="E416" s="5" t="s">
        <v>15</v>
      </c>
      <c r="F416" s="5" t="str">
        <f>"073102030924"</f>
        <v>073102030924</v>
      </c>
      <c r="G416" s="7">
        <v>80.9</v>
      </c>
      <c r="H416" s="7">
        <f t="shared" si="30"/>
        <v>40.45</v>
      </c>
      <c r="I416" s="7">
        <v>47.616</v>
      </c>
      <c r="J416" s="7">
        <f t="shared" si="31"/>
        <v>23.808</v>
      </c>
      <c r="K416" s="10">
        <f t="shared" si="29"/>
        <v>64.25800000000001</v>
      </c>
      <c r="L416" s="7">
        <f t="shared" si="32"/>
        <v>136</v>
      </c>
      <c r="M416" s="11"/>
      <c r="N416"/>
    </row>
    <row r="417" spans="1:14" ht="24.75" customHeight="1">
      <c r="A417" s="5">
        <v>415</v>
      </c>
      <c r="B417" s="5" t="s">
        <v>19</v>
      </c>
      <c r="C417" s="5" t="str">
        <f>"黎明荣"</f>
        <v>黎明荣</v>
      </c>
      <c r="D417" s="5" t="str">
        <f>"460003199904083837"</f>
        <v>460003199904083837</v>
      </c>
      <c r="E417" s="5" t="s">
        <v>15</v>
      </c>
      <c r="F417" s="5" t="str">
        <f>"073102031108"</f>
        <v>073102031108</v>
      </c>
      <c r="G417" s="7">
        <v>75.9</v>
      </c>
      <c r="H417" s="7">
        <f t="shared" si="30"/>
        <v>37.95</v>
      </c>
      <c r="I417" s="7">
        <v>52.586</v>
      </c>
      <c r="J417" s="7">
        <f t="shared" si="31"/>
        <v>26.293</v>
      </c>
      <c r="K417" s="10">
        <f t="shared" si="29"/>
        <v>64.243</v>
      </c>
      <c r="L417" s="7">
        <f t="shared" si="32"/>
        <v>137</v>
      </c>
      <c r="M417" s="11"/>
      <c r="N417"/>
    </row>
    <row r="418" spans="1:14" ht="24.75" customHeight="1">
      <c r="A418" s="5">
        <v>416</v>
      </c>
      <c r="B418" s="5" t="s">
        <v>19</v>
      </c>
      <c r="C418" s="5" t="str">
        <f>"陈史壁"</f>
        <v>陈史壁</v>
      </c>
      <c r="D418" s="5" t="str">
        <f>"460005199903303511"</f>
        <v>460005199903303511</v>
      </c>
      <c r="E418" s="5" t="s">
        <v>15</v>
      </c>
      <c r="F418" s="5" t="str">
        <f>"073102021223"</f>
        <v>073102021223</v>
      </c>
      <c r="G418" s="7">
        <v>77.8</v>
      </c>
      <c r="H418" s="7">
        <f t="shared" si="30"/>
        <v>38.9</v>
      </c>
      <c r="I418" s="7">
        <v>50.618</v>
      </c>
      <c r="J418" s="7">
        <f t="shared" si="31"/>
        <v>25.309</v>
      </c>
      <c r="K418" s="10">
        <f t="shared" si="29"/>
        <v>64.209</v>
      </c>
      <c r="L418" s="7">
        <f t="shared" si="32"/>
        <v>138</v>
      </c>
      <c r="M418" s="11"/>
      <c r="N418"/>
    </row>
    <row r="419" spans="1:14" ht="24.75" customHeight="1">
      <c r="A419" s="5">
        <v>417</v>
      </c>
      <c r="B419" s="5" t="s">
        <v>19</v>
      </c>
      <c r="C419" s="5" t="str">
        <f>"熊林华"</f>
        <v>熊林华</v>
      </c>
      <c r="D419" s="5" t="str">
        <f>"460006199507312922"</f>
        <v>460006199507312922</v>
      </c>
      <c r="E419" s="5" t="s">
        <v>15</v>
      </c>
      <c r="F419" s="5" t="str">
        <f>"073102021035"</f>
        <v>073102021035</v>
      </c>
      <c r="G419" s="7">
        <v>72.5</v>
      </c>
      <c r="H419" s="7">
        <f t="shared" si="30"/>
        <v>36.25</v>
      </c>
      <c r="I419" s="7">
        <v>55.823</v>
      </c>
      <c r="J419" s="7">
        <f t="shared" si="31"/>
        <v>27.9115</v>
      </c>
      <c r="K419" s="10">
        <f aca="true" t="shared" si="33" ref="K419:K482">H419+J419</f>
        <v>64.1615</v>
      </c>
      <c r="L419" s="7">
        <f t="shared" si="32"/>
        <v>139</v>
      </c>
      <c r="M419" s="11"/>
      <c r="N419"/>
    </row>
    <row r="420" spans="1:14" ht="24.75" customHeight="1">
      <c r="A420" s="5">
        <v>418</v>
      </c>
      <c r="B420" s="5" t="s">
        <v>19</v>
      </c>
      <c r="C420" s="5" t="str">
        <f>"朱树华"</f>
        <v>朱树华</v>
      </c>
      <c r="D420" s="5" t="str">
        <f>"46000319921225181X"</f>
        <v>46000319921225181X</v>
      </c>
      <c r="E420" s="5" t="s">
        <v>15</v>
      </c>
      <c r="F420" s="5" t="str">
        <f>"073102030328"</f>
        <v>073102030328</v>
      </c>
      <c r="G420" s="7">
        <v>68.9</v>
      </c>
      <c r="H420" s="7">
        <f t="shared" si="30"/>
        <v>34.45</v>
      </c>
      <c r="I420" s="7">
        <v>58.831</v>
      </c>
      <c r="J420" s="7">
        <f t="shared" si="31"/>
        <v>29.4155</v>
      </c>
      <c r="K420" s="10">
        <f t="shared" si="33"/>
        <v>63.865500000000004</v>
      </c>
      <c r="L420" s="7">
        <f t="shared" si="32"/>
        <v>140</v>
      </c>
      <c r="M420" s="11"/>
      <c r="N420"/>
    </row>
    <row r="421" spans="1:14" ht="24.75" customHeight="1">
      <c r="A421" s="5">
        <v>419</v>
      </c>
      <c r="B421" s="5" t="s">
        <v>19</v>
      </c>
      <c r="C421" s="5" t="str">
        <f>"吴宇凌"</f>
        <v>吴宇凌</v>
      </c>
      <c r="D421" s="5" t="str">
        <f>"460007199810065369"</f>
        <v>460007199810065369</v>
      </c>
      <c r="E421" s="5" t="s">
        <v>15</v>
      </c>
      <c r="F421" s="5" t="str">
        <f>"073102030840"</f>
        <v>073102030840</v>
      </c>
      <c r="G421" s="7">
        <v>81</v>
      </c>
      <c r="H421" s="7">
        <f t="shared" si="30"/>
        <v>40.5</v>
      </c>
      <c r="I421" s="7">
        <v>46.474</v>
      </c>
      <c r="J421" s="7">
        <f t="shared" si="31"/>
        <v>23.237</v>
      </c>
      <c r="K421" s="10">
        <f t="shared" si="33"/>
        <v>63.736999999999995</v>
      </c>
      <c r="L421" s="7">
        <f t="shared" si="32"/>
        <v>141</v>
      </c>
      <c r="M421" s="11"/>
      <c r="N421"/>
    </row>
    <row r="422" spans="1:14" ht="24.75" customHeight="1">
      <c r="A422" s="5">
        <v>420</v>
      </c>
      <c r="B422" s="5" t="s">
        <v>19</v>
      </c>
      <c r="C422" s="5" t="str">
        <f>"陈肖飞"</f>
        <v>陈肖飞</v>
      </c>
      <c r="D422" s="5" t="str">
        <f>"460034199511024128"</f>
        <v>460034199511024128</v>
      </c>
      <c r="E422" s="5" t="s">
        <v>15</v>
      </c>
      <c r="F422" s="5" t="str">
        <f>"073102020446"</f>
        <v>073102020446</v>
      </c>
      <c r="G422" s="7">
        <v>76.2</v>
      </c>
      <c r="H422" s="7">
        <f t="shared" si="30"/>
        <v>38.1</v>
      </c>
      <c r="I422" s="7">
        <v>51.008</v>
      </c>
      <c r="J422" s="7">
        <f t="shared" si="31"/>
        <v>25.504</v>
      </c>
      <c r="K422" s="10">
        <f t="shared" si="33"/>
        <v>63.604</v>
      </c>
      <c r="L422" s="7">
        <f t="shared" si="32"/>
        <v>142</v>
      </c>
      <c r="M422" s="11"/>
      <c r="N422"/>
    </row>
    <row r="423" spans="1:14" ht="24.75" customHeight="1">
      <c r="A423" s="5">
        <v>421</v>
      </c>
      <c r="B423" s="5" t="s">
        <v>19</v>
      </c>
      <c r="C423" s="5" t="str">
        <f>"吴泽势"</f>
        <v>吴泽势</v>
      </c>
      <c r="D423" s="5" t="str">
        <f>"460007199705045761"</f>
        <v>460007199705045761</v>
      </c>
      <c r="E423" s="5" t="s">
        <v>15</v>
      </c>
      <c r="F423" s="5" t="str">
        <f>"073102020823"</f>
        <v>073102020823</v>
      </c>
      <c r="G423" s="7">
        <v>74.5</v>
      </c>
      <c r="H423" s="7">
        <f t="shared" si="30"/>
        <v>37.25</v>
      </c>
      <c r="I423" s="7">
        <v>52.7</v>
      </c>
      <c r="J423" s="7">
        <f t="shared" si="31"/>
        <v>26.35</v>
      </c>
      <c r="K423" s="10">
        <f t="shared" si="33"/>
        <v>63.6</v>
      </c>
      <c r="L423" s="7">
        <f t="shared" si="32"/>
        <v>143</v>
      </c>
      <c r="M423" s="11"/>
      <c r="N423"/>
    </row>
    <row r="424" spans="1:14" ht="24.75" customHeight="1">
      <c r="A424" s="5">
        <v>422</v>
      </c>
      <c r="B424" s="5" t="s">
        <v>19</v>
      </c>
      <c r="C424" s="5" t="str">
        <f>"林发诚"</f>
        <v>林发诚</v>
      </c>
      <c r="D424" s="5" t="str">
        <f>"460003199907040218"</f>
        <v>460003199907040218</v>
      </c>
      <c r="E424" s="5" t="s">
        <v>15</v>
      </c>
      <c r="F424" s="5" t="str">
        <f>"073102021101"</f>
        <v>073102021101</v>
      </c>
      <c r="G424" s="7">
        <v>61</v>
      </c>
      <c r="H424" s="7">
        <f t="shared" si="30"/>
        <v>30.5</v>
      </c>
      <c r="I424" s="7">
        <v>65.712</v>
      </c>
      <c r="J424" s="7">
        <f t="shared" si="31"/>
        <v>32.856</v>
      </c>
      <c r="K424" s="10">
        <f t="shared" si="33"/>
        <v>63.356</v>
      </c>
      <c r="L424" s="7">
        <f t="shared" si="32"/>
        <v>144</v>
      </c>
      <c r="M424" s="11"/>
      <c r="N424"/>
    </row>
    <row r="425" spans="1:14" ht="24.75" customHeight="1">
      <c r="A425" s="5">
        <v>423</v>
      </c>
      <c r="B425" s="5" t="s">
        <v>19</v>
      </c>
      <c r="C425" s="5" t="str">
        <f>"吴昊"</f>
        <v>吴昊</v>
      </c>
      <c r="D425" s="5" t="str">
        <f>"460003199908010651"</f>
        <v>460003199908010651</v>
      </c>
      <c r="E425" s="5" t="s">
        <v>15</v>
      </c>
      <c r="F425" s="5" t="str">
        <f>"073102020520"</f>
        <v>073102020520</v>
      </c>
      <c r="G425" s="7">
        <v>78.2</v>
      </c>
      <c r="H425" s="7">
        <f t="shared" si="30"/>
        <v>39.1</v>
      </c>
      <c r="I425" s="7">
        <v>48.341</v>
      </c>
      <c r="J425" s="7">
        <f t="shared" si="31"/>
        <v>24.1705</v>
      </c>
      <c r="K425" s="10">
        <f t="shared" si="33"/>
        <v>63.2705</v>
      </c>
      <c r="L425" s="7">
        <f t="shared" si="32"/>
        <v>145</v>
      </c>
      <c r="M425" s="11"/>
      <c r="N425"/>
    </row>
    <row r="426" spans="1:14" ht="24.75" customHeight="1">
      <c r="A426" s="5">
        <v>424</v>
      </c>
      <c r="B426" s="5" t="s">
        <v>19</v>
      </c>
      <c r="C426" s="5" t="str">
        <f>"钟凤娇"</f>
        <v>钟凤娇</v>
      </c>
      <c r="D426" s="5" t="str">
        <f>"452427199309012340"</f>
        <v>452427199309012340</v>
      </c>
      <c r="E426" s="5" t="s">
        <v>15</v>
      </c>
      <c r="F426" s="5" t="str">
        <f>"073102030614"</f>
        <v>073102030614</v>
      </c>
      <c r="G426" s="7">
        <v>74.2</v>
      </c>
      <c r="H426" s="7">
        <f t="shared" si="30"/>
        <v>37.1</v>
      </c>
      <c r="I426" s="7">
        <v>52.317</v>
      </c>
      <c r="J426" s="7">
        <f t="shared" si="31"/>
        <v>26.1585</v>
      </c>
      <c r="K426" s="10">
        <f t="shared" si="33"/>
        <v>63.2585</v>
      </c>
      <c r="L426" s="7">
        <f t="shared" si="32"/>
        <v>146</v>
      </c>
      <c r="M426" s="11"/>
      <c r="N426"/>
    </row>
    <row r="427" spans="1:14" ht="24.75" customHeight="1">
      <c r="A427" s="5">
        <v>425</v>
      </c>
      <c r="B427" s="5" t="s">
        <v>19</v>
      </c>
      <c r="C427" s="5" t="str">
        <f>"邢砚晶"</f>
        <v>邢砚晶</v>
      </c>
      <c r="D427" s="5" t="str">
        <f>"460003199602267729"</f>
        <v>460003199602267729</v>
      </c>
      <c r="E427" s="5" t="s">
        <v>15</v>
      </c>
      <c r="F427" s="5" t="str">
        <f>"073102020503"</f>
        <v>073102020503</v>
      </c>
      <c r="G427" s="7">
        <v>79.9</v>
      </c>
      <c r="H427" s="7">
        <f t="shared" si="30"/>
        <v>39.95</v>
      </c>
      <c r="I427" s="7">
        <v>46.584</v>
      </c>
      <c r="J427" s="7">
        <f t="shared" si="31"/>
        <v>23.292</v>
      </c>
      <c r="K427" s="10">
        <f t="shared" si="33"/>
        <v>63.242000000000004</v>
      </c>
      <c r="L427" s="7">
        <f t="shared" si="32"/>
        <v>147</v>
      </c>
      <c r="M427" s="11"/>
      <c r="N427"/>
    </row>
    <row r="428" spans="1:14" ht="24.75" customHeight="1">
      <c r="A428" s="5">
        <v>426</v>
      </c>
      <c r="B428" s="5" t="s">
        <v>19</v>
      </c>
      <c r="C428" s="5" t="str">
        <f>"张秋云"</f>
        <v>张秋云</v>
      </c>
      <c r="D428" s="5" t="str">
        <f>"460033199108090380"</f>
        <v>460033199108090380</v>
      </c>
      <c r="E428" s="5" t="s">
        <v>15</v>
      </c>
      <c r="F428" s="5" t="str">
        <f>"073102020939"</f>
        <v>073102020939</v>
      </c>
      <c r="G428" s="7">
        <v>78.8</v>
      </c>
      <c r="H428" s="7">
        <f t="shared" si="30"/>
        <v>39.4</v>
      </c>
      <c r="I428" s="7">
        <v>47.56</v>
      </c>
      <c r="J428" s="7">
        <f t="shared" si="31"/>
        <v>23.78</v>
      </c>
      <c r="K428" s="10">
        <f t="shared" si="33"/>
        <v>63.18</v>
      </c>
      <c r="L428" s="7">
        <f t="shared" si="32"/>
        <v>148</v>
      </c>
      <c r="M428" s="11"/>
      <c r="N428"/>
    </row>
    <row r="429" spans="1:14" ht="24.75" customHeight="1">
      <c r="A429" s="5">
        <v>427</v>
      </c>
      <c r="B429" s="5" t="s">
        <v>19</v>
      </c>
      <c r="C429" s="5" t="str">
        <f>"李慧芹"</f>
        <v>李慧芹</v>
      </c>
      <c r="D429" s="5" t="str">
        <f>"460036199306114127"</f>
        <v>460036199306114127</v>
      </c>
      <c r="E429" s="5" t="s">
        <v>15</v>
      </c>
      <c r="F429" s="5" t="str">
        <f>"073102020135"</f>
        <v>073102020135</v>
      </c>
      <c r="G429" s="7">
        <v>82.1</v>
      </c>
      <c r="H429" s="7">
        <f t="shared" si="30"/>
        <v>41.05</v>
      </c>
      <c r="I429" s="7">
        <v>44.177</v>
      </c>
      <c r="J429" s="7">
        <f t="shared" si="31"/>
        <v>22.0885</v>
      </c>
      <c r="K429" s="10">
        <f t="shared" si="33"/>
        <v>63.13849999999999</v>
      </c>
      <c r="L429" s="7">
        <f t="shared" si="32"/>
        <v>149</v>
      </c>
      <c r="M429" s="11"/>
      <c r="N429"/>
    </row>
    <row r="430" spans="1:14" ht="24.75" customHeight="1">
      <c r="A430" s="5">
        <v>428</v>
      </c>
      <c r="B430" s="5" t="s">
        <v>19</v>
      </c>
      <c r="C430" s="5" t="str">
        <f>"林树成"</f>
        <v>林树成</v>
      </c>
      <c r="D430" s="5" t="str">
        <f>"460003199305202419"</f>
        <v>460003199305202419</v>
      </c>
      <c r="E430" s="5" t="s">
        <v>15</v>
      </c>
      <c r="F430" s="5" t="str">
        <f>"073102030542"</f>
        <v>073102030542</v>
      </c>
      <c r="G430" s="7">
        <v>76</v>
      </c>
      <c r="H430" s="7">
        <f t="shared" si="30"/>
        <v>38</v>
      </c>
      <c r="I430" s="7">
        <v>50.168</v>
      </c>
      <c r="J430" s="7">
        <f t="shared" si="31"/>
        <v>25.084</v>
      </c>
      <c r="K430" s="10">
        <f t="shared" si="33"/>
        <v>63.084</v>
      </c>
      <c r="L430" s="7">
        <f t="shared" si="32"/>
        <v>150</v>
      </c>
      <c r="M430" s="11"/>
      <c r="N430"/>
    </row>
    <row r="431" spans="1:14" ht="24.75" customHeight="1">
      <c r="A431" s="5">
        <v>429</v>
      </c>
      <c r="B431" s="5" t="s">
        <v>19</v>
      </c>
      <c r="C431" s="5" t="str">
        <f>"黄海静"</f>
        <v>黄海静</v>
      </c>
      <c r="D431" s="5" t="str">
        <f>"460035199706162527"</f>
        <v>460035199706162527</v>
      </c>
      <c r="E431" s="5" t="s">
        <v>15</v>
      </c>
      <c r="F431" s="5" t="str">
        <f>"073102020740"</f>
        <v>073102020740</v>
      </c>
      <c r="G431" s="7">
        <v>87.1</v>
      </c>
      <c r="H431" s="7">
        <f t="shared" si="30"/>
        <v>43.55</v>
      </c>
      <c r="I431" s="7">
        <v>38.907</v>
      </c>
      <c r="J431" s="7">
        <f t="shared" si="31"/>
        <v>19.4535</v>
      </c>
      <c r="K431" s="10">
        <f t="shared" si="33"/>
        <v>63.003499999999995</v>
      </c>
      <c r="L431" s="7">
        <f t="shared" si="32"/>
        <v>151</v>
      </c>
      <c r="M431" s="11"/>
      <c r="N431"/>
    </row>
    <row r="432" spans="1:14" ht="24.75" customHeight="1">
      <c r="A432" s="5">
        <v>430</v>
      </c>
      <c r="B432" s="5" t="s">
        <v>19</v>
      </c>
      <c r="C432" s="5" t="str">
        <f>"陈壮兰"</f>
        <v>陈壮兰</v>
      </c>
      <c r="D432" s="5" t="str">
        <f>"460003199607287024"</f>
        <v>460003199607287024</v>
      </c>
      <c r="E432" s="5" t="s">
        <v>15</v>
      </c>
      <c r="F432" s="5" t="str">
        <f>"073102030813"</f>
        <v>073102030813</v>
      </c>
      <c r="G432" s="7">
        <v>78.3</v>
      </c>
      <c r="H432" s="7">
        <f t="shared" si="30"/>
        <v>39.15</v>
      </c>
      <c r="I432" s="7">
        <v>47.549</v>
      </c>
      <c r="J432" s="7">
        <f t="shared" si="31"/>
        <v>23.7745</v>
      </c>
      <c r="K432" s="10">
        <f t="shared" si="33"/>
        <v>62.924499999999995</v>
      </c>
      <c r="L432" s="7">
        <f t="shared" si="32"/>
        <v>152</v>
      </c>
      <c r="M432" s="11"/>
      <c r="N432"/>
    </row>
    <row r="433" spans="1:14" ht="24.75" customHeight="1">
      <c r="A433" s="5">
        <v>431</v>
      </c>
      <c r="B433" s="5" t="s">
        <v>19</v>
      </c>
      <c r="C433" s="5" t="str">
        <f>"吴成"</f>
        <v>吴成</v>
      </c>
      <c r="D433" s="5" t="str">
        <f>"511622199109147739"</f>
        <v>511622199109147739</v>
      </c>
      <c r="E433" s="5" t="s">
        <v>15</v>
      </c>
      <c r="F433" s="5" t="str">
        <f>"073102020406"</f>
        <v>073102020406</v>
      </c>
      <c r="G433" s="7">
        <v>80.3</v>
      </c>
      <c r="H433" s="7">
        <f t="shared" si="30"/>
        <v>40.15</v>
      </c>
      <c r="I433" s="7">
        <v>45.413</v>
      </c>
      <c r="J433" s="7">
        <f t="shared" si="31"/>
        <v>22.7065</v>
      </c>
      <c r="K433" s="10">
        <f t="shared" si="33"/>
        <v>62.8565</v>
      </c>
      <c r="L433" s="7">
        <f t="shared" si="32"/>
        <v>153</v>
      </c>
      <c r="M433" s="11"/>
      <c r="N433"/>
    </row>
    <row r="434" spans="1:14" ht="24.75" customHeight="1">
      <c r="A434" s="5">
        <v>432</v>
      </c>
      <c r="B434" s="5" t="s">
        <v>19</v>
      </c>
      <c r="C434" s="5" t="str">
        <f>"钟国明"</f>
        <v>钟国明</v>
      </c>
      <c r="D434" s="5" t="str">
        <f>"460003199103044619"</f>
        <v>460003199103044619</v>
      </c>
      <c r="E434" s="5" t="s">
        <v>15</v>
      </c>
      <c r="F434" s="5" t="str">
        <f>"073102030715"</f>
        <v>073102030715</v>
      </c>
      <c r="G434" s="7">
        <v>64.4</v>
      </c>
      <c r="H434" s="7">
        <f t="shared" si="30"/>
        <v>32.2</v>
      </c>
      <c r="I434" s="7">
        <v>61.182</v>
      </c>
      <c r="J434" s="7">
        <f t="shared" si="31"/>
        <v>30.591</v>
      </c>
      <c r="K434" s="10">
        <f t="shared" si="33"/>
        <v>62.791000000000004</v>
      </c>
      <c r="L434" s="7">
        <f t="shared" si="32"/>
        <v>154</v>
      </c>
      <c r="M434" s="11"/>
      <c r="N434"/>
    </row>
    <row r="435" spans="1:14" ht="24.75" customHeight="1">
      <c r="A435" s="5">
        <v>433</v>
      </c>
      <c r="B435" s="5" t="s">
        <v>19</v>
      </c>
      <c r="C435" s="5" t="str">
        <f>"黄承宝"</f>
        <v>黄承宝</v>
      </c>
      <c r="D435" s="5" t="str">
        <f>"460030199607226319"</f>
        <v>460030199607226319</v>
      </c>
      <c r="E435" s="5" t="s">
        <v>15</v>
      </c>
      <c r="F435" s="5" t="str">
        <f>"073102020241"</f>
        <v>073102020241</v>
      </c>
      <c r="G435" s="7">
        <v>79.5</v>
      </c>
      <c r="H435" s="7">
        <f t="shared" si="30"/>
        <v>39.75</v>
      </c>
      <c r="I435" s="7">
        <v>45.804</v>
      </c>
      <c r="J435" s="7">
        <f t="shared" si="31"/>
        <v>22.902</v>
      </c>
      <c r="K435" s="10">
        <f t="shared" si="33"/>
        <v>62.652</v>
      </c>
      <c r="L435" s="7">
        <f t="shared" si="32"/>
        <v>155</v>
      </c>
      <c r="M435" s="11"/>
      <c r="N435"/>
    </row>
    <row r="436" spans="1:14" ht="24.75" customHeight="1">
      <c r="A436" s="5">
        <v>434</v>
      </c>
      <c r="B436" s="5" t="s">
        <v>19</v>
      </c>
      <c r="C436" s="5" t="str">
        <f>"邓炜"</f>
        <v>邓炜</v>
      </c>
      <c r="D436" s="5" t="str">
        <f>"460027199610242928"</f>
        <v>460027199610242928</v>
      </c>
      <c r="E436" s="5" t="s">
        <v>15</v>
      </c>
      <c r="F436" s="5" t="str">
        <f>"073102030303"</f>
        <v>073102030303</v>
      </c>
      <c r="G436" s="7">
        <v>64.4</v>
      </c>
      <c r="H436" s="7">
        <f t="shared" si="30"/>
        <v>32.2</v>
      </c>
      <c r="I436" s="7">
        <v>60.846</v>
      </c>
      <c r="J436" s="7">
        <f t="shared" si="31"/>
        <v>30.423</v>
      </c>
      <c r="K436" s="10">
        <f t="shared" si="33"/>
        <v>62.623000000000005</v>
      </c>
      <c r="L436" s="7">
        <f t="shared" si="32"/>
        <v>156</v>
      </c>
      <c r="M436" s="11"/>
      <c r="N436"/>
    </row>
    <row r="437" spans="1:14" ht="24.75" customHeight="1">
      <c r="A437" s="5">
        <v>435</v>
      </c>
      <c r="B437" s="5" t="s">
        <v>19</v>
      </c>
      <c r="C437" s="5" t="str">
        <f>"唐多莺"</f>
        <v>唐多莺</v>
      </c>
      <c r="D437" s="5" t="str">
        <f>"460003199903202443"</f>
        <v>460003199903202443</v>
      </c>
      <c r="E437" s="5" t="s">
        <v>15</v>
      </c>
      <c r="F437" s="5" t="str">
        <f>"073102020937"</f>
        <v>073102020937</v>
      </c>
      <c r="G437" s="7">
        <v>76.6</v>
      </c>
      <c r="H437" s="7">
        <f t="shared" si="30"/>
        <v>38.3</v>
      </c>
      <c r="I437" s="7">
        <v>48.471</v>
      </c>
      <c r="J437" s="7">
        <f t="shared" si="31"/>
        <v>24.2355</v>
      </c>
      <c r="K437" s="10">
        <f t="shared" si="33"/>
        <v>62.5355</v>
      </c>
      <c r="L437" s="7">
        <f t="shared" si="32"/>
        <v>157</v>
      </c>
      <c r="M437" s="11"/>
      <c r="N437"/>
    </row>
    <row r="438" spans="1:14" ht="24.75" customHeight="1">
      <c r="A438" s="5">
        <v>436</v>
      </c>
      <c r="B438" s="5" t="s">
        <v>19</v>
      </c>
      <c r="C438" s="5" t="str">
        <f>"曾令怡"</f>
        <v>曾令怡</v>
      </c>
      <c r="D438" s="5" t="str">
        <f>"460003199712094224"</f>
        <v>460003199712094224</v>
      </c>
      <c r="E438" s="5" t="s">
        <v>15</v>
      </c>
      <c r="F438" s="5" t="str">
        <f>"073102030710"</f>
        <v>073102030710</v>
      </c>
      <c r="G438" s="7">
        <v>76.8</v>
      </c>
      <c r="H438" s="7">
        <f t="shared" si="30"/>
        <v>38.4</v>
      </c>
      <c r="I438" s="7">
        <v>48.086</v>
      </c>
      <c r="J438" s="7">
        <f t="shared" si="31"/>
        <v>24.043</v>
      </c>
      <c r="K438" s="10">
        <f t="shared" si="33"/>
        <v>62.443</v>
      </c>
      <c r="L438" s="7">
        <f t="shared" si="32"/>
        <v>158</v>
      </c>
      <c r="M438" s="11"/>
      <c r="N438"/>
    </row>
    <row r="439" spans="1:14" ht="24.75" customHeight="1">
      <c r="A439" s="5">
        <v>437</v>
      </c>
      <c r="B439" s="5" t="s">
        <v>19</v>
      </c>
      <c r="C439" s="5" t="str">
        <f>"邓舒云"</f>
        <v>邓舒云</v>
      </c>
      <c r="D439" s="5" t="str">
        <f>"460030199608230926"</f>
        <v>460030199608230926</v>
      </c>
      <c r="E439" s="5" t="s">
        <v>15</v>
      </c>
      <c r="F439" s="5" t="str">
        <f>"073102031014"</f>
        <v>073102031014</v>
      </c>
      <c r="G439" s="7">
        <v>81.8</v>
      </c>
      <c r="H439" s="7">
        <f t="shared" si="30"/>
        <v>40.9</v>
      </c>
      <c r="I439" s="7">
        <v>42.915</v>
      </c>
      <c r="J439" s="7">
        <f t="shared" si="31"/>
        <v>21.4575</v>
      </c>
      <c r="K439" s="10">
        <f t="shared" si="33"/>
        <v>62.3575</v>
      </c>
      <c r="L439" s="7">
        <f t="shared" si="32"/>
        <v>159</v>
      </c>
      <c r="M439" s="11"/>
      <c r="N439"/>
    </row>
    <row r="440" spans="1:14" ht="24.75" customHeight="1">
      <c r="A440" s="5">
        <v>438</v>
      </c>
      <c r="B440" s="5" t="s">
        <v>19</v>
      </c>
      <c r="C440" s="5" t="str">
        <f>" 李君"</f>
        <v> 李君</v>
      </c>
      <c r="D440" s="5" t="str">
        <f>"46902319991013004X"</f>
        <v>46902319991013004X</v>
      </c>
      <c r="E440" s="5" t="s">
        <v>15</v>
      </c>
      <c r="F440" s="5" t="str">
        <f>"073102030923"</f>
        <v>073102030923</v>
      </c>
      <c r="G440" s="7">
        <v>75.9</v>
      </c>
      <c r="H440" s="7">
        <f t="shared" si="30"/>
        <v>37.95</v>
      </c>
      <c r="I440" s="7">
        <v>48.69</v>
      </c>
      <c r="J440" s="7">
        <f t="shared" si="31"/>
        <v>24.345</v>
      </c>
      <c r="K440" s="10">
        <f t="shared" si="33"/>
        <v>62.295</v>
      </c>
      <c r="L440" s="7">
        <f t="shared" si="32"/>
        <v>160</v>
      </c>
      <c r="M440" s="11"/>
      <c r="N440"/>
    </row>
    <row r="441" spans="1:14" ht="24.75" customHeight="1">
      <c r="A441" s="5">
        <v>439</v>
      </c>
      <c r="B441" s="5" t="s">
        <v>19</v>
      </c>
      <c r="C441" s="5" t="str">
        <f>"陈梅香"</f>
        <v>陈梅香</v>
      </c>
      <c r="D441" s="5" t="str">
        <f>"460003199611123444"</f>
        <v>460003199611123444</v>
      </c>
      <c r="E441" s="5" t="s">
        <v>15</v>
      </c>
      <c r="F441" s="5" t="str">
        <f>"073102031141"</f>
        <v>073102031141</v>
      </c>
      <c r="G441" s="7">
        <v>91</v>
      </c>
      <c r="H441" s="7">
        <f t="shared" si="30"/>
        <v>45.5</v>
      </c>
      <c r="I441" s="7">
        <v>33.58</v>
      </c>
      <c r="J441" s="7">
        <f t="shared" si="31"/>
        <v>16.79</v>
      </c>
      <c r="K441" s="10">
        <f t="shared" si="33"/>
        <v>62.29</v>
      </c>
      <c r="L441" s="7">
        <f t="shared" si="32"/>
        <v>161</v>
      </c>
      <c r="M441" s="11"/>
      <c r="N441"/>
    </row>
    <row r="442" spans="1:14" ht="24.75" customHeight="1">
      <c r="A442" s="5">
        <v>440</v>
      </c>
      <c r="B442" s="5" t="s">
        <v>19</v>
      </c>
      <c r="C442" s="5" t="str">
        <f>"符鹤玲"</f>
        <v>符鹤玲</v>
      </c>
      <c r="D442" s="5" t="str">
        <f>"460003199402164629"</f>
        <v>460003199402164629</v>
      </c>
      <c r="E442" s="5" t="s">
        <v>15</v>
      </c>
      <c r="F442" s="5" t="str">
        <f>"073102020924"</f>
        <v>073102020924</v>
      </c>
      <c r="G442" s="7">
        <v>75.2</v>
      </c>
      <c r="H442" s="7">
        <f t="shared" si="30"/>
        <v>37.6</v>
      </c>
      <c r="I442" s="7">
        <v>49.252</v>
      </c>
      <c r="J442" s="7">
        <f t="shared" si="31"/>
        <v>24.626</v>
      </c>
      <c r="K442" s="10">
        <f t="shared" si="33"/>
        <v>62.226</v>
      </c>
      <c r="L442" s="7">
        <f t="shared" si="32"/>
        <v>162</v>
      </c>
      <c r="M442" s="11"/>
      <c r="N442"/>
    </row>
    <row r="443" spans="1:14" ht="24.75" customHeight="1">
      <c r="A443" s="5">
        <v>441</v>
      </c>
      <c r="B443" s="5" t="s">
        <v>19</v>
      </c>
      <c r="C443" s="5" t="str">
        <f>"简国宁"</f>
        <v>简国宁</v>
      </c>
      <c r="D443" s="5" t="str">
        <f>"460003199209131817"</f>
        <v>460003199209131817</v>
      </c>
      <c r="E443" s="5" t="s">
        <v>15</v>
      </c>
      <c r="F443" s="5" t="str">
        <f>"073102030820"</f>
        <v>073102030820</v>
      </c>
      <c r="G443" s="7">
        <v>77</v>
      </c>
      <c r="H443" s="7">
        <f t="shared" si="30"/>
        <v>38.5</v>
      </c>
      <c r="I443" s="7">
        <v>47.28</v>
      </c>
      <c r="J443" s="7">
        <f t="shared" si="31"/>
        <v>23.64</v>
      </c>
      <c r="K443" s="10">
        <f t="shared" si="33"/>
        <v>62.14</v>
      </c>
      <c r="L443" s="7">
        <f t="shared" si="32"/>
        <v>163</v>
      </c>
      <c r="M443" s="11"/>
      <c r="N443"/>
    </row>
    <row r="444" spans="1:14" ht="24.75" customHeight="1">
      <c r="A444" s="5">
        <v>442</v>
      </c>
      <c r="B444" s="5" t="s">
        <v>19</v>
      </c>
      <c r="C444" s="5" t="str">
        <f>"黄瑞才"</f>
        <v>黄瑞才</v>
      </c>
      <c r="D444" s="5" t="str">
        <f>"460003199112030622"</f>
        <v>460003199112030622</v>
      </c>
      <c r="E444" s="5" t="s">
        <v>15</v>
      </c>
      <c r="F444" s="5" t="str">
        <f>"073102030111"</f>
        <v>073102030111</v>
      </c>
      <c r="G444" s="7">
        <v>74.9</v>
      </c>
      <c r="H444" s="7">
        <f t="shared" si="30"/>
        <v>37.45</v>
      </c>
      <c r="I444" s="7">
        <v>49.295</v>
      </c>
      <c r="J444" s="7">
        <f t="shared" si="31"/>
        <v>24.6475</v>
      </c>
      <c r="K444" s="10">
        <f t="shared" si="33"/>
        <v>62.097500000000004</v>
      </c>
      <c r="L444" s="7">
        <f t="shared" si="32"/>
        <v>164</v>
      </c>
      <c r="M444" s="11"/>
      <c r="N444"/>
    </row>
    <row r="445" spans="1:14" ht="24.75" customHeight="1">
      <c r="A445" s="5">
        <v>443</v>
      </c>
      <c r="B445" s="5" t="s">
        <v>19</v>
      </c>
      <c r="C445" s="5" t="str">
        <f>"李宏文"</f>
        <v>李宏文</v>
      </c>
      <c r="D445" s="5" t="str">
        <f>"362401199908164412"</f>
        <v>362401199908164412</v>
      </c>
      <c r="E445" s="5" t="s">
        <v>15</v>
      </c>
      <c r="F445" s="5" t="str">
        <f>"073102031229"</f>
        <v>073102031229</v>
      </c>
      <c r="G445" s="7">
        <v>59.4</v>
      </c>
      <c r="H445" s="7">
        <f t="shared" si="30"/>
        <v>29.7</v>
      </c>
      <c r="I445" s="7">
        <v>64.674</v>
      </c>
      <c r="J445" s="7">
        <f t="shared" si="31"/>
        <v>32.337</v>
      </c>
      <c r="K445" s="10">
        <f t="shared" si="33"/>
        <v>62.037000000000006</v>
      </c>
      <c r="L445" s="7">
        <f t="shared" si="32"/>
        <v>165</v>
      </c>
      <c r="M445" s="11"/>
      <c r="N445"/>
    </row>
    <row r="446" spans="1:14" ht="24.75" customHeight="1">
      <c r="A446" s="5">
        <v>444</v>
      </c>
      <c r="B446" s="5" t="s">
        <v>19</v>
      </c>
      <c r="C446" s="5" t="str">
        <f>"王英帆"</f>
        <v>王英帆</v>
      </c>
      <c r="D446" s="5" t="str">
        <f>"460004200008170416"</f>
        <v>460004200008170416</v>
      </c>
      <c r="E446" s="5" t="s">
        <v>15</v>
      </c>
      <c r="F446" s="5" t="str">
        <f>"073102020725"</f>
        <v>073102020725</v>
      </c>
      <c r="G446" s="7">
        <v>64.3</v>
      </c>
      <c r="H446" s="7">
        <f t="shared" si="30"/>
        <v>32.15</v>
      </c>
      <c r="I446" s="7">
        <v>59.721</v>
      </c>
      <c r="J446" s="7">
        <f t="shared" si="31"/>
        <v>29.8605</v>
      </c>
      <c r="K446" s="10">
        <f t="shared" si="33"/>
        <v>62.01049999999999</v>
      </c>
      <c r="L446" s="7">
        <f t="shared" si="32"/>
        <v>166</v>
      </c>
      <c r="M446" s="11"/>
      <c r="N446"/>
    </row>
    <row r="447" spans="1:14" ht="24.75" customHeight="1">
      <c r="A447" s="5">
        <v>445</v>
      </c>
      <c r="B447" s="5" t="s">
        <v>19</v>
      </c>
      <c r="C447" s="5" t="str">
        <f>"麦君田"</f>
        <v>麦君田</v>
      </c>
      <c r="D447" s="5" t="str">
        <f>"46900319970919672X"</f>
        <v>46900319970919672X</v>
      </c>
      <c r="E447" s="5" t="s">
        <v>15</v>
      </c>
      <c r="F447" s="5" t="str">
        <f>"073102031223"</f>
        <v>073102031223</v>
      </c>
      <c r="G447" s="7">
        <v>67.8</v>
      </c>
      <c r="H447" s="7">
        <f t="shared" si="30"/>
        <v>33.9</v>
      </c>
      <c r="I447" s="7">
        <v>56.078</v>
      </c>
      <c r="J447" s="7">
        <f t="shared" si="31"/>
        <v>28.039</v>
      </c>
      <c r="K447" s="10">
        <f t="shared" si="33"/>
        <v>61.939</v>
      </c>
      <c r="L447" s="7">
        <f t="shared" si="32"/>
        <v>167</v>
      </c>
      <c r="M447" s="11"/>
      <c r="N447"/>
    </row>
    <row r="448" spans="1:14" ht="24.75" customHeight="1">
      <c r="A448" s="5">
        <v>446</v>
      </c>
      <c r="B448" s="5" t="s">
        <v>19</v>
      </c>
      <c r="C448" s="5" t="str">
        <f>"邝春艳"</f>
        <v>邝春艳</v>
      </c>
      <c r="D448" s="5" t="str">
        <f>"460003199103300045"</f>
        <v>460003199103300045</v>
      </c>
      <c r="E448" s="5" t="s">
        <v>15</v>
      </c>
      <c r="F448" s="5" t="str">
        <f>"073102030138"</f>
        <v>073102030138</v>
      </c>
      <c r="G448" s="7">
        <v>72.9</v>
      </c>
      <c r="H448" s="7">
        <f t="shared" si="30"/>
        <v>36.45</v>
      </c>
      <c r="I448" s="7">
        <v>50.974</v>
      </c>
      <c r="J448" s="7">
        <f t="shared" si="31"/>
        <v>25.487</v>
      </c>
      <c r="K448" s="10">
        <f t="shared" si="33"/>
        <v>61.937</v>
      </c>
      <c r="L448" s="7">
        <f t="shared" si="32"/>
        <v>168</v>
      </c>
      <c r="M448" s="11"/>
      <c r="N448"/>
    </row>
    <row r="449" spans="1:14" ht="24.75" customHeight="1">
      <c r="A449" s="5">
        <v>447</v>
      </c>
      <c r="B449" s="5" t="s">
        <v>19</v>
      </c>
      <c r="C449" s="5" t="str">
        <f>"钟兴"</f>
        <v>钟兴</v>
      </c>
      <c r="D449" s="5" t="str">
        <f>"460003199709040612"</f>
        <v>460003199709040612</v>
      </c>
      <c r="E449" s="5" t="s">
        <v>15</v>
      </c>
      <c r="F449" s="5" t="str">
        <f>"073102020532"</f>
        <v>073102020532</v>
      </c>
      <c r="G449" s="7">
        <v>61.2</v>
      </c>
      <c r="H449" s="7">
        <f t="shared" si="30"/>
        <v>30.6</v>
      </c>
      <c r="I449" s="7">
        <v>62.524</v>
      </c>
      <c r="J449" s="7">
        <f t="shared" si="31"/>
        <v>31.262</v>
      </c>
      <c r="K449" s="10">
        <f t="shared" si="33"/>
        <v>61.862</v>
      </c>
      <c r="L449" s="7">
        <f t="shared" si="32"/>
        <v>169</v>
      </c>
      <c r="M449" s="11"/>
      <c r="N449"/>
    </row>
    <row r="450" spans="1:14" ht="24.75" customHeight="1">
      <c r="A450" s="5">
        <v>448</v>
      </c>
      <c r="B450" s="5" t="s">
        <v>19</v>
      </c>
      <c r="C450" s="5" t="str">
        <f>"李助秋"</f>
        <v>李助秋</v>
      </c>
      <c r="D450" s="5" t="str">
        <f>"460003200001317220"</f>
        <v>460003200001317220</v>
      </c>
      <c r="E450" s="5" t="s">
        <v>15</v>
      </c>
      <c r="F450" s="5" t="str">
        <f>"073102020542"</f>
        <v>073102020542</v>
      </c>
      <c r="G450" s="7">
        <v>82.1</v>
      </c>
      <c r="H450" s="7">
        <f t="shared" si="30"/>
        <v>41.05</v>
      </c>
      <c r="I450" s="7">
        <v>41.574</v>
      </c>
      <c r="J450" s="7">
        <f t="shared" si="31"/>
        <v>20.787</v>
      </c>
      <c r="K450" s="10">
        <f t="shared" si="33"/>
        <v>61.836999999999996</v>
      </c>
      <c r="L450" s="7">
        <f t="shared" si="32"/>
        <v>170</v>
      </c>
      <c r="M450" s="11"/>
      <c r="N450"/>
    </row>
    <row r="451" spans="1:14" ht="24.75" customHeight="1">
      <c r="A451" s="5">
        <v>449</v>
      </c>
      <c r="B451" s="5" t="s">
        <v>19</v>
      </c>
      <c r="C451" s="5" t="str">
        <f>"林明文"</f>
        <v>林明文</v>
      </c>
      <c r="D451" s="5" t="str">
        <f>"469002200006164122"</f>
        <v>469002200006164122</v>
      </c>
      <c r="E451" s="5" t="s">
        <v>15</v>
      </c>
      <c r="F451" s="5" t="str">
        <f>"073102020632"</f>
        <v>073102020632</v>
      </c>
      <c r="G451" s="7">
        <v>75.2</v>
      </c>
      <c r="H451" s="7">
        <f aca="true" t="shared" si="34" ref="H451:H514">G451*0.5</f>
        <v>37.6</v>
      </c>
      <c r="I451" s="7">
        <v>48.471</v>
      </c>
      <c r="J451" s="7">
        <f aca="true" t="shared" si="35" ref="J451:J514">I451*0.5</f>
        <v>24.2355</v>
      </c>
      <c r="K451" s="10">
        <f t="shared" si="33"/>
        <v>61.835499999999996</v>
      </c>
      <c r="L451" s="7">
        <f t="shared" si="32"/>
        <v>171</v>
      </c>
      <c r="M451" s="11"/>
      <c r="N451"/>
    </row>
    <row r="452" spans="1:14" ht="24.75" customHeight="1">
      <c r="A452" s="5">
        <v>450</v>
      </c>
      <c r="B452" s="5" t="s">
        <v>19</v>
      </c>
      <c r="C452" s="5" t="str">
        <f>"廖兴华"</f>
        <v>廖兴华</v>
      </c>
      <c r="D452" s="5" t="str">
        <f>"460108199809130612"</f>
        <v>460108199809130612</v>
      </c>
      <c r="E452" s="5" t="s">
        <v>15</v>
      </c>
      <c r="F452" s="5" t="str">
        <f>"073102020533"</f>
        <v>073102020533</v>
      </c>
      <c r="G452" s="7">
        <v>60.7</v>
      </c>
      <c r="H452" s="7">
        <f t="shared" si="34"/>
        <v>30.35</v>
      </c>
      <c r="I452" s="7">
        <v>62.915</v>
      </c>
      <c r="J452" s="7">
        <f t="shared" si="35"/>
        <v>31.4575</v>
      </c>
      <c r="K452" s="10">
        <f t="shared" si="33"/>
        <v>61.807500000000005</v>
      </c>
      <c r="L452" s="7">
        <f t="shared" si="32"/>
        <v>172</v>
      </c>
      <c r="M452" s="11"/>
      <c r="N452"/>
    </row>
    <row r="453" spans="1:14" ht="24.75" customHeight="1">
      <c r="A453" s="5">
        <v>451</v>
      </c>
      <c r="B453" s="5" t="s">
        <v>19</v>
      </c>
      <c r="C453" s="5" t="str">
        <f>"罗琼欣"</f>
        <v>罗琼欣</v>
      </c>
      <c r="D453" s="5" t="str">
        <f>"460006199802101626"</f>
        <v>460006199802101626</v>
      </c>
      <c r="E453" s="5" t="s">
        <v>15</v>
      </c>
      <c r="F453" s="5" t="str">
        <f>"073102030926"</f>
        <v>073102030926</v>
      </c>
      <c r="G453" s="7">
        <v>79.6</v>
      </c>
      <c r="H453" s="7">
        <f t="shared" si="34"/>
        <v>39.8</v>
      </c>
      <c r="I453" s="7">
        <v>43.788</v>
      </c>
      <c r="J453" s="7">
        <f t="shared" si="35"/>
        <v>21.894</v>
      </c>
      <c r="K453" s="10">
        <f t="shared" si="33"/>
        <v>61.693999999999996</v>
      </c>
      <c r="L453" s="7">
        <f t="shared" si="32"/>
        <v>173</v>
      </c>
      <c r="M453" s="11"/>
      <c r="N453"/>
    </row>
    <row r="454" spans="1:14" ht="24.75" customHeight="1">
      <c r="A454" s="5">
        <v>452</v>
      </c>
      <c r="B454" s="5" t="s">
        <v>19</v>
      </c>
      <c r="C454" s="5" t="str">
        <f>"王菁"</f>
        <v>王菁</v>
      </c>
      <c r="D454" s="5" t="str">
        <f>"460036199603042123"</f>
        <v>460036199603042123</v>
      </c>
      <c r="E454" s="5" t="s">
        <v>15</v>
      </c>
      <c r="F454" s="5" t="str">
        <f>"073102031103"</f>
        <v>073102031103</v>
      </c>
      <c r="G454" s="7">
        <v>80</v>
      </c>
      <c r="H454" s="7">
        <f t="shared" si="34"/>
        <v>40</v>
      </c>
      <c r="I454" s="7">
        <v>43.385</v>
      </c>
      <c r="J454" s="7">
        <f t="shared" si="35"/>
        <v>21.6925</v>
      </c>
      <c r="K454" s="10">
        <f t="shared" si="33"/>
        <v>61.692499999999995</v>
      </c>
      <c r="L454" s="7">
        <f t="shared" si="32"/>
        <v>174</v>
      </c>
      <c r="M454" s="11"/>
      <c r="N454"/>
    </row>
    <row r="455" spans="1:14" ht="24.75" customHeight="1">
      <c r="A455" s="5">
        <v>453</v>
      </c>
      <c r="B455" s="5" t="s">
        <v>19</v>
      </c>
      <c r="C455" s="5" t="str">
        <f>"温伯婵"</f>
        <v>温伯婵</v>
      </c>
      <c r="D455" s="5" t="str">
        <f>"450922199808283229"</f>
        <v>450922199808283229</v>
      </c>
      <c r="E455" s="5" t="s">
        <v>15</v>
      </c>
      <c r="F455" s="5" t="str">
        <f>"073102020508"</f>
        <v>073102020508</v>
      </c>
      <c r="G455" s="7">
        <v>72.4</v>
      </c>
      <c r="H455" s="7">
        <f t="shared" si="34"/>
        <v>36.2</v>
      </c>
      <c r="I455" s="7">
        <v>50.748</v>
      </c>
      <c r="J455" s="7">
        <f t="shared" si="35"/>
        <v>25.374</v>
      </c>
      <c r="K455" s="10">
        <f t="shared" si="33"/>
        <v>61.574</v>
      </c>
      <c r="L455" s="7">
        <f t="shared" si="32"/>
        <v>175</v>
      </c>
      <c r="M455" s="11"/>
      <c r="N455"/>
    </row>
    <row r="456" spans="1:14" ht="24.75" customHeight="1">
      <c r="A456" s="5">
        <v>454</v>
      </c>
      <c r="B456" s="5" t="s">
        <v>19</v>
      </c>
      <c r="C456" s="5" t="str">
        <f>"许雅芝"</f>
        <v>许雅芝</v>
      </c>
      <c r="D456" s="5" t="str">
        <f>"460028199110241626"</f>
        <v>460028199110241626</v>
      </c>
      <c r="E456" s="5" t="s">
        <v>15</v>
      </c>
      <c r="F456" s="5" t="str">
        <f>"073102030412"</f>
        <v>073102030412</v>
      </c>
      <c r="G456" s="7">
        <v>75.4</v>
      </c>
      <c r="H456" s="7">
        <f t="shared" si="34"/>
        <v>37.7</v>
      </c>
      <c r="I456" s="7">
        <v>47.616</v>
      </c>
      <c r="J456" s="7">
        <f t="shared" si="35"/>
        <v>23.808</v>
      </c>
      <c r="K456" s="10">
        <f t="shared" si="33"/>
        <v>61.508</v>
      </c>
      <c r="L456" s="7">
        <f t="shared" si="32"/>
        <v>176</v>
      </c>
      <c r="M456" s="11"/>
      <c r="N456"/>
    </row>
    <row r="457" spans="1:14" ht="24.75" customHeight="1">
      <c r="A457" s="5">
        <v>455</v>
      </c>
      <c r="B457" s="5" t="s">
        <v>19</v>
      </c>
      <c r="C457" s="5" t="str">
        <f>"朱水带"</f>
        <v>朱水带</v>
      </c>
      <c r="D457" s="5" t="str">
        <f>"460003199110177049"</f>
        <v>460003199110177049</v>
      </c>
      <c r="E457" s="5" t="s">
        <v>15</v>
      </c>
      <c r="F457" s="5" t="str">
        <f>"073102020121"</f>
        <v>073102020121</v>
      </c>
      <c r="G457" s="7">
        <v>76.1</v>
      </c>
      <c r="H457" s="7">
        <f t="shared" si="34"/>
        <v>38.05</v>
      </c>
      <c r="I457" s="7">
        <v>46.779</v>
      </c>
      <c r="J457" s="7">
        <f t="shared" si="35"/>
        <v>23.3895</v>
      </c>
      <c r="K457" s="10">
        <f t="shared" si="33"/>
        <v>61.439499999999995</v>
      </c>
      <c r="L457" s="7">
        <f t="shared" si="32"/>
        <v>177</v>
      </c>
      <c r="M457" s="11"/>
      <c r="N457"/>
    </row>
    <row r="458" spans="1:14" ht="24.75" customHeight="1">
      <c r="A458" s="5">
        <v>456</v>
      </c>
      <c r="B458" s="5" t="s">
        <v>19</v>
      </c>
      <c r="C458" s="5" t="str">
        <f>"符欢女"</f>
        <v>符欢女</v>
      </c>
      <c r="D458" s="5" t="str">
        <f>"460003199101055824"</f>
        <v>460003199101055824</v>
      </c>
      <c r="E458" s="5" t="s">
        <v>15</v>
      </c>
      <c r="F458" s="5" t="str">
        <f>"073102020111"</f>
        <v>073102020111</v>
      </c>
      <c r="G458" s="7">
        <v>68.7</v>
      </c>
      <c r="H458" s="7">
        <f t="shared" si="34"/>
        <v>34.35</v>
      </c>
      <c r="I458" s="7">
        <v>54.066</v>
      </c>
      <c r="J458" s="7">
        <f t="shared" si="35"/>
        <v>27.033</v>
      </c>
      <c r="K458" s="10">
        <f t="shared" si="33"/>
        <v>61.383</v>
      </c>
      <c r="L458" s="7">
        <f t="shared" si="32"/>
        <v>178</v>
      </c>
      <c r="M458" s="11"/>
      <c r="N458"/>
    </row>
    <row r="459" spans="1:14" ht="24.75" customHeight="1">
      <c r="A459" s="5">
        <v>457</v>
      </c>
      <c r="B459" s="5" t="s">
        <v>19</v>
      </c>
      <c r="C459" s="5" t="str">
        <f>"黎慧岭"</f>
        <v>黎慧岭</v>
      </c>
      <c r="D459" s="5" t="str">
        <f>"460003199612221425"</f>
        <v>460003199612221425</v>
      </c>
      <c r="E459" s="5" t="s">
        <v>15</v>
      </c>
      <c r="F459" s="5" t="str">
        <f>"073102020105"</f>
        <v>073102020105</v>
      </c>
      <c r="G459" s="7">
        <v>73.4</v>
      </c>
      <c r="H459" s="7">
        <f t="shared" si="34"/>
        <v>36.7</v>
      </c>
      <c r="I459" s="7">
        <v>49.187</v>
      </c>
      <c r="J459" s="7">
        <f t="shared" si="35"/>
        <v>24.5935</v>
      </c>
      <c r="K459" s="10">
        <f t="shared" si="33"/>
        <v>61.2935</v>
      </c>
      <c r="L459" s="7">
        <f t="shared" si="32"/>
        <v>179</v>
      </c>
      <c r="M459" s="11"/>
      <c r="N459"/>
    </row>
    <row r="460" spans="1:14" ht="24.75" customHeight="1">
      <c r="A460" s="5">
        <v>458</v>
      </c>
      <c r="B460" s="5" t="s">
        <v>19</v>
      </c>
      <c r="C460" s="5" t="str">
        <f>"黄冬影"</f>
        <v>黄冬影</v>
      </c>
      <c r="D460" s="5" t="str">
        <f>"460035199310181182"</f>
        <v>460035199310181182</v>
      </c>
      <c r="E460" s="5" t="s">
        <v>15</v>
      </c>
      <c r="F460" s="5" t="str">
        <f>"073102030308"</f>
        <v>073102030308</v>
      </c>
      <c r="G460" s="7">
        <v>73.6</v>
      </c>
      <c r="H460" s="7">
        <f t="shared" si="34"/>
        <v>36.8</v>
      </c>
      <c r="I460" s="7">
        <v>48.959</v>
      </c>
      <c r="J460" s="7">
        <f t="shared" si="35"/>
        <v>24.4795</v>
      </c>
      <c r="K460" s="10">
        <f t="shared" si="33"/>
        <v>61.2795</v>
      </c>
      <c r="L460" s="7">
        <f t="shared" si="32"/>
        <v>180</v>
      </c>
      <c r="M460" s="11"/>
      <c r="N460"/>
    </row>
    <row r="461" spans="1:14" ht="24.75" customHeight="1">
      <c r="A461" s="5">
        <v>459</v>
      </c>
      <c r="B461" s="5" t="s">
        <v>19</v>
      </c>
      <c r="C461" s="5" t="str">
        <f>"陈金凤"</f>
        <v>陈金凤</v>
      </c>
      <c r="D461" s="5" t="str">
        <f>"460003199209083229"</f>
        <v>460003199209083229</v>
      </c>
      <c r="E461" s="5" t="s">
        <v>15</v>
      </c>
      <c r="F461" s="5" t="str">
        <f>"073102030623"</f>
        <v>073102030623</v>
      </c>
      <c r="G461" s="7">
        <v>78.7</v>
      </c>
      <c r="H461" s="7">
        <f t="shared" si="34"/>
        <v>39.35</v>
      </c>
      <c r="I461" s="7">
        <v>43.452</v>
      </c>
      <c r="J461" s="7">
        <f t="shared" si="35"/>
        <v>21.726</v>
      </c>
      <c r="K461" s="10">
        <f t="shared" si="33"/>
        <v>61.076</v>
      </c>
      <c r="L461" s="7">
        <f t="shared" si="32"/>
        <v>181</v>
      </c>
      <c r="M461" s="11"/>
      <c r="N461"/>
    </row>
    <row r="462" spans="1:14" ht="24.75" customHeight="1">
      <c r="A462" s="5">
        <v>460</v>
      </c>
      <c r="B462" s="5" t="s">
        <v>19</v>
      </c>
      <c r="C462" s="5" t="str">
        <f>"李蔚艳"</f>
        <v>李蔚艳</v>
      </c>
      <c r="D462" s="5" t="str">
        <f>"46010219950914212X"</f>
        <v>46010219950914212X</v>
      </c>
      <c r="E462" s="5" t="s">
        <v>15</v>
      </c>
      <c r="F462" s="5" t="str">
        <f>"073102030812"</f>
        <v>073102030812</v>
      </c>
      <c r="G462" s="7">
        <v>73.4</v>
      </c>
      <c r="H462" s="7">
        <f t="shared" si="34"/>
        <v>36.7</v>
      </c>
      <c r="I462" s="7">
        <v>48.69</v>
      </c>
      <c r="J462" s="7">
        <f t="shared" si="35"/>
        <v>24.345</v>
      </c>
      <c r="K462" s="10">
        <f t="shared" si="33"/>
        <v>61.045</v>
      </c>
      <c r="L462" s="7">
        <f t="shared" si="32"/>
        <v>182</v>
      </c>
      <c r="M462" s="11"/>
      <c r="N462"/>
    </row>
    <row r="463" spans="1:14" ht="24.75" customHeight="1">
      <c r="A463" s="5">
        <v>461</v>
      </c>
      <c r="B463" s="5" t="s">
        <v>19</v>
      </c>
      <c r="C463" s="5" t="str">
        <f>"余秀庆"</f>
        <v>余秀庆</v>
      </c>
      <c r="D463" s="5" t="str">
        <f>"460003199205034024"</f>
        <v>460003199205034024</v>
      </c>
      <c r="E463" s="5" t="s">
        <v>15</v>
      </c>
      <c r="F463" s="5" t="str">
        <f>"073102030240"</f>
        <v>073102030240</v>
      </c>
      <c r="G463" s="7">
        <v>58.2</v>
      </c>
      <c r="H463" s="7">
        <f t="shared" si="34"/>
        <v>29.1</v>
      </c>
      <c r="I463" s="7">
        <v>63.801</v>
      </c>
      <c r="J463" s="7">
        <f t="shared" si="35"/>
        <v>31.9005</v>
      </c>
      <c r="K463" s="10">
        <f t="shared" si="33"/>
        <v>61.0005</v>
      </c>
      <c r="L463" s="7">
        <f t="shared" si="32"/>
        <v>183</v>
      </c>
      <c r="M463" s="11"/>
      <c r="N463"/>
    </row>
    <row r="464" spans="1:14" ht="24.75" customHeight="1">
      <c r="A464" s="5">
        <v>462</v>
      </c>
      <c r="B464" s="5" t="s">
        <v>19</v>
      </c>
      <c r="C464" s="5" t="str">
        <f>"陈彦君"</f>
        <v>陈彦君</v>
      </c>
      <c r="D464" s="5" t="str">
        <f>"460003199501130029"</f>
        <v>460003199501130029</v>
      </c>
      <c r="E464" s="5" t="s">
        <v>15</v>
      </c>
      <c r="F464" s="5" t="str">
        <f>"073102030131"</f>
        <v>073102030131</v>
      </c>
      <c r="G464" s="7">
        <v>73</v>
      </c>
      <c r="H464" s="7">
        <f t="shared" si="34"/>
        <v>36.5</v>
      </c>
      <c r="I464" s="7">
        <v>48.959</v>
      </c>
      <c r="J464" s="7">
        <f t="shared" si="35"/>
        <v>24.4795</v>
      </c>
      <c r="K464" s="10">
        <f t="shared" si="33"/>
        <v>60.9795</v>
      </c>
      <c r="L464" s="7">
        <f t="shared" si="32"/>
        <v>184</v>
      </c>
      <c r="M464" s="11"/>
      <c r="N464"/>
    </row>
    <row r="465" spans="1:14" ht="24.75" customHeight="1">
      <c r="A465" s="5">
        <v>463</v>
      </c>
      <c r="B465" s="5" t="s">
        <v>19</v>
      </c>
      <c r="C465" s="5" t="str">
        <f>"凌慧"</f>
        <v>凌慧</v>
      </c>
      <c r="D465" s="5" t="str">
        <f>"460027199701170026"</f>
        <v>460027199701170026</v>
      </c>
      <c r="E465" s="5" t="s">
        <v>15</v>
      </c>
      <c r="F465" s="5" t="str">
        <f>"073102030917"</f>
        <v>073102030917</v>
      </c>
      <c r="G465" s="7">
        <v>61.7</v>
      </c>
      <c r="H465" s="7">
        <f t="shared" si="34"/>
        <v>30.85</v>
      </c>
      <c r="I465" s="7">
        <v>60.242</v>
      </c>
      <c r="J465" s="7">
        <f t="shared" si="35"/>
        <v>30.121</v>
      </c>
      <c r="K465" s="10">
        <f t="shared" si="33"/>
        <v>60.971000000000004</v>
      </c>
      <c r="L465" s="7">
        <f t="shared" si="32"/>
        <v>185</v>
      </c>
      <c r="M465" s="11"/>
      <c r="N465"/>
    </row>
    <row r="466" spans="1:14" ht="24.75" customHeight="1">
      <c r="A466" s="5">
        <v>464</v>
      </c>
      <c r="B466" s="5" t="s">
        <v>19</v>
      </c>
      <c r="C466" s="5" t="str">
        <f>"梁烨铭"</f>
        <v>梁烨铭</v>
      </c>
      <c r="D466" s="5" t="str">
        <f>"460003199909047018"</f>
        <v>460003199909047018</v>
      </c>
      <c r="E466" s="5" t="s">
        <v>15</v>
      </c>
      <c r="F466" s="5" t="str">
        <f>"073102030732"</f>
        <v>073102030732</v>
      </c>
      <c r="G466" s="7">
        <v>68.7</v>
      </c>
      <c r="H466" s="7">
        <f t="shared" si="34"/>
        <v>34.35</v>
      </c>
      <c r="I466" s="7">
        <v>53.19</v>
      </c>
      <c r="J466" s="7">
        <f t="shared" si="35"/>
        <v>26.595</v>
      </c>
      <c r="K466" s="10">
        <f t="shared" si="33"/>
        <v>60.945</v>
      </c>
      <c r="L466" s="7">
        <f t="shared" si="32"/>
        <v>186</v>
      </c>
      <c r="M466" s="11"/>
      <c r="N466"/>
    </row>
    <row r="467" spans="1:14" ht="24.75" customHeight="1">
      <c r="A467" s="5">
        <v>465</v>
      </c>
      <c r="B467" s="5" t="s">
        <v>19</v>
      </c>
      <c r="C467" s="5" t="str">
        <f>"赵金秀"</f>
        <v>赵金秀</v>
      </c>
      <c r="D467" s="5" t="str">
        <f>"46000319960312384X"</f>
        <v>46000319960312384X</v>
      </c>
      <c r="E467" s="5" t="s">
        <v>15</v>
      </c>
      <c r="F467" s="5" t="str">
        <f>"073102020127"</f>
        <v>073102020127</v>
      </c>
      <c r="G467" s="7">
        <v>72.5</v>
      </c>
      <c r="H467" s="7">
        <f t="shared" si="34"/>
        <v>36.25</v>
      </c>
      <c r="I467" s="7">
        <v>48.992</v>
      </c>
      <c r="J467" s="7">
        <f t="shared" si="35"/>
        <v>24.496</v>
      </c>
      <c r="K467" s="10">
        <f t="shared" si="33"/>
        <v>60.745999999999995</v>
      </c>
      <c r="L467" s="7">
        <f t="shared" si="32"/>
        <v>187</v>
      </c>
      <c r="M467" s="11"/>
      <c r="N467"/>
    </row>
    <row r="468" spans="1:14" ht="24.75" customHeight="1">
      <c r="A468" s="5">
        <v>466</v>
      </c>
      <c r="B468" s="5" t="s">
        <v>19</v>
      </c>
      <c r="C468" s="5" t="str">
        <f>"王艳玲"</f>
        <v>王艳玲</v>
      </c>
      <c r="D468" s="5" t="str">
        <f>"460030199408300029"</f>
        <v>460030199408300029</v>
      </c>
      <c r="E468" s="5" t="s">
        <v>15</v>
      </c>
      <c r="F468" s="5" t="str">
        <f>"073102021026"</f>
        <v>073102021026</v>
      </c>
      <c r="G468" s="7">
        <v>62.5</v>
      </c>
      <c r="H468" s="7">
        <f t="shared" si="34"/>
        <v>31.25</v>
      </c>
      <c r="I468" s="7">
        <v>58.686</v>
      </c>
      <c r="J468" s="7">
        <f t="shared" si="35"/>
        <v>29.343</v>
      </c>
      <c r="K468" s="10">
        <f t="shared" si="33"/>
        <v>60.593</v>
      </c>
      <c r="L468" s="7">
        <f t="shared" si="32"/>
        <v>188</v>
      </c>
      <c r="M468" s="11"/>
      <c r="N468"/>
    </row>
    <row r="469" spans="1:14" ht="24.75" customHeight="1">
      <c r="A469" s="5">
        <v>467</v>
      </c>
      <c r="B469" s="5" t="s">
        <v>19</v>
      </c>
      <c r="C469" s="5" t="str">
        <f>"张善亮"</f>
        <v>张善亮</v>
      </c>
      <c r="D469" s="5" t="str">
        <f>"460030199309120014"</f>
        <v>460030199309120014</v>
      </c>
      <c r="E469" s="5" t="s">
        <v>15</v>
      </c>
      <c r="F469" s="5" t="str">
        <f>"073102030819"</f>
        <v>073102030819</v>
      </c>
      <c r="G469" s="7">
        <v>59.3</v>
      </c>
      <c r="H469" s="7">
        <f t="shared" si="34"/>
        <v>29.65</v>
      </c>
      <c r="I469" s="7">
        <v>61.719</v>
      </c>
      <c r="J469" s="7">
        <f t="shared" si="35"/>
        <v>30.8595</v>
      </c>
      <c r="K469" s="10">
        <f t="shared" si="33"/>
        <v>60.5095</v>
      </c>
      <c r="L469" s="7">
        <f t="shared" si="32"/>
        <v>189</v>
      </c>
      <c r="M469" s="11"/>
      <c r="N469"/>
    </row>
    <row r="470" spans="1:14" ht="24.75" customHeight="1">
      <c r="A470" s="5">
        <v>468</v>
      </c>
      <c r="B470" s="5" t="s">
        <v>19</v>
      </c>
      <c r="C470" s="5" t="str">
        <f>"苏贤信"</f>
        <v>苏贤信</v>
      </c>
      <c r="D470" s="5" t="str">
        <f>"460003199609154655"</f>
        <v>460003199609154655</v>
      </c>
      <c r="E470" s="5" t="s">
        <v>15</v>
      </c>
      <c r="F470" s="5" t="str">
        <f>"073102021240"</f>
        <v>073102021240</v>
      </c>
      <c r="G470" s="7">
        <v>70.5</v>
      </c>
      <c r="H470" s="7">
        <f t="shared" si="34"/>
        <v>35.25</v>
      </c>
      <c r="I470" s="7">
        <v>50.423</v>
      </c>
      <c r="J470" s="7">
        <f t="shared" si="35"/>
        <v>25.2115</v>
      </c>
      <c r="K470" s="10">
        <f t="shared" si="33"/>
        <v>60.4615</v>
      </c>
      <c r="L470" s="7">
        <f t="shared" si="32"/>
        <v>190</v>
      </c>
      <c r="M470" s="11"/>
      <c r="N470"/>
    </row>
    <row r="471" spans="1:14" ht="24.75" customHeight="1">
      <c r="A471" s="5">
        <v>469</v>
      </c>
      <c r="B471" s="5" t="s">
        <v>19</v>
      </c>
      <c r="C471" s="5" t="str">
        <f>"杨妹妹"</f>
        <v>杨妹妹</v>
      </c>
      <c r="D471" s="5" t="str">
        <f>"460003199206134828"</f>
        <v>460003199206134828</v>
      </c>
      <c r="E471" s="5" t="s">
        <v>15</v>
      </c>
      <c r="F471" s="5" t="str">
        <f>"073102020738"</f>
        <v>073102020738</v>
      </c>
      <c r="G471" s="7">
        <v>76.3</v>
      </c>
      <c r="H471" s="7">
        <f t="shared" si="34"/>
        <v>38.15</v>
      </c>
      <c r="I471" s="7">
        <v>44.502</v>
      </c>
      <c r="J471" s="7">
        <f t="shared" si="35"/>
        <v>22.251</v>
      </c>
      <c r="K471" s="10">
        <f t="shared" si="33"/>
        <v>60.400999999999996</v>
      </c>
      <c r="L471" s="7">
        <f t="shared" si="32"/>
        <v>191</v>
      </c>
      <c r="M471" s="11"/>
      <c r="N471"/>
    </row>
    <row r="472" spans="1:14" ht="24.75" customHeight="1">
      <c r="A472" s="5">
        <v>470</v>
      </c>
      <c r="B472" s="5" t="s">
        <v>19</v>
      </c>
      <c r="C472" s="5" t="str">
        <f>"林又学"</f>
        <v>林又学</v>
      </c>
      <c r="D472" s="5" t="str">
        <f>"460003199304232616"</f>
        <v>460003199304232616</v>
      </c>
      <c r="E472" s="5" t="s">
        <v>15</v>
      </c>
      <c r="F472" s="5" t="str">
        <f>"073102030323"</f>
        <v>073102030323</v>
      </c>
      <c r="G472" s="7">
        <v>56.2</v>
      </c>
      <c r="H472" s="7">
        <f t="shared" si="34"/>
        <v>28.1</v>
      </c>
      <c r="I472" s="7">
        <v>64.338</v>
      </c>
      <c r="J472" s="7">
        <f t="shared" si="35"/>
        <v>32.169</v>
      </c>
      <c r="K472" s="10">
        <f t="shared" si="33"/>
        <v>60.269</v>
      </c>
      <c r="L472" s="7">
        <f t="shared" si="32"/>
        <v>192</v>
      </c>
      <c r="M472" s="11"/>
      <c r="N472"/>
    </row>
    <row r="473" spans="1:14" ht="24.75" customHeight="1">
      <c r="A473" s="5">
        <v>471</v>
      </c>
      <c r="B473" s="5" t="s">
        <v>19</v>
      </c>
      <c r="C473" s="5" t="str">
        <f>"郑秀妃"</f>
        <v>郑秀妃</v>
      </c>
      <c r="D473" s="5" t="str">
        <f>"46000319930316202X"</f>
        <v>46000319930316202X</v>
      </c>
      <c r="E473" s="5" t="s">
        <v>15</v>
      </c>
      <c r="F473" s="5" t="str">
        <f>"073102030808"</f>
        <v>073102030808</v>
      </c>
      <c r="G473" s="7">
        <v>76.3</v>
      </c>
      <c r="H473" s="7">
        <f t="shared" si="34"/>
        <v>38.15</v>
      </c>
      <c r="I473" s="7">
        <v>44.124</v>
      </c>
      <c r="J473" s="7">
        <f t="shared" si="35"/>
        <v>22.062</v>
      </c>
      <c r="K473" s="10">
        <f t="shared" si="33"/>
        <v>60.212</v>
      </c>
      <c r="L473" s="7">
        <f aca="true" t="shared" si="36" ref="L473:L536">RANK(K473,$K$281:$K$1299,0)</f>
        <v>193</v>
      </c>
      <c r="M473" s="11"/>
      <c r="N473"/>
    </row>
    <row r="474" spans="1:14" ht="24.75" customHeight="1">
      <c r="A474" s="5">
        <v>472</v>
      </c>
      <c r="B474" s="5" t="s">
        <v>19</v>
      </c>
      <c r="C474" s="5" t="str">
        <f>"李慧伦"</f>
        <v>李慧伦</v>
      </c>
      <c r="D474" s="5" t="str">
        <f>"460003199506176843"</f>
        <v>460003199506176843</v>
      </c>
      <c r="E474" s="5" t="s">
        <v>15</v>
      </c>
      <c r="F474" s="5" t="str">
        <f>"073102030629"</f>
        <v>073102030629</v>
      </c>
      <c r="G474" s="7">
        <v>80.9</v>
      </c>
      <c r="H474" s="7">
        <f t="shared" si="34"/>
        <v>40.45</v>
      </c>
      <c r="I474" s="7">
        <v>39.422</v>
      </c>
      <c r="J474" s="7">
        <f t="shared" si="35"/>
        <v>19.711</v>
      </c>
      <c r="K474" s="10">
        <f t="shared" si="33"/>
        <v>60.161</v>
      </c>
      <c r="L474" s="7">
        <f t="shared" si="36"/>
        <v>194</v>
      </c>
      <c r="M474" s="11"/>
      <c r="N474"/>
    </row>
    <row r="475" spans="1:14" ht="24.75" customHeight="1">
      <c r="A475" s="5">
        <v>473</v>
      </c>
      <c r="B475" s="5" t="s">
        <v>19</v>
      </c>
      <c r="C475" s="5" t="str">
        <f>"黄昕"</f>
        <v>黄昕</v>
      </c>
      <c r="D475" s="5" t="str">
        <f>"460001199702060722"</f>
        <v>460001199702060722</v>
      </c>
      <c r="E475" s="5" t="s">
        <v>15</v>
      </c>
      <c r="F475" s="5" t="str">
        <f>"073102031009"</f>
        <v>073102031009</v>
      </c>
      <c r="G475" s="7">
        <v>67</v>
      </c>
      <c r="H475" s="7">
        <f t="shared" si="34"/>
        <v>33.5</v>
      </c>
      <c r="I475" s="7">
        <v>53.19</v>
      </c>
      <c r="J475" s="7">
        <f t="shared" si="35"/>
        <v>26.595</v>
      </c>
      <c r="K475" s="10">
        <f t="shared" si="33"/>
        <v>60.095</v>
      </c>
      <c r="L475" s="7">
        <f t="shared" si="36"/>
        <v>195</v>
      </c>
      <c r="M475" s="11"/>
      <c r="N475"/>
    </row>
    <row r="476" spans="1:14" ht="24.75" customHeight="1">
      <c r="A476" s="5">
        <v>474</v>
      </c>
      <c r="B476" s="5" t="s">
        <v>19</v>
      </c>
      <c r="C476" s="5" t="str">
        <f>"林春苗"</f>
        <v>林春苗</v>
      </c>
      <c r="D476" s="5" t="str">
        <f>"46002219910406432X"</f>
        <v>46002219910406432X</v>
      </c>
      <c r="E476" s="5" t="s">
        <v>15</v>
      </c>
      <c r="F476" s="5" t="str">
        <f>"073102020735"</f>
        <v>073102020735</v>
      </c>
      <c r="G476" s="7">
        <v>70.6</v>
      </c>
      <c r="H476" s="7">
        <f t="shared" si="34"/>
        <v>35.3</v>
      </c>
      <c r="I476" s="7">
        <v>49.382</v>
      </c>
      <c r="J476" s="7">
        <f t="shared" si="35"/>
        <v>24.691</v>
      </c>
      <c r="K476" s="10">
        <f t="shared" si="33"/>
        <v>59.991</v>
      </c>
      <c r="L476" s="7">
        <f t="shared" si="36"/>
        <v>196</v>
      </c>
      <c r="M476" s="11"/>
      <c r="N476"/>
    </row>
    <row r="477" spans="1:14" ht="24.75" customHeight="1">
      <c r="A477" s="5">
        <v>475</v>
      </c>
      <c r="B477" s="5" t="s">
        <v>19</v>
      </c>
      <c r="C477" s="5" t="str">
        <f>"顾润昊"</f>
        <v>顾润昊</v>
      </c>
      <c r="D477" s="5" t="str">
        <f>"460001199805111019"</f>
        <v>460001199805111019</v>
      </c>
      <c r="E477" s="5" t="s">
        <v>15</v>
      </c>
      <c r="F477" s="5" t="str">
        <f>"073102030327"</f>
        <v>073102030327</v>
      </c>
      <c r="G477" s="7">
        <v>62.6</v>
      </c>
      <c r="H477" s="7">
        <f t="shared" si="34"/>
        <v>31.3</v>
      </c>
      <c r="I477" s="7">
        <v>57.354</v>
      </c>
      <c r="J477" s="7">
        <f t="shared" si="35"/>
        <v>28.677</v>
      </c>
      <c r="K477" s="10">
        <f t="shared" si="33"/>
        <v>59.977000000000004</v>
      </c>
      <c r="L477" s="7">
        <f t="shared" si="36"/>
        <v>197</v>
      </c>
      <c r="M477" s="11"/>
      <c r="N477"/>
    </row>
    <row r="478" spans="1:14" ht="24.75" customHeight="1">
      <c r="A478" s="5">
        <v>476</v>
      </c>
      <c r="B478" s="5" t="s">
        <v>19</v>
      </c>
      <c r="C478" s="5" t="str">
        <f>"江腾龙"</f>
        <v>江腾龙</v>
      </c>
      <c r="D478" s="5" t="str">
        <f>"460026199309093912"</f>
        <v>460026199309093912</v>
      </c>
      <c r="E478" s="5" t="s">
        <v>15</v>
      </c>
      <c r="F478" s="5" t="str">
        <f>"073102030333"</f>
        <v>073102030333</v>
      </c>
      <c r="G478" s="7">
        <v>55</v>
      </c>
      <c r="H478" s="7">
        <f t="shared" si="34"/>
        <v>27.5</v>
      </c>
      <c r="I478" s="7">
        <v>64.473</v>
      </c>
      <c r="J478" s="7">
        <f t="shared" si="35"/>
        <v>32.2365</v>
      </c>
      <c r="K478" s="10">
        <f t="shared" si="33"/>
        <v>59.7365</v>
      </c>
      <c r="L478" s="7">
        <f t="shared" si="36"/>
        <v>198</v>
      </c>
      <c r="M478" s="11"/>
      <c r="N478"/>
    </row>
    <row r="479" spans="1:14" ht="24.75" customHeight="1">
      <c r="A479" s="5">
        <v>477</v>
      </c>
      <c r="B479" s="5" t="s">
        <v>19</v>
      </c>
      <c r="C479" s="5" t="str">
        <f>"许婷婷"</f>
        <v>许婷婷</v>
      </c>
      <c r="D479" s="5" t="str">
        <f>"460003199812190627"</f>
        <v>460003199812190627</v>
      </c>
      <c r="E479" s="5" t="s">
        <v>15</v>
      </c>
      <c r="F479" s="5" t="str">
        <f>"073102030740"</f>
        <v>073102030740</v>
      </c>
      <c r="G479" s="7">
        <v>48.3</v>
      </c>
      <c r="H479" s="7">
        <f t="shared" si="34"/>
        <v>24.15</v>
      </c>
      <c r="I479" s="7">
        <v>71.122</v>
      </c>
      <c r="J479" s="7">
        <f t="shared" si="35"/>
        <v>35.561</v>
      </c>
      <c r="K479" s="10">
        <f t="shared" si="33"/>
        <v>59.711</v>
      </c>
      <c r="L479" s="7">
        <f t="shared" si="36"/>
        <v>199</v>
      </c>
      <c r="M479" s="11"/>
      <c r="N479"/>
    </row>
    <row r="480" spans="1:14" ht="24.75" customHeight="1">
      <c r="A480" s="5">
        <v>478</v>
      </c>
      <c r="B480" s="5" t="s">
        <v>19</v>
      </c>
      <c r="C480" s="5" t="str">
        <f>"丁苗苗"</f>
        <v>丁苗苗</v>
      </c>
      <c r="D480" s="5" t="str">
        <f>"460004199204090223"</f>
        <v>460004199204090223</v>
      </c>
      <c r="E480" s="5" t="s">
        <v>15</v>
      </c>
      <c r="F480" s="5" t="str">
        <f>"073102021124"</f>
        <v>073102021124</v>
      </c>
      <c r="G480" s="7">
        <v>64.6</v>
      </c>
      <c r="H480" s="7">
        <f t="shared" si="34"/>
        <v>32.3</v>
      </c>
      <c r="I480" s="7">
        <v>54.717</v>
      </c>
      <c r="J480" s="7">
        <f t="shared" si="35"/>
        <v>27.3585</v>
      </c>
      <c r="K480" s="10">
        <f t="shared" si="33"/>
        <v>59.6585</v>
      </c>
      <c r="L480" s="7">
        <f t="shared" si="36"/>
        <v>200</v>
      </c>
      <c r="M480" s="11"/>
      <c r="N480"/>
    </row>
    <row r="481" spans="1:14" ht="24.75" customHeight="1">
      <c r="A481" s="5">
        <v>479</v>
      </c>
      <c r="B481" s="5" t="s">
        <v>19</v>
      </c>
      <c r="C481" s="5" t="str">
        <f>"魏云雪"</f>
        <v>魏云雪</v>
      </c>
      <c r="D481" s="5" t="str">
        <f>"460006199811220221"</f>
        <v>460006199811220221</v>
      </c>
      <c r="E481" s="5" t="s">
        <v>15</v>
      </c>
      <c r="F481" s="5" t="str">
        <f>"073102030823"</f>
        <v>073102030823</v>
      </c>
      <c r="G481" s="7">
        <v>72.3</v>
      </c>
      <c r="H481" s="7">
        <f t="shared" si="34"/>
        <v>36.15</v>
      </c>
      <c r="I481" s="7">
        <v>46.541</v>
      </c>
      <c r="J481" s="7">
        <f t="shared" si="35"/>
        <v>23.2705</v>
      </c>
      <c r="K481" s="10">
        <f t="shared" si="33"/>
        <v>59.4205</v>
      </c>
      <c r="L481" s="7">
        <f t="shared" si="36"/>
        <v>201</v>
      </c>
      <c r="M481" s="11"/>
      <c r="N481"/>
    </row>
    <row r="482" spans="1:14" ht="24.75" customHeight="1">
      <c r="A482" s="5">
        <v>480</v>
      </c>
      <c r="B482" s="5" t="s">
        <v>19</v>
      </c>
      <c r="C482" s="5" t="str">
        <f>"王珍琪"</f>
        <v>王珍琪</v>
      </c>
      <c r="D482" s="5" t="str">
        <f>"460003199709231021"</f>
        <v>460003199709231021</v>
      </c>
      <c r="E482" s="5" t="s">
        <v>15</v>
      </c>
      <c r="F482" s="5" t="str">
        <f>"073102030235"</f>
        <v>073102030235</v>
      </c>
      <c r="G482" s="7">
        <v>88.1</v>
      </c>
      <c r="H482" s="7">
        <f t="shared" si="34"/>
        <v>44.05</v>
      </c>
      <c r="I482" s="7">
        <v>30.356</v>
      </c>
      <c r="J482" s="7">
        <f t="shared" si="35"/>
        <v>15.178</v>
      </c>
      <c r="K482" s="10">
        <f t="shared" si="33"/>
        <v>59.227999999999994</v>
      </c>
      <c r="L482" s="7">
        <f t="shared" si="36"/>
        <v>202</v>
      </c>
      <c r="M482" s="11"/>
      <c r="N482"/>
    </row>
    <row r="483" spans="1:14" ht="24.75" customHeight="1">
      <c r="A483" s="5">
        <v>481</v>
      </c>
      <c r="B483" s="5" t="s">
        <v>19</v>
      </c>
      <c r="C483" s="5" t="str">
        <f>"刘家立"</f>
        <v>刘家立</v>
      </c>
      <c r="D483" s="5" t="str">
        <f>"460003199709306839"</f>
        <v>460003199709306839</v>
      </c>
      <c r="E483" s="5" t="s">
        <v>15</v>
      </c>
      <c r="F483" s="5" t="str">
        <f>"073102020803"</f>
        <v>073102020803</v>
      </c>
      <c r="G483" s="7">
        <v>76.1</v>
      </c>
      <c r="H483" s="7">
        <f t="shared" si="34"/>
        <v>38.05</v>
      </c>
      <c r="I483" s="7">
        <v>42.095</v>
      </c>
      <c r="J483" s="7">
        <f t="shared" si="35"/>
        <v>21.0475</v>
      </c>
      <c r="K483" s="10">
        <f aca="true" t="shared" si="37" ref="K483:K495">H483+J483</f>
        <v>59.0975</v>
      </c>
      <c r="L483" s="7">
        <f t="shared" si="36"/>
        <v>203</v>
      </c>
      <c r="M483" s="11"/>
      <c r="N483"/>
    </row>
    <row r="484" spans="1:14" ht="24.75" customHeight="1">
      <c r="A484" s="5">
        <v>482</v>
      </c>
      <c r="B484" s="5" t="s">
        <v>19</v>
      </c>
      <c r="C484" s="5" t="str">
        <f>"王树高"</f>
        <v>王树高</v>
      </c>
      <c r="D484" s="5" t="str">
        <f>"469021199606102711"</f>
        <v>469021199606102711</v>
      </c>
      <c r="E484" s="5" t="s">
        <v>15</v>
      </c>
      <c r="F484" s="5" t="str">
        <f>"073102020428"</f>
        <v>073102020428</v>
      </c>
      <c r="G484" s="7">
        <v>67.7</v>
      </c>
      <c r="H484" s="7">
        <f t="shared" si="34"/>
        <v>33.85</v>
      </c>
      <c r="I484" s="7">
        <v>50.488</v>
      </c>
      <c r="J484" s="7">
        <f t="shared" si="35"/>
        <v>25.244</v>
      </c>
      <c r="K484" s="10">
        <f t="shared" si="37"/>
        <v>59.094</v>
      </c>
      <c r="L484" s="7">
        <f t="shared" si="36"/>
        <v>204</v>
      </c>
      <c r="M484" s="11"/>
      <c r="N484"/>
    </row>
    <row r="485" spans="1:14" ht="24.75" customHeight="1">
      <c r="A485" s="5">
        <v>483</v>
      </c>
      <c r="B485" s="5" t="s">
        <v>19</v>
      </c>
      <c r="C485" s="5" t="str">
        <f>"梁美艳"</f>
        <v>梁美艳</v>
      </c>
      <c r="D485" s="5" t="str">
        <f>"460003199109172865"</f>
        <v>460003199109172865</v>
      </c>
      <c r="E485" s="5" t="s">
        <v>15</v>
      </c>
      <c r="F485" s="5" t="str">
        <f>"073102021213"</f>
        <v>073102021213</v>
      </c>
      <c r="G485" s="7">
        <v>63.2</v>
      </c>
      <c r="H485" s="7">
        <f t="shared" si="34"/>
        <v>31.6</v>
      </c>
      <c r="I485" s="7">
        <v>54.912</v>
      </c>
      <c r="J485" s="7">
        <f t="shared" si="35"/>
        <v>27.456</v>
      </c>
      <c r="K485" s="10">
        <f t="shared" si="37"/>
        <v>59.056</v>
      </c>
      <c r="L485" s="7">
        <f t="shared" si="36"/>
        <v>205</v>
      </c>
      <c r="M485" s="11"/>
      <c r="N485"/>
    </row>
    <row r="486" spans="1:14" ht="24.75" customHeight="1">
      <c r="A486" s="5">
        <v>484</v>
      </c>
      <c r="B486" s="5" t="s">
        <v>19</v>
      </c>
      <c r="C486" s="5" t="str">
        <f>"卜会德"</f>
        <v>卜会德</v>
      </c>
      <c r="D486" s="5" t="str">
        <f>"469003199912070911"</f>
        <v>469003199912070911</v>
      </c>
      <c r="E486" s="5" t="s">
        <v>15</v>
      </c>
      <c r="F486" s="5" t="str">
        <f>"073102030342"</f>
        <v>073102030342</v>
      </c>
      <c r="G486" s="7">
        <v>65.1</v>
      </c>
      <c r="H486" s="7">
        <f t="shared" si="34"/>
        <v>32.55</v>
      </c>
      <c r="I486" s="7">
        <v>52.989</v>
      </c>
      <c r="J486" s="7">
        <f t="shared" si="35"/>
        <v>26.4945</v>
      </c>
      <c r="K486" s="10">
        <f t="shared" si="37"/>
        <v>59.0445</v>
      </c>
      <c r="L486" s="7">
        <f t="shared" si="36"/>
        <v>206</v>
      </c>
      <c r="M486" s="11"/>
      <c r="N486"/>
    </row>
    <row r="487" spans="1:14" ht="24.75" customHeight="1">
      <c r="A487" s="5">
        <v>485</v>
      </c>
      <c r="B487" s="5" t="s">
        <v>19</v>
      </c>
      <c r="C487" s="5" t="str">
        <f>"王德丽"</f>
        <v>王德丽</v>
      </c>
      <c r="D487" s="5" t="str">
        <f>"460003199210077723"</f>
        <v>460003199210077723</v>
      </c>
      <c r="E487" s="5" t="s">
        <v>15</v>
      </c>
      <c r="F487" s="5" t="str">
        <f>"073102021005"</f>
        <v>073102021005</v>
      </c>
      <c r="G487" s="7">
        <v>79</v>
      </c>
      <c r="H487" s="7">
        <f t="shared" si="34"/>
        <v>39.5</v>
      </c>
      <c r="I487" s="7">
        <v>38.972</v>
      </c>
      <c r="J487" s="7">
        <f t="shared" si="35"/>
        <v>19.486</v>
      </c>
      <c r="K487" s="10">
        <f t="shared" si="37"/>
        <v>58.986000000000004</v>
      </c>
      <c r="L487" s="7">
        <f t="shared" si="36"/>
        <v>207</v>
      </c>
      <c r="M487" s="11"/>
      <c r="N487"/>
    </row>
    <row r="488" spans="1:14" ht="24.75" customHeight="1">
      <c r="A488" s="5">
        <v>486</v>
      </c>
      <c r="B488" s="5" t="s">
        <v>19</v>
      </c>
      <c r="C488" s="5" t="str">
        <f>"陈锦儒"</f>
        <v>陈锦儒</v>
      </c>
      <c r="D488" s="5" t="str">
        <f>"460036199311131511"</f>
        <v>460036199311131511</v>
      </c>
      <c r="E488" s="5" t="s">
        <v>15</v>
      </c>
      <c r="F488" s="5" t="str">
        <f>"073102020504"</f>
        <v>073102020504</v>
      </c>
      <c r="G488" s="7">
        <v>54</v>
      </c>
      <c r="H488" s="7">
        <f t="shared" si="34"/>
        <v>27</v>
      </c>
      <c r="I488" s="7">
        <v>63.956</v>
      </c>
      <c r="J488" s="7">
        <f t="shared" si="35"/>
        <v>31.978</v>
      </c>
      <c r="K488" s="10">
        <f t="shared" si="37"/>
        <v>58.978</v>
      </c>
      <c r="L488" s="7">
        <f t="shared" si="36"/>
        <v>208</v>
      </c>
      <c r="M488" s="11"/>
      <c r="N488"/>
    </row>
    <row r="489" spans="1:14" ht="24.75" customHeight="1">
      <c r="A489" s="5">
        <v>487</v>
      </c>
      <c r="B489" s="5" t="s">
        <v>19</v>
      </c>
      <c r="C489" s="5" t="str">
        <f>"何晓静"</f>
        <v>何晓静</v>
      </c>
      <c r="D489" s="5" t="str">
        <f>"460003199407065849"</f>
        <v>460003199407065849</v>
      </c>
      <c r="E489" s="5" t="s">
        <v>15</v>
      </c>
      <c r="F489" s="5" t="str">
        <f>"073102020403"</f>
        <v>073102020403</v>
      </c>
      <c r="G489" s="7">
        <v>88.7</v>
      </c>
      <c r="H489" s="7">
        <f t="shared" si="34"/>
        <v>44.35</v>
      </c>
      <c r="I489" s="7">
        <v>29.213</v>
      </c>
      <c r="J489" s="7">
        <f t="shared" si="35"/>
        <v>14.6065</v>
      </c>
      <c r="K489" s="10">
        <f t="shared" si="37"/>
        <v>58.956500000000005</v>
      </c>
      <c r="L489" s="7">
        <f t="shared" si="36"/>
        <v>209</v>
      </c>
      <c r="M489" s="11"/>
      <c r="N489"/>
    </row>
    <row r="490" spans="1:14" ht="24.75" customHeight="1">
      <c r="A490" s="5">
        <v>488</v>
      </c>
      <c r="B490" s="5" t="s">
        <v>19</v>
      </c>
      <c r="C490" s="5" t="str">
        <f>"林伟伟"</f>
        <v>林伟伟</v>
      </c>
      <c r="D490" s="5" t="str">
        <f>"460028199804141216"</f>
        <v>460028199804141216</v>
      </c>
      <c r="E490" s="5" t="s">
        <v>15</v>
      </c>
      <c r="F490" s="5" t="str">
        <f>"073102021023"</f>
        <v>073102021023</v>
      </c>
      <c r="G490" s="7">
        <v>57.7</v>
      </c>
      <c r="H490" s="7">
        <f t="shared" si="34"/>
        <v>28.85</v>
      </c>
      <c r="I490" s="7">
        <v>59.857</v>
      </c>
      <c r="J490" s="7">
        <f t="shared" si="35"/>
        <v>29.9285</v>
      </c>
      <c r="K490" s="10">
        <f t="shared" si="37"/>
        <v>58.7785</v>
      </c>
      <c r="L490" s="7">
        <f t="shared" si="36"/>
        <v>210</v>
      </c>
      <c r="M490" s="11"/>
      <c r="N490"/>
    </row>
    <row r="491" spans="1:14" ht="24.75" customHeight="1">
      <c r="A491" s="5">
        <v>489</v>
      </c>
      <c r="B491" s="5" t="s">
        <v>19</v>
      </c>
      <c r="C491" s="5" t="str">
        <f>"符令伟"</f>
        <v>符令伟</v>
      </c>
      <c r="D491" s="5" t="str">
        <f>"460003199811283039"</f>
        <v>460003199811283039</v>
      </c>
      <c r="E491" s="5" t="s">
        <v>15</v>
      </c>
      <c r="F491" s="5" t="str">
        <f>"073102021230"</f>
        <v>073102021230</v>
      </c>
      <c r="G491" s="7">
        <v>70.3</v>
      </c>
      <c r="H491" s="7">
        <f t="shared" si="34"/>
        <v>35.15</v>
      </c>
      <c r="I491" s="7">
        <v>47.17</v>
      </c>
      <c r="J491" s="7">
        <f t="shared" si="35"/>
        <v>23.585</v>
      </c>
      <c r="K491" s="10">
        <f t="shared" si="37"/>
        <v>58.735</v>
      </c>
      <c r="L491" s="7">
        <f t="shared" si="36"/>
        <v>211</v>
      </c>
      <c r="M491" s="11"/>
      <c r="N491"/>
    </row>
    <row r="492" spans="1:14" ht="24.75" customHeight="1">
      <c r="A492" s="5">
        <v>490</v>
      </c>
      <c r="B492" s="5" t="s">
        <v>19</v>
      </c>
      <c r="C492" s="5" t="str">
        <f>"张洁颖"</f>
        <v>张洁颖</v>
      </c>
      <c r="D492" s="5" t="str">
        <f>"460003199510110222"</f>
        <v>460003199510110222</v>
      </c>
      <c r="E492" s="5" t="s">
        <v>15</v>
      </c>
      <c r="F492" s="5" t="str">
        <f>"073102020119"</f>
        <v>073102020119</v>
      </c>
      <c r="G492" s="7">
        <v>83.5</v>
      </c>
      <c r="H492" s="7">
        <f t="shared" si="34"/>
        <v>41.75</v>
      </c>
      <c r="I492" s="7">
        <v>33.897</v>
      </c>
      <c r="J492" s="7">
        <f t="shared" si="35"/>
        <v>16.9485</v>
      </c>
      <c r="K492" s="10">
        <f t="shared" si="37"/>
        <v>58.698499999999996</v>
      </c>
      <c r="L492" s="7">
        <f t="shared" si="36"/>
        <v>212</v>
      </c>
      <c r="M492" s="11"/>
      <c r="N492"/>
    </row>
    <row r="493" spans="1:14" ht="24.75" customHeight="1">
      <c r="A493" s="5">
        <v>491</v>
      </c>
      <c r="B493" s="5" t="s">
        <v>19</v>
      </c>
      <c r="C493" s="5" t="str">
        <f>"李沁"</f>
        <v>李沁</v>
      </c>
      <c r="D493" s="5" t="str">
        <f>"460034199709010426"</f>
        <v>460034199709010426</v>
      </c>
      <c r="E493" s="5" t="s">
        <v>15</v>
      </c>
      <c r="F493" s="5" t="str">
        <f>"073102020513"</f>
        <v>073102020513</v>
      </c>
      <c r="G493" s="7">
        <v>72.1</v>
      </c>
      <c r="H493" s="7">
        <f t="shared" si="34"/>
        <v>36.05</v>
      </c>
      <c r="I493" s="7">
        <v>45.218</v>
      </c>
      <c r="J493" s="7">
        <f t="shared" si="35"/>
        <v>22.609</v>
      </c>
      <c r="K493" s="10">
        <f t="shared" si="37"/>
        <v>58.659</v>
      </c>
      <c r="L493" s="7">
        <f t="shared" si="36"/>
        <v>213</v>
      </c>
      <c r="M493" s="11"/>
      <c r="N493"/>
    </row>
    <row r="494" spans="1:14" ht="24.75" customHeight="1">
      <c r="A494" s="5">
        <v>492</v>
      </c>
      <c r="B494" s="5" t="s">
        <v>19</v>
      </c>
      <c r="C494" s="5" t="str">
        <f>"符蓉蓉"</f>
        <v>符蓉蓉</v>
      </c>
      <c r="D494" s="5" t="str">
        <f>"469003199908233722"</f>
        <v>469003199908233722</v>
      </c>
      <c r="E494" s="5" t="s">
        <v>15</v>
      </c>
      <c r="F494" s="5" t="str">
        <f>"073102030119"</f>
        <v>073102030119</v>
      </c>
      <c r="G494" s="7">
        <v>83.9</v>
      </c>
      <c r="H494" s="7">
        <f t="shared" si="34"/>
        <v>41.95</v>
      </c>
      <c r="I494" s="7">
        <v>33.177</v>
      </c>
      <c r="J494" s="7">
        <f t="shared" si="35"/>
        <v>16.5885</v>
      </c>
      <c r="K494" s="10">
        <f t="shared" si="37"/>
        <v>58.5385</v>
      </c>
      <c r="L494" s="7">
        <f t="shared" si="36"/>
        <v>214</v>
      </c>
      <c r="M494" s="11"/>
      <c r="N494"/>
    </row>
    <row r="495" spans="1:14" ht="24.75" customHeight="1">
      <c r="A495" s="5">
        <v>493</v>
      </c>
      <c r="B495" s="5" t="s">
        <v>19</v>
      </c>
      <c r="C495" s="5" t="str">
        <f>"韩程"</f>
        <v>韩程</v>
      </c>
      <c r="D495" s="5" t="str">
        <f>"460200199609230015"</f>
        <v>460200199609230015</v>
      </c>
      <c r="E495" s="5" t="s">
        <v>15</v>
      </c>
      <c r="F495" s="5" t="str">
        <f>"073102020541"</f>
        <v>073102020541</v>
      </c>
      <c r="G495" s="7">
        <v>83.1</v>
      </c>
      <c r="H495" s="7">
        <f t="shared" si="34"/>
        <v>41.55</v>
      </c>
      <c r="I495" s="7">
        <v>33.767</v>
      </c>
      <c r="J495" s="7">
        <f t="shared" si="35"/>
        <v>16.8835</v>
      </c>
      <c r="K495" s="10">
        <f t="shared" si="37"/>
        <v>58.433499999999995</v>
      </c>
      <c r="L495" s="7">
        <f t="shared" si="36"/>
        <v>215</v>
      </c>
      <c r="M495" s="11"/>
      <c r="N495"/>
    </row>
    <row r="496" spans="1:13" ht="24.75" customHeight="1">
      <c r="A496" s="5">
        <v>494</v>
      </c>
      <c r="B496" s="5" t="s">
        <v>19</v>
      </c>
      <c r="C496" s="5" t="str">
        <f>"林远材"</f>
        <v>林远材</v>
      </c>
      <c r="D496" s="5" t="str">
        <f>"460003199508270614"</f>
        <v>460003199508270614</v>
      </c>
      <c r="E496" s="5" t="s">
        <v>16</v>
      </c>
      <c r="F496" s="5" t="str">
        <f>"073102030938"</f>
        <v>073102030938</v>
      </c>
      <c r="G496" s="7">
        <v>63</v>
      </c>
      <c r="H496" s="7">
        <f t="shared" si="34"/>
        <v>31.5</v>
      </c>
      <c r="I496" s="7">
        <v>48.153</v>
      </c>
      <c r="J496" s="7">
        <f t="shared" si="35"/>
        <v>24.0765</v>
      </c>
      <c r="K496" s="12">
        <v>58.355325</v>
      </c>
      <c r="L496" s="7">
        <f t="shared" si="36"/>
        <v>216</v>
      </c>
      <c r="M496" s="11" t="s">
        <v>17</v>
      </c>
    </row>
    <row r="497" spans="1:14" ht="24.75" customHeight="1">
      <c r="A497" s="5">
        <v>495</v>
      </c>
      <c r="B497" s="5" t="s">
        <v>19</v>
      </c>
      <c r="C497" s="5" t="str">
        <f>"谢坤丽"</f>
        <v>谢坤丽</v>
      </c>
      <c r="D497" s="5" t="str">
        <f>"460003199307104441"</f>
        <v>460003199307104441</v>
      </c>
      <c r="E497" s="5" t="s">
        <v>15</v>
      </c>
      <c r="F497" s="5" t="str">
        <f>"073102030224"</f>
        <v>073102030224</v>
      </c>
      <c r="G497" s="7">
        <v>74.9</v>
      </c>
      <c r="H497" s="7">
        <f t="shared" si="34"/>
        <v>37.45</v>
      </c>
      <c r="I497" s="7">
        <v>41.773</v>
      </c>
      <c r="J497" s="7">
        <f t="shared" si="35"/>
        <v>20.8865</v>
      </c>
      <c r="K497" s="10">
        <f aca="true" t="shared" si="38" ref="K497:K560">H497+J497</f>
        <v>58.3365</v>
      </c>
      <c r="L497" s="7">
        <f t="shared" si="36"/>
        <v>217</v>
      </c>
      <c r="M497" s="11"/>
      <c r="N497"/>
    </row>
    <row r="498" spans="1:14" ht="24.75" customHeight="1">
      <c r="A498" s="5">
        <v>496</v>
      </c>
      <c r="B498" s="5" t="s">
        <v>19</v>
      </c>
      <c r="C498" s="5" t="str">
        <f>"邓琼娜"</f>
        <v>邓琼娜</v>
      </c>
      <c r="D498" s="5" t="str">
        <f>"46000319970210664X"</f>
        <v>46000319970210664X</v>
      </c>
      <c r="E498" s="5" t="s">
        <v>15</v>
      </c>
      <c r="F498" s="5" t="str">
        <f>"073102030340"</f>
        <v>073102030340</v>
      </c>
      <c r="G498" s="7">
        <v>53.1</v>
      </c>
      <c r="H498" s="7">
        <f t="shared" si="34"/>
        <v>26.55</v>
      </c>
      <c r="I498" s="7">
        <v>63.465</v>
      </c>
      <c r="J498" s="7">
        <f t="shared" si="35"/>
        <v>31.7325</v>
      </c>
      <c r="K498" s="10">
        <f t="shared" si="38"/>
        <v>58.2825</v>
      </c>
      <c r="L498" s="7">
        <f t="shared" si="36"/>
        <v>218</v>
      </c>
      <c r="M498" s="11"/>
      <c r="N498"/>
    </row>
    <row r="499" spans="1:14" ht="24.75" customHeight="1">
      <c r="A499" s="5">
        <v>497</v>
      </c>
      <c r="B499" s="5" t="s">
        <v>19</v>
      </c>
      <c r="C499" s="5" t="str">
        <f>"黄垂衫"</f>
        <v>黄垂衫</v>
      </c>
      <c r="D499" s="5" t="str">
        <f>"460033199607158087"</f>
        <v>460033199607158087</v>
      </c>
      <c r="E499" s="5" t="s">
        <v>15</v>
      </c>
      <c r="F499" s="5" t="str">
        <f>"073102030625"</f>
        <v>073102030625</v>
      </c>
      <c r="G499" s="7">
        <v>58.1</v>
      </c>
      <c r="H499" s="7">
        <f t="shared" si="34"/>
        <v>29.05</v>
      </c>
      <c r="I499" s="7">
        <v>58.034</v>
      </c>
      <c r="J499" s="7">
        <f t="shared" si="35"/>
        <v>29.017</v>
      </c>
      <c r="K499" s="10">
        <f t="shared" si="38"/>
        <v>58.067</v>
      </c>
      <c r="L499" s="7">
        <f t="shared" si="36"/>
        <v>219</v>
      </c>
      <c r="M499" s="11"/>
      <c r="N499"/>
    </row>
    <row r="500" spans="1:14" ht="24.75" customHeight="1">
      <c r="A500" s="5">
        <v>498</v>
      </c>
      <c r="B500" s="5" t="s">
        <v>19</v>
      </c>
      <c r="C500" s="5" t="str">
        <f>"方国将"</f>
        <v>方国将</v>
      </c>
      <c r="D500" s="5" t="str">
        <f>"46002719990114763X"</f>
        <v>46002719990114763X</v>
      </c>
      <c r="E500" s="5" t="s">
        <v>15</v>
      </c>
      <c r="F500" s="5" t="str">
        <f>"073102030511"</f>
        <v>073102030511</v>
      </c>
      <c r="G500" s="7">
        <v>80</v>
      </c>
      <c r="H500" s="7">
        <f t="shared" si="34"/>
        <v>40</v>
      </c>
      <c r="I500" s="7">
        <v>36.064</v>
      </c>
      <c r="J500" s="7">
        <f t="shared" si="35"/>
        <v>18.032</v>
      </c>
      <c r="K500" s="10">
        <f t="shared" si="38"/>
        <v>58.032</v>
      </c>
      <c r="L500" s="7">
        <f t="shared" si="36"/>
        <v>220</v>
      </c>
      <c r="M500" s="11"/>
      <c r="N500"/>
    </row>
    <row r="501" spans="1:14" ht="24.75" customHeight="1">
      <c r="A501" s="5">
        <v>499</v>
      </c>
      <c r="B501" s="5" t="s">
        <v>19</v>
      </c>
      <c r="C501" s="5" t="str">
        <f>"王圣茹"</f>
        <v>王圣茹</v>
      </c>
      <c r="D501" s="5" t="str">
        <f>"460028199909232026"</f>
        <v>460028199909232026</v>
      </c>
      <c r="E501" s="5" t="s">
        <v>15</v>
      </c>
      <c r="F501" s="5" t="str">
        <f>"073102030742"</f>
        <v>073102030742</v>
      </c>
      <c r="G501" s="7">
        <v>80.6</v>
      </c>
      <c r="H501" s="7">
        <f t="shared" si="34"/>
        <v>40.3</v>
      </c>
      <c r="I501" s="7">
        <v>34.923</v>
      </c>
      <c r="J501" s="7">
        <f t="shared" si="35"/>
        <v>17.4615</v>
      </c>
      <c r="K501" s="10">
        <f t="shared" si="38"/>
        <v>57.7615</v>
      </c>
      <c r="L501" s="7">
        <f t="shared" si="36"/>
        <v>221</v>
      </c>
      <c r="M501" s="11"/>
      <c r="N501"/>
    </row>
    <row r="502" spans="1:14" ht="24.75" customHeight="1">
      <c r="A502" s="5">
        <v>500</v>
      </c>
      <c r="B502" s="5" t="s">
        <v>19</v>
      </c>
      <c r="C502" s="5" t="str">
        <f>"吴诗钰"</f>
        <v>吴诗钰</v>
      </c>
      <c r="D502" s="5" t="str">
        <f>"460003199508130224"</f>
        <v>460003199508130224</v>
      </c>
      <c r="E502" s="5" t="s">
        <v>15</v>
      </c>
      <c r="F502" s="5" t="str">
        <f>"073102020932"</f>
        <v>073102020932</v>
      </c>
      <c r="G502" s="7">
        <v>66.4</v>
      </c>
      <c r="H502" s="7">
        <f t="shared" si="34"/>
        <v>33.2</v>
      </c>
      <c r="I502" s="7">
        <v>48.861</v>
      </c>
      <c r="J502" s="7">
        <f t="shared" si="35"/>
        <v>24.4305</v>
      </c>
      <c r="K502" s="10">
        <f t="shared" si="38"/>
        <v>57.6305</v>
      </c>
      <c r="L502" s="7">
        <f t="shared" si="36"/>
        <v>222</v>
      </c>
      <c r="M502" s="11"/>
      <c r="N502"/>
    </row>
    <row r="503" spans="1:14" ht="24.75" customHeight="1">
      <c r="A503" s="5">
        <v>501</v>
      </c>
      <c r="B503" s="5" t="s">
        <v>19</v>
      </c>
      <c r="C503" s="5" t="str">
        <f>"羊大寅"</f>
        <v>羊大寅</v>
      </c>
      <c r="D503" s="5" t="str">
        <f>"460003199802192434"</f>
        <v>460003199802192434</v>
      </c>
      <c r="E503" s="5" t="s">
        <v>15</v>
      </c>
      <c r="F503" s="5" t="str">
        <f>"073102030331"</f>
        <v>073102030331</v>
      </c>
      <c r="G503" s="7">
        <v>58.7</v>
      </c>
      <c r="H503" s="7">
        <f t="shared" si="34"/>
        <v>29.35</v>
      </c>
      <c r="I503" s="7">
        <v>56.548</v>
      </c>
      <c r="J503" s="7">
        <f t="shared" si="35"/>
        <v>28.274</v>
      </c>
      <c r="K503" s="10">
        <f t="shared" si="38"/>
        <v>57.624</v>
      </c>
      <c r="L503" s="7">
        <f t="shared" si="36"/>
        <v>223</v>
      </c>
      <c r="M503" s="11"/>
      <c r="N503"/>
    </row>
    <row r="504" spans="1:14" ht="24.75" customHeight="1">
      <c r="A504" s="5">
        <v>502</v>
      </c>
      <c r="B504" s="5" t="s">
        <v>19</v>
      </c>
      <c r="C504" s="5" t="str">
        <f>"陈笔秋"</f>
        <v>陈笔秋</v>
      </c>
      <c r="D504" s="5" t="str">
        <f>"460003199105044487"</f>
        <v>460003199105044487</v>
      </c>
      <c r="E504" s="5" t="s">
        <v>15</v>
      </c>
      <c r="F504" s="5" t="str">
        <f>"073102020922"</f>
        <v>073102020922</v>
      </c>
      <c r="G504" s="7">
        <v>75.2</v>
      </c>
      <c r="H504" s="7">
        <f t="shared" si="34"/>
        <v>37.6</v>
      </c>
      <c r="I504" s="7">
        <v>40.013</v>
      </c>
      <c r="J504" s="7">
        <f t="shared" si="35"/>
        <v>20.0065</v>
      </c>
      <c r="K504" s="10">
        <f t="shared" si="38"/>
        <v>57.6065</v>
      </c>
      <c r="L504" s="7">
        <f t="shared" si="36"/>
        <v>224</v>
      </c>
      <c r="M504" s="11"/>
      <c r="N504"/>
    </row>
    <row r="505" spans="1:14" ht="24.75" customHeight="1">
      <c r="A505" s="5">
        <v>503</v>
      </c>
      <c r="B505" s="5" t="s">
        <v>19</v>
      </c>
      <c r="C505" s="5" t="str">
        <f>"李小雨"</f>
        <v>李小雨</v>
      </c>
      <c r="D505" s="5" t="str">
        <f>"460030199802090023"</f>
        <v>460030199802090023</v>
      </c>
      <c r="E505" s="5" t="s">
        <v>15</v>
      </c>
      <c r="F505" s="5" t="str">
        <f>"073102020212"</f>
        <v>073102020212</v>
      </c>
      <c r="G505" s="7">
        <v>69.7</v>
      </c>
      <c r="H505" s="7">
        <f t="shared" si="34"/>
        <v>34.85</v>
      </c>
      <c r="I505" s="7">
        <v>45.348</v>
      </c>
      <c r="J505" s="7">
        <f t="shared" si="35"/>
        <v>22.674</v>
      </c>
      <c r="K505" s="10">
        <f t="shared" si="38"/>
        <v>57.524</v>
      </c>
      <c r="L505" s="7">
        <f t="shared" si="36"/>
        <v>225</v>
      </c>
      <c r="M505" s="11"/>
      <c r="N505"/>
    </row>
    <row r="506" spans="1:14" ht="24.75" customHeight="1">
      <c r="A506" s="5">
        <v>504</v>
      </c>
      <c r="B506" s="5" t="s">
        <v>19</v>
      </c>
      <c r="C506" s="5" t="str">
        <f>"羊进豪"</f>
        <v>羊进豪</v>
      </c>
      <c r="D506" s="5" t="str">
        <f>"460003199306284217"</f>
        <v>460003199306284217</v>
      </c>
      <c r="E506" s="5" t="s">
        <v>15</v>
      </c>
      <c r="F506" s="5" t="str">
        <f>"073102020117"</f>
        <v>073102020117</v>
      </c>
      <c r="G506" s="7">
        <v>84</v>
      </c>
      <c r="H506" s="7">
        <f t="shared" si="34"/>
        <v>42</v>
      </c>
      <c r="I506" s="7">
        <v>30.969</v>
      </c>
      <c r="J506" s="7">
        <f t="shared" si="35"/>
        <v>15.4845</v>
      </c>
      <c r="K506" s="10">
        <f t="shared" si="38"/>
        <v>57.4845</v>
      </c>
      <c r="L506" s="7">
        <f t="shared" si="36"/>
        <v>226</v>
      </c>
      <c r="M506" s="11"/>
      <c r="N506"/>
    </row>
    <row r="507" spans="1:14" ht="24.75" customHeight="1">
      <c r="A507" s="5">
        <v>505</v>
      </c>
      <c r="B507" s="5" t="s">
        <v>19</v>
      </c>
      <c r="C507" s="5" t="str">
        <f>"李学先"</f>
        <v>李学先</v>
      </c>
      <c r="D507" s="5" t="str">
        <f>"460003199207092252"</f>
        <v>460003199207092252</v>
      </c>
      <c r="E507" s="5" t="s">
        <v>15</v>
      </c>
      <c r="F507" s="5" t="str">
        <f>"073102020617"</f>
        <v>073102020617</v>
      </c>
      <c r="G507" s="7">
        <v>71</v>
      </c>
      <c r="H507" s="7">
        <f t="shared" si="34"/>
        <v>35.5</v>
      </c>
      <c r="I507" s="7">
        <v>43.787</v>
      </c>
      <c r="J507" s="7">
        <f t="shared" si="35"/>
        <v>21.8935</v>
      </c>
      <c r="K507" s="10">
        <f t="shared" si="38"/>
        <v>57.3935</v>
      </c>
      <c r="L507" s="7">
        <f t="shared" si="36"/>
        <v>227</v>
      </c>
      <c r="M507" s="11"/>
      <c r="N507"/>
    </row>
    <row r="508" spans="1:14" ht="24.75" customHeight="1">
      <c r="A508" s="5">
        <v>506</v>
      </c>
      <c r="B508" s="5" t="s">
        <v>19</v>
      </c>
      <c r="C508" s="5" t="str">
        <f>"罗符浩"</f>
        <v>罗符浩</v>
      </c>
      <c r="D508" s="5" t="str">
        <f>"460300199709080013"</f>
        <v>460300199709080013</v>
      </c>
      <c r="E508" s="5" t="s">
        <v>15</v>
      </c>
      <c r="F508" s="5" t="str">
        <f>"073102020132"</f>
        <v>073102020132</v>
      </c>
      <c r="G508" s="7">
        <v>77.1</v>
      </c>
      <c r="H508" s="7">
        <f t="shared" si="34"/>
        <v>38.55</v>
      </c>
      <c r="I508" s="7">
        <v>37.345</v>
      </c>
      <c r="J508" s="7">
        <f t="shared" si="35"/>
        <v>18.6725</v>
      </c>
      <c r="K508" s="10">
        <f t="shared" si="38"/>
        <v>57.2225</v>
      </c>
      <c r="L508" s="7">
        <f t="shared" si="36"/>
        <v>228</v>
      </c>
      <c r="M508" s="11"/>
      <c r="N508"/>
    </row>
    <row r="509" spans="1:14" ht="24.75" customHeight="1">
      <c r="A509" s="5">
        <v>507</v>
      </c>
      <c r="B509" s="5" t="s">
        <v>19</v>
      </c>
      <c r="C509" s="5" t="str">
        <f>"欧诒翠"</f>
        <v>欧诒翠</v>
      </c>
      <c r="D509" s="5" t="str">
        <f>"460003199106014247"</f>
        <v>460003199106014247</v>
      </c>
      <c r="E509" s="5" t="s">
        <v>15</v>
      </c>
      <c r="F509" s="5" t="str">
        <f>"073102020211"</f>
        <v>073102020211</v>
      </c>
      <c r="G509" s="7">
        <v>71.5</v>
      </c>
      <c r="H509" s="7">
        <f t="shared" si="34"/>
        <v>35.75</v>
      </c>
      <c r="I509" s="7">
        <v>42.876</v>
      </c>
      <c r="J509" s="7">
        <f t="shared" si="35"/>
        <v>21.438</v>
      </c>
      <c r="K509" s="10">
        <f t="shared" si="38"/>
        <v>57.188</v>
      </c>
      <c r="L509" s="7">
        <f t="shared" si="36"/>
        <v>229</v>
      </c>
      <c r="M509" s="11"/>
      <c r="N509"/>
    </row>
    <row r="510" spans="1:14" ht="24.75" customHeight="1">
      <c r="A510" s="5">
        <v>508</v>
      </c>
      <c r="B510" s="5" t="s">
        <v>19</v>
      </c>
      <c r="C510" s="5" t="str">
        <f>"许琼芬"</f>
        <v>许琼芬</v>
      </c>
      <c r="D510" s="5" t="str">
        <f>"460003199905070229"</f>
        <v>460003199905070229</v>
      </c>
      <c r="E510" s="5" t="s">
        <v>15</v>
      </c>
      <c r="F510" s="5" t="str">
        <f>"073102030937"</f>
        <v>073102030937</v>
      </c>
      <c r="G510" s="7">
        <v>76.4</v>
      </c>
      <c r="H510" s="7">
        <f t="shared" si="34"/>
        <v>38.2</v>
      </c>
      <c r="I510" s="7">
        <v>37.743</v>
      </c>
      <c r="J510" s="7">
        <f t="shared" si="35"/>
        <v>18.8715</v>
      </c>
      <c r="K510" s="10">
        <f t="shared" si="38"/>
        <v>57.0715</v>
      </c>
      <c r="L510" s="7">
        <f t="shared" si="36"/>
        <v>230</v>
      </c>
      <c r="M510" s="11"/>
      <c r="N510"/>
    </row>
    <row r="511" spans="1:14" ht="24.75" customHeight="1">
      <c r="A511" s="5">
        <v>509</v>
      </c>
      <c r="B511" s="5" t="s">
        <v>19</v>
      </c>
      <c r="C511" s="5" t="str">
        <f>"羊健文"</f>
        <v>羊健文</v>
      </c>
      <c r="D511" s="5" t="str">
        <f>"460003199802205012"</f>
        <v>460003199802205012</v>
      </c>
      <c r="E511" s="5" t="s">
        <v>15</v>
      </c>
      <c r="F511" s="5" t="str">
        <f>"073102020933"</f>
        <v>073102020933</v>
      </c>
      <c r="G511" s="7">
        <v>47.7</v>
      </c>
      <c r="H511" s="7">
        <f t="shared" si="34"/>
        <v>23.85</v>
      </c>
      <c r="I511" s="7">
        <v>66.298</v>
      </c>
      <c r="J511" s="7">
        <f t="shared" si="35"/>
        <v>33.149</v>
      </c>
      <c r="K511" s="10">
        <f t="shared" si="38"/>
        <v>56.999</v>
      </c>
      <c r="L511" s="7">
        <f t="shared" si="36"/>
        <v>231</v>
      </c>
      <c r="M511" s="11"/>
      <c r="N511"/>
    </row>
    <row r="512" spans="1:14" ht="24.75" customHeight="1">
      <c r="A512" s="5">
        <v>510</v>
      </c>
      <c r="B512" s="5" t="s">
        <v>19</v>
      </c>
      <c r="C512" s="5" t="str">
        <f>"符昌玲"</f>
        <v>符昌玲</v>
      </c>
      <c r="D512" s="5" t="str">
        <f>"460003199607296625"</f>
        <v>460003199607296625</v>
      </c>
      <c r="E512" s="5" t="s">
        <v>15</v>
      </c>
      <c r="F512" s="5" t="str">
        <f>"073102021027"</f>
        <v>073102021027</v>
      </c>
      <c r="G512" s="7">
        <v>77.7</v>
      </c>
      <c r="H512" s="7">
        <f t="shared" si="34"/>
        <v>38.85</v>
      </c>
      <c r="I512" s="7">
        <v>36.174</v>
      </c>
      <c r="J512" s="7">
        <f t="shared" si="35"/>
        <v>18.087</v>
      </c>
      <c r="K512" s="10">
        <f t="shared" si="38"/>
        <v>56.937</v>
      </c>
      <c r="L512" s="7">
        <f t="shared" si="36"/>
        <v>232</v>
      </c>
      <c r="M512" s="11"/>
      <c r="N512"/>
    </row>
    <row r="513" spans="1:14" ht="24.75" customHeight="1">
      <c r="A513" s="5">
        <v>511</v>
      </c>
      <c r="B513" s="5" t="s">
        <v>19</v>
      </c>
      <c r="C513" s="5" t="str">
        <f>"陈昕"</f>
        <v>陈昕</v>
      </c>
      <c r="D513" s="5" t="str">
        <f>"460004199705190820"</f>
        <v>460004199705190820</v>
      </c>
      <c r="E513" s="5" t="s">
        <v>15</v>
      </c>
      <c r="F513" s="5" t="str">
        <f>"073102021019"</f>
        <v>073102021019</v>
      </c>
      <c r="G513" s="7">
        <v>78.7</v>
      </c>
      <c r="H513" s="7">
        <f t="shared" si="34"/>
        <v>39.35</v>
      </c>
      <c r="I513" s="7">
        <v>34.873</v>
      </c>
      <c r="J513" s="7">
        <f t="shared" si="35"/>
        <v>17.4365</v>
      </c>
      <c r="K513" s="10">
        <f t="shared" si="38"/>
        <v>56.786500000000004</v>
      </c>
      <c r="L513" s="7">
        <f t="shared" si="36"/>
        <v>233</v>
      </c>
      <c r="M513" s="11"/>
      <c r="N513"/>
    </row>
    <row r="514" spans="1:14" ht="24.75" customHeight="1">
      <c r="A514" s="5">
        <v>512</v>
      </c>
      <c r="B514" s="5" t="s">
        <v>19</v>
      </c>
      <c r="C514" s="5" t="str">
        <f>"钟文欣"</f>
        <v>钟文欣</v>
      </c>
      <c r="D514" s="5" t="str">
        <f>"460003199912280267"</f>
        <v>460003199912280267</v>
      </c>
      <c r="E514" s="5" t="s">
        <v>15</v>
      </c>
      <c r="F514" s="5" t="str">
        <f>"073102021242"</f>
        <v>073102021242</v>
      </c>
      <c r="G514" s="7">
        <v>61.3</v>
      </c>
      <c r="H514" s="7">
        <f t="shared" si="34"/>
        <v>30.65</v>
      </c>
      <c r="I514" s="7">
        <v>52.115</v>
      </c>
      <c r="J514" s="7">
        <f t="shared" si="35"/>
        <v>26.0575</v>
      </c>
      <c r="K514" s="10">
        <f t="shared" si="38"/>
        <v>56.707499999999996</v>
      </c>
      <c r="L514" s="7">
        <f t="shared" si="36"/>
        <v>234</v>
      </c>
      <c r="M514" s="11"/>
      <c r="N514"/>
    </row>
    <row r="515" spans="1:14" ht="24.75" customHeight="1">
      <c r="A515" s="5">
        <v>513</v>
      </c>
      <c r="B515" s="5" t="s">
        <v>19</v>
      </c>
      <c r="C515" s="5" t="str">
        <f>"王美玲"</f>
        <v>王美玲</v>
      </c>
      <c r="D515" s="5" t="str">
        <f>"460028199809043623"</f>
        <v>460028199809043623</v>
      </c>
      <c r="E515" s="5" t="s">
        <v>15</v>
      </c>
      <c r="F515" s="5" t="str">
        <f>"073102030436"</f>
        <v>073102030436</v>
      </c>
      <c r="G515" s="7">
        <v>68.4</v>
      </c>
      <c r="H515" s="7">
        <f aca="true" t="shared" si="39" ref="H515:H578">G515*0.5</f>
        <v>34.2</v>
      </c>
      <c r="I515" s="7">
        <v>44.728</v>
      </c>
      <c r="J515" s="7">
        <f aca="true" t="shared" si="40" ref="J515:J578">I515*0.5</f>
        <v>22.364</v>
      </c>
      <c r="K515" s="10">
        <f t="shared" si="38"/>
        <v>56.56400000000001</v>
      </c>
      <c r="L515" s="7">
        <f t="shared" si="36"/>
        <v>235</v>
      </c>
      <c r="M515" s="11"/>
      <c r="N515"/>
    </row>
    <row r="516" spans="1:14" ht="24.75" customHeight="1">
      <c r="A516" s="5">
        <v>514</v>
      </c>
      <c r="B516" s="5" t="s">
        <v>19</v>
      </c>
      <c r="C516" s="5" t="str">
        <f>"吴金桂"</f>
        <v>吴金桂</v>
      </c>
      <c r="D516" s="5" t="str">
        <f>"460005199501311228"</f>
        <v>460005199501311228</v>
      </c>
      <c r="E516" s="5" t="s">
        <v>15</v>
      </c>
      <c r="F516" s="5" t="str">
        <f>"073102020729"</f>
        <v>073102020729</v>
      </c>
      <c r="G516" s="7">
        <v>78.7</v>
      </c>
      <c r="H516" s="7">
        <f t="shared" si="39"/>
        <v>39.35</v>
      </c>
      <c r="I516" s="7">
        <v>34.418</v>
      </c>
      <c r="J516" s="7">
        <f t="shared" si="40"/>
        <v>17.209</v>
      </c>
      <c r="K516" s="10">
        <f t="shared" si="38"/>
        <v>56.559</v>
      </c>
      <c r="L516" s="7">
        <f t="shared" si="36"/>
        <v>236</v>
      </c>
      <c r="M516" s="11"/>
      <c r="N516"/>
    </row>
    <row r="517" spans="1:14" ht="24.75" customHeight="1">
      <c r="A517" s="5">
        <v>515</v>
      </c>
      <c r="B517" s="5" t="s">
        <v>19</v>
      </c>
      <c r="C517" s="5" t="str">
        <f>"周景婷"</f>
        <v>周景婷</v>
      </c>
      <c r="D517" s="5" t="str">
        <f>"460003199108201425"</f>
        <v>460003199108201425</v>
      </c>
      <c r="E517" s="5" t="s">
        <v>15</v>
      </c>
      <c r="F517" s="5" t="str">
        <f>"073102030616"</f>
        <v>073102030616</v>
      </c>
      <c r="G517" s="7">
        <v>71.1</v>
      </c>
      <c r="H517" s="7">
        <f t="shared" si="39"/>
        <v>35.55</v>
      </c>
      <c r="I517" s="7">
        <v>41.773</v>
      </c>
      <c r="J517" s="7">
        <f t="shared" si="40"/>
        <v>20.8865</v>
      </c>
      <c r="K517" s="10">
        <f t="shared" si="38"/>
        <v>56.436499999999995</v>
      </c>
      <c r="L517" s="7">
        <f t="shared" si="36"/>
        <v>237</v>
      </c>
      <c r="M517" s="11"/>
      <c r="N517"/>
    </row>
    <row r="518" spans="1:14" ht="24.75" customHeight="1">
      <c r="A518" s="5">
        <v>516</v>
      </c>
      <c r="B518" s="5" t="s">
        <v>19</v>
      </c>
      <c r="C518" s="5" t="str">
        <f>"王靓花"</f>
        <v>王靓花</v>
      </c>
      <c r="D518" s="5" t="str">
        <f>"460003199708157229"</f>
        <v>460003199708157229</v>
      </c>
      <c r="E518" s="5" t="s">
        <v>15</v>
      </c>
      <c r="F518" s="5" t="str">
        <f>"073102021038"</f>
        <v>073102021038</v>
      </c>
      <c r="G518" s="7">
        <v>81.6</v>
      </c>
      <c r="H518" s="7">
        <f t="shared" si="39"/>
        <v>40.8</v>
      </c>
      <c r="I518" s="7">
        <v>31.23</v>
      </c>
      <c r="J518" s="7">
        <f t="shared" si="40"/>
        <v>15.615</v>
      </c>
      <c r="K518" s="10">
        <f t="shared" si="38"/>
        <v>56.415</v>
      </c>
      <c r="L518" s="7">
        <f t="shared" si="36"/>
        <v>238</v>
      </c>
      <c r="M518" s="11"/>
      <c r="N518"/>
    </row>
    <row r="519" spans="1:14" ht="24.75" customHeight="1">
      <c r="A519" s="5">
        <v>517</v>
      </c>
      <c r="B519" s="5" t="s">
        <v>19</v>
      </c>
      <c r="C519" s="5" t="str">
        <f>"刘海莹"</f>
        <v>刘海莹</v>
      </c>
      <c r="D519" s="5" t="str">
        <f>"460003199608104621"</f>
        <v>460003199608104621</v>
      </c>
      <c r="E519" s="5" t="s">
        <v>15</v>
      </c>
      <c r="F519" s="5" t="str">
        <f>"073102030317"</f>
        <v>073102030317</v>
      </c>
      <c r="G519" s="7">
        <v>67.3</v>
      </c>
      <c r="H519" s="7">
        <f t="shared" si="39"/>
        <v>33.65</v>
      </c>
      <c r="I519" s="7">
        <v>45.332</v>
      </c>
      <c r="J519" s="7">
        <f t="shared" si="40"/>
        <v>22.666</v>
      </c>
      <c r="K519" s="10">
        <f t="shared" si="38"/>
        <v>56.316</v>
      </c>
      <c r="L519" s="7">
        <f t="shared" si="36"/>
        <v>239</v>
      </c>
      <c r="M519" s="11"/>
      <c r="N519"/>
    </row>
    <row r="520" spans="1:14" ht="24.75" customHeight="1">
      <c r="A520" s="5">
        <v>518</v>
      </c>
      <c r="B520" s="5" t="s">
        <v>19</v>
      </c>
      <c r="C520" s="5" t="str">
        <f>"黄和蕾"</f>
        <v>黄和蕾</v>
      </c>
      <c r="D520" s="5" t="str">
        <f>"460006199904282325"</f>
        <v>460006199904282325</v>
      </c>
      <c r="E520" s="5" t="s">
        <v>15</v>
      </c>
      <c r="F520" s="5" t="str">
        <f>"073102021108"</f>
        <v>073102021108</v>
      </c>
      <c r="G520" s="7">
        <v>73.2</v>
      </c>
      <c r="H520" s="7">
        <f t="shared" si="39"/>
        <v>36.6</v>
      </c>
      <c r="I520" s="7">
        <v>39.427</v>
      </c>
      <c r="J520" s="7">
        <f t="shared" si="40"/>
        <v>19.7135</v>
      </c>
      <c r="K520" s="10">
        <f t="shared" si="38"/>
        <v>56.313500000000005</v>
      </c>
      <c r="L520" s="7">
        <f t="shared" si="36"/>
        <v>240</v>
      </c>
      <c r="M520" s="11"/>
      <c r="N520"/>
    </row>
    <row r="521" spans="1:14" ht="24.75" customHeight="1">
      <c r="A521" s="5">
        <v>519</v>
      </c>
      <c r="B521" s="5" t="s">
        <v>19</v>
      </c>
      <c r="C521" s="5" t="str">
        <f>"孙初月"</f>
        <v>孙初月</v>
      </c>
      <c r="D521" s="5" t="str">
        <f>"460003199812243821"</f>
        <v>460003199812243821</v>
      </c>
      <c r="E521" s="5" t="s">
        <v>15</v>
      </c>
      <c r="F521" s="5" t="str">
        <f>"073102030526"</f>
        <v>073102030526</v>
      </c>
      <c r="G521" s="7">
        <v>69.4</v>
      </c>
      <c r="H521" s="7">
        <f t="shared" si="39"/>
        <v>34.7</v>
      </c>
      <c r="I521" s="7">
        <v>42.78</v>
      </c>
      <c r="J521" s="7">
        <f t="shared" si="40"/>
        <v>21.39</v>
      </c>
      <c r="K521" s="10">
        <f t="shared" si="38"/>
        <v>56.09</v>
      </c>
      <c r="L521" s="7">
        <f t="shared" si="36"/>
        <v>241</v>
      </c>
      <c r="M521" s="11"/>
      <c r="N521"/>
    </row>
    <row r="522" spans="1:14" ht="24.75" customHeight="1">
      <c r="A522" s="5">
        <v>520</v>
      </c>
      <c r="B522" s="5" t="s">
        <v>19</v>
      </c>
      <c r="C522" s="5" t="str">
        <f>"麦亮浩"</f>
        <v>麦亮浩</v>
      </c>
      <c r="D522" s="5" t="str">
        <f>"460003199609118515"</f>
        <v>460003199609118515</v>
      </c>
      <c r="E522" s="5" t="s">
        <v>15</v>
      </c>
      <c r="F522" s="5" t="str">
        <f>"073102030239"</f>
        <v>073102030239</v>
      </c>
      <c r="G522" s="7">
        <v>61.5</v>
      </c>
      <c r="H522" s="7">
        <f t="shared" si="39"/>
        <v>30.75</v>
      </c>
      <c r="I522" s="7">
        <v>50.369</v>
      </c>
      <c r="J522" s="7">
        <f t="shared" si="40"/>
        <v>25.1845</v>
      </c>
      <c r="K522" s="10">
        <f t="shared" si="38"/>
        <v>55.9345</v>
      </c>
      <c r="L522" s="7">
        <f t="shared" si="36"/>
        <v>242</v>
      </c>
      <c r="M522" s="11"/>
      <c r="N522"/>
    </row>
    <row r="523" spans="1:14" ht="24.75" customHeight="1">
      <c r="A523" s="5">
        <v>521</v>
      </c>
      <c r="B523" s="5" t="s">
        <v>19</v>
      </c>
      <c r="C523" s="5" t="str">
        <f>"陈月伦"</f>
        <v>陈月伦</v>
      </c>
      <c r="D523" s="5" t="str">
        <f>"469023199707308228"</f>
        <v>469023199707308228</v>
      </c>
      <c r="E523" s="5" t="s">
        <v>15</v>
      </c>
      <c r="F523" s="5" t="str">
        <f>"073102020639"</f>
        <v>073102020639</v>
      </c>
      <c r="G523" s="7">
        <v>65.4</v>
      </c>
      <c r="H523" s="7">
        <f t="shared" si="39"/>
        <v>32.7</v>
      </c>
      <c r="I523" s="7">
        <v>46.389</v>
      </c>
      <c r="J523" s="7">
        <f t="shared" si="40"/>
        <v>23.1945</v>
      </c>
      <c r="K523" s="10">
        <f t="shared" si="38"/>
        <v>55.89450000000001</v>
      </c>
      <c r="L523" s="7">
        <f t="shared" si="36"/>
        <v>243</v>
      </c>
      <c r="M523" s="11"/>
      <c r="N523"/>
    </row>
    <row r="524" spans="1:14" ht="24.75" customHeight="1">
      <c r="A524" s="5">
        <v>522</v>
      </c>
      <c r="B524" s="5" t="s">
        <v>19</v>
      </c>
      <c r="C524" s="5" t="str">
        <f>"王雨晨"</f>
        <v>王雨晨</v>
      </c>
      <c r="D524" s="5" t="str">
        <f>"46000319930919564X"</f>
        <v>46000319930919564X</v>
      </c>
      <c r="E524" s="5" t="s">
        <v>15</v>
      </c>
      <c r="F524" s="5" t="str">
        <f>"073102030213"</f>
        <v>073102030213</v>
      </c>
      <c r="G524" s="7">
        <v>55.3</v>
      </c>
      <c r="H524" s="7">
        <f t="shared" si="39"/>
        <v>27.65</v>
      </c>
      <c r="I524" s="7">
        <v>56.279</v>
      </c>
      <c r="J524" s="7">
        <f t="shared" si="40"/>
        <v>28.1395</v>
      </c>
      <c r="K524" s="10">
        <f t="shared" si="38"/>
        <v>55.789500000000004</v>
      </c>
      <c r="L524" s="7">
        <f t="shared" si="36"/>
        <v>244</v>
      </c>
      <c r="M524" s="11"/>
      <c r="N524"/>
    </row>
    <row r="525" spans="1:14" ht="24.75" customHeight="1">
      <c r="A525" s="5">
        <v>523</v>
      </c>
      <c r="B525" s="5" t="s">
        <v>19</v>
      </c>
      <c r="C525" s="5" t="str">
        <f>"胡金花"</f>
        <v>胡金花</v>
      </c>
      <c r="D525" s="5" t="str">
        <f>"460003199805047822"</f>
        <v>460003199805047822</v>
      </c>
      <c r="E525" s="5" t="s">
        <v>15</v>
      </c>
      <c r="F525" s="5" t="str">
        <f>"073102020602"</f>
        <v>073102020602</v>
      </c>
      <c r="G525" s="7">
        <v>61.6</v>
      </c>
      <c r="H525" s="7">
        <f t="shared" si="39"/>
        <v>30.8</v>
      </c>
      <c r="I525" s="7">
        <v>49.967</v>
      </c>
      <c r="J525" s="7">
        <f t="shared" si="40"/>
        <v>24.9835</v>
      </c>
      <c r="K525" s="10">
        <f t="shared" si="38"/>
        <v>55.783500000000004</v>
      </c>
      <c r="L525" s="7">
        <f t="shared" si="36"/>
        <v>245</v>
      </c>
      <c r="M525" s="11"/>
      <c r="N525"/>
    </row>
    <row r="526" spans="1:14" ht="24.75" customHeight="1">
      <c r="A526" s="5">
        <v>524</v>
      </c>
      <c r="B526" s="5" t="s">
        <v>19</v>
      </c>
      <c r="C526" s="5" t="str">
        <f>"梁巧燕"</f>
        <v>梁巧燕</v>
      </c>
      <c r="D526" s="5" t="str">
        <f>"460003199810250227"</f>
        <v>460003199810250227</v>
      </c>
      <c r="E526" s="5" t="s">
        <v>15</v>
      </c>
      <c r="F526" s="5" t="str">
        <f>"073102031021"</f>
        <v>073102031021</v>
      </c>
      <c r="G526" s="7">
        <v>24.8</v>
      </c>
      <c r="H526" s="7">
        <f t="shared" si="39"/>
        <v>12.4</v>
      </c>
      <c r="I526" s="7">
        <v>86.568</v>
      </c>
      <c r="J526" s="7">
        <f t="shared" si="40"/>
        <v>43.284</v>
      </c>
      <c r="K526" s="10">
        <f t="shared" si="38"/>
        <v>55.684</v>
      </c>
      <c r="L526" s="7">
        <f t="shared" si="36"/>
        <v>246</v>
      </c>
      <c r="M526" s="11"/>
      <c r="N526"/>
    </row>
    <row r="527" spans="1:14" ht="24.75" customHeight="1">
      <c r="A527" s="5">
        <v>525</v>
      </c>
      <c r="B527" s="5" t="s">
        <v>19</v>
      </c>
      <c r="C527" s="5" t="str">
        <f>"何在丹"</f>
        <v>何在丹</v>
      </c>
      <c r="D527" s="5" t="str">
        <f>"460003199608216041"</f>
        <v>460003199608216041</v>
      </c>
      <c r="E527" s="5" t="s">
        <v>15</v>
      </c>
      <c r="F527" s="5" t="str">
        <f>"073102020509"</f>
        <v>073102020509</v>
      </c>
      <c r="G527" s="7">
        <v>60.3</v>
      </c>
      <c r="H527" s="7">
        <f t="shared" si="39"/>
        <v>30.15</v>
      </c>
      <c r="I527" s="7">
        <v>50.618</v>
      </c>
      <c r="J527" s="7">
        <f t="shared" si="40"/>
        <v>25.309</v>
      </c>
      <c r="K527" s="10">
        <f t="shared" si="38"/>
        <v>55.459</v>
      </c>
      <c r="L527" s="7">
        <f t="shared" si="36"/>
        <v>247</v>
      </c>
      <c r="M527" s="11"/>
      <c r="N527"/>
    </row>
    <row r="528" spans="1:14" ht="24.75" customHeight="1">
      <c r="A528" s="5">
        <v>526</v>
      </c>
      <c r="B528" s="5" t="s">
        <v>19</v>
      </c>
      <c r="C528" s="5" t="str">
        <f>"陈诗怡"</f>
        <v>陈诗怡</v>
      </c>
      <c r="D528" s="5" t="str">
        <f>"460003200102200427"</f>
        <v>460003200102200427</v>
      </c>
      <c r="E528" s="5" t="s">
        <v>15</v>
      </c>
      <c r="F528" s="5" t="str">
        <f>"073102031018"</f>
        <v>073102031018</v>
      </c>
      <c r="G528" s="7">
        <v>65.7</v>
      </c>
      <c r="H528" s="7">
        <f t="shared" si="39"/>
        <v>32.85</v>
      </c>
      <c r="I528" s="7">
        <v>45.198</v>
      </c>
      <c r="J528" s="7">
        <f t="shared" si="40"/>
        <v>22.599</v>
      </c>
      <c r="K528" s="10">
        <f t="shared" si="38"/>
        <v>55.449</v>
      </c>
      <c r="L528" s="7">
        <f t="shared" si="36"/>
        <v>248</v>
      </c>
      <c r="M528" s="11"/>
      <c r="N528"/>
    </row>
    <row r="529" spans="1:14" ht="24.75" customHeight="1">
      <c r="A529" s="5">
        <v>527</v>
      </c>
      <c r="B529" s="5" t="s">
        <v>19</v>
      </c>
      <c r="C529" s="5" t="str">
        <f>"李暖香"</f>
        <v>李暖香</v>
      </c>
      <c r="D529" s="5" t="str">
        <f>"460003199210044243"</f>
        <v>460003199210044243</v>
      </c>
      <c r="E529" s="5" t="s">
        <v>15</v>
      </c>
      <c r="F529" s="5" t="str">
        <f>"073102030137"</f>
        <v>073102030137</v>
      </c>
      <c r="G529" s="7">
        <v>58.7</v>
      </c>
      <c r="H529" s="7">
        <f t="shared" si="39"/>
        <v>29.35</v>
      </c>
      <c r="I529" s="7">
        <v>52.048</v>
      </c>
      <c r="J529" s="7">
        <f t="shared" si="40"/>
        <v>26.024</v>
      </c>
      <c r="K529" s="10">
        <f t="shared" si="38"/>
        <v>55.374</v>
      </c>
      <c r="L529" s="7">
        <f t="shared" si="36"/>
        <v>249</v>
      </c>
      <c r="M529" s="11"/>
      <c r="N529"/>
    </row>
    <row r="530" spans="1:14" ht="24.75" customHeight="1">
      <c r="A530" s="5">
        <v>528</v>
      </c>
      <c r="B530" s="5" t="s">
        <v>19</v>
      </c>
      <c r="C530" s="5" t="str">
        <f>"刘海燕"</f>
        <v>刘海燕</v>
      </c>
      <c r="D530" s="5" t="str">
        <f>"460003199111244645"</f>
        <v>460003199111244645</v>
      </c>
      <c r="E530" s="5" t="s">
        <v>15</v>
      </c>
      <c r="F530" s="5" t="str">
        <f>"073102021204"</f>
        <v>073102021204</v>
      </c>
      <c r="G530" s="7">
        <v>58.2</v>
      </c>
      <c r="H530" s="7">
        <f t="shared" si="39"/>
        <v>29.1</v>
      </c>
      <c r="I530" s="7">
        <v>52.44</v>
      </c>
      <c r="J530" s="7">
        <f t="shared" si="40"/>
        <v>26.22</v>
      </c>
      <c r="K530" s="10">
        <f t="shared" si="38"/>
        <v>55.32</v>
      </c>
      <c r="L530" s="7">
        <f t="shared" si="36"/>
        <v>250</v>
      </c>
      <c r="M530" s="11"/>
      <c r="N530"/>
    </row>
    <row r="531" spans="1:14" ht="24.75" customHeight="1">
      <c r="A531" s="5">
        <v>529</v>
      </c>
      <c r="B531" s="5" t="s">
        <v>19</v>
      </c>
      <c r="C531" s="5" t="str">
        <f>"王忠强"</f>
        <v>王忠强</v>
      </c>
      <c r="D531" s="5" t="str">
        <f>"460028199502096018"</f>
        <v>460028199502096018</v>
      </c>
      <c r="E531" s="5" t="s">
        <v>15</v>
      </c>
      <c r="F531" s="5" t="str">
        <f>"073102030814"</f>
        <v>073102030814</v>
      </c>
      <c r="G531" s="7">
        <v>66.3</v>
      </c>
      <c r="H531" s="7">
        <f t="shared" si="39"/>
        <v>33.15</v>
      </c>
      <c r="I531" s="7">
        <v>44.325</v>
      </c>
      <c r="J531" s="7">
        <f t="shared" si="40"/>
        <v>22.1625</v>
      </c>
      <c r="K531" s="10">
        <f t="shared" si="38"/>
        <v>55.3125</v>
      </c>
      <c r="L531" s="7">
        <f t="shared" si="36"/>
        <v>251</v>
      </c>
      <c r="M531" s="11"/>
      <c r="N531"/>
    </row>
    <row r="532" spans="1:14" ht="24.75" customHeight="1">
      <c r="A532" s="5">
        <v>530</v>
      </c>
      <c r="B532" s="5" t="s">
        <v>19</v>
      </c>
      <c r="C532" s="5" t="str">
        <f>"李德新"</f>
        <v>李德新</v>
      </c>
      <c r="D532" s="5" t="str">
        <f>"460104199710010914"</f>
        <v>460104199710010914</v>
      </c>
      <c r="E532" s="5" t="s">
        <v>15</v>
      </c>
      <c r="F532" s="5" t="str">
        <f>"073102030907"</f>
        <v>073102030907</v>
      </c>
      <c r="G532" s="7">
        <v>78.6</v>
      </c>
      <c r="H532" s="7">
        <f t="shared" si="39"/>
        <v>39.3</v>
      </c>
      <c r="I532" s="7">
        <v>31.565</v>
      </c>
      <c r="J532" s="7">
        <f t="shared" si="40"/>
        <v>15.7825</v>
      </c>
      <c r="K532" s="10">
        <f t="shared" si="38"/>
        <v>55.082499999999996</v>
      </c>
      <c r="L532" s="7">
        <f t="shared" si="36"/>
        <v>252</v>
      </c>
      <c r="M532" s="11"/>
      <c r="N532"/>
    </row>
    <row r="533" spans="1:14" ht="24.75" customHeight="1">
      <c r="A533" s="5">
        <v>531</v>
      </c>
      <c r="B533" s="5" t="s">
        <v>19</v>
      </c>
      <c r="C533" s="5" t="str">
        <f>"吴心怡"</f>
        <v>吴心怡</v>
      </c>
      <c r="D533" s="5" t="str">
        <f>"460006199710192022"</f>
        <v>460006199710192022</v>
      </c>
      <c r="E533" s="5" t="s">
        <v>15</v>
      </c>
      <c r="F533" s="5" t="str">
        <f>"073102021025"</f>
        <v>073102021025</v>
      </c>
      <c r="G533" s="7">
        <v>73.9</v>
      </c>
      <c r="H533" s="7">
        <f t="shared" si="39"/>
        <v>36.95</v>
      </c>
      <c r="I533" s="7">
        <v>36.109</v>
      </c>
      <c r="J533" s="7">
        <f t="shared" si="40"/>
        <v>18.0545</v>
      </c>
      <c r="K533" s="10">
        <f t="shared" si="38"/>
        <v>55.00450000000001</v>
      </c>
      <c r="L533" s="7">
        <f t="shared" si="36"/>
        <v>253</v>
      </c>
      <c r="M533" s="11"/>
      <c r="N533"/>
    </row>
    <row r="534" spans="1:14" ht="24.75" customHeight="1">
      <c r="A534" s="5">
        <v>532</v>
      </c>
      <c r="B534" s="5" t="s">
        <v>19</v>
      </c>
      <c r="C534" s="5" t="str">
        <f>"陈俊桔"</f>
        <v>陈俊桔</v>
      </c>
      <c r="D534" s="5" t="str">
        <f>"460003199304226638"</f>
        <v>460003199304226638</v>
      </c>
      <c r="E534" s="5" t="s">
        <v>15</v>
      </c>
      <c r="F534" s="5" t="str">
        <f>"073102031011"</f>
        <v>073102031011</v>
      </c>
      <c r="G534" s="7">
        <v>74.6</v>
      </c>
      <c r="H534" s="7">
        <f t="shared" si="39"/>
        <v>37.3</v>
      </c>
      <c r="I534" s="7">
        <v>35.393</v>
      </c>
      <c r="J534" s="7">
        <f t="shared" si="40"/>
        <v>17.6965</v>
      </c>
      <c r="K534" s="10">
        <f t="shared" si="38"/>
        <v>54.9965</v>
      </c>
      <c r="L534" s="7">
        <f t="shared" si="36"/>
        <v>254</v>
      </c>
      <c r="M534" s="11"/>
      <c r="N534"/>
    </row>
    <row r="535" spans="1:14" ht="24.75" customHeight="1">
      <c r="A535" s="5">
        <v>533</v>
      </c>
      <c r="B535" s="5" t="s">
        <v>19</v>
      </c>
      <c r="C535" s="5" t="str">
        <f>"陈玉雪"</f>
        <v>陈玉雪</v>
      </c>
      <c r="D535" s="5" t="str">
        <f>"460003199604122048"</f>
        <v>460003199604122048</v>
      </c>
      <c r="E535" s="5" t="s">
        <v>15</v>
      </c>
      <c r="F535" s="5" t="str">
        <f>"073102021106"</f>
        <v>073102021106</v>
      </c>
      <c r="G535" s="7">
        <v>85.6</v>
      </c>
      <c r="H535" s="7">
        <f t="shared" si="39"/>
        <v>42.8</v>
      </c>
      <c r="I535" s="7">
        <v>24.268</v>
      </c>
      <c r="J535" s="7">
        <f t="shared" si="40"/>
        <v>12.134</v>
      </c>
      <c r="K535" s="10">
        <f t="shared" si="38"/>
        <v>54.934</v>
      </c>
      <c r="L535" s="7">
        <f t="shared" si="36"/>
        <v>255</v>
      </c>
      <c r="M535" s="11"/>
      <c r="N535"/>
    </row>
    <row r="536" spans="1:14" ht="24.75" customHeight="1">
      <c r="A536" s="5">
        <v>534</v>
      </c>
      <c r="B536" s="5" t="s">
        <v>19</v>
      </c>
      <c r="C536" s="5" t="str">
        <f>"黄霞"</f>
        <v>黄霞</v>
      </c>
      <c r="D536" s="5" t="str">
        <f>"460004199701220842"</f>
        <v>460004199701220842</v>
      </c>
      <c r="E536" s="5" t="s">
        <v>15</v>
      </c>
      <c r="F536" s="5" t="str">
        <f>"073102020624"</f>
        <v>073102020624</v>
      </c>
      <c r="G536" s="7">
        <v>64.3</v>
      </c>
      <c r="H536" s="7">
        <f t="shared" si="39"/>
        <v>32.15</v>
      </c>
      <c r="I536" s="7">
        <v>45.543</v>
      </c>
      <c r="J536" s="7">
        <f t="shared" si="40"/>
        <v>22.7715</v>
      </c>
      <c r="K536" s="10">
        <f t="shared" si="38"/>
        <v>54.921499999999995</v>
      </c>
      <c r="L536" s="7">
        <f t="shared" si="36"/>
        <v>256</v>
      </c>
      <c r="M536" s="11"/>
      <c r="N536"/>
    </row>
    <row r="537" spans="1:14" ht="24.75" customHeight="1">
      <c r="A537" s="5">
        <v>535</v>
      </c>
      <c r="B537" s="5" t="s">
        <v>19</v>
      </c>
      <c r="C537" s="5" t="str">
        <f>"王森珏"</f>
        <v>王森珏</v>
      </c>
      <c r="D537" s="5" t="str">
        <f>"460030199910205721"</f>
        <v>460030199910205721</v>
      </c>
      <c r="E537" s="5" t="s">
        <v>15</v>
      </c>
      <c r="F537" s="5" t="str">
        <f>"073102030110"</f>
        <v>073102030110</v>
      </c>
      <c r="G537" s="7">
        <v>82.8</v>
      </c>
      <c r="H537" s="7">
        <f t="shared" si="39"/>
        <v>41.4</v>
      </c>
      <c r="I537" s="7">
        <v>26.931</v>
      </c>
      <c r="J537" s="7">
        <f t="shared" si="40"/>
        <v>13.4655</v>
      </c>
      <c r="K537" s="10">
        <f t="shared" si="38"/>
        <v>54.8655</v>
      </c>
      <c r="L537" s="7">
        <f aca="true" t="shared" si="41" ref="L537:L600">RANK(K537,$K$281:$K$1299,0)</f>
        <v>257</v>
      </c>
      <c r="M537" s="11"/>
      <c r="N537"/>
    </row>
    <row r="538" spans="1:14" ht="24.75" customHeight="1">
      <c r="A538" s="5">
        <v>536</v>
      </c>
      <c r="B538" s="5" t="s">
        <v>19</v>
      </c>
      <c r="C538" s="5" t="str">
        <f>"岑小娜"</f>
        <v>岑小娜</v>
      </c>
      <c r="D538" s="5" t="str">
        <f>"460027199707062982"</f>
        <v>460027199707062982</v>
      </c>
      <c r="E538" s="5" t="s">
        <v>15</v>
      </c>
      <c r="F538" s="5" t="str">
        <f>"073102020546"</f>
        <v>073102020546</v>
      </c>
      <c r="G538" s="7">
        <v>65.6</v>
      </c>
      <c r="H538" s="7">
        <f t="shared" si="39"/>
        <v>32.8</v>
      </c>
      <c r="I538" s="7">
        <v>44.112</v>
      </c>
      <c r="J538" s="7">
        <f t="shared" si="40"/>
        <v>22.056</v>
      </c>
      <c r="K538" s="10">
        <f t="shared" si="38"/>
        <v>54.855999999999995</v>
      </c>
      <c r="L538" s="7">
        <f t="shared" si="41"/>
        <v>258</v>
      </c>
      <c r="M538" s="11"/>
      <c r="N538"/>
    </row>
    <row r="539" spans="1:14" ht="24.75" customHeight="1">
      <c r="A539" s="5">
        <v>537</v>
      </c>
      <c r="B539" s="5" t="s">
        <v>19</v>
      </c>
      <c r="C539" s="5" t="str">
        <f>"吴强武"</f>
        <v>吴强武</v>
      </c>
      <c r="D539" s="5" t="str">
        <f>"460003199208222012"</f>
        <v>460003199208222012</v>
      </c>
      <c r="E539" s="5" t="s">
        <v>15</v>
      </c>
      <c r="F539" s="5" t="str">
        <f>"073102020122"</f>
        <v>073102020122</v>
      </c>
      <c r="G539" s="7">
        <v>51.7</v>
      </c>
      <c r="H539" s="7">
        <f t="shared" si="39"/>
        <v>25.85</v>
      </c>
      <c r="I539" s="7">
        <v>57.97</v>
      </c>
      <c r="J539" s="7">
        <f t="shared" si="40"/>
        <v>28.985</v>
      </c>
      <c r="K539" s="10">
        <f t="shared" si="38"/>
        <v>54.835</v>
      </c>
      <c r="L539" s="7">
        <f t="shared" si="41"/>
        <v>259</v>
      </c>
      <c r="M539" s="11"/>
      <c r="N539"/>
    </row>
    <row r="540" spans="1:14" ht="24.75" customHeight="1">
      <c r="A540" s="5">
        <v>538</v>
      </c>
      <c r="B540" s="5" t="s">
        <v>19</v>
      </c>
      <c r="C540" s="5" t="str">
        <f>"王凯"</f>
        <v>王凯</v>
      </c>
      <c r="D540" s="5" t="str">
        <f>"460028199111150013"</f>
        <v>460028199111150013</v>
      </c>
      <c r="E540" s="5" t="s">
        <v>15</v>
      </c>
      <c r="F540" s="5" t="str">
        <f>"073102020539"</f>
        <v>073102020539</v>
      </c>
      <c r="G540" s="7">
        <v>63.8</v>
      </c>
      <c r="H540" s="7">
        <f t="shared" si="39"/>
        <v>31.9</v>
      </c>
      <c r="I540" s="7">
        <v>45.804</v>
      </c>
      <c r="J540" s="7">
        <f t="shared" si="40"/>
        <v>22.902</v>
      </c>
      <c r="K540" s="10">
        <f t="shared" si="38"/>
        <v>54.802</v>
      </c>
      <c r="L540" s="7">
        <f t="shared" si="41"/>
        <v>260</v>
      </c>
      <c r="M540" s="11"/>
      <c r="N540"/>
    </row>
    <row r="541" spans="1:14" ht="24.75" customHeight="1">
      <c r="A541" s="5">
        <v>539</v>
      </c>
      <c r="B541" s="5" t="s">
        <v>19</v>
      </c>
      <c r="C541" s="5" t="str">
        <f>"罗魁元"</f>
        <v>罗魁元</v>
      </c>
      <c r="D541" s="5" t="str">
        <f>"460003199302266636"</f>
        <v>460003199302266636</v>
      </c>
      <c r="E541" s="5" t="s">
        <v>15</v>
      </c>
      <c r="F541" s="5" t="str">
        <f>"073102020325"</f>
        <v>073102020325</v>
      </c>
      <c r="G541" s="7">
        <v>69</v>
      </c>
      <c r="H541" s="7">
        <f t="shared" si="39"/>
        <v>34.5</v>
      </c>
      <c r="I541" s="7">
        <v>40.534</v>
      </c>
      <c r="J541" s="7">
        <f t="shared" si="40"/>
        <v>20.267</v>
      </c>
      <c r="K541" s="10">
        <f t="shared" si="38"/>
        <v>54.766999999999996</v>
      </c>
      <c r="L541" s="7">
        <f t="shared" si="41"/>
        <v>261</v>
      </c>
      <c r="M541" s="11"/>
      <c r="N541"/>
    </row>
    <row r="542" spans="1:14" ht="24.75" customHeight="1">
      <c r="A542" s="5">
        <v>540</v>
      </c>
      <c r="B542" s="5" t="s">
        <v>19</v>
      </c>
      <c r="C542" s="5" t="str">
        <f>"李兴家"</f>
        <v>李兴家</v>
      </c>
      <c r="D542" s="5" t="str">
        <f>"460003199908164212"</f>
        <v>460003199908164212</v>
      </c>
      <c r="E542" s="5" t="s">
        <v>15</v>
      </c>
      <c r="F542" s="5" t="str">
        <f>"073102030125"</f>
        <v>073102030125</v>
      </c>
      <c r="G542" s="7">
        <v>48.8</v>
      </c>
      <c r="H542" s="7">
        <f t="shared" si="39"/>
        <v>24.4</v>
      </c>
      <c r="I542" s="7">
        <v>60.51</v>
      </c>
      <c r="J542" s="7">
        <f t="shared" si="40"/>
        <v>30.255</v>
      </c>
      <c r="K542" s="10">
        <f t="shared" si="38"/>
        <v>54.655</v>
      </c>
      <c r="L542" s="7">
        <f t="shared" si="41"/>
        <v>262</v>
      </c>
      <c r="M542" s="11"/>
      <c r="N542"/>
    </row>
    <row r="543" spans="1:14" ht="24.75" customHeight="1">
      <c r="A543" s="5">
        <v>541</v>
      </c>
      <c r="B543" s="5" t="s">
        <v>19</v>
      </c>
      <c r="C543" s="5" t="str">
        <f>"温泽美"</f>
        <v>温泽美</v>
      </c>
      <c r="D543" s="5" t="str">
        <f>"460006199811014620"</f>
        <v>460006199811014620</v>
      </c>
      <c r="E543" s="5" t="s">
        <v>15</v>
      </c>
      <c r="F543" s="5" t="str">
        <f>"073102020201"</f>
        <v>073102020201</v>
      </c>
      <c r="G543" s="7">
        <v>74.3</v>
      </c>
      <c r="H543" s="7">
        <f t="shared" si="39"/>
        <v>37.15</v>
      </c>
      <c r="I543" s="7">
        <v>35.003</v>
      </c>
      <c r="J543" s="7">
        <f t="shared" si="40"/>
        <v>17.5015</v>
      </c>
      <c r="K543" s="10">
        <f t="shared" si="38"/>
        <v>54.6515</v>
      </c>
      <c r="L543" s="7">
        <f t="shared" si="41"/>
        <v>263</v>
      </c>
      <c r="M543" s="11"/>
      <c r="N543"/>
    </row>
    <row r="544" spans="1:14" ht="24.75" customHeight="1">
      <c r="A544" s="5">
        <v>542</v>
      </c>
      <c r="B544" s="5" t="s">
        <v>19</v>
      </c>
      <c r="C544" s="5" t="str">
        <f>"周巨才"</f>
        <v>周巨才</v>
      </c>
      <c r="D544" s="5" t="str">
        <f>"460003199703182214"</f>
        <v>460003199703182214</v>
      </c>
      <c r="E544" s="5" t="s">
        <v>15</v>
      </c>
      <c r="F544" s="5" t="str">
        <f>"073102021024"</f>
        <v>073102021024</v>
      </c>
      <c r="G544" s="7">
        <v>86.3</v>
      </c>
      <c r="H544" s="7">
        <f t="shared" si="39"/>
        <v>43.15</v>
      </c>
      <c r="I544" s="7">
        <v>22.967</v>
      </c>
      <c r="J544" s="7">
        <f t="shared" si="40"/>
        <v>11.4835</v>
      </c>
      <c r="K544" s="10">
        <f t="shared" si="38"/>
        <v>54.6335</v>
      </c>
      <c r="L544" s="7">
        <f t="shared" si="41"/>
        <v>264</v>
      </c>
      <c r="M544" s="11"/>
      <c r="N544"/>
    </row>
    <row r="545" spans="1:14" ht="24.75" customHeight="1">
      <c r="A545" s="5">
        <v>543</v>
      </c>
      <c r="B545" s="5" t="s">
        <v>19</v>
      </c>
      <c r="C545" s="5" t="str">
        <f>"陈慧燕"</f>
        <v>陈慧燕</v>
      </c>
      <c r="D545" s="5" t="str">
        <f>"469003199904023525"</f>
        <v>469003199904023525</v>
      </c>
      <c r="E545" s="5" t="s">
        <v>15</v>
      </c>
      <c r="F545" s="5" t="str">
        <f>"073102030724"</f>
        <v>073102030724</v>
      </c>
      <c r="G545" s="7">
        <v>73</v>
      </c>
      <c r="H545" s="7">
        <f t="shared" si="39"/>
        <v>36.5</v>
      </c>
      <c r="I545" s="7">
        <v>36.132</v>
      </c>
      <c r="J545" s="7">
        <f t="shared" si="40"/>
        <v>18.066</v>
      </c>
      <c r="K545" s="10">
        <f t="shared" si="38"/>
        <v>54.566</v>
      </c>
      <c r="L545" s="7">
        <f t="shared" si="41"/>
        <v>265</v>
      </c>
      <c r="M545" s="11"/>
      <c r="N545"/>
    </row>
    <row r="546" spans="1:14" ht="24.75" customHeight="1">
      <c r="A546" s="5">
        <v>544</v>
      </c>
      <c r="B546" s="5" t="s">
        <v>19</v>
      </c>
      <c r="C546" s="5" t="str">
        <f>"郭小贝"</f>
        <v>郭小贝</v>
      </c>
      <c r="D546" s="5" t="str">
        <f>"460028199210282820"</f>
        <v>460028199210282820</v>
      </c>
      <c r="E546" s="5" t="s">
        <v>15</v>
      </c>
      <c r="F546" s="5" t="str">
        <f>"073102020237"</f>
        <v>073102020237</v>
      </c>
      <c r="G546" s="7">
        <v>67.9</v>
      </c>
      <c r="H546" s="7">
        <f t="shared" si="39"/>
        <v>33.95</v>
      </c>
      <c r="I546" s="7">
        <v>40.989</v>
      </c>
      <c r="J546" s="7">
        <f t="shared" si="40"/>
        <v>20.4945</v>
      </c>
      <c r="K546" s="10">
        <f t="shared" si="38"/>
        <v>54.444500000000005</v>
      </c>
      <c r="L546" s="7">
        <f t="shared" si="41"/>
        <v>266</v>
      </c>
      <c r="M546" s="11"/>
      <c r="N546"/>
    </row>
    <row r="547" spans="1:14" ht="24.75" customHeight="1">
      <c r="A547" s="5">
        <v>545</v>
      </c>
      <c r="B547" s="5" t="s">
        <v>19</v>
      </c>
      <c r="C547" s="5" t="str">
        <f>"王昌秀"</f>
        <v>王昌秀</v>
      </c>
      <c r="D547" s="5" t="str">
        <f>"460003199312216624"</f>
        <v>460003199312216624</v>
      </c>
      <c r="E547" s="5" t="s">
        <v>15</v>
      </c>
      <c r="F547" s="5" t="str">
        <f>"073102020244"</f>
        <v>073102020244</v>
      </c>
      <c r="G547" s="7">
        <v>56.5</v>
      </c>
      <c r="H547" s="7">
        <f t="shared" si="39"/>
        <v>28.25</v>
      </c>
      <c r="I547" s="7">
        <v>52.384</v>
      </c>
      <c r="J547" s="7">
        <f t="shared" si="40"/>
        <v>26.192</v>
      </c>
      <c r="K547" s="10">
        <f t="shared" si="38"/>
        <v>54.442</v>
      </c>
      <c r="L547" s="7">
        <f t="shared" si="41"/>
        <v>267</v>
      </c>
      <c r="M547" s="11"/>
      <c r="N547"/>
    </row>
    <row r="548" spans="1:14" ht="24.75" customHeight="1">
      <c r="A548" s="5">
        <v>546</v>
      </c>
      <c r="B548" s="5" t="s">
        <v>19</v>
      </c>
      <c r="C548" s="5" t="str">
        <f>"陈彪"</f>
        <v>陈彪</v>
      </c>
      <c r="D548" s="5" t="str">
        <f>"460003199510100032"</f>
        <v>460003199510100032</v>
      </c>
      <c r="E548" s="5" t="s">
        <v>15</v>
      </c>
      <c r="F548" s="5" t="str">
        <f>"073102021218"</f>
        <v>073102021218</v>
      </c>
      <c r="G548" s="7">
        <v>54.1</v>
      </c>
      <c r="H548" s="7">
        <f t="shared" si="39"/>
        <v>27.05</v>
      </c>
      <c r="I548" s="7">
        <v>54.782</v>
      </c>
      <c r="J548" s="7">
        <f t="shared" si="40"/>
        <v>27.391</v>
      </c>
      <c r="K548" s="10">
        <f t="shared" si="38"/>
        <v>54.441</v>
      </c>
      <c r="L548" s="7">
        <f t="shared" si="41"/>
        <v>268</v>
      </c>
      <c r="M548" s="11"/>
      <c r="N548"/>
    </row>
    <row r="549" spans="1:14" ht="24.75" customHeight="1">
      <c r="A549" s="5">
        <v>547</v>
      </c>
      <c r="B549" s="5" t="s">
        <v>19</v>
      </c>
      <c r="C549" s="5" t="str">
        <f>"王孟娜"</f>
        <v>王孟娜</v>
      </c>
      <c r="D549" s="5" t="str">
        <f>"460003199611165820"</f>
        <v>460003199611165820</v>
      </c>
      <c r="E549" s="5" t="s">
        <v>15</v>
      </c>
      <c r="F549" s="5" t="str">
        <f>"073102021107"</f>
        <v>073102021107</v>
      </c>
      <c r="G549" s="7">
        <v>80.3</v>
      </c>
      <c r="H549" s="7">
        <f t="shared" si="39"/>
        <v>40.15</v>
      </c>
      <c r="I549" s="7">
        <v>28.432</v>
      </c>
      <c r="J549" s="7">
        <f t="shared" si="40"/>
        <v>14.216</v>
      </c>
      <c r="K549" s="10">
        <f t="shared" si="38"/>
        <v>54.366</v>
      </c>
      <c r="L549" s="7">
        <f t="shared" si="41"/>
        <v>269</v>
      </c>
      <c r="M549" s="11"/>
      <c r="N549"/>
    </row>
    <row r="550" spans="1:14" ht="24.75" customHeight="1">
      <c r="A550" s="5">
        <v>548</v>
      </c>
      <c r="B550" s="5" t="s">
        <v>19</v>
      </c>
      <c r="C550" s="5" t="str">
        <f>"李甲育"</f>
        <v>李甲育</v>
      </c>
      <c r="D550" s="5" t="str">
        <f>"460003199407052028"</f>
        <v>460003199407052028</v>
      </c>
      <c r="E550" s="5" t="s">
        <v>15</v>
      </c>
      <c r="F550" s="5" t="str">
        <f>"073102021227"</f>
        <v>073102021227</v>
      </c>
      <c r="G550" s="7">
        <v>59.1</v>
      </c>
      <c r="H550" s="7">
        <f t="shared" si="39"/>
        <v>29.55</v>
      </c>
      <c r="I550" s="7">
        <v>49.187</v>
      </c>
      <c r="J550" s="7">
        <f t="shared" si="40"/>
        <v>24.5935</v>
      </c>
      <c r="K550" s="10">
        <f t="shared" si="38"/>
        <v>54.1435</v>
      </c>
      <c r="L550" s="7">
        <f t="shared" si="41"/>
        <v>270</v>
      </c>
      <c r="M550" s="11"/>
      <c r="N550"/>
    </row>
    <row r="551" spans="1:14" ht="24.75" customHeight="1">
      <c r="A551" s="5">
        <v>549</v>
      </c>
      <c r="B551" s="5" t="s">
        <v>19</v>
      </c>
      <c r="C551" s="5" t="str">
        <f>"王月丽"</f>
        <v>王月丽</v>
      </c>
      <c r="D551" s="5" t="str">
        <f>"460034199604291823"</f>
        <v>460034199604291823</v>
      </c>
      <c r="E551" s="5" t="s">
        <v>15</v>
      </c>
      <c r="F551" s="5" t="str">
        <f>"073102030322"</f>
        <v>073102030322</v>
      </c>
      <c r="G551" s="7">
        <v>63</v>
      </c>
      <c r="H551" s="7">
        <f t="shared" si="39"/>
        <v>31.5</v>
      </c>
      <c r="I551" s="7">
        <v>45.131</v>
      </c>
      <c r="J551" s="7">
        <f t="shared" si="40"/>
        <v>22.5655</v>
      </c>
      <c r="K551" s="10">
        <f t="shared" si="38"/>
        <v>54.0655</v>
      </c>
      <c r="L551" s="7">
        <f t="shared" si="41"/>
        <v>271</v>
      </c>
      <c r="M551" s="11"/>
      <c r="N551"/>
    </row>
    <row r="552" spans="1:14" ht="24.75" customHeight="1">
      <c r="A552" s="5">
        <v>550</v>
      </c>
      <c r="B552" s="5" t="s">
        <v>19</v>
      </c>
      <c r="C552" s="5" t="str">
        <f>"陈驰"</f>
        <v>陈驰</v>
      </c>
      <c r="D552" s="5" t="str">
        <f>"460033199811300087"</f>
        <v>460033199811300087</v>
      </c>
      <c r="E552" s="5" t="s">
        <v>15</v>
      </c>
      <c r="F552" s="5" t="str">
        <f>"073102030837"</f>
        <v>073102030837</v>
      </c>
      <c r="G552" s="7">
        <v>66.5</v>
      </c>
      <c r="H552" s="7">
        <f t="shared" si="39"/>
        <v>33.25</v>
      </c>
      <c r="I552" s="7">
        <v>41.504</v>
      </c>
      <c r="J552" s="7">
        <f t="shared" si="40"/>
        <v>20.752</v>
      </c>
      <c r="K552" s="10">
        <f t="shared" si="38"/>
        <v>54.001999999999995</v>
      </c>
      <c r="L552" s="7">
        <f t="shared" si="41"/>
        <v>272</v>
      </c>
      <c r="M552" s="11"/>
      <c r="N552"/>
    </row>
    <row r="553" spans="1:14" ht="24.75" customHeight="1">
      <c r="A553" s="5">
        <v>551</v>
      </c>
      <c r="B553" s="5" t="s">
        <v>19</v>
      </c>
      <c r="C553" s="5" t="str">
        <f>"符倩倩"</f>
        <v>符倩倩</v>
      </c>
      <c r="D553" s="5" t="str">
        <f>"460004199508210220"</f>
        <v>460004199508210220</v>
      </c>
      <c r="E553" s="5" t="s">
        <v>15</v>
      </c>
      <c r="F553" s="5" t="str">
        <f>"073102030510"</f>
        <v>073102030510</v>
      </c>
      <c r="G553" s="7">
        <v>73.7</v>
      </c>
      <c r="H553" s="7">
        <f t="shared" si="39"/>
        <v>36.85</v>
      </c>
      <c r="I553" s="7">
        <v>34.117</v>
      </c>
      <c r="J553" s="7">
        <f t="shared" si="40"/>
        <v>17.0585</v>
      </c>
      <c r="K553" s="10">
        <f t="shared" si="38"/>
        <v>53.908500000000004</v>
      </c>
      <c r="L553" s="7">
        <f t="shared" si="41"/>
        <v>273</v>
      </c>
      <c r="M553" s="11"/>
      <c r="N553"/>
    </row>
    <row r="554" spans="1:14" ht="24.75" customHeight="1">
      <c r="A554" s="5">
        <v>552</v>
      </c>
      <c r="B554" s="5" t="s">
        <v>19</v>
      </c>
      <c r="C554" s="5" t="str">
        <f>"林又良"</f>
        <v>林又良</v>
      </c>
      <c r="D554" s="5" t="str">
        <f>"46000319970622263X"</f>
        <v>46000319970622263X</v>
      </c>
      <c r="E554" s="5" t="s">
        <v>15</v>
      </c>
      <c r="F554" s="5" t="str">
        <f>"073102030806"</f>
        <v>073102030806</v>
      </c>
      <c r="G554" s="7">
        <v>49.7</v>
      </c>
      <c r="H554" s="7">
        <f t="shared" si="39"/>
        <v>24.85</v>
      </c>
      <c r="I554" s="7">
        <v>57.958</v>
      </c>
      <c r="J554" s="7">
        <f t="shared" si="40"/>
        <v>28.979</v>
      </c>
      <c r="K554" s="10">
        <f t="shared" si="38"/>
        <v>53.829</v>
      </c>
      <c r="L554" s="7">
        <f t="shared" si="41"/>
        <v>274</v>
      </c>
      <c r="M554" s="11"/>
      <c r="N554"/>
    </row>
    <row r="555" spans="1:14" ht="24.75" customHeight="1">
      <c r="A555" s="5">
        <v>553</v>
      </c>
      <c r="B555" s="5" t="s">
        <v>19</v>
      </c>
      <c r="C555" s="5" t="str">
        <f>"汪乃颖"</f>
        <v>汪乃颖</v>
      </c>
      <c r="D555" s="5" t="str">
        <f>"460003199112255645"</f>
        <v>460003199112255645</v>
      </c>
      <c r="E555" s="5" t="s">
        <v>15</v>
      </c>
      <c r="F555" s="5" t="str">
        <f>"073102030508"</f>
        <v>073102030508</v>
      </c>
      <c r="G555" s="7">
        <v>75</v>
      </c>
      <c r="H555" s="7">
        <f t="shared" si="39"/>
        <v>37.5</v>
      </c>
      <c r="I555" s="7">
        <v>32.572</v>
      </c>
      <c r="J555" s="7">
        <f t="shared" si="40"/>
        <v>16.286</v>
      </c>
      <c r="K555" s="10">
        <f t="shared" si="38"/>
        <v>53.786</v>
      </c>
      <c r="L555" s="7">
        <f t="shared" si="41"/>
        <v>275</v>
      </c>
      <c r="M555" s="11"/>
      <c r="N555"/>
    </row>
    <row r="556" spans="1:14" ht="24.75" customHeight="1">
      <c r="A556" s="5">
        <v>554</v>
      </c>
      <c r="B556" s="5" t="s">
        <v>19</v>
      </c>
      <c r="C556" s="5" t="str">
        <f>"林海玉"</f>
        <v>林海玉</v>
      </c>
      <c r="D556" s="5" t="str">
        <f>"46000619940312162X"</f>
        <v>46000619940312162X</v>
      </c>
      <c r="E556" s="5" t="s">
        <v>15</v>
      </c>
      <c r="F556" s="5" t="str">
        <f>"073102030512"</f>
        <v>073102030512</v>
      </c>
      <c r="G556" s="7">
        <v>79</v>
      </c>
      <c r="H556" s="7">
        <f t="shared" si="39"/>
        <v>39.5</v>
      </c>
      <c r="I556" s="7">
        <v>28.543</v>
      </c>
      <c r="J556" s="7">
        <f t="shared" si="40"/>
        <v>14.2715</v>
      </c>
      <c r="K556" s="10">
        <f t="shared" si="38"/>
        <v>53.7715</v>
      </c>
      <c r="L556" s="7">
        <f t="shared" si="41"/>
        <v>276</v>
      </c>
      <c r="M556" s="11"/>
      <c r="N556"/>
    </row>
    <row r="557" spans="1:14" ht="24.75" customHeight="1">
      <c r="A557" s="5">
        <v>555</v>
      </c>
      <c r="B557" s="5" t="s">
        <v>19</v>
      </c>
      <c r="C557" s="5" t="str">
        <f>"吴梦思"</f>
        <v>吴梦思</v>
      </c>
      <c r="D557" s="5" t="str">
        <f>"460026199704060029"</f>
        <v>460026199704060029</v>
      </c>
      <c r="E557" s="5" t="s">
        <v>15</v>
      </c>
      <c r="F557" s="5" t="str">
        <f>"073102030502"</f>
        <v>073102030502</v>
      </c>
      <c r="G557" s="7">
        <v>83.3</v>
      </c>
      <c r="H557" s="7">
        <f t="shared" si="39"/>
        <v>41.65</v>
      </c>
      <c r="I557" s="7">
        <v>24.177</v>
      </c>
      <c r="J557" s="7">
        <f t="shared" si="40"/>
        <v>12.0885</v>
      </c>
      <c r="K557" s="10">
        <f t="shared" si="38"/>
        <v>53.7385</v>
      </c>
      <c r="L557" s="7">
        <f t="shared" si="41"/>
        <v>277</v>
      </c>
      <c r="M557" s="11"/>
      <c r="N557"/>
    </row>
    <row r="558" spans="1:14" ht="24.75" customHeight="1">
      <c r="A558" s="5">
        <v>556</v>
      </c>
      <c r="B558" s="5" t="s">
        <v>19</v>
      </c>
      <c r="C558" s="5" t="str">
        <f>"蔡甫芳"</f>
        <v>蔡甫芳</v>
      </c>
      <c r="D558" s="5" t="str">
        <f>"460026199801280015"</f>
        <v>460026199801280015</v>
      </c>
      <c r="E558" s="5" t="s">
        <v>15</v>
      </c>
      <c r="F558" s="5" t="str">
        <f>"073102020412"</f>
        <v>073102020412</v>
      </c>
      <c r="G558" s="7">
        <v>51.5</v>
      </c>
      <c r="H558" s="7">
        <f t="shared" si="39"/>
        <v>25.75</v>
      </c>
      <c r="I558" s="7">
        <v>55.888</v>
      </c>
      <c r="J558" s="7">
        <f t="shared" si="40"/>
        <v>27.944</v>
      </c>
      <c r="K558" s="10">
        <f t="shared" si="38"/>
        <v>53.694</v>
      </c>
      <c r="L558" s="7">
        <f t="shared" si="41"/>
        <v>278</v>
      </c>
      <c r="M558" s="11"/>
      <c r="N558"/>
    </row>
    <row r="559" spans="1:14" ht="24.75" customHeight="1">
      <c r="A559" s="5">
        <v>557</v>
      </c>
      <c r="B559" s="5" t="s">
        <v>19</v>
      </c>
      <c r="C559" s="5" t="str">
        <f>"周林金"</f>
        <v>周林金</v>
      </c>
      <c r="D559" s="5" t="str">
        <f>"460003199706103446"</f>
        <v>460003199706103446</v>
      </c>
      <c r="E559" s="5" t="s">
        <v>15</v>
      </c>
      <c r="F559" s="5" t="str">
        <f>"073102020822"</f>
        <v>073102020822</v>
      </c>
      <c r="G559" s="7">
        <v>63.7</v>
      </c>
      <c r="H559" s="7">
        <f t="shared" si="39"/>
        <v>31.85</v>
      </c>
      <c r="I559" s="7">
        <v>43.591</v>
      </c>
      <c r="J559" s="7">
        <f t="shared" si="40"/>
        <v>21.7955</v>
      </c>
      <c r="K559" s="10">
        <f t="shared" si="38"/>
        <v>53.6455</v>
      </c>
      <c r="L559" s="7">
        <f t="shared" si="41"/>
        <v>279</v>
      </c>
      <c r="M559" s="11"/>
      <c r="N559"/>
    </row>
    <row r="560" spans="1:14" ht="24.75" customHeight="1">
      <c r="A560" s="5">
        <v>558</v>
      </c>
      <c r="B560" s="5" t="s">
        <v>19</v>
      </c>
      <c r="C560" s="5" t="str">
        <f>"李周娜"</f>
        <v>李周娜</v>
      </c>
      <c r="D560" s="5" t="str">
        <f>"460003199612202865"</f>
        <v>460003199612202865</v>
      </c>
      <c r="E560" s="5" t="s">
        <v>15</v>
      </c>
      <c r="F560" s="5" t="str">
        <f>"073102020314"</f>
        <v>073102020314</v>
      </c>
      <c r="G560" s="7">
        <v>70.9</v>
      </c>
      <c r="H560" s="7">
        <f t="shared" si="39"/>
        <v>35.45</v>
      </c>
      <c r="I560" s="7">
        <v>36.174</v>
      </c>
      <c r="J560" s="7">
        <f t="shared" si="40"/>
        <v>18.087</v>
      </c>
      <c r="K560" s="10">
        <f t="shared" si="38"/>
        <v>53.537000000000006</v>
      </c>
      <c r="L560" s="7">
        <f t="shared" si="41"/>
        <v>280</v>
      </c>
      <c r="M560" s="11"/>
      <c r="N560"/>
    </row>
    <row r="561" spans="1:14" ht="24.75" customHeight="1">
      <c r="A561" s="5">
        <v>559</v>
      </c>
      <c r="B561" s="5" t="s">
        <v>19</v>
      </c>
      <c r="C561" s="5" t="str">
        <f>"王琴"</f>
        <v>王琴</v>
      </c>
      <c r="D561" s="5" t="str">
        <f>"469023199803146222"</f>
        <v>469023199803146222</v>
      </c>
      <c r="E561" s="5" t="s">
        <v>15</v>
      </c>
      <c r="F561" s="5" t="str">
        <f>"073102031003"</f>
        <v>073102031003</v>
      </c>
      <c r="G561" s="7">
        <v>70.1</v>
      </c>
      <c r="H561" s="7">
        <f t="shared" si="39"/>
        <v>35.05</v>
      </c>
      <c r="I561" s="7">
        <v>36.938</v>
      </c>
      <c r="J561" s="7">
        <f t="shared" si="40"/>
        <v>18.469</v>
      </c>
      <c r="K561" s="10">
        <f aca="true" t="shared" si="42" ref="K561:K624">H561+J561</f>
        <v>53.519</v>
      </c>
      <c r="L561" s="7">
        <f t="shared" si="41"/>
        <v>281</v>
      </c>
      <c r="M561" s="11"/>
      <c r="N561"/>
    </row>
    <row r="562" spans="1:14" ht="24.75" customHeight="1">
      <c r="A562" s="5">
        <v>560</v>
      </c>
      <c r="B562" s="5" t="s">
        <v>19</v>
      </c>
      <c r="C562" s="5" t="str">
        <f>"廖澳佟"</f>
        <v>廖澳佟</v>
      </c>
      <c r="D562" s="5" t="str">
        <f>"460001199912220720"</f>
        <v>460001199912220720</v>
      </c>
      <c r="E562" s="5" t="s">
        <v>15</v>
      </c>
      <c r="F562" s="5" t="str">
        <f>"073102031217"</f>
        <v>073102031217</v>
      </c>
      <c r="G562" s="7">
        <v>51.5</v>
      </c>
      <c r="H562" s="7">
        <f t="shared" si="39"/>
        <v>25.75</v>
      </c>
      <c r="I562" s="7">
        <v>55.473</v>
      </c>
      <c r="J562" s="7">
        <f t="shared" si="40"/>
        <v>27.7365</v>
      </c>
      <c r="K562" s="10">
        <f t="shared" si="42"/>
        <v>53.4865</v>
      </c>
      <c r="L562" s="7">
        <f t="shared" si="41"/>
        <v>282</v>
      </c>
      <c r="M562" s="11"/>
      <c r="N562"/>
    </row>
    <row r="563" spans="1:14" ht="24.75" customHeight="1">
      <c r="A563" s="5">
        <v>561</v>
      </c>
      <c r="B563" s="5" t="s">
        <v>19</v>
      </c>
      <c r="C563" s="5" t="str">
        <f>"蒋玲"</f>
        <v>蒋玲</v>
      </c>
      <c r="D563" s="5" t="str">
        <f>"469025199412144521"</f>
        <v>469025199412144521</v>
      </c>
      <c r="E563" s="5" t="s">
        <v>15</v>
      </c>
      <c r="F563" s="5" t="str">
        <f>"073102020945"</f>
        <v>073102020945</v>
      </c>
      <c r="G563" s="7">
        <v>69.9</v>
      </c>
      <c r="H563" s="7">
        <f t="shared" si="39"/>
        <v>34.95</v>
      </c>
      <c r="I563" s="7">
        <v>36.955</v>
      </c>
      <c r="J563" s="7">
        <f t="shared" si="40"/>
        <v>18.4775</v>
      </c>
      <c r="K563" s="10">
        <f t="shared" si="42"/>
        <v>53.4275</v>
      </c>
      <c r="L563" s="7">
        <f t="shared" si="41"/>
        <v>283</v>
      </c>
      <c r="M563" s="11"/>
      <c r="N563"/>
    </row>
    <row r="564" spans="1:14" ht="24.75" customHeight="1">
      <c r="A564" s="5">
        <v>562</v>
      </c>
      <c r="B564" s="5" t="s">
        <v>19</v>
      </c>
      <c r="C564" s="5" t="str">
        <f>"邓小昌"</f>
        <v>邓小昌</v>
      </c>
      <c r="D564" s="5" t="str">
        <f>"460003200005017639"</f>
        <v>460003200005017639</v>
      </c>
      <c r="E564" s="5" t="s">
        <v>15</v>
      </c>
      <c r="F564" s="5" t="str">
        <f>"073102020305"</f>
        <v>073102020305</v>
      </c>
      <c r="G564" s="7">
        <v>74.8</v>
      </c>
      <c r="H564" s="7">
        <f t="shared" si="39"/>
        <v>37.4</v>
      </c>
      <c r="I564" s="7">
        <v>31.88</v>
      </c>
      <c r="J564" s="7">
        <f t="shared" si="40"/>
        <v>15.94</v>
      </c>
      <c r="K564" s="10">
        <f t="shared" si="42"/>
        <v>53.339999999999996</v>
      </c>
      <c r="L564" s="7">
        <f t="shared" si="41"/>
        <v>284</v>
      </c>
      <c r="M564" s="11"/>
      <c r="N564"/>
    </row>
    <row r="565" spans="1:14" ht="24.75" customHeight="1">
      <c r="A565" s="5">
        <v>563</v>
      </c>
      <c r="B565" s="5" t="s">
        <v>19</v>
      </c>
      <c r="C565" s="5" t="str">
        <f>"卢炳豪"</f>
        <v>卢炳豪</v>
      </c>
      <c r="D565" s="5" t="str">
        <f>"460007199905220819"</f>
        <v>460007199905220819</v>
      </c>
      <c r="E565" s="5" t="s">
        <v>15</v>
      </c>
      <c r="F565" s="5" t="str">
        <f>"073102020246"</f>
        <v>073102020246</v>
      </c>
      <c r="G565" s="7">
        <v>47.6</v>
      </c>
      <c r="H565" s="7">
        <f t="shared" si="39"/>
        <v>23.8</v>
      </c>
      <c r="I565" s="7">
        <v>59.076</v>
      </c>
      <c r="J565" s="7">
        <f t="shared" si="40"/>
        <v>29.538</v>
      </c>
      <c r="K565" s="10">
        <f t="shared" si="42"/>
        <v>53.338</v>
      </c>
      <c r="L565" s="7">
        <f t="shared" si="41"/>
        <v>285</v>
      </c>
      <c r="M565" s="11"/>
      <c r="N565"/>
    </row>
    <row r="566" spans="1:14" ht="24.75" customHeight="1">
      <c r="A566" s="5">
        <v>564</v>
      </c>
      <c r="B566" s="5" t="s">
        <v>19</v>
      </c>
      <c r="C566" s="5" t="str">
        <f>"庄子雅"</f>
        <v>庄子雅</v>
      </c>
      <c r="D566" s="5" t="str">
        <f>"460007199710075826"</f>
        <v>460007199710075826</v>
      </c>
      <c r="E566" s="5" t="s">
        <v>15</v>
      </c>
      <c r="F566" s="5" t="str">
        <f>"073102030605"</f>
        <v>073102030605</v>
      </c>
      <c r="G566" s="7">
        <v>71.7</v>
      </c>
      <c r="H566" s="7">
        <f t="shared" si="39"/>
        <v>35.85</v>
      </c>
      <c r="I566" s="7">
        <v>34.923</v>
      </c>
      <c r="J566" s="7">
        <f t="shared" si="40"/>
        <v>17.4615</v>
      </c>
      <c r="K566" s="10">
        <f t="shared" si="42"/>
        <v>53.3115</v>
      </c>
      <c r="L566" s="7">
        <f t="shared" si="41"/>
        <v>286</v>
      </c>
      <c r="M566" s="11"/>
      <c r="N566"/>
    </row>
    <row r="567" spans="1:14" ht="24.75" customHeight="1">
      <c r="A567" s="5">
        <v>565</v>
      </c>
      <c r="B567" s="5" t="s">
        <v>19</v>
      </c>
      <c r="C567" s="5" t="str">
        <f>"王霜"</f>
        <v>王霜</v>
      </c>
      <c r="D567" s="5" t="str">
        <f>"460027199107107622"</f>
        <v>460027199107107622</v>
      </c>
      <c r="E567" s="5" t="s">
        <v>15</v>
      </c>
      <c r="F567" s="5" t="str">
        <f>"073102020604"</f>
        <v>073102020604</v>
      </c>
      <c r="G567" s="7">
        <v>67.1</v>
      </c>
      <c r="H567" s="7">
        <f t="shared" si="39"/>
        <v>33.55</v>
      </c>
      <c r="I567" s="7">
        <v>38.842</v>
      </c>
      <c r="J567" s="7">
        <f t="shared" si="40"/>
        <v>19.421</v>
      </c>
      <c r="K567" s="10">
        <f t="shared" si="42"/>
        <v>52.971</v>
      </c>
      <c r="L567" s="7">
        <f t="shared" si="41"/>
        <v>287</v>
      </c>
      <c r="M567" s="11"/>
      <c r="N567"/>
    </row>
    <row r="568" spans="1:14" ht="24.75" customHeight="1">
      <c r="A568" s="5">
        <v>566</v>
      </c>
      <c r="B568" s="5" t="s">
        <v>19</v>
      </c>
      <c r="C568" s="5" t="str">
        <f>"吴俊达"</f>
        <v>吴俊达</v>
      </c>
      <c r="D568" s="5" t="str">
        <f>"460003199809100010"</f>
        <v>460003199809100010</v>
      </c>
      <c r="E568" s="5" t="s">
        <v>15</v>
      </c>
      <c r="F568" s="5" t="str">
        <f>"073102020840"</f>
        <v>073102020840</v>
      </c>
      <c r="G568" s="7">
        <v>57.8</v>
      </c>
      <c r="H568" s="7">
        <f t="shared" si="39"/>
        <v>28.9</v>
      </c>
      <c r="I568" s="7">
        <v>47.625</v>
      </c>
      <c r="J568" s="7">
        <f t="shared" si="40"/>
        <v>23.8125</v>
      </c>
      <c r="K568" s="10">
        <f t="shared" si="42"/>
        <v>52.7125</v>
      </c>
      <c r="L568" s="7">
        <f t="shared" si="41"/>
        <v>288</v>
      </c>
      <c r="M568" s="11"/>
      <c r="N568"/>
    </row>
    <row r="569" spans="1:14" ht="24.75" customHeight="1">
      <c r="A569" s="5">
        <v>567</v>
      </c>
      <c r="B569" s="5" t="s">
        <v>19</v>
      </c>
      <c r="C569" s="5" t="str">
        <f>"董丽妃"</f>
        <v>董丽妃</v>
      </c>
      <c r="D569" s="5" t="str">
        <f>"460003199808072628"</f>
        <v>460003199808072628</v>
      </c>
      <c r="E569" s="5" t="s">
        <v>15</v>
      </c>
      <c r="F569" s="5" t="str">
        <f>"073102030120"</f>
        <v>073102030120</v>
      </c>
      <c r="G569" s="7">
        <v>61.7</v>
      </c>
      <c r="H569" s="7">
        <f t="shared" si="39"/>
        <v>30.85</v>
      </c>
      <c r="I569" s="7">
        <v>43.519</v>
      </c>
      <c r="J569" s="7">
        <f t="shared" si="40"/>
        <v>21.7595</v>
      </c>
      <c r="K569" s="10">
        <f t="shared" si="42"/>
        <v>52.6095</v>
      </c>
      <c r="L569" s="7">
        <f t="shared" si="41"/>
        <v>289</v>
      </c>
      <c r="M569" s="11"/>
      <c r="N569"/>
    </row>
    <row r="570" spans="1:14" ht="24.75" customHeight="1">
      <c r="A570" s="5">
        <v>568</v>
      </c>
      <c r="B570" s="5" t="s">
        <v>19</v>
      </c>
      <c r="C570" s="5" t="str">
        <f>"黎启亮"</f>
        <v>黎启亮</v>
      </c>
      <c r="D570" s="5" t="str">
        <f>"460003199805113818"</f>
        <v>460003199805113818</v>
      </c>
      <c r="E570" s="5" t="s">
        <v>15</v>
      </c>
      <c r="F570" s="5" t="str">
        <f>"073102021216"</f>
        <v>073102021216</v>
      </c>
      <c r="G570" s="7">
        <v>66</v>
      </c>
      <c r="H570" s="7">
        <f t="shared" si="39"/>
        <v>33</v>
      </c>
      <c r="I570" s="7">
        <v>39.167</v>
      </c>
      <c r="J570" s="7">
        <f t="shared" si="40"/>
        <v>19.5835</v>
      </c>
      <c r="K570" s="10">
        <f t="shared" si="42"/>
        <v>52.5835</v>
      </c>
      <c r="L570" s="7">
        <f t="shared" si="41"/>
        <v>290</v>
      </c>
      <c r="M570" s="11"/>
      <c r="N570"/>
    </row>
    <row r="571" spans="1:14" ht="24.75" customHeight="1">
      <c r="A571" s="5">
        <v>569</v>
      </c>
      <c r="B571" s="5" t="s">
        <v>19</v>
      </c>
      <c r="C571" s="5" t="str">
        <f>"俞水兴"</f>
        <v>俞水兴</v>
      </c>
      <c r="D571" s="5" t="str">
        <f>"460007199802250812"</f>
        <v>460007199802250812</v>
      </c>
      <c r="E571" s="5" t="s">
        <v>15</v>
      </c>
      <c r="F571" s="5" t="str">
        <f>"073102020832"</f>
        <v>073102020832</v>
      </c>
      <c r="G571" s="7">
        <v>41.2</v>
      </c>
      <c r="H571" s="7">
        <f t="shared" si="39"/>
        <v>20.6</v>
      </c>
      <c r="I571" s="7">
        <v>63.565</v>
      </c>
      <c r="J571" s="7">
        <f t="shared" si="40"/>
        <v>31.7825</v>
      </c>
      <c r="K571" s="10">
        <f t="shared" si="42"/>
        <v>52.3825</v>
      </c>
      <c r="L571" s="7">
        <f t="shared" si="41"/>
        <v>291</v>
      </c>
      <c r="M571" s="11"/>
      <c r="N571"/>
    </row>
    <row r="572" spans="1:14" ht="24.75" customHeight="1">
      <c r="A572" s="5">
        <v>570</v>
      </c>
      <c r="B572" s="5" t="s">
        <v>19</v>
      </c>
      <c r="C572" s="5" t="str">
        <f>"王紫萤"</f>
        <v>王紫萤</v>
      </c>
      <c r="D572" s="5" t="str">
        <f>"460003199605090025"</f>
        <v>460003199605090025</v>
      </c>
      <c r="E572" s="5" t="s">
        <v>15</v>
      </c>
      <c r="F572" s="5" t="str">
        <f>"073102031225"</f>
        <v>073102031225</v>
      </c>
      <c r="G572" s="7">
        <v>71.1</v>
      </c>
      <c r="H572" s="7">
        <f t="shared" si="39"/>
        <v>35.55</v>
      </c>
      <c r="I572" s="7">
        <v>32.975</v>
      </c>
      <c r="J572" s="7">
        <f t="shared" si="40"/>
        <v>16.4875</v>
      </c>
      <c r="K572" s="10">
        <f t="shared" si="42"/>
        <v>52.037499999999994</v>
      </c>
      <c r="L572" s="7">
        <f t="shared" si="41"/>
        <v>292</v>
      </c>
      <c r="M572" s="11"/>
      <c r="N572"/>
    </row>
    <row r="573" spans="1:14" ht="24.75" customHeight="1">
      <c r="A573" s="5">
        <v>571</v>
      </c>
      <c r="B573" s="5" t="s">
        <v>19</v>
      </c>
      <c r="C573" s="5" t="str">
        <f>"周诚心"</f>
        <v>周诚心</v>
      </c>
      <c r="D573" s="5" t="str">
        <f>"460003199902052439"</f>
        <v>460003199902052439</v>
      </c>
      <c r="E573" s="5" t="s">
        <v>15</v>
      </c>
      <c r="F573" s="5" t="str">
        <f>"073102030103"</f>
        <v>073102030103</v>
      </c>
      <c r="G573" s="7">
        <v>61.7</v>
      </c>
      <c r="H573" s="7">
        <f t="shared" si="39"/>
        <v>30.85</v>
      </c>
      <c r="I573" s="7">
        <v>42.31</v>
      </c>
      <c r="J573" s="7">
        <f t="shared" si="40"/>
        <v>21.155</v>
      </c>
      <c r="K573" s="10">
        <f t="shared" si="42"/>
        <v>52.005</v>
      </c>
      <c r="L573" s="7">
        <f t="shared" si="41"/>
        <v>293</v>
      </c>
      <c r="M573" s="11"/>
      <c r="N573"/>
    </row>
    <row r="574" spans="1:14" ht="24.75" customHeight="1">
      <c r="A574" s="5">
        <v>572</v>
      </c>
      <c r="B574" s="5" t="s">
        <v>19</v>
      </c>
      <c r="C574" s="5" t="str">
        <f>"张世翼"</f>
        <v>张世翼</v>
      </c>
      <c r="D574" s="5" t="str">
        <f>"522101199308200428"</f>
        <v>522101199308200428</v>
      </c>
      <c r="E574" s="5" t="s">
        <v>15</v>
      </c>
      <c r="F574" s="5" t="str">
        <f>"073102030602"</f>
        <v>073102030602</v>
      </c>
      <c r="G574" s="7">
        <v>50</v>
      </c>
      <c r="H574" s="7">
        <f t="shared" si="39"/>
        <v>25</v>
      </c>
      <c r="I574" s="7">
        <v>53.996</v>
      </c>
      <c r="J574" s="7">
        <f t="shared" si="40"/>
        <v>26.998</v>
      </c>
      <c r="K574" s="10">
        <f t="shared" si="42"/>
        <v>51.998000000000005</v>
      </c>
      <c r="L574" s="7">
        <f t="shared" si="41"/>
        <v>294</v>
      </c>
      <c r="M574" s="11"/>
      <c r="N574"/>
    </row>
    <row r="575" spans="1:14" ht="24.75" customHeight="1">
      <c r="A575" s="5">
        <v>573</v>
      </c>
      <c r="B575" s="5" t="s">
        <v>19</v>
      </c>
      <c r="C575" s="5" t="str">
        <f>"王焕浈"</f>
        <v>王焕浈</v>
      </c>
      <c r="D575" s="5" t="str">
        <f>"460003200002210249"</f>
        <v>460003200002210249</v>
      </c>
      <c r="E575" s="5" t="s">
        <v>15</v>
      </c>
      <c r="F575" s="5" t="str">
        <f>"073102030208"</f>
        <v>073102030208</v>
      </c>
      <c r="G575" s="7">
        <v>41.4</v>
      </c>
      <c r="H575" s="7">
        <f t="shared" si="39"/>
        <v>20.7</v>
      </c>
      <c r="I575" s="7">
        <v>62.458</v>
      </c>
      <c r="J575" s="7">
        <f t="shared" si="40"/>
        <v>31.229</v>
      </c>
      <c r="K575" s="10">
        <f t="shared" si="42"/>
        <v>51.929</v>
      </c>
      <c r="L575" s="7">
        <f t="shared" si="41"/>
        <v>295</v>
      </c>
      <c r="M575" s="11"/>
      <c r="N575"/>
    </row>
    <row r="576" spans="1:14" ht="24.75" customHeight="1">
      <c r="A576" s="5">
        <v>574</v>
      </c>
      <c r="B576" s="5" t="s">
        <v>19</v>
      </c>
      <c r="C576" s="5" t="str">
        <f>"符圣旋"</f>
        <v>符圣旋</v>
      </c>
      <c r="D576" s="5" t="str">
        <f>"460003199610040022"</f>
        <v>460003199610040022</v>
      </c>
      <c r="E576" s="5" t="s">
        <v>15</v>
      </c>
      <c r="F576" s="5" t="str">
        <f>"073102030726"</f>
        <v>073102030726</v>
      </c>
      <c r="G576" s="7">
        <v>65.8</v>
      </c>
      <c r="H576" s="7">
        <f t="shared" si="39"/>
        <v>32.9</v>
      </c>
      <c r="I576" s="7">
        <v>38.012</v>
      </c>
      <c r="J576" s="7">
        <f t="shared" si="40"/>
        <v>19.006</v>
      </c>
      <c r="K576" s="10">
        <f t="shared" si="42"/>
        <v>51.906</v>
      </c>
      <c r="L576" s="7">
        <f t="shared" si="41"/>
        <v>296</v>
      </c>
      <c r="M576" s="11"/>
      <c r="N576"/>
    </row>
    <row r="577" spans="1:14" ht="24.75" customHeight="1">
      <c r="A577" s="5">
        <v>575</v>
      </c>
      <c r="B577" s="5" t="s">
        <v>19</v>
      </c>
      <c r="C577" s="5" t="str">
        <f>"文雅婷"</f>
        <v>文雅婷</v>
      </c>
      <c r="D577" s="5" t="str">
        <f>"460003199901291825"</f>
        <v>460003199901291825</v>
      </c>
      <c r="E577" s="5" t="s">
        <v>15</v>
      </c>
      <c r="F577" s="5" t="str">
        <f>"073102031228"</f>
        <v>073102031228</v>
      </c>
      <c r="G577" s="7">
        <v>78.5</v>
      </c>
      <c r="H577" s="7">
        <f t="shared" si="39"/>
        <v>39.25</v>
      </c>
      <c r="I577" s="7">
        <v>25.252</v>
      </c>
      <c r="J577" s="7">
        <f t="shared" si="40"/>
        <v>12.626</v>
      </c>
      <c r="K577" s="10">
        <f t="shared" si="42"/>
        <v>51.876</v>
      </c>
      <c r="L577" s="7">
        <f t="shared" si="41"/>
        <v>297</v>
      </c>
      <c r="M577" s="11"/>
      <c r="N577"/>
    </row>
    <row r="578" spans="1:14" ht="24.75" customHeight="1">
      <c r="A578" s="5">
        <v>576</v>
      </c>
      <c r="B578" s="5" t="s">
        <v>19</v>
      </c>
      <c r="C578" s="5" t="str">
        <f>"符蓥"</f>
        <v>符蓥</v>
      </c>
      <c r="D578" s="5" t="str">
        <f>"460104199908110320"</f>
        <v>460104199908110320</v>
      </c>
      <c r="E578" s="5" t="s">
        <v>15</v>
      </c>
      <c r="F578" s="5" t="str">
        <f>"073102030334"</f>
        <v>073102030334</v>
      </c>
      <c r="G578" s="7">
        <v>77.5</v>
      </c>
      <c r="H578" s="7">
        <f t="shared" si="39"/>
        <v>38.75</v>
      </c>
      <c r="I578" s="7">
        <v>26.192</v>
      </c>
      <c r="J578" s="7">
        <f t="shared" si="40"/>
        <v>13.096</v>
      </c>
      <c r="K578" s="10">
        <f t="shared" si="42"/>
        <v>51.846000000000004</v>
      </c>
      <c r="L578" s="7">
        <f t="shared" si="41"/>
        <v>298</v>
      </c>
      <c r="M578" s="11"/>
      <c r="N578"/>
    </row>
    <row r="579" spans="1:14" ht="24.75" customHeight="1">
      <c r="A579" s="5">
        <v>577</v>
      </c>
      <c r="B579" s="5" t="s">
        <v>19</v>
      </c>
      <c r="C579" s="5" t="str">
        <f>"符崇河"</f>
        <v>符崇河</v>
      </c>
      <c r="D579" s="5" t="str">
        <f>"460003199106155613"</f>
        <v>460003199106155613</v>
      </c>
      <c r="E579" s="5" t="s">
        <v>15</v>
      </c>
      <c r="F579" s="5" t="str">
        <f>"073102030521"</f>
        <v>073102030521</v>
      </c>
      <c r="G579" s="7">
        <v>73</v>
      </c>
      <c r="H579" s="7">
        <f aca="true" t="shared" si="43" ref="H579:H642">G579*0.5</f>
        <v>36.5</v>
      </c>
      <c r="I579" s="7">
        <v>30.49</v>
      </c>
      <c r="J579" s="7">
        <f aca="true" t="shared" si="44" ref="J579:J642">I579*0.5</f>
        <v>15.245</v>
      </c>
      <c r="K579" s="10">
        <f t="shared" si="42"/>
        <v>51.745</v>
      </c>
      <c r="L579" s="7">
        <f t="shared" si="41"/>
        <v>299</v>
      </c>
      <c r="M579" s="11"/>
      <c r="N579"/>
    </row>
    <row r="580" spans="1:14" ht="24.75" customHeight="1">
      <c r="A580" s="5">
        <v>578</v>
      </c>
      <c r="B580" s="5" t="s">
        <v>19</v>
      </c>
      <c r="C580" s="5" t="str">
        <f>"张春米"</f>
        <v>张春米</v>
      </c>
      <c r="D580" s="5" t="str">
        <f>"460028199506251222"</f>
        <v>460028199506251222</v>
      </c>
      <c r="E580" s="5" t="s">
        <v>15</v>
      </c>
      <c r="F580" s="5" t="str">
        <f>"073102020540"</f>
        <v>073102020540</v>
      </c>
      <c r="G580" s="7">
        <v>75.2</v>
      </c>
      <c r="H580" s="7">
        <f t="shared" si="43"/>
        <v>37.6</v>
      </c>
      <c r="I580" s="7">
        <v>28.237</v>
      </c>
      <c r="J580" s="7">
        <f t="shared" si="44"/>
        <v>14.1185</v>
      </c>
      <c r="K580" s="10">
        <f t="shared" si="42"/>
        <v>51.7185</v>
      </c>
      <c r="L580" s="7">
        <f t="shared" si="41"/>
        <v>300</v>
      </c>
      <c r="M580" s="11"/>
      <c r="N580"/>
    </row>
    <row r="581" spans="1:14" ht="24.75" customHeight="1">
      <c r="A581" s="5">
        <v>579</v>
      </c>
      <c r="B581" s="5" t="s">
        <v>19</v>
      </c>
      <c r="C581" s="5" t="str">
        <f>"麦树巴"</f>
        <v>麦树巴</v>
      </c>
      <c r="D581" s="5" t="str">
        <f>"460033199606114867"</f>
        <v>460033199606114867</v>
      </c>
      <c r="E581" s="5" t="s">
        <v>15</v>
      </c>
      <c r="F581" s="5" t="str">
        <f>"073102030222"</f>
        <v>073102030222</v>
      </c>
      <c r="G581" s="7">
        <v>68.7</v>
      </c>
      <c r="H581" s="7">
        <f t="shared" si="43"/>
        <v>34.35</v>
      </c>
      <c r="I581" s="7">
        <v>34.654</v>
      </c>
      <c r="J581" s="7">
        <f t="shared" si="44"/>
        <v>17.327</v>
      </c>
      <c r="K581" s="10">
        <f t="shared" si="42"/>
        <v>51.67700000000001</v>
      </c>
      <c r="L581" s="7">
        <f t="shared" si="41"/>
        <v>301</v>
      </c>
      <c r="M581" s="11"/>
      <c r="N581"/>
    </row>
    <row r="582" spans="1:14" ht="24.75" customHeight="1">
      <c r="A582" s="5">
        <v>580</v>
      </c>
      <c r="B582" s="5" t="s">
        <v>19</v>
      </c>
      <c r="C582" s="5" t="str">
        <f>"杨朝能"</f>
        <v>杨朝能</v>
      </c>
      <c r="D582" s="5" t="str">
        <f>"460034199702050468"</f>
        <v>460034199702050468</v>
      </c>
      <c r="E582" s="5" t="s">
        <v>15</v>
      </c>
      <c r="F582" s="5" t="str">
        <f>"073102020242"</f>
        <v>073102020242</v>
      </c>
      <c r="G582" s="7">
        <v>73.7</v>
      </c>
      <c r="H582" s="7">
        <f t="shared" si="43"/>
        <v>36.85</v>
      </c>
      <c r="I582" s="7">
        <v>29.408</v>
      </c>
      <c r="J582" s="7">
        <f t="shared" si="44"/>
        <v>14.704</v>
      </c>
      <c r="K582" s="10">
        <f t="shared" si="42"/>
        <v>51.554</v>
      </c>
      <c r="L582" s="7">
        <f t="shared" si="41"/>
        <v>302</v>
      </c>
      <c r="M582" s="11"/>
      <c r="N582"/>
    </row>
    <row r="583" spans="1:14" ht="24.75" customHeight="1">
      <c r="A583" s="5">
        <v>581</v>
      </c>
      <c r="B583" s="5" t="s">
        <v>19</v>
      </c>
      <c r="C583" s="5" t="str">
        <f>"符作元"</f>
        <v>符作元</v>
      </c>
      <c r="D583" s="5" t="str">
        <f>"460003199512036716"</f>
        <v>460003199512036716</v>
      </c>
      <c r="E583" s="5" t="s">
        <v>15</v>
      </c>
      <c r="F583" s="5" t="str">
        <f>"073102020421"</f>
        <v>073102020421</v>
      </c>
      <c r="G583" s="7">
        <v>54.1</v>
      </c>
      <c r="H583" s="7">
        <f t="shared" si="43"/>
        <v>27.05</v>
      </c>
      <c r="I583" s="7">
        <v>48.926</v>
      </c>
      <c r="J583" s="7">
        <f t="shared" si="44"/>
        <v>24.463</v>
      </c>
      <c r="K583" s="10">
        <f t="shared" si="42"/>
        <v>51.513000000000005</v>
      </c>
      <c r="L583" s="7">
        <f t="shared" si="41"/>
        <v>303</v>
      </c>
      <c r="M583" s="11"/>
      <c r="N583"/>
    </row>
    <row r="584" spans="1:14" ht="24.75" customHeight="1">
      <c r="A584" s="5">
        <v>582</v>
      </c>
      <c r="B584" s="5" t="s">
        <v>19</v>
      </c>
      <c r="C584" s="5" t="str">
        <f>"余雪蕉"</f>
        <v>余雪蕉</v>
      </c>
      <c r="D584" s="5" t="str">
        <f>"460003199504206869"</f>
        <v>460003199504206869</v>
      </c>
      <c r="E584" s="5" t="s">
        <v>15</v>
      </c>
      <c r="F584" s="5" t="str">
        <f>"073102030214"</f>
        <v>073102030214</v>
      </c>
      <c r="G584" s="7">
        <v>61.4</v>
      </c>
      <c r="H584" s="7">
        <f t="shared" si="43"/>
        <v>30.7</v>
      </c>
      <c r="I584" s="7">
        <v>41.572</v>
      </c>
      <c r="J584" s="7">
        <f t="shared" si="44"/>
        <v>20.786</v>
      </c>
      <c r="K584" s="10">
        <f t="shared" si="42"/>
        <v>51.486000000000004</v>
      </c>
      <c r="L584" s="7">
        <f t="shared" si="41"/>
        <v>304</v>
      </c>
      <c r="M584" s="11"/>
      <c r="N584"/>
    </row>
    <row r="585" spans="1:14" ht="24.75" customHeight="1">
      <c r="A585" s="5">
        <v>583</v>
      </c>
      <c r="B585" s="5" t="s">
        <v>19</v>
      </c>
      <c r="C585" s="5" t="str">
        <f>"王少云"</f>
        <v>王少云</v>
      </c>
      <c r="D585" s="5" t="str">
        <f>"460027199609024720"</f>
        <v>460027199609024720</v>
      </c>
      <c r="E585" s="5" t="s">
        <v>15</v>
      </c>
      <c r="F585" s="5" t="str">
        <f>"073102020721"</f>
        <v>073102020721</v>
      </c>
      <c r="G585" s="7">
        <v>62</v>
      </c>
      <c r="H585" s="7">
        <f t="shared" si="43"/>
        <v>31</v>
      </c>
      <c r="I585" s="7">
        <v>40.859</v>
      </c>
      <c r="J585" s="7">
        <f t="shared" si="44"/>
        <v>20.4295</v>
      </c>
      <c r="K585" s="10">
        <f t="shared" si="42"/>
        <v>51.429500000000004</v>
      </c>
      <c r="L585" s="7">
        <f t="shared" si="41"/>
        <v>305</v>
      </c>
      <c r="M585" s="11"/>
      <c r="N585"/>
    </row>
    <row r="586" spans="1:14" ht="24.75" customHeight="1">
      <c r="A586" s="5">
        <v>584</v>
      </c>
      <c r="B586" s="5" t="s">
        <v>19</v>
      </c>
      <c r="C586" s="5" t="str">
        <f>"羊春香"</f>
        <v>羊春香</v>
      </c>
      <c r="D586" s="5" t="str">
        <f>"460003199612222225"</f>
        <v>460003199612222225</v>
      </c>
      <c r="E586" s="5" t="s">
        <v>15</v>
      </c>
      <c r="F586" s="5" t="str">
        <f>"073102030515"</f>
        <v>073102030515</v>
      </c>
      <c r="G586" s="7">
        <v>62.7</v>
      </c>
      <c r="H586" s="7">
        <f t="shared" si="43"/>
        <v>31.35</v>
      </c>
      <c r="I586" s="7">
        <v>40.094</v>
      </c>
      <c r="J586" s="7">
        <f t="shared" si="44"/>
        <v>20.047</v>
      </c>
      <c r="K586" s="10">
        <f t="shared" si="42"/>
        <v>51.397000000000006</v>
      </c>
      <c r="L586" s="7">
        <f t="shared" si="41"/>
        <v>306</v>
      </c>
      <c r="M586" s="11"/>
      <c r="N586"/>
    </row>
    <row r="587" spans="1:14" ht="24.75" customHeight="1">
      <c r="A587" s="5">
        <v>585</v>
      </c>
      <c r="B587" s="5" t="s">
        <v>19</v>
      </c>
      <c r="C587" s="5" t="str">
        <f>"董健"</f>
        <v>董健</v>
      </c>
      <c r="D587" s="5" t="str">
        <f>"460003199810022638"</f>
        <v>460003199810022638</v>
      </c>
      <c r="E587" s="5" t="s">
        <v>15</v>
      </c>
      <c r="F587" s="5" t="str">
        <f>"073102020838"</f>
        <v>073102020838</v>
      </c>
      <c r="G587" s="7">
        <v>57.9</v>
      </c>
      <c r="H587" s="7">
        <f t="shared" si="43"/>
        <v>28.95</v>
      </c>
      <c r="I587" s="7">
        <v>44.893</v>
      </c>
      <c r="J587" s="7">
        <f t="shared" si="44"/>
        <v>22.4465</v>
      </c>
      <c r="K587" s="10">
        <f t="shared" si="42"/>
        <v>51.3965</v>
      </c>
      <c r="L587" s="7">
        <f t="shared" si="41"/>
        <v>307</v>
      </c>
      <c r="M587" s="11"/>
      <c r="N587"/>
    </row>
    <row r="588" spans="1:14" ht="24.75" customHeight="1">
      <c r="A588" s="5">
        <v>586</v>
      </c>
      <c r="B588" s="5" t="s">
        <v>19</v>
      </c>
      <c r="C588" s="5" t="str">
        <f>"梁知位"</f>
        <v>梁知位</v>
      </c>
      <c r="D588" s="5" t="str">
        <f>"460003200001243313"</f>
        <v>460003200001243313</v>
      </c>
      <c r="E588" s="5" t="s">
        <v>15</v>
      </c>
      <c r="F588" s="5" t="str">
        <f>"073102020303"</f>
        <v>073102020303</v>
      </c>
      <c r="G588" s="7">
        <v>59.3</v>
      </c>
      <c r="H588" s="7">
        <f t="shared" si="43"/>
        <v>29.65</v>
      </c>
      <c r="I588" s="7">
        <v>43.331</v>
      </c>
      <c r="J588" s="7">
        <f t="shared" si="44"/>
        <v>21.6655</v>
      </c>
      <c r="K588" s="10">
        <f t="shared" si="42"/>
        <v>51.3155</v>
      </c>
      <c r="L588" s="7">
        <f t="shared" si="41"/>
        <v>308</v>
      </c>
      <c r="M588" s="11"/>
      <c r="N588"/>
    </row>
    <row r="589" spans="1:14" ht="24.75" customHeight="1">
      <c r="A589" s="5">
        <v>587</v>
      </c>
      <c r="B589" s="5" t="s">
        <v>19</v>
      </c>
      <c r="C589" s="5" t="str">
        <f>"陈道盈"</f>
        <v>陈道盈</v>
      </c>
      <c r="D589" s="5" t="str">
        <f>"460003199912156135"</f>
        <v>460003199912156135</v>
      </c>
      <c r="E589" s="5" t="s">
        <v>15</v>
      </c>
      <c r="F589" s="5" t="str">
        <f>"073102020445"</f>
        <v>073102020445</v>
      </c>
      <c r="G589" s="7">
        <v>64.8</v>
      </c>
      <c r="H589" s="7">
        <f t="shared" si="43"/>
        <v>32.4</v>
      </c>
      <c r="I589" s="7">
        <v>37.736</v>
      </c>
      <c r="J589" s="7">
        <f t="shared" si="44"/>
        <v>18.868</v>
      </c>
      <c r="K589" s="10">
        <f t="shared" si="42"/>
        <v>51.268</v>
      </c>
      <c r="L589" s="7">
        <f t="shared" si="41"/>
        <v>309</v>
      </c>
      <c r="M589" s="11"/>
      <c r="N589"/>
    </row>
    <row r="590" spans="1:14" ht="24.75" customHeight="1">
      <c r="A590" s="5">
        <v>588</v>
      </c>
      <c r="B590" s="5" t="s">
        <v>19</v>
      </c>
      <c r="C590" s="5" t="str">
        <f>"余丽芳"</f>
        <v>余丽芳</v>
      </c>
      <c r="D590" s="5" t="str">
        <f>"460003199605204029"</f>
        <v>460003199605204029</v>
      </c>
      <c r="E590" s="5" t="s">
        <v>15</v>
      </c>
      <c r="F590" s="5" t="str">
        <f>"073102030722"</f>
        <v>073102030722</v>
      </c>
      <c r="G590" s="7">
        <v>63.7</v>
      </c>
      <c r="H590" s="7">
        <f t="shared" si="43"/>
        <v>31.85</v>
      </c>
      <c r="I590" s="7">
        <v>38.751</v>
      </c>
      <c r="J590" s="7">
        <f t="shared" si="44"/>
        <v>19.3755</v>
      </c>
      <c r="K590" s="10">
        <f t="shared" si="42"/>
        <v>51.2255</v>
      </c>
      <c r="L590" s="7">
        <f t="shared" si="41"/>
        <v>310</v>
      </c>
      <c r="M590" s="11"/>
      <c r="N590"/>
    </row>
    <row r="591" spans="1:14" ht="24.75" customHeight="1">
      <c r="A591" s="5">
        <v>589</v>
      </c>
      <c r="B591" s="5" t="s">
        <v>19</v>
      </c>
      <c r="C591" s="5" t="str">
        <f>"谢颖"</f>
        <v>谢颖</v>
      </c>
      <c r="D591" s="5" t="str">
        <f>"46000319990729164X"</f>
        <v>46000319990729164X</v>
      </c>
      <c r="E591" s="5" t="s">
        <v>15</v>
      </c>
      <c r="F591" s="5" t="str">
        <f>"073102020219"</f>
        <v>073102020219</v>
      </c>
      <c r="G591" s="7">
        <v>70.6</v>
      </c>
      <c r="H591" s="7">
        <f t="shared" si="43"/>
        <v>35.3</v>
      </c>
      <c r="I591" s="7">
        <v>31.23</v>
      </c>
      <c r="J591" s="7">
        <f t="shared" si="44"/>
        <v>15.615</v>
      </c>
      <c r="K591" s="10">
        <f t="shared" si="42"/>
        <v>50.915</v>
      </c>
      <c r="L591" s="7">
        <f t="shared" si="41"/>
        <v>311</v>
      </c>
      <c r="M591" s="11"/>
      <c r="N591"/>
    </row>
    <row r="592" spans="1:14" ht="24.75" customHeight="1">
      <c r="A592" s="5">
        <v>590</v>
      </c>
      <c r="B592" s="5" t="s">
        <v>19</v>
      </c>
      <c r="C592" s="5" t="str">
        <f>"吴业选"</f>
        <v>吴业选</v>
      </c>
      <c r="D592" s="5" t="str">
        <f>"460003199512032870"</f>
        <v>460003199512032870</v>
      </c>
      <c r="E592" s="5" t="s">
        <v>15</v>
      </c>
      <c r="F592" s="5" t="str">
        <f>"073102030928"</f>
        <v>073102030928</v>
      </c>
      <c r="G592" s="7">
        <v>72.4</v>
      </c>
      <c r="H592" s="7">
        <f t="shared" si="43"/>
        <v>36.2</v>
      </c>
      <c r="I592" s="7">
        <v>29.08</v>
      </c>
      <c r="J592" s="7">
        <f t="shared" si="44"/>
        <v>14.54</v>
      </c>
      <c r="K592" s="10">
        <f t="shared" si="42"/>
        <v>50.74</v>
      </c>
      <c r="L592" s="7">
        <f t="shared" si="41"/>
        <v>312</v>
      </c>
      <c r="M592" s="11"/>
      <c r="N592"/>
    </row>
    <row r="593" spans="1:14" ht="24.75" customHeight="1">
      <c r="A593" s="5">
        <v>591</v>
      </c>
      <c r="B593" s="5" t="s">
        <v>19</v>
      </c>
      <c r="C593" s="5" t="str">
        <f>"吴汉萍"</f>
        <v>吴汉萍</v>
      </c>
      <c r="D593" s="5" t="str">
        <f>"460030199109203368"</f>
        <v>460030199109203368</v>
      </c>
      <c r="E593" s="5" t="s">
        <v>15</v>
      </c>
      <c r="F593" s="5" t="str">
        <f>"073102021201"</f>
        <v>073102021201</v>
      </c>
      <c r="G593" s="7">
        <v>41.4</v>
      </c>
      <c r="H593" s="7">
        <f t="shared" si="43"/>
        <v>20.7</v>
      </c>
      <c r="I593" s="7">
        <v>59.987</v>
      </c>
      <c r="J593" s="7">
        <f t="shared" si="44"/>
        <v>29.9935</v>
      </c>
      <c r="K593" s="10">
        <f t="shared" si="42"/>
        <v>50.6935</v>
      </c>
      <c r="L593" s="7">
        <f t="shared" si="41"/>
        <v>313</v>
      </c>
      <c r="M593" s="11"/>
      <c r="N593"/>
    </row>
    <row r="594" spans="1:14" ht="24.75" customHeight="1">
      <c r="A594" s="5">
        <v>592</v>
      </c>
      <c r="B594" s="5" t="s">
        <v>19</v>
      </c>
      <c r="C594" s="5" t="str">
        <f>"吴娜娜"</f>
        <v>吴娜娜</v>
      </c>
      <c r="D594" s="5" t="str">
        <f>"460006199610078126"</f>
        <v>460006199610078126</v>
      </c>
      <c r="E594" s="5" t="s">
        <v>15</v>
      </c>
      <c r="F594" s="5" t="str">
        <f>"073102031202"</f>
        <v>073102031202</v>
      </c>
      <c r="G594" s="7">
        <v>44.9</v>
      </c>
      <c r="H594" s="7">
        <f t="shared" si="43"/>
        <v>22.45</v>
      </c>
      <c r="I594" s="7">
        <v>56.212</v>
      </c>
      <c r="J594" s="7">
        <f t="shared" si="44"/>
        <v>28.106</v>
      </c>
      <c r="K594" s="10">
        <f t="shared" si="42"/>
        <v>50.556</v>
      </c>
      <c r="L594" s="7">
        <f t="shared" si="41"/>
        <v>314</v>
      </c>
      <c r="M594" s="11"/>
      <c r="N594"/>
    </row>
    <row r="595" spans="1:14" ht="24.75" customHeight="1">
      <c r="A595" s="5">
        <v>593</v>
      </c>
      <c r="B595" s="5" t="s">
        <v>19</v>
      </c>
      <c r="C595" s="5" t="str">
        <f>"吴振伟"</f>
        <v>吴振伟</v>
      </c>
      <c r="D595" s="5" t="str">
        <f>"460003199505142035"</f>
        <v>460003199505142035</v>
      </c>
      <c r="E595" s="5" t="s">
        <v>15</v>
      </c>
      <c r="F595" s="5" t="str">
        <f>"073102030129"</f>
        <v>073102030129</v>
      </c>
      <c r="G595" s="7">
        <v>65.5</v>
      </c>
      <c r="H595" s="7">
        <f t="shared" si="43"/>
        <v>32.75</v>
      </c>
      <c r="I595" s="7">
        <v>35.46</v>
      </c>
      <c r="J595" s="7">
        <f t="shared" si="44"/>
        <v>17.73</v>
      </c>
      <c r="K595" s="10">
        <f t="shared" si="42"/>
        <v>50.480000000000004</v>
      </c>
      <c r="L595" s="7">
        <f t="shared" si="41"/>
        <v>315</v>
      </c>
      <c r="M595" s="11"/>
      <c r="N595"/>
    </row>
    <row r="596" spans="1:14" ht="24.75" customHeight="1">
      <c r="A596" s="5">
        <v>594</v>
      </c>
      <c r="B596" s="5" t="s">
        <v>19</v>
      </c>
      <c r="C596" s="5" t="str">
        <f>"王义桃"</f>
        <v>王义桃</v>
      </c>
      <c r="D596" s="5" t="str">
        <f>"460003199911116641"</f>
        <v>460003199911116641</v>
      </c>
      <c r="E596" s="5" t="s">
        <v>15</v>
      </c>
      <c r="F596" s="5" t="str">
        <f>"073102030121"</f>
        <v>073102030121</v>
      </c>
      <c r="G596" s="7">
        <v>69.8</v>
      </c>
      <c r="H596" s="7">
        <f t="shared" si="43"/>
        <v>34.9</v>
      </c>
      <c r="I596" s="7">
        <v>31.028</v>
      </c>
      <c r="J596" s="7">
        <f t="shared" si="44"/>
        <v>15.514</v>
      </c>
      <c r="K596" s="10">
        <f t="shared" si="42"/>
        <v>50.414</v>
      </c>
      <c r="L596" s="7">
        <f t="shared" si="41"/>
        <v>316</v>
      </c>
      <c r="M596" s="11"/>
      <c r="N596"/>
    </row>
    <row r="597" spans="1:14" ht="24.75" customHeight="1">
      <c r="A597" s="5">
        <v>595</v>
      </c>
      <c r="B597" s="5" t="s">
        <v>19</v>
      </c>
      <c r="C597" s="5" t="str">
        <f>"徐小婕"</f>
        <v>徐小婕</v>
      </c>
      <c r="D597" s="5" t="str">
        <f>"460003199604296865"</f>
        <v>460003199604296865</v>
      </c>
      <c r="E597" s="5" t="s">
        <v>15</v>
      </c>
      <c r="F597" s="5" t="str">
        <f>"073102031128"</f>
        <v>073102031128</v>
      </c>
      <c r="G597" s="7">
        <v>74.5</v>
      </c>
      <c r="H597" s="7">
        <f t="shared" si="43"/>
        <v>37.25</v>
      </c>
      <c r="I597" s="7">
        <v>26.326</v>
      </c>
      <c r="J597" s="7">
        <f t="shared" si="44"/>
        <v>13.163</v>
      </c>
      <c r="K597" s="10">
        <f t="shared" si="42"/>
        <v>50.413</v>
      </c>
      <c r="L597" s="7">
        <f t="shared" si="41"/>
        <v>317</v>
      </c>
      <c r="M597" s="11"/>
      <c r="N597"/>
    </row>
    <row r="598" spans="1:14" ht="24.75" customHeight="1">
      <c r="A598" s="5">
        <v>596</v>
      </c>
      <c r="B598" s="5" t="s">
        <v>19</v>
      </c>
      <c r="C598" s="5" t="str">
        <f>"罗江莹"</f>
        <v>罗江莹</v>
      </c>
      <c r="D598" s="5" t="str">
        <f>"460033199509010708"</f>
        <v>460033199509010708</v>
      </c>
      <c r="E598" s="5" t="s">
        <v>15</v>
      </c>
      <c r="F598" s="5" t="str">
        <f>"073102021042"</f>
        <v>073102021042</v>
      </c>
      <c r="G598" s="7">
        <v>59.5</v>
      </c>
      <c r="H598" s="7">
        <f t="shared" si="43"/>
        <v>29.75</v>
      </c>
      <c r="I598" s="7">
        <v>41.314</v>
      </c>
      <c r="J598" s="7">
        <f t="shared" si="44"/>
        <v>20.657</v>
      </c>
      <c r="K598" s="10">
        <f t="shared" si="42"/>
        <v>50.407</v>
      </c>
      <c r="L598" s="7">
        <f t="shared" si="41"/>
        <v>318</v>
      </c>
      <c r="M598" s="11"/>
      <c r="N598"/>
    </row>
    <row r="599" spans="1:14" ht="24.75" customHeight="1">
      <c r="A599" s="5">
        <v>597</v>
      </c>
      <c r="B599" s="5" t="s">
        <v>19</v>
      </c>
      <c r="C599" s="5" t="str">
        <f>"黄艾莘"</f>
        <v>黄艾莘</v>
      </c>
      <c r="D599" s="5" t="str">
        <f>"460003199604096628"</f>
        <v>460003199604096628</v>
      </c>
      <c r="E599" s="5" t="s">
        <v>15</v>
      </c>
      <c r="F599" s="5" t="str">
        <f>"073102020817"</f>
        <v>073102020817</v>
      </c>
      <c r="G599" s="7">
        <v>71.5</v>
      </c>
      <c r="H599" s="7">
        <f t="shared" si="43"/>
        <v>35.75</v>
      </c>
      <c r="I599" s="7">
        <v>29.278</v>
      </c>
      <c r="J599" s="7">
        <f t="shared" si="44"/>
        <v>14.639</v>
      </c>
      <c r="K599" s="10">
        <f t="shared" si="42"/>
        <v>50.388999999999996</v>
      </c>
      <c r="L599" s="7">
        <f t="shared" si="41"/>
        <v>319</v>
      </c>
      <c r="M599" s="11"/>
      <c r="N599"/>
    </row>
    <row r="600" spans="1:14" ht="24.75" customHeight="1">
      <c r="A600" s="5">
        <v>598</v>
      </c>
      <c r="B600" s="5" t="s">
        <v>19</v>
      </c>
      <c r="C600" s="5" t="str">
        <f>"吴光灵"</f>
        <v>吴光灵</v>
      </c>
      <c r="D600" s="5" t="str">
        <f>"460003199406172810"</f>
        <v>460003199406172810</v>
      </c>
      <c r="E600" s="5" t="s">
        <v>15</v>
      </c>
      <c r="F600" s="5" t="str">
        <f>"073102020335"</f>
        <v>073102020335</v>
      </c>
      <c r="G600" s="7">
        <v>60.1</v>
      </c>
      <c r="H600" s="7">
        <f t="shared" si="43"/>
        <v>30.05</v>
      </c>
      <c r="I600" s="7">
        <v>40.599</v>
      </c>
      <c r="J600" s="7">
        <f t="shared" si="44"/>
        <v>20.2995</v>
      </c>
      <c r="K600" s="10">
        <f t="shared" si="42"/>
        <v>50.3495</v>
      </c>
      <c r="L600" s="7">
        <f t="shared" si="41"/>
        <v>320</v>
      </c>
      <c r="M600" s="11"/>
      <c r="N600"/>
    </row>
    <row r="601" spans="1:14" ht="24.75" customHeight="1">
      <c r="A601" s="5">
        <v>599</v>
      </c>
      <c r="B601" s="5" t="s">
        <v>19</v>
      </c>
      <c r="C601" s="5" t="str">
        <f>"苏鑫"</f>
        <v>苏鑫</v>
      </c>
      <c r="D601" s="5" t="str">
        <f>"230403199405210220"</f>
        <v>230403199405210220</v>
      </c>
      <c r="E601" s="5" t="s">
        <v>15</v>
      </c>
      <c r="F601" s="5" t="str">
        <f>"073102030432"</f>
        <v>073102030432</v>
      </c>
      <c r="G601" s="7">
        <v>63.9</v>
      </c>
      <c r="H601" s="7">
        <f t="shared" si="43"/>
        <v>31.95</v>
      </c>
      <c r="I601" s="7">
        <v>36.669</v>
      </c>
      <c r="J601" s="7">
        <f t="shared" si="44"/>
        <v>18.3345</v>
      </c>
      <c r="K601" s="10">
        <f t="shared" si="42"/>
        <v>50.284499999999994</v>
      </c>
      <c r="L601" s="7">
        <f aca="true" t="shared" si="45" ref="L601:L664">RANK(K601,$K$281:$K$1299,0)</f>
        <v>321</v>
      </c>
      <c r="M601" s="11"/>
      <c r="N601"/>
    </row>
    <row r="602" spans="1:14" ht="24.75" customHeight="1">
      <c r="A602" s="5">
        <v>600</v>
      </c>
      <c r="B602" s="5" t="s">
        <v>19</v>
      </c>
      <c r="C602" s="5" t="str">
        <f>"王黎慧"</f>
        <v>王黎慧</v>
      </c>
      <c r="D602" s="5" t="str">
        <f>"46000119971115152X"</f>
        <v>46000119971115152X</v>
      </c>
      <c r="E602" s="5" t="s">
        <v>15</v>
      </c>
      <c r="F602" s="5" t="str">
        <f>"073102020223"</f>
        <v>073102020223</v>
      </c>
      <c r="G602" s="7">
        <v>58</v>
      </c>
      <c r="H602" s="7">
        <f t="shared" si="43"/>
        <v>29</v>
      </c>
      <c r="I602" s="7">
        <v>42.485</v>
      </c>
      <c r="J602" s="7">
        <f t="shared" si="44"/>
        <v>21.2425</v>
      </c>
      <c r="K602" s="10">
        <f t="shared" si="42"/>
        <v>50.2425</v>
      </c>
      <c r="L602" s="7">
        <f t="shared" si="45"/>
        <v>322</v>
      </c>
      <c r="M602" s="11"/>
      <c r="N602"/>
    </row>
    <row r="603" spans="1:14" ht="24.75" customHeight="1">
      <c r="A603" s="5">
        <v>601</v>
      </c>
      <c r="B603" s="5" t="s">
        <v>19</v>
      </c>
      <c r="C603" s="5" t="str">
        <f>"陈赵玲"</f>
        <v>陈赵玲</v>
      </c>
      <c r="D603" s="5" t="str">
        <f>"460003199209104229"</f>
        <v>460003199209104229</v>
      </c>
      <c r="E603" s="5" t="s">
        <v>15</v>
      </c>
      <c r="F603" s="5" t="str">
        <f>"073102020629"</f>
        <v>073102020629</v>
      </c>
      <c r="G603" s="7">
        <v>53.9</v>
      </c>
      <c r="H603" s="7">
        <f t="shared" si="43"/>
        <v>26.95</v>
      </c>
      <c r="I603" s="7">
        <v>45.804</v>
      </c>
      <c r="J603" s="7">
        <f t="shared" si="44"/>
        <v>22.902</v>
      </c>
      <c r="K603" s="10">
        <f t="shared" si="42"/>
        <v>49.852000000000004</v>
      </c>
      <c r="L603" s="7">
        <f t="shared" si="45"/>
        <v>323</v>
      </c>
      <c r="M603" s="11"/>
      <c r="N603"/>
    </row>
    <row r="604" spans="1:14" ht="24.75" customHeight="1">
      <c r="A604" s="5">
        <v>602</v>
      </c>
      <c r="B604" s="5" t="s">
        <v>19</v>
      </c>
      <c r="C604" s="5" t="str">
        <f>"羊玉夏"</f>
        <v>羊玉夏</v>
      </c>
      <c r="D604" s="5" t="str">
        <f>"460003199604183449"</f>
        <v>460003199604183449</v>
      </c>
      <c r="E604" s="5" t="s">
        <v>15</v>
      </c>
      <c r="F604" s="5" t="str">
        <f>"073102020139"</f>
        <v>073102020139</v>
      </c>
      <c r="G604" s="7">
        <v>61.4</v>
      </c>
      <c r="H604" s="7">
        <f t="shared" si="43"/>
        <v>30.7</v>
      </c>
      <c r="I604" s="7">
        <v>38.126</v>
      </c>
      <c r="J604" s="7">
        <f t="shared" si="44"/>
        <v>19.063</v>
      </c>
      <c r="K604" s="10">
        <f t="shared" si="42"/>
        <v>49.763</v>
      </c>
      <c r="L604" s="7">
        <f t="shared" si="45"/>
        <v>324</v>
      </c>
      <c r="M604" s="11"/>
      <c r="N604"/>
    </row>
    <row r="605" spans="1:14" ht="24.75" customHeight="1">
      <c r="A605" s="5">
        <v>603</v>
      </c>
      <c r="B605" s="5" t="s">
        <v>19</v>
      </c>
      <c r="C605" s="5" t="str">
        <f>"符井妹"</f>
        <v>符井妹</v>
      </c>
      <c r="D605" s="5" t="str">
        <f>"460003199607187621"</f>
        <v>460003199607187621</v>
      </c>
      <c r="E605" s="5" t="s">
        <v>15</v>
      </c>
      <c r="F605" s="5" t="str">
        <f>"073102020722"</f>
        <v>073102020722</v>
      </c>
      <c r="G605" s="7">
        <v>63</v>
      </c>
      <c r="H605" s="7">
        <f t="shared" si="43"/>
        <v>31.5</v>
      </c>
      <c r="I605" s="7">
        <v>36.109</v>
      </c>
      <c r="J605" s="7">
        <f t="shared" si="44"/>
        <v>18.0545</v>
      </c>
      <c r="K605" s="10">
        <f t="shared" si="42"/>
        <v>49.554500000000004</v>
      </c>
      <c r="L605" s="7">
        <f t="shared" si="45"/>
        <v>325</v>
      </c>
      <c r="M605" s="11"/>
      <c r="N605"/>
    </row>
    <row r="606" spans="1:14" ht="24.75" customHeight="1">
      <c r="A606" s="5">
        <v>604</v>
      </c>
      <c r="B606" s="5" t="s">
        <v>19</v>
      </c>
      <c r="C606" s="5" t="str">
        <f>"陈珍珍"</f>
        <v>陈珍珍</v>
      </c>
      <c r="D606" s="5" t="str">
        <f>"460006199907164420"</f>
        <v>460006199907164420</v>
      </c>
      <c r="E606" s="5" t="s">
        <v>15</v>
      </c>
      <c r="F606" s="5" t="str">
        <f>"073102030419"</f>
        <v>073102030419</v>
      </c>
      <c r="G606" s="7">
        <v>59.7</v>
      </c>
      <c r="H606" s="7">
        <f t="shared" si="43"/>
        <v>29.85</v>
      </c>
      <c r="I606" s="7">
        <v>39.288</v>
      </c>
      <c r="J606" s="7">
        <f t="shared" si="44"/>
        <v>19.644</v>
      </c>
      <c r="K606" s="10">
        <f t="shared" si="42"/>
        <v>49.494</v>
      </c>
      <c r="L606" s="7">
        <f t="shared" si="45"/>
        <v>326</v>
      </c>
      <c r="M606" s="11"/>
      <c r="N606"/>
    </row>
    <row r="607" spans="1:14" ht="24.75" customHeight="1">
      <c r="A607" s="5">
        <v>605</v>
      </c>
      <c r="B607" s="5" t="s">
        <v>19</v>
      </c>
      <c r="C607" s="5" t="str">
        <f>"麦银慧"</f>
        <v>麦银慧</v>
      </c>
      <c r="D607" s="5" t="str">
        <f>"460007199712200440"</f>
        <v>460007199712200440</v>
      </c>
      <c r="E607" s="5" t="s">
        <v>15</v>
      </c>
      <c r="F607" s="5" t="str">
        <f>"073102030910"</f>
        <v>073102030910</v>
      </c>
      <c r="G607" s="7">
        <v>57.8</v>
      </c>
      <c r="H607" s="7">
        <f t="shared" si="43"/>
        <v>28.9</v>
      </c>
      <c r="I607" s="7">
        <v>41.169</v>
      </c>
      <c r="J607" s="7">
        <f t="shared" si="44"/>
        <v>20.5845</v>
      </c>
      <c r="K607" s="10">
        <f t="shared" si="42"/>
        <v>49.4845</v>
      </c>
      <c r="L607" s="7">
        <f t="shared" si="45"/>
        <v>327</v>
      </c>
      <c r="M607" s="11"/>
      <c r="N607"/>
    </row>
    <row r="608" spans="1:14" ht="24.75" customHeight="1">
      <c r="A608" s="5">
        <v>606</v>
      </c>
      <c r="B608" s="5" t="s">
        <v>19</v>
      </c>
      <c r="C608" s="5" t="str">
        <f>"陈彦丹"</f>
        <v>陈彦丹</v>
      </c>
      <c r="D608" s="5" t="str">
        <f>"450323199804091522"</f>
        <v>450323199804091522</v>
      </c>
      <c r="E608" s="5" t="s">
        <v>15</v>
      </c>
      <c r="F608" s="5" t="str">
        <f>"073102030232"</f>
        <v>073102030232</v>
      </c>
      <c r="G608" s="7">
        <v>78.9</v>
      </c>
      <c r="H608" s="7">
        <f t="shared" si="43"/>
        <v>39.45</v>
      </c>
      <c r="I608" s="7">
        <v>19.879</v>
      </c>
      <c r="J608" s="7">
        <f t="shared" si="44"/>
        <v>9.9395</v>
      </c>
      <c r="K608" s="10">
        <f t="shared" si="42"/>
        <v>49.389500000000005</v>
      </c>
      <c r="L608" s="7">
        <f t="shared" si="45"/>
        <v>328</v>
      </c>
      <c r="M608" s="11"/>
      <c r="N608"/>
    </row>
    <row r="609" spans="1:14" ht="24.75" customHeight="1">
      <c r="A609" s="5">
        <v>607</v>
      </c>
      <c r="B609" s="5" t="s">
        <v>19</v>
      </c>
      <c r="C609" s="5" t="str">
        <f>"何亮"</f>
        <v>何亮</v>
      </c>
      <c r="D609" s="5" t="str">
        <f>"460003199112290213"</f>
        <v>460003199112290213</v>
      </c>
      <c r="E609" s="5" t="s">
        <v>15</v>
      </c>
      <c r="F609" s="5" t="str">
        <f>"073102020716"</f>
        <v>073102020716</v>
      </c>
      <c r="G609" s="7">
        <v>54.9</v>
      </c>
      <c r="H609" s="7">
        <f t="shared" si="43"/>
        <v>27.45</v>
      </c>
      <c r="I609" s="7">
        <v>43.722</v>
      </c>
      <c r="J609" s="7">
        <f t="shared" si="44"/>
        <v>21.861</v>
      </c>
      <c r="K609" s="10">
        <f t="shared" si="42"/>
        <v>49.311</v>
      </c>
      <c r="L609" s="7">
        <f t="shared" si="45"/>
        <v>329</v>
      </c>
      <c r="M609" s="11"/>
      <c r="N609"/>
    </row>
    <row r="610" spans="1:14" ht="24.75" customHeight="1">
      <c r="A610" s="5">
        <v>608</v>
      </c>
      <c r="B610" s="5" t="s">
        <v>19</v>
      </c>
      <c r="C610" s="5" t="str">
        <f>"王小妹"</f>
        <v>王小妹</v>
      </c>
      <c r="D610" s="5" t="str">
        <f>"460026199610201847"</f>
        <v>460026199610201847</v>
      </c>
      <c r="E610" s="5" t="s">
        <v>15</v>
      </c>
      <c r="F610" s="5" t="str">
        <f>"073102020238"</f>
        <v>073102020238</v>
      </c>
      <c r="G610" s="7">
        <v>62.6</v>
      </c>
      <c r="H610" s="7">
        <f t="shared" si="43"/>
        <v>31.3</v>
      </c>
      <c r="I610" s="7">
        <v>35.979</v>
      </c>
      <c r="J610" s="7">
        <f t="shared" si="44"/>
        <v>17.9895</v>
      </c>
      <c r="K610" s="10">
        <f t="shared" si="42"/>
        <v>49.289500000000004</v>
      </c>
      <c r="L610" s="7">
        <f t="shared" si="45"/>
        <v>330</v>
      </c>
      <c r="M610" s="11"/>
      <c r="N610"/>
    </row>
    <row r="611" spans="1:14" ht="24.75" customHeight="1">
      <c r="A611" s="5">
        <v>609</v>
      </c>
      <c r="B611" s="5" t="s">
        <v>19</v>
      </c>
      <c r="C611" s="5" t="str">
        <f>"邓小兰"</f>
        <v>邓小兰</v>
      </c>
      <c r="D611" s="5" t="str">
        <f>"460036199609242724"</f>
        <v>460036199609242724</v>
      </c>
      <c r="E611" s="5" t="s">
        <v>15</v>
      </c>
      <c r="F611" s="5" t="str">
        <f>"073102020821"</f>
        <v>073102020821</v>
      </c>
      <c r="G611" s="7">
        <v>59.5</v>
      </c>
      <c r="H611" s="7">
        <f t="shared" si="43"/>
        <v>29.75</v>
      </c>
      <c r="I611" s="7">
        <v>38.972</v>
      </c>
      <c r="J611" s="7">
        <f t="shared" si="44"/>
        <v>19.486</v>
      </c>
      <c r="K611" s="10">
        <f t="shared" si="42"/>
        <v>49.236000000000004</v>
      </c>
      <c r="L611" s="7">
        <f t="shared" si="45"/>
        <v>331</v>
      </c>
      <c r="M611" s="11"/>
      <c r="N611"/>
    </row>
    <row r="612" spans="1:14" ht="24.75" customHeight="1">
      <c r="A612" s="5">
        <v>610</v>
      </c>
      <c r="B612" s="5" t="s">
        <v>19</v>
      </c>
      <c r="C612" s="5" t="str">
        <f>"王广品"</f>
        <v>王广品</v>
      </c>
      <c r="D612" s="5" t="str">
        <f>"460003199611134194"</f>
        <v>460003199611134194</v>
      </c>
      <c r="E612" s="5" t="s">
        <v>15</v>
      </c>
      <c r="F612" s="5" t="str">
        <f>"073102030739"</f>
        <v>073102030739</v>
      </c>
      <c r="G612" s="7">
        <v>58.1</v>
      </c>
      <c r="H612" s="7">
        <f t="shared" si="43"/>
        <v>29.05</v>
      </c>
      <c r="I612" s="7">
        <v>40.228</v>
      </c>
      <c r="J612" s="7">
        <f t="shared" si="44"/>
        <v>20.114</v>
      </c>
      <c r="K612" s="10">
        <f t="shared" si="42"/>
        <v>49.164</v>
      </c>
      <c r="L612" s="7">
        <f t="shared" si="45"/>
        <v>332</v>
      </c>
      <c r="M612" s="11"/>
      <c r="N612"/>
    </row>
    <row r="613" spans="1:14" ht="24.75" customHeight="1">
      <c r="A613" s="5">
        <v>611</v>
      </c>
      <c r="B613" s="5" t="s">
        <v>19</v>
      </c>
      <c r="C613" s="5" t="str">
        <f>"梁宝奇"</f>
        <v>梁宝奇</v>
      </c>
      <c r="D613" s="5" t="str">
        <f>"46000319910621023X"</f>
        <v>46000319910621023X</v>
      </c>
      <c r="E613" s="5" t="s">
        <v>15</v>
      </c>
      <c r="F613" s="5" t="str">
        <f>"073102030112"</f>
        <v>073102030112</v>
      </c>
      <c r="G613" s="7">
        <v>37.2</v>
      </c>
      <c r="H613" s="7">
        <f t="shared" si="43"/>
        <v>18.6</v>
      </c>
      <c r="I613" s="7">
        <v>61.115</v>
      </c>
      <c r="J613" s="7">
        <f t="shared" si="44"/>
        <v>30.5575</v>
      </c>
      <c r="K613" s="10">
        <f t="shared" si="42"/>
        <v>49.1575</v>
      </c>
      <c r="L613" s="7">
        <f t="shared" si="45"/>
        <v>333</v>
      </c>
      <c r="M613" s="11"/>
      <c r="N613"/>
    </row>
    <row r="614" spans="1:14" ht="24.75" customHeight="1">
      <c r="A614" s="5">
        <v>612</v>
      </c>
      <c r="B614" s="5" t="s">
        <v>19</v>
      </c>
      <c r="C614" s="5" t="str">
        <f>"罗小兰"</f>
        <v>罗小兰</v>
      </c>
      <c r="D614" s="5" t="str">
        <f>"460004199407022626"</f>
        <v>460004199407022626</v>
      </c>
      <c r="E614" s="5" t="s">
        <v>15</v>
      </c>
      <c r="F614" s="5" t="str">
        <f>"073102030628"</f>
        <v>073102030628</v>
      </c>
      <c r="G614" s="7">
        <v>58.9</v>
      </c>
      <c r="H614" s="7">
        <f t="shared" si="43"/>
        <v>29.45</v>
      </c>
      <c r="I614" s="7">
        <v>39.154</v>
      </c>
      <c r="J614" s="7">
        <f t="shared" si="44"/>
        <v>19.577</v>
      </c>
      <c r="K614" s="10">
        <f t="shared" si="42"/>
        <v>49.027</v>
      </c>
      <c r="L614" s="7">
        <f t="shared" si="45"/>
        <v>334</v>
      </c>
      <c r="M614" s="11"/>
      <c r="N614"/>
    </row>
    <row r="615" spans="1:14" ht="24.75" customHeight="1">
      <c r="A615" s="5">
        <v>613</v>
      </c>
      <c r="B615" s="5" t="s">
        <v>19</v>
      </c>
      <c r="C615" s="5" t="str">
        <f>"谢莹莹"</f>
        <v>谢莹莹</v>
      </c>
      <c r="D615" s="5" t="str">
        <f>"460003199712185425"</f>
        <v>460003199712185425</v>
      </c>
      <c r="E615" s="5" t="s">
        <v>15</v>
      </c>
      <c r="F615" s="5" t="str">
        <f>"073102030640"</f>
        <v>073102030640</v>
      </c>
      <c r="G615" s="7">
        <v>42</v>
      </c>
      <c r="H615" s="7">
        <f t="shared" si="43"/>
        <v>21</v>
      </c>
      <c r="I615" s="7">
        <v>55.473</v>
      </c>
      <c r="J615" s="7">
        <f t="shared" si="44"/>
        <v>27.7365</v>
      </c>
      <c r="K615" s="10">
        <f t="shared" si="42"/>
        <v>48.7365</v>
      </c>
      <c r="L615" s="7">
        <f t="shared" si="45"/>
        <v>335</v>
      </c>
      <c r="M615" s="11"/>
      <c r="N615"/>
    </row>
    <row r="616" spans="1:14" ht="24.75" customHeight="1">
      <c r="A616" s="5">
        <v>614</v>
      </c>
      <c r="B616" s="5" t="s">
        <v>19</v>
      </c>
      <c r="C616" s="5" t="str">
        <f>"王汝丹"</f>
        <v>王汝丹</v>
      </c>
      <c r="D616" s="5" t="str">
        <f>"460001199601030727"</f>
        <v>460001199601030727</v>
      </c>
      <c r="E616" s="5" t="s">
        <v>15</v>
      </c>
      <c r="F616" s="5" t="str">
        <f>"073102030718"</f>
        <v>073102030718</v>
      </c>
      <c r="G616" s="7">
        <v>60.7</v>
      </c>
      <c r="H616" s="7">
        <f t="shared" si="43"/>
        <v>30.35</v>
      </c>
      <c r="I616" s="7">
        <v>36.669</v>
      </c>
      <c r="J616" s="7">
        <f t="shared" si="44"/>
        <v>18.3345</v>
      </c>
      <c r="K616" s="10">
        <f t="shared" si="42"/>
        <v>48.6845</v>
      </c>
      <c r="L616" s="7">
        <f t="shared" si="45"/>
        <v>336</v>
      </c>
      <c r="M616" s="11"/>
      <c r="N616"/>
    </row>
    <row r="617" spans="1:14" ht="24.75" customHeight="1">
      <c r="A617" s="5">
        <v>615</v>
      </c>
      <c r="B617" s="5" t="s">
        <v>19</v>
      </c>
      <c r="C617" s="5" t="str">
        <f>"黄彩柳"</f>
        <v>黄彩柳</v>
      </c>
      <c r="D617" s="5" t="str">
        <f>"460028199712125622"</f>
        <v>460028199712125622</v>
      </c>
      <c r="E617" s="5" t="s">
        <v>15</v>
      </c>
      <c r="F617" s="5" t="str">
        <f>"073102030105"</f>
        <v>073102030105</v>
      </c>
      <c r="G617" s="7">
        <v>66.6</v>
      </c>
      <c r="H617" s="7">
        <f t="shared" si="43"/>
        <v>33.3</v>
      </c>
      <c r="I617" s="7">
        <v>30.625</v>
      </c>
      <c r="J617" s="7">
        <f t="shared" si="44"/>
        <v>15.3125</v>
      </c>
      <c r="K617" s="10">
        <f t="shared" si="42"/>
        <v>48.6125</v>
      </c>
      <c r="L617" s="7">
        <f t="shared" si="45"/>
        <v>337</v>
      </c>
      <c r="M617" s="11"/>
      <c r="N617"/>
    </row>
    <row r="618" spans="1:14" ht="24.75" customHeight="1">
      <c r="A618" s="5">
        <v>616</v>
      </c>
      <c r="B618" s="5" t="s">
        <v>19</v>
      </c>
      <c r="C618" s="5" t="str">
        <f>"徐二平"</f>
        <v>徐二平</v>
      </c>
      <c r="D618" s="5" t="str">
        <f>"460003199408232653"</f>
        <v>460003199408232653</v>
      </c>
      <c r="E618" s="5" t="s">
        <v>15</v>
      </c>
      <c r="F618" s="5" t="str">
        <f>"073102030219"</f>
        <v>073102030219</v>
      </c>
      <c r="G618" s="7">
        <v>35.1</v>
      </c>
      <c r="H618" s="7">
        <f t="shared" si="43"/>
        <v>17.55</v>
      </c>
      <c r="I618" s="7">
        <v>62.122</v>
      </c>
      <c r="J618" s="7">
        <f t="shared" si="44"/>
        <v>31.061</v>
      </c>
      <c r="K618" s="10">
        <f t="shared" si="42"/>
        <v>48.611000000000004</v>
      </c>
      <c r="L618" s="7">
        <f t="shared" si="45"/>
        <v>338</v>
      </c>
      <c r="M618" s="11"/>
      <c r="N618"/>
    </row>
    <row r="619" spans="1:14" ht="24.75" customHeight="1">
      <c r="A619" s="5">
        <v>617</v>
      </c>
      <c r="B619" s="5" t="s">
        <v>19</v>
      </c>
      <c r="C619" s="5" t="str">
        <f>"王德丽"</f>
        <v>王德丽</v>
      </c>
      <c r="D619" s="5" t="str">
        <f>"460003199711117623"</f>
        <v>460003199711117623</v>
      </c>
      <c r="E619" s="5" t="s">
        <v>15</v>
      </c>
      <c r="F619" s="5" t="str">
        <f>"073102030901"</f>
        <v>073102030901</v>
      </c>
      <c r="G619" s="7">
        <v>69</v>
      </c>
      <c r="H619" s="7">
        <f t="shared" si="43"/>
        <v>34.5</v>
      </c>
      <c r="I619" s="7">
        <v>27.737</v>
      </c>
      <c r="J619" s="7">
        <f t="shared" si="44"/>
        <v>13.8685</v>
      </c>
      <c r="K619" s="10">
        <f t="shared" si="42"/>
        <v>48.3685</v>
      </c>
      <c r="L619" s="7">
        <f t="shared" si="45"/>
        <v>339</v>
      </c>
      <c r="M619" s="11"/>
      <c r="N619"/>
    </row>
    <row r="620" spans="1:14" ht="24.75" customHeight="1">
      <c r="A620" s="5">
        <v>618</v>
      </c>
      <c r="B620" s="5" t="s">
        <v>19</v>
      </c>
      <c r="C620" s="5" t="str">
        <f>"王银环"</f>
        <v>王银环</v>
      </c>
      <c r="D620" s="5" t="str">
        <f>"460003199612156846"</f>
        <v>460003199612156846</v>
      </c>
      <c r="E620" s="5" t="s">
        <v>15</v>
      </c>
      <c r="F620" s="5" t="str">
        <f>"073102020915"</f>
        <v>073102020915</v>
      </c>
      <c r="G620" s="7">
        <v>52.3</v>
      </c>
      <c r="H620" s="7">
        <f t="shared" si="43"/>
        <v>26.15</v>
      </c>
      <c r="I620" s="7">
        <v>44.372</v>
      </c>
      <c r="J620" s="7">
        <f t="shared" si="44"/>
        <v>22.186</v>
      </c>
      <c r="K620" s="10">
        <f t="shared" si="42"/>
        <v>48.336</v>
      </c>
      <c r="L620" s="7">
        <f t="shared" si="45"/>
        <v>340</v>
      </c>
      <c r="M620" s="11"/>
      <c r="N620"/>
    </row>
    <row r="621" spans="1:14" ht="24.75" customHeight="1">
      <c r="A621" s="5">
        <v>619</v>
      </c>
      <c r="B621" s="5" t="s">
        <v>19</v>
      </c>
      <c r="C621" s="5" t="str">
        <f>"张才娟"</f>
        <v>张才娟</v>
      </c>
      <c r="D621" s="5" t="str">
        <f>"460003199403206026"</f>
        <v>460003199403206026</v>
      </c>
      <c r="E621" s="5" t="s">
        <v>15</v>
      </c>
      <c r="F621" s="5" t="str">
        <f>"073102020243"</f>
        <v>073102020243</v>
      </c>
      <c r="G621" s="7">
        <v>46.8</v>
      </c>
      <c r="H621" s="7">
        <f t="shared" si="43"/>
        <v>23.4</v>
      </c>
      <c r="I621" s="7">
        <v>49.772</v>
      </c>
      <c r="J621" s="7">
        <f t="shared" si="44"/>
        <v>24.886</v>
      </c>
      <c r="K621" s="10">
        <f t="shared" si="42"/>
        <v>48.286</v>
      </c>
      <c r="L621" s="7">
        <f t="shared" si="45"/>
        <v>341</v>
      </c>
      <c r="M621" s="11"/>
      <c r="N621"/>
    </row>
    <row r="622" spans="1:14" ht="24.75" customHeight="1">
      <c r="A622" s="5">
        <v>620</v>
      </c>
      <c r="B622" s="5" t="s">
        <v>19</v>
      </c>
      <c r="C622" s="5" t="str">
        <f>"周静"</f>
        <v>周静</v>
      </c>
      <c r="D622" s="5" t="str">
        <f>"460003199506150221"</f>
        <v>460003199506150221</v>
      </c>
      <c r="E622" s="5" t="s">
        <v>15</v>
      </c>
      <c r="F622" s="5" t="str">
        <f>"073102020835"</f>
        <v>073102020835</v>
      </c>
      <c r="G622" s="7">
        <v>47.1</v>
      </c>
      <c r="H622" s="7">
        <f t="shared" si="43"/>
        <v>23.55</v>
      </c>
      <c r="I622" s="7">
        <v>49.317</v>
      </c>
      <c r="J622" s="7">
        <f t="shared" si="44"/>
        <v>24.6585</v>
      </c>
      <c r="K622" s="10">
        <f t="shared" si="42"/>
        <v>48.2085</v>
      </c>
      <c r="L622" s="7">
        <f t="shared" si="45"/>
        <v>342</v>
      </c>
      <c r="M622" s="11"/>
      <c r="N622"/>
    </row>
    <row r="623" spans="1:14" ht="24.75" customHeight="1">
      <c r="A623" s="5">
        <v>621</v>
      </c>
      <c r="B623" s="5" t="s">
        <v>19</v>
      </c>
      <c r="C623" s="5" t="str">
        <f>"蓝英霞"</f>
        <v>蓝英霞</v>
      </c>
      <c r="D623" s="5" t="str">
        <f>"460034199608052424"</f>
        <v>460034199608052424</v>
      </c>
      <c r="E623" s="5" t="s">
        <v>15</v>
      </c>
      <c r="F623" s="5" t="str">
        <f>"073102030610"</f>
        <v>073102030610</v>
      </c>
      <c r="G623" s="7">
        <v>65.1</v>
      </c>
      <c r="H623" s="7">
        <f t="shared" si="43"/>
        <v>32.55</v>
      </c>
      <c r="I623" s="7">
        <v>31.296</v>
      </c>
      <c r="J623" s="7">
        <f t="shared" si="44"/>
        <v>15.648</v>
      </c>
      <c r="K623" s="10">
        <f t="shared" si="42"/>
        <v>48.19799999999999</v>
      </c>
      <c r="L623" s="7">
        <f t="shared" si="45"/>
        <v>343</v>
      </c>
      <c r="M623" s="11"/>
      <c r="N623"/>
    </row>
    <row r="624" spans="1:14" ht="24.75" customHeight="1">
      <c r="A624" s="5">
        <v>622</v>
      </c>
      <c r="B624" s="5" t="s">
        <v>19</v>
      </c>
      <c r="C624" s="5" t="str">
        <f>"吴良清"</f>
        <v>吴良清</v>
      </c>
      <c r="D624" s="5" t="str">
        <f>"460004199708044036"</f>
        <v>460004199708044036</v>
      </c>
      <c r="E624" s="5" t="s">
        <v>15</v>
      </c>
      <c r="F624" s="5" t="str">
        <f>"073102031112"</f>
        <v>073102031112</v>
      </c>
      <c r="G624" s="7">
        <v>47.3</v>
      </c>
      <c r="H624" s="7">
        <f t="shared" si="43"/>
        <v>23.65</v>
      </c>
      <c r="I624" s="7">
        <v>48.959</v>
      </c>
      <c r="J624" s="7">
        <f t="shared" si="44"/>
        <v>24.4795</v>
      </c>
      <c r="K624" s="10">
        <f t="shared" si="42"/>
        <v>48.1295</v>
      </c>
      <c r="L624" s="7">
        <f t="shared" si="45"/>
        <v>344</v>
      </c>
      <c r="M624" s="11"/>
      <c r="N624"/>
    </row>
    <row r="625" spans="1:14" ht="24.75" customHeight="1">
      <c r="A625" s="5">
        <v>623</v>
      </c>
      <c r="B625" s="5" t="s">
        <v>19</v>
      </c>
      <c r="C625" s="5" t="str">
        <f>"高佳莹"</f>
        <v>高佳莹</v>
      </c>
      <c r="D625" s="5" t="str">
        <f>"460030200103163321"</f>
        <v>460030200103163321</v>
      </c>
      <c r="E625" s="5" t="s">
        <v>15</v>
      </c>
      <c r="F625" s="5" t="str">
        <f>"073102020728"</f>
        <v>073102020728</v>
      </c>
      <c r="G625" s="7">
        <v>60.7</v>
      </c>
      <c r="H625" s="7">
        <f t="shared" si="43"/>
        <v>30.35</v>
      </c>
      <c r="I625" s="7">
        <v>35.524</v>
      </c>
      <c r="J625" s="7">
        <f t="shared" si="44"/>
        <v>17.762</v>
      </c>
      <c r="K625" s="10">
        <f aca="true" t="shared" si="46" ref="K625:K688">H625+J625</f>
        <v>48.112</v>
      </c>
      <c r="L625" s="7">
        <f t="shared" si="45"/>
        <v>345</v>
      </c>
      <c r="M625" s="11"/>
      <c r="N625"/>
    </row>
    <row r="626" spans="1:14" ht="24.75" customHeight="1">
      <c r="A626" s="5">
        <v>624</v>
      </c>
      <c r="B626" s="5" t="s">
        <v>19</v>
      </c>
      <c r="C626" s="5" t="str">
        <f>"邹荣辉"</f>
        <v>邹荣辉</v>
      </c>
      <c r="D626" s="5" t="str">
        <f>"469007199903156153"</f>
        <v>469007199903156153</v>
      </c>
      <c r="E626" s="5" t="s">
        <v>15</v>
      </c>
      <c r="F626" s="5" t="str">
        <f>"073102020815"</f>
        <v>073102020815</v>
      </c>
      <c r="G626" s="7">
        <v>59.8</v>
      </c>
      <c r="H626" s="7">
        <f t="shared" si="43"/>
        <v>29.9</v>
      </c>
      <c r="I626" s="7">
        <v>36.239</v>
      </c>
      <c r="J626" s="7">
        <f t="shared" si="44"/>
        <v>18.1195</v>
      </c>
      <c r="K626" s="10">
        <f t="shared" si="46"/>
        <v>48.019499999999994</v>
      </c>
      <c r="L626" s="7">
        <f t="shared" si="45"/>
        <v>346</v>
      </c>
      <c r="M626" s="11"/>
      <c r="N626"/>
    </row>
    <row r="627" spans="1:14" ht="24.75" customHeight="1">
      <c r="A627" s="5">
        <v>625</v>
      </c>
      <c r="B627" s="5" t="s">
        <v>19</v>
      </c>
      <c r="C627" s="5" t="str">
        <f>"黎国翰"</f>
        <v>黎国翰</v>
      </c>
      <c r="D627" s="5" t="str">
        <f>"460300199309200354"</f>
        <v>460300199309200354</v>
      </c>
      <c r="E627" s="5" t="s">
        <v>15</v>
      </c>
      <c r="F627" s="5" t="str">
        <f>"073102020213"</f>
        <v>073102020213</v>
      </c>
      <c r="G627" s="7">
        <v>60.1</v>
      </c>
      <c r="H627" s="7">
        <f t="shared" si="43"/>
        <v>30.05</v>
      </c>
      <c r="I627" s="7">
        <v>35.524</v>
      </c>
      <c r="J627" s="7">
        <f t="shared" si="44"/>
        <v>17.762</v>
      </c>
      <c r="K627" s="10">
        <f t="shared" si="46"/>
        <v>47.812</v>
      </c>
      <c r="L627" s="7">
        <f t="shared" si="45"/>
        <v>347</v>
      </c>
      <c r="M627" s="11"/>
      <c r="N627"/>
    </row>
    <row r="628" spans="1:14" ht="24.75" customHeight="1">
      <c r="A628" s="5">
        <v>626</v>
      </c>
      <c r="B628" s="5" t="s">
        <v>19</v>
      </c>
      <c r="C628" s="5" t="str">
        <f>"蔡秋樱"</f>
        <v>蔡秋樱</v>
      </c>
      <c r="D628" s="5" t="str">
        <f>"469003199611234820"</f>
        <v>469003199611234820</v>
      </c>
      <c r="E628" s="5" t="s">
        <v>15</v>
      </c>
      <c r="F628" s="5" t="str">
        <f>"073102030717"</f>
        <v>073102030717</v>
      </c>
      <c r="G628" s="7">
        <v>73.1</v>
      </c>
      <c r="H628" s="7">
        <f t="shared" si="43"/>
        <v>36.55</v>
      </c>
      <c r="I628" s="7">
        <v>22.364</v>
      </c>
      <c r="J628" s="7">
        <f t="shared" si="44"/>
        <v>11.182</v>
      </c>
      <c r="K628" s="10">
        <f t="shared" si="46"/>
        <v>47.732</v>
      </c>
      <c r="L628" s="7">
        <f t="shared" si="45"/>
        <v>348</v>
      </c>
      <c r="M628" s="11"/>
      <c r="N628"/>
    </row>
    <row r="629" spans="1:14" ht="24.75" customHeight="1">
      <c r="A629" s="5">
        <v>627</v>
      </c>
      <c r="B629" s="5" t="s">
        <v>19</v>
      </c>
      <c r="C629" s="5" t="str">
        <f>"陈丹"</f>
        <v>陈丹</v>
      </c>
      <c r="D629" s="5" t="str">
        <f>"46003219910115084X"</f>
        <v>46003219910115084X</v>
      </c>
      <c r="E629" s="5" t="s">
        <v>15</v>
      </c>
      <c r="F629" s="5" t="str">
        <f>"073102030210"</f>
        <v>073102030210</v>
      </c>
      <c r="G629" s="7">
        <v>41.4</v>
      </c>
      <c r="H629" s="7">
        <f t="shared" si="43"/>
        <v>20.7</v>
      </c>
      <c r="I629" s="7">
        <v>53.794</v>
      </c>
      <c r="J629" s="7">
        <f t="shared" si="44"/>
        <v>26.897</v>
      </c>
      <c r="K629" s="10">
        <f t="shared" si="46"/>
        <v>47.596999999999994</v>
      </c>
      <c r="L629" s="7">
        <f t="shared" si="45"/>
        <v>349</v>
      </c>
      <c r="M629" s="11"/>
      <c r="N629"/>
    </row>
    <row r="630" spans="1:14" ht="24.75" customHeight="1">
      <c r="A630" s="5">
        <v>628</v>
      </c>
      <c r="B630" s="5" t="s">
        <v>19</v>
      </c>
      <c r="C630" s="5" t="str">
        <f>"符静棣"</f>
        <v>符静棣</v>
      </c>
      <c r="D630" s="5" t="str">
        <f>"460003199611034249"</f>
        <v>460003199611034249</v>
      </c>
      <c r="E630" s="5" t="s">
        <v>15</v>
      </c>
      <c r="F630" s="5" t="str">
        <f>"073102031022"</f>
        <v>073102031022</v>
      </c>
      <c r="G630" s="7">
        <v>58.5</v>
      </c>
      <c r="H630" s="7">
        <f t="shared" si="43"/>
        <v>29.25</v>
      </c>
      <c r="I630" s="7">
        <v>36.669</v>
      </c>
      <c r="J630" s="7">
        <f t="shared" si="44"/>
        <v>18.3345</v>
      </c>
      <c r="K630" s="10">
        <f t="shared" si="46"/>
        <v>47.5845</v>
      </c>
      <c r="L630" s="7">
        <f t="shared" si="45"/>
        <v>350</v>
      </c>
      <c r="M630" s="11"/>
      <c r="N630"/>
    </row>
    <row r="631" spans="1:14" ht="24.75" customHeight="1">
      <c r="A631" s="5">
        <v>629</v>
      </c>
      <c r="B631" s="5" t="s">
        <v>19</v>
      </c>
      <c r="C631" s="5" t="str">
        <f>"谭火芸"</f>
        <v>谭火芸</v>
      </c>
      <c r="D631" s="5" t="str">
        <f>"460003199104140426"</f>
        <v>460003199104140426</v>
      </c>
      <c r="E631" s="5" t="s">
        <v>15</v>
      </c>
      <c r="F631" s="5" t="str">
        <f>"073102031004"</f>
        <v>073102031004</v>
      </c>
      <c r="G631" s="7">
        <v>63.3</v>
      </c>
      <c r="H631" s="7">
        <f t="shared" si="43"/>
        <v>31.65</v>
      </c>
      <c r="I631" s="7">
        <v>31.833</v>
      </c>
      <c r="J631" s="7">
        <f t="shared" si="44"/>
        <v>15.9165</v>
      </c>
      <c r="K631" s="10">
        <f t="shared" si="46"/>
        <v>47.5665</v>
      </c>
      <c r="L631" s="7">
        <f t="shared" si="45"/>
        <v>351</v>
      </c>
      <c r="M631" s="11"/>
      <c r="N631"/>
    </row>
    <row r="632" spans="1:14" ht="24.75" customHeight="1">
      <c r="A632" s="5">
        <v>630</v>
      </c>
      <c r="B632" s="5" t="s">
        <v>19</v>
      </c>
      <c r="C632" s="5" t="str">
        <f>"符新鹭"</f>
        <v>符新鹭</v>
      </c>
      <c r="D632" s="5" t="str">
        <f>"46000319960518462X"</f>
        <v>46000319960518462X</v>
      </c>
      <c r="E632" s="5" t="s">
        <v>15</v>
      </c>
      <c r="F632" s="5" t="str">
        <f>"073102030633"</f>
        <v>073102030633</v>
      </c>
      <c r="G632" s="7">
        <v>54.5</v>
      </c>
      <c r="H632" s="7">
        <f t="shared" si="43"/>
        <v>27.25</v>
      </c>
      <c r="I632" s="7">
        <v>40.363</v>
      </c>
      <c r="J632" s="7">
        <f t="shared" si="44"/>
        <v>20.1815</v>
      </c>
      <c r="K632" s="10">
        <f t="shared" si="46"/>
        <v>47.4315</v>
      </c>
      <c r="L632" s="7">
        <f t="shared" si="45"/>
        <v>352</v>
      </c>
      <c r="M632" s="11"/>
      <c r="N632"/>
    </row>
    <row r="633" spans="1:14" ht="24.75" customHeight="1">
      <c r="A633" s="5">
        <v>631</v>
      </c>
      <c r="B633" s="5" t="s">
        <v>19</v>
      </c>
      <c r="C633" s="5" t="str">
        <f>"邓丽丽"</f>
        <v>邓丽丽</v>
      </c>
      <c r="D633" s="5" t="str">
        <f>"460003199705070021"</f>
        <v>460003199705070021</v>
      </c>
      <c r="E633" s="5" t="s">
        <v>15</v>
      </c>
      <c r="F633" s="5" t="str">
        <f>"073102030520"</f>
        <v>073102030520</v>
      </c>
      <c r="G633" s="7">
        <v>52.3</v>
      </c>
      <c r="H633" s="7">
        <f t="shared" si="43"/>
        <v>26.15</v>
      </c>
      <c r="I633" s="7">
        <v>42.445</v>
      </c>
      <c r="J633" s="7">
        <f t="shared" si="44"/>
        <v>21.2225</v>
      </c>
      <c r="K633" s="10">
        <f t="shared" si="46"/>
        <v>47.3725</v>
      </c>
      <c r="L633" s="7">
        <f t="shared" si="45"/>
        <v>353</v>
      </c>
      <c r="M633" s="11"/>
      <c r="N633"/>
    </row>
    <row r="634" spans="1:14" ht="24.75" customHeight="1">
      <c r="A634" s="5">
        <v>632</v>
      </c>
      <c r="B634" s="5" t="s">
        <v>19</v>
      </c>
      <c r="C634" s="5" t="str">
        <f>"李桂妍"</f>
        <v>李桂妍</v>
      </c>
      <c r="D634" s="5" t="str">
        <f>"460003199710172241"</f>
        <v>460003199710172241</v>
      </c>
      <c r="E634" s="5" t="s">
        <v>15</v>
      </c>
      <c r="F634" s="5" t="str">
        <f>"073102021128"</f>
        <v>073102021128</v>
      </c>
      <c r="G634" s="7">
        <v>75.2</v>
      </c>
      <c r="H634" s="7">
        <f t="shared" si="43"/>
        <v>37.6</v>
      </c>
      <c r="I634" s="7">
        <v>19.519</v>
      </c>
      <c r="J634" s="7">
        <f t="shared" si="44"/>
        <v>9.7595</v>
      </c>
      <c r="K634" s="10">
        <f t="shared" si="46"/>
        <v>47.3595</v>
      </c>
      <c r="L634" s="7">
        <f t="shared" si="45"/>
        <v>354</v>
      </c>
      <c r="M634" s="11"/>
      <c r="N634"/>
    </row>
    <row r="635" spans="1:14" ht="24.75" customHeight="1">
      <c r="A635" s="5">
        <v>633</v>
      </c>
      <c r="B635" s="5" t="s">
        <v>19</v>
      </c>
      <c r="C635" s="5" t="str">
        <f>"王德副"</f>
        <v>王德副</v>
      </c>
      <c r="D635" s="5" t="str">
        <f>"460036199609170417"</f>
        <v>460036199609170417</v>
      </c>
      <c r="E635" s="5" t="s">
        <v>15</v>
      </c>
      <c r="F635" s="5" t="str">
        <f>"073102020133"</f>
        <v>073102020133</v>
      </c>
      <c r="G635" s="7">
        <v>46.8</v>
      </c>
      <c r="H635" s="7">
        <f t="shared" si="43"/>
        <v>23.4</v>
      </c>
      <c r="I635" s="7">
        <v>47.69</v>
      </c>
      <c r="J635" s="7">
        <f t="shared" si="44"/>
        <v>23.845</v>
      </c>
      <c r="K635" s="10">
        <f t="shared" si="46"/>
        <v>47.245</v>
      </c>
      <c r="L635" s="7">
        <f t="shared" si="45"/>
        <v>355</v>
      </c>
      <c r="M635" s="11"/>
      <c r="N635"/>
    </row>
    <row r="636" spans="1:14" ht="24.75" customHeight="1">
      <c r="A636" s="5">
        <v>634</v>
      </c>
      <c r="B636" s="5" t="s">
        <v>19</v>
      </c>
      <c r="C636" s="5" t="str">
        <f>"黎菊女"</f>
        <v>黎菊女</v>
      </c>
      <c r="D636" s="5" t="str">
        <f>"460003199403023844"</f>
        <v>460003199403023844</v>
      </c>
      <c r="E636" s="5" t="s">
        <v>15</v>
      </c>
      <c r="F636" s="5" t="str">
        <f>"073102021212"</f>
        <v>073102021212</v>
      </c>
      <c r="G636" s="7">
        <v>65.8</v>
      </c>
      <c r="H636" s="7">
        <f t="shared" si="43"/>
        <v>32.9</v>
      </c>
      <c r="I636" s="7">
        <v>28.562</v>
      </c>
      <c r="J636" s="7">
        <f t="shared" si="44"/>
        <v>14.281</v>
      </c>
      <c r="K636" s="10">
        <f t="shared" si="46"/>
        <v>47.181</v>
      </c>
      <c r="L636" s="7">
        <f t="shared" si="45"/>
        <v>356</v>
      </c>
      <c r="M636" s="11"/>
      <c r="N636"/>
    </row>
    <row r="637" spans="1:14" ht="24.75" customHeight="1">
      <c r="A637" s="5">
        <v>635</v>
      </c>
      <c r="B637" s="5" t="s">
        <v>19</v>
      </c>
      <c r="C637" s="5" t="str">
        <f>"黎日花"</f>
        <v>黎日花</v>
      </c>
      <c r="D637" s="5" t="str">
        <f>"469003199308052426"</f>
        <v>469003199308052426</v>
      </c>
      <c r="E637" s="5" t="s">
        <v>15</v>
      </c>
      <c r="F637" s="5" t="str">
        <f>"073102030908"</f>
        <v>073102030908</v>
      </c>
      <c r="G637" s="7">
        <v>68.1</v>
      </c>
      <c r="H637" s="7">
        <f t="shared" si="43"/>
        <v>34.05</v>
      </c>
      <c r="I637" s="7">
        <v>26.259</v>
      </c>
      <c r="J637" s="7">
        <f t="shared" si="44"/>
        <v>13.1295</v>
      </c>
      <c r="K637" s="10">
        <f t="shared" si="46"/>
        <v>47.1795</v>
      </c>
      <c r="L637" s="7">
        <f t="shared" si="45"/>
        <v>357</v>
      </c>
      <c r="M637" s="11"/>
      <c r="N637"/>
    </row>
    <row r="638" spans="1:14" ht="24.75" customHeight="1">
      <c r="A638" s="5">
        <v>636</v>
      </c>
      <c r="B638" s="5" t="s">
        <v>19</v>
      </c>
      <c r="C638" s="5" t="str">
        <f>"林娇艳"</f>
        <v>林娇艳</v>
      </c>
      <c r="D638" s="5" t="str">
        <f>"460006199603042029"</f>
        <v>460006199603042029</v>
      </c>
      <c r="E638" s="5" t="s">
        <v>15</v>
      </c>
      <c r="F638" s="5" t="str">
        <f>"073102021109"</f>
        <v>073102021109</v>
      </c>
      <c r="G638" s="7">
        <v>60.8</v>
      </c>
      <c r="H638" s="7">
        <f t="shared" si="43"/>
        <v>30.4</v>
      </c>
      <c r="I638" s="7">
        <v>33.507</v>
      </c>
      <c r="J638" s="7">
        <f t="shared" si="44"/>
        <v>16.7535</v>
      </c>
      <c r="K638" s="10">
        <f t="shared" si="46"/>
        <v>47.153499999999994</v>
      </c>
      <c r="L638" s="7">
        <f t="shared" si="45"/>
        <v>358</v>
      </c>
      <c r="M638" s="11"/>
      <c r="N638"/>
    </row>
    <row r="639" spans="1:14" ht="24.75" customHeight="1">
      <c r="A639" s="5">
        <v>637</v>
      </c>
      <c r="B639" s="5" t="s">
        <v>19</v>
      </c>
      <c r="C639" s="5" t="str">
        <f>"罗孝敏"</f>
        <v>罗孝敏</v>
      </c>
      <c r="D639" s="5" t="str">
        <f>"460006199708223758"</f>
        <v>460006199708223758</v>
      </c>
      <c r="E639" s="5" t="s">
        <v>15</v>
      </c>
      <c r="F639" s="5" t="str">
        <f>"073102030829"</f>
        <v>073102030829</v>
      </c>
      <c r="G639" s="7">
        <v>52.1</v>
      </c>
      <c r="H639" s="7">
        <f t="shared" si="43"/>
        <v>26.05</v>
      </c>
      <c r="I639" s="7">
        <v>41.84</v>
      </c>
      <c r="J639" s="7">
        <f t="shared" si="44"/>
        <v>20.92</v>
      </c>
      <c r="K639" s="10">
        <f t="shared" si="46"/>
        <v>46.97</v>
      </c>
      <c r="L639" s="7">
        <f t="shared" si="45"/>
        <v>359</v>
      </c>
      <c r="M639" s="11"/>
      <c r="N639"/>
    </row>
    <row r="640" spans="1:14" ht="24.75" customHeight="1">
      <c r="A640" s="5">
        <v>638</v>
      </c>
      <c r="B640" s="5" t="s">
        <v>19</v>
      </c>
      <c r="C640" s="5" t="str">
        <f>"韦好"</f>
        <v>韦好</v>
      </c>
      <c r="D640" s="5" t="str">
        <f>"460007199610159387"</f>
        <v>460007199610159387</v>
      </c>
      <c r="E640" s="5" t="s">
        <v>15</v>
      </c>
      <c r="F640" s="5" t="str">
        <f>"073102030403"</f>
        <v>073102030403</v>
      </c>
      <c r="G640" s="7">
        <v>54.2</v>
      </c>
      <c r="H640" s="7">
        <f t="shared" si="43"/>
        <v>27.1</v>
      </c>
      <c r="I640" s="7">
        <v>39.49</v>
      </c>
      <c r="J640" s="7">
        <f t="shared" si="44"/>
        <v>19.745</v>
      </c>
      <c r="K640" s="10">
        <f t="shared" si="46"/>
        <v>46.845</v>
      </c>
      <c r="L640" s="7">
        <f t="shared" si="45"/>
        <v>360</v>
      </c>
      <c r="M640" s="11"/>
      <c r="N640"/>
    </row>
    <row r="641" spans="1:14" ht="24.75" customHeight="1">
      <c r="A641" s="5">
        <v>639</v>
      </c>
      <c r="B641" s="5" t="s">
        <v>19</v>
      </c>
      <c r="C641" s="5" t="str">
        <f>"廖科芯"</f>
        <v>廖科芯</v>
      </c>
      <c r="D641" s="5" t="str">
        <f>"46000319990204202X"</f>
        <v>46000319990204202X</v>
      </c>
      <c r="E641" s="5" t="s">
        <v>15</v>
      </c>
      <c r="F641" s="5" t="str">
        <f>"073102021014"</f>
        <v>073102021014</v>
      </c>
      <c r="G641" s="7">
        <v>38</v>
      </c>
      <c r="H641" s="7">
        <f t="shared" si="43"/>
        <v>19</v>
      </c>
      <c r="I641" s="7">
        <v>55.368</v>
      </c>
      <c r="J641" s="7">
        <f t="shared" si="44"/>
        <v>27.684</v>
      </c>
      <c r="K641" s="10">
        <f t="shared" si="46"/>
        <v>46.684</v>
      </c>
      <c r="L641" s="7">
        <f t="shared" si="45"/>
        <v>361</v>
      </c>
      <c r="M641" s="11"/>
      <c r="N641"/>
    </row>
    <row r="642" spans="1:14" ht="24.75" customHeight="1">
      <c r="A642" s="5">
        <v>640</v>
      </c>
      <c r="B642" s="5" t="s">
        <v>19</v>
      </c>
      <c r="C642" s="5" t="str">
        <f>"薛梅香"</f>
        <v>薛梅香</v>
      </c>
      <c r="D642" s="5" t="str">
        <f>"469003200106166148"</f>
        <v>469003200106166148</v>
      </c>
      <c r="E642" s="5" t="s">
        <v>15</v>
      </c>
      <c r="F642" s="5" t="str">
        <f>"073102021017"</f>
        <v>073102021017</v>
      </c>
      <c r="G642" s="7">
        <v>57.6</v>
      </c>
      <c r="H642" s="7">
        <f t="shared" si="43"/>
        <v>28.8</v>
      </c>
      <c r="I642" s="7">
        <v>35.719</v>
      </c>
      <c r="J642" s="7">
        <f t="shared" si="44"/>
        <v>17.8595</v>
      </c>
      <c r="K642" s="10">
        <f t="shared" si="46"/>
        <v>46.6595</v>
      </c>
      <c r="L642" s="7">
        <f t="shared" si="45"/>
        <v>362</v>
      </c>
      <c r="M642" s="11"/>
      <c r="N642"/>
    </row>
    <row r="643" spans="1:14" ht="24.75" customHeight="1">
      <c r="A643" s="5">
        <v>641</v>
      </c>
      <c r="B643" s="5" t="s">
        <v>19</v>
      </c>
      <c r="C643" s="5" t="str">
        <f>"王琼雪"</f>
        <v>王琼雪</v>
      </c>
      <c r="D643" s="5" t="str">
        <f>"460021199205074424"</f>
        <v>460021199205074424</v>
      </c>
      <c r="E643" s="5" t="s">
        <v>15</v>
      </c>
      <c r="F643" s="5" t="str">
        <f>"073102030404"</f>
        <v>073102030404</v>
      </c>
      <c r="G643" s="7">
        <v>58.3</v>
      </c>
      <c r="H643" s="7">
        <f aca="true" t="shared" si="47" ref="H643:H706">G643*0.5</f>
        <v>29.15</v>
      </c>
      <c r="I643" s="7">
        <v>34.99</v>
      </c>
      <c r="J643" s="7">
        <f aca="true" t="shared" si="48" ref="J643:J706">I643*0.5</f>
        <v>17.495</v>
      </c>
      <c r="K643" s="10">
        <f t="shared" si="46"/>
        <v>46.644999999999996</v>
      </c>
      <c r="L643" s="7">
        <f t="shared" si="45"/>
        <v>363</v>
      </c>
      <c r="M643" s="11"/>
      <c r="N643"/>
    </row>
    <row r="644" spans="1:14" ht="24.75" customHeight="1">
      <c r="A644" s="5">
        <v>642</v>
      </c>
      <c r="B644" s="5" t="s">
        <v>19</v>
      </c>
      <c r="C644" s="5" t="str">
        <f>"符峻挺"</f>
        <v>符峻挺</v>
      </c>
      <c r="D644" s="5" t="str">
        <f>"460030199308080073"</f>
        <v>460030199308080073</v>
      </c>
      <c r="E644" s="5" t="s">
        <v>15</v>
      </c>
      <c r="F644" s="5" t="str">
        <f>"073102031040"</f>
        <v>073102031040</v>
      </c>
      <c r="G644" s="7">
        <v>37.5</v>
      </c>
      <c r="H644" s="7">
        <f t="shared" si="47"/>
        <v>18.75</v>
      </c>
      <c r="I644" s="7">
        <v>55.541</v>
      </c>
      <c r="J644" s="7">
        <f t="shared" si="48"/>
        <v>27.7705</v>
      </c>
      <c r="K644" s="10">
        <f t="shared" si="46"/>
        <v>46.5205</v>
      </c>
      <c r="L644" s="7">
        <f t="shared" si="45"/>
        <v>364</v>
      </c>
      <c r="M644" s="11"/>
      <c r="N644"/>
    </row>
    <row r="645" spans="1:14" ht="24.75" customHeight="1">
      <c r="A645" s="5">
        <v>643</v>
      </c>
      <c r="B645" s="5" t="s">
        <v>19</v>
      </c>
      <c r="C645" s="5" t="str">
        <f>"梁茜"</f>
        <v>梁茜</v>
      </c>
      <c r="D645" s="5" t="str">
        <f>"460103199609243020"</f>
        <v>460103199609243020</v>
      </c>
      <c r="E645" s="5" t="s">
        <v>15</v>
      </c>
      <c r="F645" s="5" t="str">
        <f>"073102021241"</f>
        <v>073102021241</v>
      </c>
      <c r="G645" s="7">
        <v>57.2</v>
      </c>
      <c r="H645" s="7">
        <f t="shared" si="47"/>
        <v>28.6</v>
      </c>
      <c r="I645" s="7">
        <v>35.068</v>
      </c>
      <c r="J645" s="7">
        <f t="shared" si="48"/>
        <v>17.534</v>
      </c>
      <c r="K645" s="10">
        <f t="shared" si="46"/>
        <v>46.134</v>
      </c>
      <c r="L645" s="7">
        <f t="shared" si="45"/>
        <v>365</v>
      </c>
      <c r="M645" s="11"/>
      <c r="N645"/>
    </row>
    <row r="646" spans="1:14" ht="24.75" customHeight="1">
      <c r="A646" s="5">
        <v>644</v>
      </c>
      <c r="B646" s="5" t="s">
        <v>19</v>
      </c>
      <c r="C646" s="5" t="str">
        <f>"王德祥"</f>
        <v>王德祥</v>
      </c>
      <c r="D646" s="5" t="str">
        <f>"460003199010085630"</f>
        <v>460003199010085630</v>
      </c>
      <c r="E646" s="5" t="s">
        <v>15</v>
      </c>
      <c r="F646" s="5" t="str">
        <f>"073102020413"</f>
        <v>073102020413</v>
      </c>
      <c r="G646" s="7">
        <v>62.5</v>
      </c>
      <c r="H646" s="7">
        <f t="shared" si="47"/>
        <v>31.25</v>
      </c>
      <c r="I646" s="7">
        <v>29.603</v>
      </c>
      <c r="J646" s="7">
        <f t="shared" si="48"/>
        <v>14.8015</v>
      </c>
      <c r="K646" s="10">
        <f t="shared" si="46"/>
        <v>46.051500000000004</v>
      </c>
      <c r="L646" s="7">
        <f t="shared" si="45"/>
        <v>366</v>
      </c>
      <c r="M646" s="11"/>
      <c r="N646"/>
    </row>
    <row r="647" spans="1:14" ht="24.75" customHeight="1">
      <c r="A647" s="5">
        <v>645</v>
      </c>
      <c r="B647" s="5" t="s">
        <v>19</v>
      </c>
      <c r="C647" s="5" t="str">
        <f>"林小妹"</f>
        <v>林小妹</v>
      </c>
      <c r="D647" s="5" t="str">
        <f>"460102199009271240"</f>
        <v>460102199009271240</v>
      </c>
      <c r="E647" s="5" t="s">
        <v>15</v>
      </c>
      <c r="F647" s="5" t="str">
        <f>"073102020323"</f>
        <v>073102020323</v>
      </c>
      <c r="G647" s="7">
        <v>49.8</v>
      </c>
      <c r="H647" s="7">
        <f t="shared" si="47"/>
        <v>24.9</v>
      </c>
      <c r="I647" s="7">
        <v>42.225</v>
      </c>
      <c r="J647" s="7">
        <f t="shared" si="48"/>
        <v>21.1125</v>
      </c>
      <c r="K647" s="10">
        <f t="shared" si="46"/>
        <v>46.0125</v>
      </c>
      <c r="L647" s="7">
        <f t="shared" si="45"/>
        <v>367</v>
      </c>
      <c r="M647" s="11"/>
      <c r="N647"/>
    </row>
    <row r="648" spans="1:14" ht="24.75" customHeight="1">
      <c r="A648" s="5">
        <v>646</v>
      </c>
      <c r="B648" s="5" t="s">
        <v>19</v>
      </c>
      <c r="C648" s="5" t="str">
        <f>"王琼萍"</f>
        <v>王琼萍</v>
      </c>
      <c r="D648" s="5" t="str">
        <f>"46000319951007142X"</f>
        <v>46000319951007142X</v>
      </c>
      <c r="E648" s="5" t="s">
        <v>15</v>
      </c>
      <c r="F648" s="5" t="str">
        <f>"073102020517"</f>
        <v>073102020517</v>
      </c>
      <c r="G648" s="7">
        <v>55.9</v>
      </c>
      <c r="H648" s="7">
        <f t="shared" si="47"/>
        <v>27.95</v>
      </c>
      <c r="I648" s="7">
        <v>35.914</v>
      </c>
      <c r="J648" s="7">
        <f t="shared" si="48"/>
        <v>17.957</v>
      </c>
      <c r="K648" s="10">
        <f t="shared" si="46"/>
        <v>45.907</v>
      </c>
      <c r="L648" s="7">
        <f t="shared" si="45"/>
        <v>368</v>
      </c>
      <c r="M648" s="11"/>
      <c r="N648"/>
    </row>
    <row r="649" spans="1:14" ht="24.75" customHeight="1">
      <c r="A649" s="5">
        <v>647</v>
      </c>
      <c r="B649" s="5" t="s">
        <v>19</v>
      </c>
      <c r="C649" s="5" t="str">
        <f>"卢玉凤"</f>
        <v>卢玉凤</v>
      </c>
      <c r="D649" s="5" t="str">
        <f>"460007199609127628"</f>
        <v>460007199609127628</v>
      </c>
      <c r="E649" s="5" t="s">
        <v>15</v>
      </c>
      <c r="F649" s="5" t="str">
        <f>"073102021040"</f>
        <v>073102021040</v>
      </c>
      <c r="G649" s="7">
        <v>45.6</v>
      </c>
      <c r="H649" s="7">
        <f t="shared" si="47"/>
        <v>22.8</v>
      </c>
      <c r="I649" s="7">
        <v>46.064</v>
      </c>
      <c r="J649" s="7">
        <f t="shared" si="48"/>
        <v>23.032</v>
      </c>
      <c r="K649" s="10">
        <f t="shared" si="46"/>
        <v>45.832</v>
      </c>
      <c r="L649" s="7">
        <f t="shared" si="45"/>
        <v>369</v>
      </c>
      <c r="M649" s="11"/>
      <c r="N649"/>
    </row>
    <row r="650" spans="1:14" ht="24.75" customHeight="1">
      <c r="A650" s="5">
        <v>648</v>
      </c>
      <c r="B650" s="5" t="s">
        <v>19</v>
      </c>
      <c r="C650" s="5" t="str">
        <f>"符正笔"</f>
        <v>符正笔</v>
      </c>
      <c r="D650" s="5" t="str">
        <f>"460028199308070076"</f>
        <v>460028199308070076</v>
      </c>
      <c r="E650" s="5" t="s">
        <v>15</v>
      </c>
      <c r="F650" s="5" t="str">
        <f>"073102030106"</f>
        <v>073102030106</v>
      </c>
      <c r="G650" s="7">
        <v>48.3</v>
      </c>
      <c r="H650" s="7">
        <f t="shared" si="47"/>
        <v>24.15</v>
      </c>
      <c r="I650" s="7">
        <v>43.318</v>
      </c>
      <c r="J650" s="7">
        <f t="shared" si="48"/>
        <v>21.659</v>
      </c>
      <c r="K650" s="10">
        <f t="shared" si="46"/>
        <v>45.809</v>
      </c>
      <c r="L650" s="7">
        <f t="shared" si="45"/>
        <v>370</v>
      </c>
      <c r="M650" s="11"/>
      <c r="N650"/>
    </row>
    <row r="651" spans="1:14" ht="24.75" customHeight="1">
      <c r="A651" s="5">
        <v>649</v>
      </c>
      <c r="B651" s="5" t="s">
        <v>19</v>
      </c>
      <c r="C651" s="5" t="str">
        <f>"陈金宝"</f>
        <v>陈金宝</v>
      </c>
      <c r="D651" s="5" t="str">
        <f>"46002119960307442X"</f>
        <v>46002119960307442X</v>
      </c>
      <c r="E651" s="5" t="s">
        <v>15</v>
      </c>
      <c r="F651" s="5" t="str">
        <f>"073102030925"</f>
        <v>073102030925</v>
      </c>
      <c r="G651" s="7">
        <v>62.6</v>
      </c>
      <c r="H651" s="7">
        <f t="shared" si="47"/>
        <v>31.3</v>
      </c>
      <c r="I651" s="7">
        <v>28.946</v>
      </c>
      <c r="J651" s="7">
        <f t="shared" si="48"/>
        <v>14.473</v>
      </c>
      <c r="K651" s="10">
        <f t="shared" si="46"/>
        <v>45.773</v>
      </c>
      <c r="L651" s="7">
        <f t="shared" si="45"/>
        <v>371</v>
      </c>
      <c r="M651" s="11"/>
      <c r="N651"/>
    </row>
    <row r="652" spans="1:14" ht="24.75" customHeight="1">
      <c r="A652" s="5">
        <v>650</v>
      </c>
      <c r="B652" s="5" t="s">
        <v>19</v>
      </c>
      <c r="C652" s="5" t="str">
        <f>"王秋丹"</f>
        <v>王秋丹</v>
      </c>
      <c r="D652" s="5" t="str">
        <f>"460003199612157689"</f>
        <v>460003199612157689</v>
      </c>
      <c r="E652" s="5" t="s">
        <v>15</v>
      </c>
      <c r="F652" s="5" t="str">
        <f>"073102021136"</f>
        <v>073102021136</v>
      </c>
      <c r="G652" s="7">
        <v>49.8</v>
      </c>
      <c r="H652" s="7">
        <f t="shared" si="47"/>
        <v>24.9</v>
      </c>
      <c r="I652" s="7">
        <v>41.64</v>
      </c>
      <c r="J652" s="7">
        <f t="shared" si="48"/>
        <v>20.82</v>
      </c>
      <c r="K652" s="10">
        <f t="shared" si="46"/>
        <v>45.72</v>
      </c>
      <c r="L652" s="7">
        <f t="shared" si="45"/>
        <v>372</v>
      </c>
      <c r="M652" s="11"/>
      <c r="N652"/>
    </row>
    <row r="653" spans="1:14" ht="24.75" customHeight="1">
      <c r="A653" s="5">
        <v>651</v>
      </c>
      <c r="B653" s="5" t="s">
        <v>19</v>
      </c>
      <c r="C653" s="5" t="str">
        <f>"王艳艳"</f>
        <v>王艳艳</v>
      </c>
      <c r="D653" s="5" t="str">
        <f>"460034199604291866"</f>
        <v>460034199604291866</v>
      </c>
      <c r="E653" s="5" t="s">
        <v>15</v>
      </c>
      <c r="F653" s="5" t="str">
        <f>"073102030123"</f>
        <v>073102030123</v>
      </c>
      <c r="G653" s="7">
        <v>56.8</v>
      </c>
      <c r="H653" s="7">
        <f t="shared" si="47"/>
        <v>28.4</v>
      </c>
      <c r="I653" s="7">
        <v>34.318</v>
      </c>
      <c r="J653" s="7">
        <f t="shared" si="48"/>
        <v>17.159</v>
      </c>
      <c r="K653" s="10">
        <f t="shared" si="46"/>
        <v>45.559</v>
      </c>
      <c r="L653" s="7">
        <f t="shared" si="45"/>
        <v>373</v>
      </c>
      <c r="M653" s="11"/>
      <c r="N653"/>
    </row>
    <row r="654" spans="1:14" ht="24.75" customHeight="1">
      <c r="A654" s="5">
        <v>652</v>
      </c>
      <c r="B654" s="5" t="s">
        <v>19</v>
      </c>
      <c r="C654" s="5" t="str">
        <f>"陈妹凤"</f>
        <v>陈妹凤</v>
      </c>
      <c r="D654" s="5" t="str">
        <f>"460003199603190428"</f>
        <v>460003199603190428</v>
      </c>
      <c r="E654" s="5" t="s">
        <v>15</v>
      </c>
      <c r="F654" s="5" t="str">
        <f>"073102030622"</f>
        <v>073102030622</v>
      </c>
      <c r="G654" s="7">
        <v>55.3</v>
      </c>
      <c r="H654" s="7">
        <f t="shared" si="47"/>
        <v>27.65</v>
      </c>
      <c r="I654" s="7">
        <v>35.46</v>
      </c>
      <c r="J654" s="7">
        <f t="shared" si="48"/>
        <v>17.73</v>
      </c>
      <c r="K654" s="10">
        <f t="shared" si="46"/>
        <v>45.379999999999995</v>
      </c>
      <c r="L654" s="7">
        <f t="shared" si="45"/>
        <v>374</v>
      </c>
      <c r="M654" s="11"/>
      <c r="N654"/>
    </row>
    <row r="655" spans="1:14" ht="24.75" customHeight="1">
      <c r="A655" s="5">
        <v>653</v>
      </c>
      <c r="B655" s="5" t="s">
        <v>19</v>
      </c>
      <c r="C655" s="5" t="str">
        <f>"李娜"</f>
        <v>李娜</v>
      </c>
      <c r="D655" s="5" t="str">
        <f>"460034199603101821"</f>
        <v>460034199603101821</v>
      </c>
      <c r="E655" s="5" t="s">
        <v>15</v>
      </c>
      <c r="F655" s="5" t="str">
        <f>"073102030421"</f>
        <v>073102030421</v>
      </c>
      <c r="G655" s="7">
        <v>61.7</v>
      </c>
      <c r="H655" s="7">
        <f t="shared" si="47"/>
        <v>30.85</v>
      </c>
      <c r="I655" s="7">
        <v>28.744</v>
      </c>
      <c r="J655" s="7">
        <f t="shared" si="48"/>
        <v>14.372</v>
      </c>
      <c r="K655" s="10">
        <f t="shared" si="46"/>
        <v>45.222</v>
      </c>
      <c r="L655" s="7">
        <f t="shared" si="45"/>
        <v>375</v>
      </c>
      <c r="M655" s="11"/>
      <c r="N655"/>
    </row>
    <row r="656" spans="1:14" ht="24.75" customHeight="1">
      <c r="A656" s="5">
        <v>654</v>
      </c>
      <c r="B656" s="5" t="s">
        <v>19</v>
      </c>
      <c r="C656" s="5" t="str">
        <f>"黄津清"</f>
        <v>黄津清</v>
      </c>
      <c r="D656" s="5" t="str">
        <f>"460004199109240027"</f>
        <v>460004199109240027</v>
      </c>
      <c r="E656" s="5" t="s">
        <v>15</v>
      </c>
      <c r="F656" s="5" t="str">
        <f>"073102020545"</f>
        <v>073102020545</v>
      </c>
      <c r="G656" s="7">
        <v>59.3</v>
      </c>
      <c r="H656" s="7">
        <f t="shared" si="47"/>
        <v>29.65</v>
      </c>
      <c r="I656" s="7">
        <v>31.034</v>
      </c>
      <c r="J656" s="7">
        <f t="shared" si="48"/>
        <v>15.517</v>
      </c>
      <c r="K656" s="10">
        <f t="shared" si="46"/>
        <v>45.167</v>
      </c>
      <c r="L656" s="7">
        <f t="shared" si="45"/>
        <v>376</v>
      </c>
      <c r="M656" s="11"/>
      <c r="N656"/>
    </row>
    <row r="657" spans="1:14" ht="24.75" customHeight="1">
      <c r="A657" s="5">
        <v>655</v>
      </c>
      <c r="B657" s="5" t="s">
        <v>19</v>
      </c>
      <c r="C657" s="5" t="str">
        <f>"王永秀"</f>
        <v>王永秀</v>
      </c>
      <c r="D657" s="5" t="str">
        <f>"460003199709067620"</f>
        <v>460003199709067620</v>
      </c>
      <c r="E657" s="5" t="s">
        <v>15</v>
      </c>
      <c r="F657" s="5" t="str">
        <f>"073102020310"</f>
        <v>073102020310</v>
      </c>
      <c r="G657" s="7">
        <v>65.7</v>
      </c>
      <c r="H657" s="7">
        <f t="shared" si="47"/>
        <v>32.85</v>
      </c>
      <c r="I657" s="7">
        <v>24.398</v>
      </c>
      <c r="J657" s="7">
        <f t="shared" si="48"/>
        <v>12.199</v>
      </c>
      <c r="K657" s="10">
        <f t="shared" si="46"/>
        <v>45.049</v>
      </c>
      <c r="L657" s="7">
        <f t="shared" si="45"/>
        <v>377</v>
      </c>
      <c r="M657" s="11"/>
      <c r="N657"/>
    </row>
    <row r="658" spans="1:14" ht="24.75" customHeight="1">
      <c r="A658" s="5">
        <v>656</v>
      </c>
      <c r="B658" s="5" t="s">
        <v>19</v>
      </c>
      <c r="C658" s="5" t="str">
        <f>"郑秀丽"</f>
        <v>郑秀丽</v>
      </c>
      <c r="D658" s="5" t="str">
        <f>"460003199701032829"</f>
        <v>460003199701032829</v>
      </c>
      <c r="E658" s="5" t="s">
        <v>15</v>
      </c>
      <c r="F658" s="5" t="str">
        <f>"073102020737"</f>
        <v>073102020737</v>
      </c>
      <c r="G658" s="7">
        <v>59.3</v>
      </c>
      <c r="H658" s="7">
        <f t="shared" si="47"/>
        <v>29.65</v>
      </c>
      <c r="I658" s="7">
        <v>30.644</v>
      </c>
      <c r="J658" s="7">
        <f t="shared" si="48"/>
        <v>15.322</v>
      </c>
      <c r="K658" s="10">
        <f t="shared" si="46"/>
        <v>44.971999999999994</v>
      </c>
      <c r="L658" s="7">
        <f t="shared" si="45"/>
        <v>378</v>
      </c>
      <c r="M658" s="11"/>
      <c r="N658"/>
    </row>
    <row r="659" spans="1:14" ht="24.75" customHeight="1">
      <c r="A659" s="5">
        <v>657</v>
      </c>
      <c r="B659" s="5" t="s">
        <v>19</v>
      </c>
      <c r="C659" s="5" t="str">
        <f>"朱元丽"</f>
        <v>朱元丽</v>
      </c>
      <c r="D659" s="5" t="str">
        <f>"469003199701282420"</f>
        <v>469003199701282420</v>
      </c>
      <c r="E659" s="5" t="s">
        <v>15</v>
      </c>
      <c r="F659" s="5" t="str">
        <f>"073102020342"</f>
        <v>073102020342</v>
      </c>
      <c r="G659" s="7">
        <v>65.9</v>
      </c>
      <c r="H659" s="7">
        <f t="shared" si="47"/>
        <v>32.95</v>
      </c>
      <c r="I659" s="7">
        <v>23.943</v>
      </c>
      <c r="J659" s="7">
        <f t="shared" si="48"/>
        <v>11.9715</v>
      </c>
      <c r="K659" s="10">
        <f t="shared" si="46"/>
        <v>44.9215</v>
      </c>
      <c r="L659" s="7">
        <f t="shared" si="45"/>
        <v>379</v>
      </c>
      <c r="M659" s="11"/>
      <c r="N659"/>
    </row>
    <row r="660" spans="1:14" ht="24.75" customHeight="1">
      <c r="A660" s="5">
        <v>658</v>
      </c>
      <c r="B660" s="5" t="s">
        <v>19</v>
      </c>
      <c r="C660" s="5" t="str">
        <f>"林新强"</f>
        <v>林新强</v>
      </c>
      <c r="D660" s="5" t="str">
        <f>"460003199708094619"</f>
        <v>460003199708094619</v>
      </c>
      <c r="E660" s="5" t="s">
        <v>15</v>
      </c>
      <c r="F660" s="5" t="str">
        <f>"073102020526"</f>
        <v>073102020526</v>
      </c>
      <c r="G660" s="7">
        <v>50.6</v>
      </c>
      <c r="H660" s="7">
        <f t="shared" si="47"/>
        <v>25.3</v>
      </c>
      <c r="I660" s="7">
        <v>38.842</v>
      </c>
      <c r="J660" s="7">
        <f t="shared" si="48"/>
        <v>19.421</v>
      </c>
      <c r="K660" s="10">
        <f t="shared" si="46"/>
        <v>44.721000000000004</v>
      </c>
      <c r="L660" s="7">
        <f t="shared" si="45"/>
        <v>380</v>
      </c>
      <c r="M660" s="11"/>
      <c r="N660"/>
    </row>
    <row r="661" spans="1:14" ht="24.75" customHeight="1">
      <c r="A661" s="5">
        <v>659</v>
      </c>
      <c r="B661" s="5" t="s">
        <v>19</v>
      </c>
      <c r="C661" s="5" t="str">
        <f>"莫默"</f>
        <v>莫默</v>
      </c>
      <c r="D661" s="5" t="str">
        <f>"460003199106235824"</f>
        <v>460003199106235824</v>
      </c>
      <c r="E661" s="5" t="s">
        <v>15</v>
      </c>
      <c r="F661" s="5" t="str">
        <f>"073102020511"</f>
        <v>073102020511</v>
      </c>
      <c r="G661" s="7">
        <v>73.2</v>
      </c>
      <c r="H661" s="7">
        <f t="shared" si="47"/>
        <v>36.6</v>
      </c>
      <c r="I661" s="7">
        <v>16.2</v>
      </c>
      <c r="J661" s="7">
        <f t="shared" si="48"/>
        <v>8.1</v>
      </c>
      <c r="K661" s="10">
        <f t="shared" si="46"/>
        <v>44.7</v>
      </c>
      <c r="L661" s="7">
        <f t="shared" si="45"/>
        <v>381</v>
      </c>
      <c r="M661" s="11"/>
      <c r="N661"/>
    </row>
    <row r="662" spans="1:14" ht="24.75" customHeight="1">
      <c r="A662" s="5">
        <v>660</v>
      </c>
      <c r="B662" s="5" t="s">
        <v>19</v>
      </c>
      <c r="C662" s="5" t="str">
        <f>"苏佳慧"</f>
        <v>苏佳慧</v>
      </c>
      <c r="D662" s="5" t="str">
        <f>"460003199206100046"</f>
        <v>460003199206100046</v>
      </c>
      <c r="E662" s="5" t="s">
        <v>15</v>
      </c>
      <c r="F662" s="5" t="str">
        <f>"073102030831"</f>
        <v>073102030831</v>
      </c>
      <c r="G662" s="7">
        <v>35.2</v>
      </c>
      <c r="H662" s="7">
        <f t="shared" si="47"/>
        <v>17.6</v>
      </c>
      <c r="I662" s="7">
        <v>53.929</v>
      </c>
      <c r="J662" s="7">
        <f t="shared" si="48"/>
        <v>26.9645</v>
      </c>
      <c r="K662" s="10">
        <f t="shared" si="46"/>
        <v>44.5645</v>
      </c>
      <c r="L662" s="7">
        <f t="shared" si="45"/>
        <v>382</v>
      </c>
      <c r="M662" s="11"/>
      <c r="N662"/>
    </row>
    <row r="663" spans="1:14" ht="24.75" customHeight="1">
      <c r="A663" s="5">
        <v>661</v>
      </c>
      <c r="B663" s="5" t="s">
        <v>19</v>
      </c>
      <c r="C663" s="5" t="str">
        <f>"陈绘屹"</f>
        <v>陈绘屹</v>
      </c>
      <c r="D663" s="5" t="str">
        <f>"460004199806182627"</f>
        <v>460004199806182627</v>
      </c>
      <c r="E663" s="5" t="s">
        <v>15</v>
      </c>
      <c r="F663" s="5" t="str">
        <f>"073102021007"</f>
        <v>073102021007</v>
      </c>
      <c r="G663" s="7">
        <v>52.3</v>
      </c>
      <c r="H663" s="7">
        <f t="shared" si="47"/>
        <v>26.15</v>
      </c>
      <c r="I663" s="7">
        <v>36.76</v>
      </c>
      <c r="J663" s="7">
        <f t="shared" si="48"/>
        <v>18.38</v>
      </c>
      <c r="K663" s="10">
        <f t="shared" si="46"/>
        <v>44.53</v>
      </c>
      <c r="L663" s="7">
        <f t="shared" si="45"/>
        <v>383</v>
      </c>
      <c r="M663" s="11"/>
      <c r="N663"/>
    </row>
    <row r="664" spans="1:14" ht="24.75" customHeight="1">
      <c r="A664" s="5">
        <v>662</v>
      </c>
      <c r="B664" s="5" t="s">
        <v>19</v>
      </c>
      <c r="C664" s="5" t="str">
        <f>"叶喜博"</f>
        <v>叶喜博</v>
      </c>
      <c r="D664" s="5" t="str">
        <f>"460003199308234619"</f>
        <v>460003199308234619</v>
      </c>
      <c r="E664" s="5" t="s">
        <v>15</v>
      </c>
      <c r="F664" s="5" t="str">
        <f>"073102021008"</f>
        <v>073102021008</v>
      </c>
      <c r="G664" s="7">
        <v>39.6</v>
      </c>
      <c r="H664" s="7">
        <f t="shared" si="47"/>
        <v>19.8</v>
      </c>
      <c r="I664" s="7">
        <v>49.317</v>
      </c>
      <c r="J664" s="7">
        <f t="shared" si="48"/>
        <v>24.6585</v>
      </c>
      <c r="K664" s="10">
        <f t="shared" si="46"/>
        <v>44.4585</v>
      </c>
      <c r="L664" s="7">
        <f t="shared" si="45"/>
        <v>384</v>
      </c>
      <c r="M664" s="11"/>
      <c r="N664"/>
    </row>
    <row r="665" spans="1:14" ht="24.75" customHeight="1">
      <c r="A665" s="5">
        <v>663</v>
      </c>
      <c r="B665" s="5" t="s">
        <v>19</v>
      </c>
      <c r="C665" s="5" t="str">
        <f>"王福臻"</f>
        <v>王福臻</v>
      </c>
      <c r="D665" s="5" t="str">
        <f>"46000319980323881X"</f>
        <v>46000319980323881X</v>
      </c>
      <c r="E665" s="5" t="s">
        <v>15</v>
      </c>
      <c r="F665" s="5" t="str">
        <f>"073102030211"</f>
        <v>073102030211</v>
      </c>
      <c r="G665" s="7">
        <v>62</v>
      </c>
      <c r="H665" s="7">
        <f t="shared" si="47"/>
        <v>31</v>
      </c>
      <c r="I665" s="7">
        <v>26.797</v>
      </c>
      <c r="J665" s="7">
        <f t="shared" si="48"/>
        <v>13.3985</v>
      </c>
      <c r="K665" s="10">
        <f t="shared" si="46"/>
        <v>44.3985</v>
      </c>
      <c r="L665" s="7">
        <f aca="true" t="shared" si="49" ref="L665:L728">RANK(K665,$K$281:$K$1299,0)</f>
        <v>385</v>
      </c>
      <c r="M665" s="11"/>
      <c r="N665"/>
    </row>
    <row r="666" spans="1:14" ht="24.75" customHeight="1">
      <c r="A666" s="5">
        <v>664</v>
      </c>
      <c r="B666" s="5" t="s">
        <v>19</v>
      </c>
      <c r="C666" s="5" t="str">
        <f>"何承文"</f>
        <v>何承文</v>
      </c>
      <c r="D666" s="5" t="str">
        <f>"46000319940919381X"</f>
        <v>46000319940919381X</v>
      </c>
      <c r="E666" s="5" t="s">
        <v>15</v>
      </c>
      <c r="F666" s="5" t="str">
        <f>"073102030911"</f>
        <v>073102030911</v>
      </c>
      <c r="G666" s="7">
        <v>62.3</v>
      </c>
      <c r="H666" s="7">
        <f t="shared" si="47"/>
        <v>31.15</v>
      </c>
      <c r="I666" s="7">
        <v>26.394</v>
      </c>
      <c r="J666" s="7">
        <f t="shared" si="48"/>
        <v>13.197</v>
      </c>
      <c r="K666" s="10">
        <f t="shared" si="46"/>
        <v>44.346999999999994</v>
      </c>
      <c r="L666" s="7">
        <f t="shared" si="49"/>
        <v>386</v>
      </c>
      <c r="M666" s="11"/>
      <c r="N666"/>
    </row>
    <row r="667" spans="1:14" ht="24.75" customHeight="1">
      <c r="A667" s="5">
        <v>665</v>
      </c>
      <c r="B667" s="5" t="s">
        <v>19</v>
      </c>
      <c r="C667" s="5" t="str">
        <f>"陈学乐"</f>
        <v>陈学乐</v>
      </c>
      <c r="D667" s="5" t="str">
        <f>"460003199809302210"</f>
        <v>460003199809302210</v>
      </c>
      <c r="E667" s="5" t="s">
        <v>15</v>
      </c>
      <c r="F667" s="5" t="str">
        <f>"073102020434"</f>
        <v>073102020434</v>
      </c>
      <c r="G667" s="7">
        <v>48</v>
      </c>
      <c r="H667" s="7">
        <f t="shared" si="47"/>
        <v>24</v>
      </c>
      <c r="I667" s="7">
        <v>40.338</v>
      </c>
      <c r="J667" s="7">
        <f t="shared" si="48"/>
        <v>20.169</v>
      </c>
      <c r="K667" s="10">
        <f t="shared" si="46"/>
        <v>44.169</v>
      </c>
      <c r="L667" s="7">
        <f t="shared" si="49"/>
        <v>387</v>
      </c>
      <c r="M667" s="11"/>
      <c r="N667"/>
    </row>
    <row r="668" spans="1:14" ht="24.75" customHeight="1">
      <c r="A668" s="5">
        <v>666</v>
      </c>
      <c r="B668" s="5" t="s">
        <v>19</v>
      </c>
      <c r="C668" s="5" t="str">
        <f>"盘乃瑞"</f>
        <v>盘乃瑞</v>
      </c>
      <c r="D668" s="5" t="str">
        <f>"460003199212290026"</f>
        <v>460003199212290026</v>
      </c>
      <c r="E668" s="5" t="s">
        <v>15</v>
      </c>
      <c r="F668" s="5" t="str">
        <f>"073102030530"</f>
        <v>073102030530</v>
      </c>
      <c r="G668" s="7">
        <v>34</v>
      </c>
      <c r="H668" s="7">
        <f t="shared" si="47"/>
        <v>17</v>
      </c>
      <c r="I668" s="7">
        <v>53.996</v>
      </c>
      <c r="J668" s="7">
        <f t="shared" si="48"/>
        <v>26.998</v>
      </c>
      <c r="K668" s="10">
        <f t="shared" si="46"/>
        <v>43.998000000000005</v>
      </c>
      <c r="L668" s="7">
        <f t="shared" si="49"/>
        <v>388</v>
      </c>
      <c r="M668" s="11"/>
      <c r="N668"/>
    </row>
    <row r="669" spans="1:14" ht="24.75" customHeight="1">
      <c r="A669" s="5">
        <v>667</v>
      </c>
      <c r="B669" s="5" t="s">
        <v>19</v>
      </c>
      <c r="C669" s="5" t="str">
        <f>"苏春秀"</f>
        <v>苏春秀</v>
      </c>
      <c r="D669" s="5" t="str">
        <f>"460003199609137628"</f>
        <v>460003199609137628</v>
      </c>
      <c r="E669" s="5" t="s">
        <v>15</v>
      </c>
      <c r="F669" s="5" t="str">
        <f>"073102030624"</f>
        <v>073102030624</v>
      </c>
      <c r="G669" s="7">
        <v>61</v>
      </c>
      <c r="H669" s="7">
        <f t="shared" si="47"/>
        <v>30.5</v>
      </c>
      <c r="I669" s="7">
        <v>26.931</v>
      </c>
      <c r="J669" s="7">
        <f t="shared" si="48"/>
        <v>13.4655</v>
      </c>
      <c r="K669" s="10">
        <f t="shared" si="46"/>
        <v>43.9655</v>
      </c>
      <c r="L669" s="7">
        <f t="shared" si="49"/>
        <v>389</v>
      </c>
      <c r="M669" s="11"/>
      <c r="N669"/>
    </row>
    <row r="670" spans="1:14" ht="24.75" customHeight="1">
      <c r="A670" s="5">
        <v>668</v>
      </c>
      <c r="B670" s="5" t="s">
        <v>19</v>
      </c>
      <c r="C670" s="5" t="str">
        <f>"李华斌"</f>
        <v>李华斌</v>
      </c>
      <c r="D670" s="5" t="str">
        <f>"46000319961010003X"</f>
        <v>46000319961010003X</v>
      </c>
      <c r="E670" s="5" t="s">
        <v>15</v>
      </c>
      <c r="F670" s="5" t="str">
        <f>"073102030206"</f>
        <v>073102030206</v>
      </c>
      <c r="G670" s="7">
        <v>53.3</v>
      </c>
      <c r="H670" s="7">
        <f t="shared" si="47"/>
        <v>26.65</v>
      </c>
      <c r="I670" s="7">
        <v>34.453</v>
      </c>
      <c r="J670" s="7">
        <f t="shared" si="48"/>
        <v>17.2265</v>
      </c>
      <c r="K670" s="10">
        <f t="shared" si="46"/>
        <v>43.8765</v>
      </c>
      <c r="L670" s="7">
        <f t="shared" si="49"/>
        <v>390</v>
      </c>
      <c r="M670" s="11"/>
      <c r="N670"/>
    </row>
    <row r="671" spans="1:14" ht="24.75" customHeight="1">
      <c r="A671" s="5">
        <v>669</v>
      </c>
      <c r="B671" s="5" t="s">
        <v>19</v>
      </c>
      <c r="C671" s="5" t="str">
        <f>"周明"</f>
        <v>周明</v>
      </c>
      <c r="D671" s="5" t="str">
        <f>"46000319940907321X"</f>
        <v>46000319940907321X</v>
      </c>
      <c r="E671" s="5" t="s">
        <v>15</v>
      </c>
      <c r="F671" s="5" t="str">
        <f>"073102020235"</f>
        <v>073102020235</v>
      </c>
      <c r="G671" s="7">
        <v>41.7</v>
      </c>
      <c r="H671" s="7">
        <f t="shared" si="47"/>
        <v>20.85</v>
      </c>
      <c r="I671" s="7">
        <v>45.869</v>
      </c>
      <c r="J671" s="7">
        <f t="shared" si="48"/>
        <v>22.9345</v>
      </c>
      <c r="K671" s="10">
        <f t="shared" si="46"/>
        <v>43.7845</v>
      </c>
      <c r="L671" s="7">
        <f t="shared" si="49"/>
        <v>391</v>
      </c>
      <c r="M671" s="11"/>
      <c r="N671"/>
    </row>
    <row r="672" spans="1:14" ht="24.75" customHeight="1">
      <c r="A672" s="5">
        <v>670</v>
      </c>
      <c r="B672" s="5" t="s">
        <v>19</v>
      </c>
      <c r="C672" s="5" t="str">
        <f>"陈秀娥"</f>
        <v>陈秀娥</v>
      </c>
      <c r="D672" s="5" t="str">
        <f>"460003199705254429"</f>
        <v>460003199705254429</v>
      </c>
      <c r="E672" s="5" t="s">
        <v>15</v>
      </c>
      <c r="F672" s="5" t="str">
        <f>"073102031005"</f>
        <v>073102031005</v>
      </c>
      <c r="G672" s="7">
        <v>56.9</v>
      </c>
      <c r="H672" s="7">
        <f t="shared" si="47"/>
        <v>28.45</v>
      </c>
      <c r="I672" s="7">
        <v>30.625</v>
      </c>
      <c r="J672" s="7">
        <f t="shared" si="48"/>
        <v>15.3125</v>
      </c>
      <c r="K672" s="10">
        <f t="shared" si="46"/>
        <v>43.7625</v>
      </c>
      <c r="L672" s="7">
        <f t="shared" si="49"/>
        <v>392</v>
      </c>
      <c r="M672" s="11"/>
      <c r="N672"/>
    </row>
    <row r="673" spans="1:14" ht="24.75" customHeight="1">
      <c r="A673" s="5">
        <v>671</v>
      </c>
      <c r="B673" s="5" t="s">
        <v>19</v>
      </c>
      <c r="C673" s="5" t="str">
        <f>"何舜萍"</f>
        <v>何舜萍</v>
      </c>
      <c r="D673" s="5" t="str">
        <f>"469003199506082722"</f>
        <v>469003199506082722</v>
      </c>
      <c r="E673" s="5" t="s">
        <v>15</v>
      </c>
      <c r="F673" s="5" t="str">
        <f>"073102030929"</f>
        <v>073102030929</v>
      </c>
      <c r="G673" s="7">
        <v>47</v>
      </c>
      <c r="H673" s="7">
        <f t="shared" si="47"/>
        <v>23.5</v>
      </c>
      <c r="I673" s="7">
        <v>40.295</v>
      </c>
      <c r="J673" s="7">
        <f t="shared" si="48"/>
        <v>20.1475</v>
      </c>
      <c r="K673" s="10">
        <f t="shared" si="46"/>
        <v>43.6475</v>
      </c>
      <c r="L673" s="7">
        <f t="shared" si="49"/>
        <v>393</v>
      </c>
      <c r="M673" s="11"/>
      <c r="N673"/>
    </row>
    <row r="674" spans="1:14" ht="24.75" customHeight="1">
      <c r="A674" s="5">
        <v>672</v>
      </c>
      <c r="B674" s="5" t="s">
        <v>19</v>
      </c>
      <c r="C674" s="5" t="str">
        <f>"符玉奇"</f>
        <v>符玉奇</v>
      </c>
      <c r="D674" s="5" t="str">
        <f>"460003199903120042"</f>
        <v>460003199903120042</v>
      </c>
      <c r="E674" s="5" t="s">
        <v>15</v>
      </c>
      <c r="F674" s="5" t="str">
        <f>"073102030932"</f>
        <v>073102030932</v>
      </c>
      <c r="G674" s="7">
        <v>46.6</v>
      </c>
      <c r="H674" s="7">
        <f t="shared" si="47"/>
        <v>23.3</v>
      </c>
      <c r="I674" s="7">
        <v>40.631</v>
      </c>
      <c r="J674" s="7">
        <f t="shared" si="48"/>
        <v>20.3155</v>
      </c>
      <c r="K674" s="10">
        <f t="shared" si="46"/>
        <v>43.6155</v>
      </c>
      <c r="L674" s="7">
        <f t="shared" si="49"/>
        <v>394</v>
      </c>
      <c r="M674" s="11"/>
      <c r="N674"/>
    </row>
    <row r="675" spans="1:14" ht="24.75" customHeight="1">
      <c r="A675" s="5">
        <v>673</v>
      </c>
      <c r="B675" s="5" t="s">
        <v>19</v>
      </c>
      <c r="C675" s="5" t="str">
        <f>"陈敏翠"</f>
        <v>陈敏翠</v>
      </c>
      <c r="D675" s="5" t="str">
        <f>"460003199701094421"</f>
        <v>460003199701094421</v>
      </c>
      <c r="E675" s="5" t="s">
        <v>15</v>
      </c>
      <c r="F675" s="5" t="str">
        <f>"073102030325"</f>
        <v>073102030325</v>
      </c>
      <c r="G675" s="7">
        <v>51</v>
      </c>
      <c r="H675" s="7">
        <f t="shared" si="47"/>
        <v>25.5</v>
      </c>
      <c r="I675" s="7">
        <v>35.729</v>
      </c>
      <c r="J675" s="7">
        <f t="shared" si="48"/>
        <v>17.8645</v>
      </c>
      <c r="K675" s="10">
        <f t="shared" si="46"/>
        <v>43.3645</v>
      </c>
      <c r="L675" s="7">
        <f t="shared" si="49"/>
        <v>395</v>
      </c>
      <c r="M675" s="11"/>
      <c r="N675"/>
    </row>
    <row r="676" spans="1:14" ht="24.75" customHeight="1">
      <c r="A676" s="5">
        <v>674</v>
      </c>
      <c r="B676" s="5" t="s">
        <v>19</v>
      </c>
      <c r="C676" s="5" t="str">
        <f>"符甜甜"</f>
        <v>符甜甜</v>
      </c>
      <c r="D676" s="5" t="str">
        <f>"460007199910106826"</f>
        <v>460007199910106826</v>
      </c>
      <c r="E676" s="5" t="s">
        <v>15</v>
      </c>
      <c r="F676" s="5" t="str">
        <f>"073102020424"</f>
        <v>073102020424</v>
      </c>
      <c r="G676" s="7">
        <v>57.5</v>
      </c>
      <c r="H676" s="7">
        <f t="shared" si="47"/>
        <v>28.75</v>
      </c>
      <c r="I676" s="7">
        <v>28.887</v>
      </c>
      <c r="J676" s="7">
        <f t="shared" si="48"/>
        <v>14.4435</v>
      </c>
      <c r="K676" s="10">
        <f t="shared" si="46"/>
        <v>43.1935</v>
      </c>
      <c r="L676" s="7">
        <f t="shared" si="49"/>
        <v>396</v>
      </c>
      <c r="M676" s="11"/>
      <c r="N676"/>
    </row>
    <row r="677" spans="1:14" ht="24.75" customHeight="1">
      <c r="A677" s="5">
        <v>675</v>
      </c>
      <c r="B677" s="5" t="s">
        <v>19</v>
      </c>
      <c r="C677" s="5" t="str">
        <f>"胡丽消"</f>
        <v>胡丽消</v>
      </c>
      <c r="D677" s="5" t="str">
        <f>"460007199608196568"</f>
        <v>460007199608196568</v>
      </c>
      <c r="E677" s="5" t="s">
        <v>15</v>
      </c>
      <c r="F677" s="5" t="str">
        <f>"073102020131"</f>
        <v>073102020131</v>
      </c>
      <c r="G677" s="7">
        <v>57.3</v>
      </c>
      <c r="H677" s="7">
        <f t="shared" si="47"/>
        <v>28.65</v>
      </c>
      <c r="I677" s="7">
        <v>28.887</v>
      </c>
      <c r="J677" s="7">
        <f t="shared" si="48"/>
        <v>14.4435</v>
      </c>
      <c r="K677" s="10">
        <f t="shared" si="46"/>
        <v>43.0935</v>
      </c>
      <c r="L677" s="7">
        <f t="shared" si="49"/>
        <v>397</v>
      </c>
      <c r="M677" s="11"/>
      <c r="N677"/>
    </row>
    <row r="678" spans="1:14" ht="24.75" customHeight="1">
      <c r="A678" s="5">
        <v>676</v>
      </c>
      <c r="B678" s="5" t="s">
        <v>19</v>
      </c>
      <c r="C678" s="5" t="str">
        <f>"黎恒"</f>
        <v>黎恒</v>
      </c>
      <c r="D678" s="5" t="str">
        <f>"460200199901254436"</f>
        <v>460200199901254436</v>
      </c>
      <c r="E678" s="5" t="s">
        <v>15</v>
      </c>
      <c r="F678" s="5" t="str">
        <f>"073102030416"</f>
        <v>073102030416</v>
      </c>
      <c r="G678" s="7">
        <v>55.5</v>
      </c>
      <c r="H678" s="7">
        <f t="shared" si="47"/>
        <v>27.75</v>
      </c>
      <c r="I678" s="7">
        <v>30.557</v>
      </c>
      <c r="J678" s="7">
        <f t="shared" si="48"/>
        <v>15.2785</v>
      </c>
      <c r="K678" s="10">
        <f t="shared" si="46"/>
        <v>43.0285</v>
      </c>
      <c r="L678" s="7">
        <f t="shared" si="49"/>
        <v>398</v>
      </c>
      <c r="M678" s="11"/>
      <c r="N678"/>
    </row>
    <row r="679" spans="1:14" ht="24.75" customHeight="1">
      <c r="A679" s="5">
        <v>677</v>
      </c>
      <c r="B679" s="5" t="s">
        <v>19</v>
      </c>
      <c r="C679" s="5" t="str">
        <f>"王春"</f>
        <v>王春</v>
      </c>
      <c r="D679" s="5" t="str">
        <f>"460300199310070323"</f>
        <v>460300199310070323</v>
      </c>
      <c r="E679" s="5" t="s">
        <v>15</v>
      </c>
      <c r="F679" s="5" t="str">
        <f>"073102030407"</f>
        <v>073102030407</v>
      </c>
      <c r="G679" s="7">
        <v>61.5</v>
      </c>
      <c r="H679" s="7">
        <f t="shared" si="47"/>
        <v>30.75</v>
      </c>
      <c r="I679" s="7">
        <v>24.379</v>
      </c>
      <c r="J679" s="7">
        <f t="shared" si="48"/>
        <v>12.1895</v>
      </c>
      <c r="K679" s="10">
        <f t="shared" si="46"/>
        <v>42.9395</v>
      </c>
      <c r="L679" s="7">
        <f t="shared" si="49"/>
        <v>399</v>
      </c>
      <c r="M679" s="11"/>
      <c r="N679"/>
    </row>
    <row r="680" spans="1:14" ht="24.75" customHeight="1">
      <c r="A680" s="5">
        <v>678</v>
      </c>
      <c r="B680" s="5" t="s">
        <v>19</v>
      </c>
      <c r="C680" s="5" t="str">
        <f>"符丽艳"</f>
        <v>符丽艳</v>
      </c>
      <c r="D680" s="5" t="str">
        <f>"460003199805100048"</f>
        <v>460003199805100048</v>
      </c>
      <c r="E680" s="5" t="s">
        <v>15</v>
      </c>
      <c r="F680" s="5" t="str">
        <f>"073102020226"</f>
        <v>073102020226</v>
      </c>
      <c r="G680" s="7">
        <v>55.7</v>
      </c>
      <c r="H680" s="7">
        <f t="shared" si="47"/>
        <v>27.85</v>
      </c>
      <c r="I680" s="7">
        <v>30.124</v>
      </c>
      <c r="J680" s="7">
        <f t="shared" si="48"/>
        <v>15.062</v>
      </c>
      <c r="K680" s="10">
        <f t="shared" si="46"/>
        <v>42.912</v>
      </c>
      <c r="L680" s="7">
        <f t="shared" si="49"/>
        <v>400</v>
      </c>
      <c r="M680" s="11"/>
      <c r="N680"/>
    </row>
    <row r="681" spans="1:14" ht="24.75" customHeight="1">
      <c r="A681" s="5">
        <v>679</v>
      </c>
      <c r="B681" s="5" t="s">
        <v>19</v>
      </c>
      <c r="C681" s="5" t="str">
        <f>"曾常教"</f>
        <v>曾常教</v>
      </c>
      <c r="D681" s="5" t="str">
        <f>"460003199802062445"</f>
        <v>460003199802062445</v>
      </c>
      <c r="E681" s="5" t="s">
        <v>15</v>
      </c>
      <c r="F681" s="5" t="str">
        <f>"073102020633"</f>
        <v>073102020633</v>
      </c>
      <c r="G681" s="7">
        <v>36</v>
      </c>
      <c r="H681" s="7">
        <f t="shared" si="47"/>
        <v>18</v>
      </c>
      <c r="I681" s="7">
        <v>49.772</v>
      </c>
      <c r="J681" s="7">
        <f t="shared" si="48"/>
        <v>24.886</v>
      </c>
      <c r="K681" s="10">
        <f t="shared" si="46"/>
        <v>42.885999999999996</v>
      </c>
      <c r="L681" s="7">
        <f t="shared" si="49"/>
        <v>401</v>
      </c>
      <c r="M681" s="11"/>
      <c r="N681"/>
    </row>
    <row r="682" spans="1:14" ht="24.75" customHeight="1">
      <c r="A682" s="5">
        <v>680</v>
      </c>
      <c r="B682" s="5" t="s">
        <v>19</v>
      </c>
      <c r="C682" s="5" t="str">
        <f>"黄德英"</f>
        <v>黄德英</v>
      </c>
      <c r="D682" s="5" t="str">
        <f>"46000319930208762X"</f>
        <v>46000319930208762X</v>
      </c>
      <c r="E682" s="5" t="s">
        <v>15</v>
      </c>
      <c r="F682" s="5" t="str">
        <f>"073102030607"</f>
        <v>073102030607</v>
      </c>
      <c r="G682" s="7">
        <v>60.7</v>
      </c>
      <c r="H682" s="7">
        <f t="shared" si="47"/>
        <v>30.35</v>
      </c>
      <c r="I682" s="7">
        <v>25.05</v>
      </c>
      <c r="J682" s="7">
        <f t="shared" si="48"/>
        <v>12.525</v>
      </c>
      <c r="K682" s="10">
        <f t="shared" si="46"/>
        <v>42.875</v>
      </c>
      <c r="L682" s="7">
        <f t="shared" si="49"/>
        <v>402</v>
      </c>
      <c r="M682" s="11"/>
      <c r="N682"/>
    </row>
    <row r="683" spans="1:14" ht="24.75" customHeight="1">
      <c r="A683" s="5">
        <v>681</v>
      </c>
      <c r="B683" s="5" t="s">
        <v>19</v>
      </c>
      <c r="C683" s="5" t="str">
        <f>"邱恒舜"</f>
        <v>邱恒舜</v>
      </c>
      <c r="D683" s="5" t="str">
        <f>"460003199806100410"</f>
        <v>460003199806100410</v>
      </c>
      <c r="E683" s="5" t="s">
        <v>15</v>
      </c>
      <c r="F683" s="5" t="str">
        <f>"073102020742"</f>
        <v>073102020742</v>
      </c>
      <c r="G683" s="7">
        <v>28.2</v>
      </c>
      <c r="H683" s="7">
        <f t="shared" si="47"/>
        <v>14.1</v>
      </c>
      <c r="I683" s="7">
        <v>57.45</v>
      </c>
      <c r="J683" s="7">
        <f t="shared" si="48"/>
        <v>28.725</v>
      </c>
      <c r="K683" s="10">
        <f t="shared" si="46"/>
        <v>42.825</v>
      </c>
      <c r="L683" s="7">
        <f t="shared" si="49"/>
        <v>403</v>
      </c>
      <c r="M683" s="11"/>
      <c r="N683"/>
    </row>
    <row r="684" spans="1:14" ht="24.75" customHeight="1">
      <c r="A684" s="5">
        <v>682</v>
      </c>
      <c r="B684" s="5" t="s">
        <v>19</v>
      </c>
      <c r="C684" s="5" t="str">
        <f>"吉雪梅"</f>
        <v>吉雪梅</v>
      </c>
      <c r="D684" s="5" t="str">
        <f>"460007199612256826"</f>
        <v>460007199612256826</v>
      </c>
      <c r="E684" s="5" t="s">
        <v>15</v>
      </c>
      <c r="F684" s="5" t="str">
        <f>"073102020946"</f>
        <v>073102020946</v>
      </c>
      <c r="G684" s="7">
        <v>43.9</v>
      </c>
      <c r="H684" s="7">
        <f t="shared" si="47"/>
        <v>21.95</v>
      </c>
      <c r="I684" s="7">
        <v>41.379</v>
      </c>
      <c r="J684" s="7">
        <f t="shared" si="48"/>
        <v>20.6895</v>
      </c>
      <c r="K684" s="10">
        <f t="shared" si="46"/>
        <v>42.6395</v>
      </c>
      <c r="L684" s="7">
        <f t="shared" si="49"/>
        <v>404</v>
      </c>
      <c r="M684" s="11"/>
      <c r="N684"/>
    </row>
    <row r="685" spans="1:14" ht="24.75" customHeight="1">
      <c r="A685" s="5">
        <v>683</v>
      </c>
      <c r="B685" s="5" t="s">
        <v>19</v>
      </c>
      <c r="C685" s="5" t="str">
        <f>"符冰"</f>
        <v>符冰</v>
      </c>
      <c r="D685" s="5" t="str">
        <f>"460003199704155824"</f>
        <v>460003199704155824</v>
      </c>
      <c r="E685" s="5" t="s">
        <v>15</v>
      </c>
      <c r="F685" s="5" t="str">
        <f>"073102020418"</f>
        <v>073102020418</v>
      </c>
      <c r="G685" s="7">
        <v>61.1</v>
      </c>
      <c r="H685" s="7">
        <f t="shared" si="47"/>
        <v>30.55</v>
      </c>
      <c r="I685" s="7">
        <v>24.008</v>
      </c>
      <c r="J685" s="7">
        <f t="shared" si="48"/>
        <v>12.004</v>
      </c>
      <c r="K685" s="10">
        <f t="shared" si="46"/>
        <v>42.554</v>
      </c>
      <c r="L685" s="7">
        <f t="shared" si="49"/>
        <v>405</v>
      </c>
      <c r="M685" s="11"/>
      <c r="N685"/>
    </row>
    <row r="686" spans="1:14" ht="24.75" customHeight="1">
      <c r="A686" s="5">
        <v>684</v>
      </c>
      <c r="B686" s="5" t="s">
        <v>19</v>
      </c>
      <c r="C686" s="5" t="str">
        <f>"李华姣"</f>
        <v>李华姣</v>
      </c>
      <c r="D686" s="5" t="str">
        <f>"460003199809052661"</f>
        <v>460003199809052661</v>
      </c>
      <c r="E686" s="5" t="s">
        <v>15</v>
      </c>
      <c r="F686" s="5" t="str">
        <f>"073102020628"</f>
        <v>073102020628</v>
      </c>
      <c r="G686" s="7">
        <v>59.5</v>
      </c>
      <c r="H686" s="7">
        <f t="shared" si="47"/>
        <v>29.75</v>
      </c>
      <c r="I686" s="7">
        <v>25.569</v>
      </c>
      <c r="J686" s="7">
        <f t="shared" si="48"/>
        <v>12.7845</v>
      </c>
      <c r="K686" s="10">
        <f t="shared" si="46"/>
        <v>42.5345</v>
      </c>
      <c r="L686" s="7">
        <f t="shared" si="49"/>
        <v>406</v>
      </c>
      <c r="M686" s="11"/>
      <c r="N686"/>
    </row>
    <row r="687" spans="1:14" ht="24.75" customHeight="1">
      <c r="A687" s="5">
        <v>685</v>
      </c>
      <c r="B687" s="5" t="s">
        <v>19</v>
      </c>
      <c r="C687" s="5" t="str">
        <f>"符春琪"</f>
        <v>符春琪</v>
      </c>
      <c r="D687" s="5" t="str">
        <f>"460300199605110628"</f>
        <v>460300199605110628</v>
      </c>
      <c r="E687" s="5" t="s">
        <v>15</v>
      </c>
      <c r="F687" s="5" t="str">
        <f>"073102020330"</f>
        <v>073102020330</v>
      </c>
      <c r="G687" s="7">
        <v>58.5</v>
      </c>
      <c r="H687" s="7">
        <f t="shared" si="47"/>
        <v>29.25</v>
      </c>
      <c r="I687" s="7">
        <v>26.545</v>
      </c>
      <c r="J687" s="7">
        <f t="shared" si="48"/>
        <v>13.2725</v>
      </c>
      <c r="K687" s="10">
        <f t="shared" si="46"/>
        <v>42.5225</v>
      </c>
      <c r="L687" s="7">
        <f t="shared" si="49"/>
        <v>407</v>
      </c>
      <c r="M687" s="11"/>
      <c r="N687"/>
    </row>
    <row r="688" spans="1:14" ht="24.75" customHeight="1">
      <c r="A688" s="5">
        <v>686</v>
      </c>
      <c r="B688" s="5" t="s">
        <v>19</v>
      </c>
      <c r="C688" s="5" t="str">
        <f>"石令波"</f>
        <v>石令波</v>
      </c>
      <c r="D688" s="5" t="str">
        <f>"460003199404290012"</f>
        <v>460003199404290012</v>
      </c>
      <c r="E688" s="5" t="s">
        <v>15</v>
      </c>
      <c r="F688" s="5" t="str">
        <f>"073102020214"</f>
        <v>073102020214</v>
      </c>
      <c r="G688" s="7">
        <v>54.6</v>
      </c>
      <c r="H688" s="7">
        <f t="shared" si="47"/>
        <v>27.3</v>
      </c>
      <c r="I688" s="7">
        <v>30.254</v>
      </c>
      <c r="J688" s="7">
        <f t="shared" si="48"/>
        <v>15.127</v>
      </c>
      <c r="K688" s="10">
        <f t="shared" si="46"/>
        <v>42.427</v>
      </c>
      <c r="L688" s="7">
        <f t="shared" si="49"/>
        <v>408</v>
      </c>
      <c r="M688" s="11"/>
      <c r="N688"/>
    </row>
    <row r="689" spans="1:14" ht="24.75" customHeight="1">
      <c r="A689" s="5">
        <v>687</v>
      </c>
      <c r="B689" s="5" t="s">
        <v>19</v>
      </c>
      <c r="C689" s="5" t="str">
        <f>"柯秋羽"</f>
        <v>柯秋羽</v>
      </c>
      <c r="D689" s="5" t="str">
        <f>"460003199110182067"</f>
        <v>460003199110182067</v>
      </c>
      <c r="E689" s="5" t="s">
        <v>15</v>
      </c>
      <c r="F689" s="5" t="str">
        <f>"073102021117"</f>
        <v>073102021117</v>
      </c>
      <c r="G689" s="7">
        <v>59.6</v>
      </c>
      <c r="H689" s="7">
        <f t="shared" si="47"/>
        <v>29.8</v>
      </c>
      <c r="I689" s="7">
        <v>25.114</v>
      </c>
      <c r="J689" s="7">
        <f t="shared" si="48"/>
        <v>12.557</v>
      </c>
      <c r="K689" s="10">
        <f aca="true" t="shared" si="50" ref="K689:K734">H689+J689</f>
        <v>42.357</v>
      </c>
      <c r="L689" s="7">
        <f t="shared" si="49"/>
        <v>409</v>
      </c>
      <c r="M689" s="11"/>
      <c r="N689"/>
    </row>
    <row r="690" spans="1:14" ht="24.75" customHeight="1">
      <c r="A690" s="5">
        <v>688</v>
      </c>
      <c r="B690" s="5" t="s">
        <v>19</v>
      </c>
      <c r="C690" s="5" t="str">
        <f>"李秀布"</f>
        <v>李秀布</v>
      </c>
      <c r="D690" s="5" t="str">
        <f>"460003199408026825"</f>
        <v>460003199408026825</v>
      </c>
      <c r="E690" s="5" t="s">
        <v>15</v>
      </c>
      <c r="F690" s="5" t="str">
        <f>"073102020208"</f>
        <v>073102020208</v>
      </c>
      <c r="G690" s="7">
        <v>58.7</v>
      </c>
      <c r="H690" s="7">
        <f t="shared" si="47"/>
        <v>29.35</v>
      </c>
      <c r="I690" s="7">
        <v>25.96</v>
      </c>
      <c r="J690" s="7">
        <f t="shared" si="48"/>
        <v>12.98</v>
      </c>
      <c r="K690" s="10">
        <f t="shared" si="50"/>
        <v>42.33</v>
      </c>
      <c r="L690" s="7">
        <f t="shared" si="49"/>
        <v>410</v>
      </c>
      <c r="M690" s="11"/>
      <c r="N690"/>
    </row>
    <row r="691" spans="1:14" ht="24.75" customHeight="1">
      <c r="A691" s="5">
        <v>689</v>
      </c>
      <c r="B691" s="5" t="s">
        <v>19</v>
      </c>
      <c r="C691" s="5" t="str">
        <f>"胡良美"</f>
        <v>胡良美</v>
      </c>
      <c r="D691" s="5" t="str">
        <f>"469003199810125029"</f>
        <v>469003199810125029</v>
      </c>
      <c r="E691" s="5" t="s">
        <v>15</v>
      </c>
      <c r="F691" s="5" t="str">
        <f>"073102031206"</f>
        <v>073102031206</v>
      </c>
      <c r="G691" s="7">
        <v>54.7</v>
      </c>
      <c r="H691" s="7">
        <f t="shared" si="47"/>
        <v>27.35</v>
      </c>
      <c r="I691" s="7">
        <v>29.684</v>
      </c>
      <c r="J691" s="7">
        <f t="shared" si="48"/>
        <v>14.842</v>
      </c>
      <c r="K691" s="10">
        <f t="shared" si="50"/>
        <v>42.192</v>
      </c>
      <c r="L691" s="7">
        <f t="shared" si="49"/>
        <v>411</v>
      </c>
      <c r="M691" s="11"/>
      <c r="N691"/>
    </row>
    <row r="692" spans="1:14" ht="24.75" customHeight="1">
      <c r="A692" s="5">
        <v>690</v>
      </c>
      <c r="B692" s="5" t="s">
        <v>19</v>
      </c>
      <c r="C692" s="5" t="str">
        <f>"叶康生"</f>
        <v>叶康生</v>
      </c>
      <c r="D692" s="5" t="str">
        <f>"46000319950828483X"</f>
        <v>46000319950828483X</v>
      </c>
      <c r="E692" s="5" t="s">
        <v>15</v>
      </c>
      <c r="F692" s="5" t="str">
        <f>"073102020304"</f>
        <v>073102020304</v>
      </c>
      <c r="G692" s="7">
        <v>59.4</v>
      </c>
      <c r="H692" s="7">
        <f t="shared" si="47"/>
        <v>29.7</v>
      </c>
      <c r="I692" s="7">
        <v>24.789</v>
      </c>
      <c r="J692" s="7">
        <f t="shared" si="48"/>
        <v>12.3945</v>
      </c>
      <c r="K692" s="10">
        <f t="shared" si="50"/>
        <v>42.0945</v>
      </c>
      <c r="L692" s="7">
        <f t="shared" si="49"/>
        <v>412</v>
      </c>
      <c r="M692" s="11"/>
      <c r="N692"/>
    </row>
    <row r="693" spans="1:14" ht="24.75" customHeight="1">
      <c r="A693" s="5">
        <v>691</v>
      </c>
      <c r="B693" s="5" t="s">
        <v>19</v>
      </c>
      <c r="C693" s="5" t="str">
        <f>"李月玲"</f>
        <v>李月玲</v>
      </c>
      <c r="D693" s="5" t="str">
        <f>"460006199808028124"</f>
        <v>460006199808028124</v>
      </c>
      <c r="E693" s="5" t="s">
        <v>15</v>
      </c>
      <c r="F693" s="5" t="str">
        <f>"073102020407"</f>
        <v>073102020407</v>
      </c>
      <c r="G693" s="7">
        <v>57.6</v>
      </c>
      <c r="H693" s="7">
        <f t="shared" si="47"/>
        <v>28.8</v>
      </c>
      <c r="I693" s="7">
        <v>26.35</v>
      </c>
      <c r="J693" s="7">
        <f t="shared" si="48"/>
        <v>13.175</v>
      </c>
      <c r="K693" s="10">
        <f t="shared" si="50"/>
        <v>41.975</v>
      </c>
      <c r="L693" s="7">
        <f t="shared" si="49"/>
        <v>413</v>
      </c>
      <c r="M693" s="11"/>
      <c r="N693"/>
    </row>
    <row r="694" spans="1:14" ht="24.75" customHeight="1">
      <c r="A694" s="5">
        <v>692</v>
      </c>
      <c r="B694" s="5" t="s">
        <v>19</v>
      </c>
      <c r="C694" s="5" t="str">
        <f>"谢佐康"</f>
        <v>谢佐康</v>
      </c>
      <c r="D694" s="5" t="str">
        <f>"460004199905200253"</f>
        <v>460004199905200253</v>
      </c>
      <c r="E694" s="5" t="s">
        <v>15</v>
      </c>
      <c r="F694" s="5" t="str">
        <f>"073102020321"</f>
        <v>073102020321</v>
      </c>
      <c r="G694" s="7">
        <v>20.1</v>
      </c>
      <c r="H694" s="7">
        <f t="shared" si="47"/>
        <v>10.05</v>
      </c>
      <c r="I694" s="7">
        <v>63.63</v>
      </c>
      <c r="J694" s="7">
        <f t="shared" si="48"/>
        <v>31.815</v>
      </c>
      <c r="K694" s="10">
        <f t="shared" si="50"/>
        <v>41.865</v>
      </c>
      <c r="L694" s="7">
        <f t="shared" si="49"/>
        <v>414</v>
      </c>
      <c r="M694" s="11"/>
      <c r="N694"/>
    </row>
    <row r="695" spans="1:14" ht="24.75" customHeight="1">
      <c r="A695" s="5">
        <v>693</v>
      </c>
      <c r="B695" s="5" t="s">
        <v>19</v>
      </c>
      <c r="C695" s="5" t="str">
        <f>"丁香雨"</f>
        <v>丁香雨</v>
      </c>
      <c r="D695" s="5" t="str">
        <f>"460003199612012869"</f>
        <v>460003199612012869</v>
      </c>
      <c r="E695" s="5" t="s">
        <v>15</v>
      </c>
      <c r="F695" s="5" t="str">
        <f>"073102020834"</f>
        <v>073102020834</v>
      </c>
      <c r="G695" s="7">
        <v>42.6</v>
      </c>
      <c r="H695" s="7">
        <f t="shared" si="47"/>
        <v>21.3</v>
      </c>
      <c r="I695" s="7">
        <v>40.924</v>
      </c>
      <c r="J695" s="7">
        <f t="shared" si="48"/>
        <v>20.462</v>
      </c>
      <c r="K695" s="10">
        <f t="shared" si="50"/>
        <v>41.762</v>
      </c>
      <c r="L695" s="7">
        <f t="shared" si="49"/>
        <v>415</v>
      </c>
      <c r="M695" s="11"/>
      <c r="N695"/>
    </row>
    <row r="696" spans="1:14" ht="24.75" customHeight="1">
      <c r="A696" s="5">
        <v>694</v>
      </c>
      <c r="B696" s="5" t="s">
        <v>19</v>
      </c>
      <c r="C696" s="5" t="str">
        <f>"何成女"</f>
        <v>何成女</v>
      </c>
      <c r="D696" s="5" t="str">
        <f>"460003199802083924"</f>
        <v>460003199802083924</v>
      </c>
      <c r="E696" s="5" t="s">
        <v>15</v>
      </c>
      <c r="F696" s="5" t="str">
        <f>"073102020209"</f>
        <v>073102020209</v>
      </c>
      <c r="G696" s="7">
        <v>62</v>
      </c>
      <c r="H696" s="7">
        <f t="shared" si="47"/>
        <v>31</v>
      </c>
      <c r="I696" s="7">
        <v>21.405</v>
      </c>
      <c r="J696" s="7">
        <f t="shared" si="48"/>
        <v>10.7025</v>
      </c>
      <c r="K696" s="10">
        <f t="shared" si="50"/>
        <v>41.7025</v>
      </c>
      <c r="L696" s="7">
        <f t="shared" si="49"/>
        <v>416</v>
      </c>
      <c r="M696" s="11"/>
      <c r="N696"/>
    </row>
    <row r="697" spans="1:14" ht="24.75" customHeight="1">
      <c r="A697" s="5">
        <v>695</v>
      </c>
      <c r="B697" s="5" t="s">
        <v>19</v>
      </c>
      <c r="C697" s="5" t="str">
        <f>"林艳珍"</f>
        <v>林艳珍</v>
      </c>
      <c r="D697" s="5" t="str">
        <f>"460006199806151620"</f>
        <v>460006199806151620</v>
      </c>
      <c r="E697" s="5" t="s">
        <v>15</v>
      </c>
      <c r="F697" s="5" t="str">
        <f>"073102031016"</f>
        <v>073102031016</v>
      </c>
      <c r="G697" s="7">
        <v>52.6</v>
      </c>
      <c r="H697" s="7">
        <f t="shared" si="47"/>
        <v>26.3</v>
      </c>
      <c r="I697" s="7">
        <v>30.759</v>
      </c>
      <c r="J697" s="7">
        <f t="shared" si="48"/>
        <v>15.3795</v>
      </c>
      <c r="K697" s="10">
        <f t="shared" si="50"/>
        <v>41.679500000000004</v>
      </c>
      <c r="L697" s="7">
        <f t="shared" si="49"/>
        <v>417</v>
      </c>
      <c r="M697" s="11"/>
      <c r="N697"/>
    </row>
    <row r="698" spans="1:14" ht="24.75" customHeight="1">
      <c r="A698" s="5">
        <v>696</v>
      </c>
      <c r="B698" s="5" t="s">
        <v>19</v>
      </c>
      <c r="C698" s="5" t="str">
        <f>"王如鹤"</f>
        <v>王如鹤</v>
      </c>
      <c r="D698" s="5" t="str">
        <f>"460003199310095216"</f>
        <v>460003199310095216</v>
      </c>
      <c r="E698" s="5" t="s">
        <v>15</v>
      </c>
      <c r="F698" s="5" t="str">
        <f>"073102020112"</f>
        <v>073102020112</v>
      </c>
      <c r="G698" s="7">
        <v>55.1</v>
      </c>
      <c r="H698" s="7">
        <f t="shared" si="47"/>
        <v>27.55</v>
      </c>
      <c r="I698" s="7">
        <v>28.107</v>
      </c>
      <c r="J698" s="7">
        <f t="shared" si="48"/>
        <v>14.0535</v>
      </c>
      <c r="K698" s="10">
        <f t="shared" si="50"/>
        <v>41.6035</v>
      </c>
      <c r="L698" s="7">
        <f t="shared" si="49"/>
        <v>418</v>
      </c>
      <c r="M698" s="11"/>
      <c r="N698"/>
    </row>
    <row r="699" spans="1:14" ht="24.75" customHeight="1">
      <c r="A699" s="5">
        <v>697</v>
      </c>
      <c r="B699" s="5" t="s">
        <v>19</v>
      </c>
      <c r="C699" s="5" t="str">
        <f>"羊秀琴"</f>
        <v>羊秀琴</v>
      </c>
      <c r="D699" s="5" t="str">
        <f>"460003199507293427"</f>
        <v>460003199507293427</v>
      </c>
      <c r="E699" s="5" t="s">
        <v>15</v>
      </c>
      <c r="F699" s="5" t="str">
        <f>"073102020432"</f>
        <v>073102020432</v>
      </c>
      <c r="G699" s="7">
        <v>47</v>
      </c>
      <c r="H699" s="7">
        <f t="shared" si="47"/>
        <v>23.5</v>
      </c>
      <c r="I699" s="7">
        <v>35.784</v>
      </c>
      <c r="J699" s="7">
        <f t="shared" si="48"/>
        <v>17.892</v>
      </c>
      <c r="K699" s="10">
        <f t="shared" si="50"/>
        <v>41.391999999999996</v>
      </c>
      <c r="L699" s="7">
        <f t="shared" si="49"/>
        <v>419</v>
      </c>
      <c r="M699" s="11"/>
      <c r="N699"/>
    </row>
    <row r="700" spans="1:14" ht="24.75" customHeight="1">
      <c r="A700" s="5">
        <v>698</v>
      </c>
      <c r="B700" s="5" t="s">
        <v>19</v>
      </c>
      <c r="C700" s="5" t="str">
        <f>"陈智楷"</f>
        <v>陈智楷</v>
      </c>
      <c r="D700" s="5" t="str">
        <f>"460033200002200014"</f>
        <v>460033200002200014</v>
      </c>
      <c r="E700" s="5" t="s">
        <v>15</v>
      </c>
      <c r="F700" s="5" t="str">
        <f>"073102020327"</f>
        <v>073102020327</v>
      </c>
      <c r="G700" s="7">
        <v>33.3</v>
      </c>
      <c r="H700" s="7">
        <f t="shared" si="47"/>
        <v>16.65</v>
      </c>
      <c r="I700" s="7">
        <v>48.861</v>
      </c>
      <c r="J700" s="7">
        <f t="shared" si="48"/>
        <v>24.4305</v>
      </c>
      <c r="K700" s="10">
        <f t="shared" si="50"/>
        <v>41.0805</v>
      </c>
      <c r="L700" s="7">
        <f t="shared" si="49"/>
        <v>420</v>
      </c>
      <c r="M700" s="11"/>
      <c r="N700"/>
    </row>
    <row r="701" spans="1:14" ht="24.75" customHeight="1">
      <c r="A701" s="5">
        <v>699</v>
      </c>
      <c r="B701" s="5" t="s">
        <v>19</v>
      </c>
      <c r="C701" s="5" t="str">
        <f>"刘强"</f>
        <v>刘强</v>
      </c>
      <c r="D701" s="5" t="str">
        <f>"460028199612033296"</f>
        <v>460028199612033296</v>
      </c>
      <c r="E701" s="5" t="s">
        <v>15</v>
      </c>
      <c r="F701" s="5" t="str">
        <f>"073102020731"</f>
        <v>073102020731</v>
      </c>
      <c r="G701" s="7">
        <v>43.2</v>
      </c>
      <c r="H701" s="7">
        <f t="shared" si="47"/>
        <v>21.6</v>
      </c>
      <c r="I701" s="7">
        <v>38.517</v>
      </c>
      <c r="J701" s="7">
        <f t="shared" si="48"/>
        <v>19.2585</v>
      </c>
      <c r="K701" s="10">
        <f t="shared" si="50"/>
        <v>40.85850000000001</v>
      </c>
      <c r="L701" s="7">
        <f t="shared" si="49"/>
        <v>421</v>
      </c>
      <c r="M701" s="11"/>
      <c r="N701"/>
    </row>
    <row r="702" spans="1:14" ht="24.75" customHeight="1">
      <c r="A702" s="5">
        <v>700</v>
      </c>
      <c r="B702" s="5" t="s">
        <v>19</v>
      </c>
      <c r="C702" s="5" t="str">
        <f>"吴金娥"</f>
        <v>吴金娥</v>
      </c>
      <c r="D702" s="5" t="str">
        <f>"460003199704202424"</f>
        <v>460003199704202424</v>
      </c>
      <c r="E702" s="5" t="s">
        <v>15</v>
      </c>
      <c r="F702" s="5" t="str">
        <f>"073102030630"</f>
        <v>073102030630</v>
      </c>
      <c r="G702" s="7">
        <v>49.4</v>
      </c>
      <c r="H702" s="7">
        <f t="shared" si="47"/>
        <v>24.7</v>
      </c>
      <c r="I702" s="7">
        <v>32.304</v>
      </c>
      <c r="J702" s="7">
        <f t="shared" si="48"/>
        <v>16.152</v>
      </c>
      <c r="K702" s="10">
        <f t="shared" si="50"/>
        <v>40.852000000000004</v>
      </c>
      <c r="L702" s="7">
        <f t="shared" si="49"/>
        <v>422</v>
      </c>
      <c r="M702" s="11"/>
      <c r="N702"/>
    </row>
    <row r="703" spans="1:14" ht="24.75" customHeight="1">
      <c r="A703" s="5">
        <v>701</v>
      </c>
      <c r="B703" s="5" t="s">
        <v>19</v>
      </c>
      <c r="C703" s="5" t="str">
        <f>"谢淑英"</f>
        <v>谢淑英</v>
      </c>
      <c r="D703" s="5" t="str">
        <f>"460003199612204844"</f>
        <v>460003199612204844</v>
      </c>
      <c r="E703" s="5" t="s">
        <v>15</v>
      </c>
      <c r="F703" s="5" t="str">
        <f>"073102030706"</f>
        <v>073102030706</v>
      </c>
      <c r="G703" s="7">
        <v>69.8</v>
      </c>
      <c r="H703" s="7">
        <f t="shared" si="47"/>
        <v>34.9</v>
      </c>
      <c r="I703" s="7">
        <v>11.619</v>
      </c>
      <c r="J703" s="7">
        <f t="shared" si="48"/>
        <v>5.8095</v>
      </c>
      <c r="K703" s="10">
        <f t="shared" si="50"/>
        <v>40.7095</v>
      </c>
      <c r="L703" s="7">
        <f t="shared" si="49"/>
        <v>423</v>
      </c>
      <c r="M703" s="11"/>
      <c r="N703"/>
    </row>
    <row r="704" spans="1:14" ht="24.75" customHeight="1">
      <c r="A704" s="5">
        <v>702</v>
      </c>
      <c r="B704" s="5" t="s">
        <v>19</v>
      </c>
      <c r="C704" s="5" t="str">
        <f>"王晓娅"</f>
        <v>王晓娅</v>
      </c>
      <c r="D704" s="5" t="str">
        <f>"460036199709052426"</f>
        <v>460036199709052426</v>
      </c>
      <c r="E704" s="5" t="s">
        <v>15</v>
      </c>
      <c r="F704" s="5" t="str">
        <f>"073102030621"</f>
        <v>073102030621</v>
      </c>
      <c r="G704" s="7">
        <v>55.3</v>
      </c>
      <c r="H704" s="7">
        <f t="shared" si="47"/>
        <v>27.65</v>
      </c>
      <c r="I704" s="7">
        <v>25.789</v>
      </c>
      <c r="J704" s="7">
        <f t="shared" si="48"/>
        <v>12.8945</v>
      </c>
      <c r="K704" s="10">
        <f t="shared" si="50"/>
        <v>40.5445</v>
      </c>
      <c r="L704" s="7">
        <f t="shared" si="49"/>
        <v>424</v>
      </c>
      <c r="M704" s="11"/>
      <c r="N704"/>
    </row>
    <row r="705" spans="1:14" ht="24.75" customHeight="1">
      <c r="A705" s="5">
        <v>703</v>
      </c>
      <c r="B705" s="5" t="s">
        <v>19</v>
      </c>
      <c r="C705" s="5" t="str">
        <f>"羊爱庆"</f>
        <v>羊爱庆</v>
      </c>
      <c r="D705" s="5" t="str">
        <f>"460003199409112020"</f>
        <v>460003199409112020</v>
      </c>
      <c r="E705" s="5" t="s">
        <v>15</v>
      </c>
      <c r="F705" s="5" t="str">
        <f>"073102020734"</f>
        <v>073102020734</v>
      </c>
      <c r="G705" s="7">
        <v>54.1</v>
      </c>
      <c r="H705" s="7">
        <f t="shared" si="47"/>
        <v>27.05</v>
      </c>
      <c r="I705" s="7">
        <v>26.805</v>
      </c>
      <c r="J705" s="7">
        <f t="shared" si="48"/>
        <v>13.4025</v>
      </c>
      <c r="K705" s="10">
        <f t="shared" si="50"/>
        <v>40.4525</v>
      </c>
      <c r="L705" s="7">
        <f t="shared" si="49"/>
        <v>425</v>
      </c>
      <c r="M705" s="11"/>
      <c r="N705"/>
    </row>
    <row r="706" spans="1:14" ht="24.75" customHeight="1">
      <c r="A706" s="5">
        <v>704</v>
      </c>
      <c r="B706" s="5" t="s">
        <v>19</v>
      </c>
      <c r="C706" s="5" t="str">
        <f>"陈爱花"</f>
        <v>陈爱花</v>
      </c>
      <c r="D706" s="5" t="str">
        <f>"46000319960418322X"</f>
        <v>46000319960418322X</v>
      </c>
      <c r="E706" s="5" t="s">
        <v>15</v>
      </c>
      <c r="F706" s="5" t="str">
        <f>"073102031008"</f>
        <v>073102031008</v>
      </c>
      <c r="G706" s="7">
        <v>58.8</v>
      </c>
      <c r="H706" s="7">
        <f t="shared" si="47"/>
        <v>29.4</v>
      </c>
      <c r="I706" s="7">
        <v>22.028</v>
      </c>
      <c r="J706" s="7">
        <f t="shared" si="48"/>
        <v>11.014</v>
      </c>
      <c r="K706" s="10">
        <f t="shared" si="50"/>
        <v>40.414</v>
      </c>
      <c r="L706" s="7">
        <f t="shared" si="49"/>
        <v>426</v>
      </c>
      <c r="M706" s="11"/>
      <c r="N706"/>
    </row>
    <row r="707" spans="1:14" ht="24.75" customHeight="1">
      <c r="A707" s="5">
        <v>705</v>
      </c>
      <c r="B707" s="5" t="s">
        <v>19</v>
      </c>
      <c r="C707" s="5" t="str">
        <f>"林丹"</f>
        <v>林丹</v>
      </c>
      <c r="D707" s="5" t="str">
        <f>"460027199911300028"</f>
        <v>460027199911300028</v>
      </c>
      <c r="E707" s="5" t="s">
        <v>15</v>
      </c>
      <c r="F707" s="5" t="str">
        <f>"073102020221"</f>
        <v>073102020221</v>
      </c>
      <c r="G707" s="7">
        <v>58.3</v>
      </c>
      <c r="H707" s="7">
        <f aca="true" t="shared" si="51" ref="H707:H770">G707*0.5</f>
        <v>29.15</v>
      </c>
      <c r="I707" s="7">
        <v>22.186</v>
      </c>
      <c r="J707" s="7">
        <f aca="true" t="shared" si="52" ref="J707:J770">I707*0.5</f>
        <v>11.093</v>
      </c>
      <c r="K707" s="10">
        <f t="shared" si="50"/>
        <v>40.242999999999995</v>
      </c>
      <c r="L707" s="7">
        <f t="shared" si="49"/>
        <v>427</v>
      </c>
      <c r="M707" s="11"/>
      <c r="N707"/>
    </row>
    <row r="708" spans="1:14" ht="24.75" customHeight="1">
      <c r="A708" s="5">
        <v>706</v>
      </c>
      <c r="B708" s="5" t="s">
        <v>19</v>
      </c>
      <c r="C708" s="5" t="str">
        <f>"郑美金"</f>
        <v>郑美金</v>
      </c>
      <c r="D708" s="5" t="str">
        <f>"460003199010192663"</f>
        <v>460003199010192663</v>
      </c>
      <c r="E708" s="5" t="s">
        <v>15</v>
      </c>
      <c r="F708" s="5" t="str">
        <f>"073102021233"</f>
        <v>073102021233</v>
      </c>
      <c r="G708" s="7">
        <v>54.2</v>
      </c>
      <c r="H708" s="7">
        <f t="shared" si="51"/>
        <v>27.1</v>
      </c>
      <c r="I708" s="7">
        <v>26.025</v>
      </c>
      <c r="J708" s="7">
        <f t="shared" si="52"/>
        <v>13.0125</v>
      </c>
      <c r="K708" s="10">
        <f t="shared" si="50"/>
        <v>40.1125</v>
      </c>
      <c r="L708" s="7">
        <f t="shared" si="49"/>
        <v>428</v>
      </c>
      <c r="M708" s="11"/>
      <c r="N708"/>
    </row>
    <row r="709" spans="1:14" ht="24.75" customHeight="1">
      <c r="A709" s="5">
        <v>707</v>
      </c>
      <c r="B709" s="5" t="s">
        <v>19</v>
      </c>
      <c r="C709" s="5" t="str">
        <f>"陈小露"</f>
        <v>陈小露</v>
      </c>
      <c r="D709" s="5" t="str">
        <f>"460033199204274542"</f>
        <v>460033199204274542</v>
      </c>
      <c r="E709" s="5" t="s">
        <v>15</v>
      </c>
      <c r="F709" s="5" t="str">
        <f>"073102020641"</f>
        <v>073102020641</v>
      </c>
      <c r="G709" s="7">
        <v>41.1</v>
      </c>
      <c r="H709" s="7">
        <f t="shared" si="51"/>
        <v>20.55</v>
      </c>
      <c r="I709" s="7">
        <v>38.842</v>
      </c>
      <c r="J709" s="7">
        <f t="shared" si="52"/>
        <v>19.421</v>
      </c>
      <c r="K709" s="10">
        <f t="shared" si="50"/>
        <v>39.971000000000004</v>
      </c>
      <c r="L709" s="7">
        <f t="shared" si="49"/>
        <v>429</v>
      </c>
      <c r="M709" s="11"/>
      <c r="N709"/>
    </row>
    <row r="710" spans="1:14" ht="24.75" customHeight="1">
      <c r="A710" s="5">
        <v>708</v>
      </c>
      <c r="B710" s="5" t="s">
        <v>19</v>
      </c>
      <c r="C710" s="5" t="str">
        <f>"卜华青"</f>
        <v>卜华青</v>
      </c>
      <c r="D710" s="5" t="str">
        <f>"460003199312202441"</f>
        <v>460003199312202441</v>
      </c>
      <c r="E710" s="5" t="s">
        <v>15</v>
      </c>
      <c r="F710" s="5" t="str">
        <f>"073102030313"</f>
        <v>073102030313</v>
      </c>
      <c r="G710" s="7">
        <v>42.7</v>
      </c>
      <c r="H710" s="7">
        <f t="shared" si="51"/>
        <v>21.35</v>
      </c>
      <c r="I710" s="7">
        <v>37.139</v>
      </c>
      <c r="J710" s="7">
        <f t="shared" si="52"/>
        <v>18.5695</v>
      </c>
      <c r="K710" s="10">
        <f t="shared" si="50"/>
        <v>39.9195</v>
      </c>
      <c r="L710" s="7">
        <f t="shared" si="49"/>
        <v>430</v>
      </c>
      <c r="M710" s="11"/>
      <c r="N710"/>
    </row>
    <row r="711" spans="1:14" ht="24.75" customHeight="1">
      <c r="A711" s="5">
        <v>709</v>
      </c>
      <c r="B711" s="5" t="s">
        <v>19</v>
      </c>
      <c r="C711" s="5" t="str">
        <f>"林小媚"</f>
        <v>林小媚</v>
      </c>
      <c r="D711" s="5" t="str">
        <f>"460036199609250820"</f>
        <v>460036199609250820</v>
      </c>
      <c r="E711" s="5" t="s">
        <v>15</v>
      </c>
      <c r="F711" s="5" t="str">
        <f>"073102021105"</f>
        <v>073102021105</v>
      </c>
      <c r="G711" s="7">
        <v>50.8</v>
      </c>
      <c r="H711" s="7">
        <f t="shared" si="51"/>
        <v>25.4</v>
      </c>
      <c r="I711" s="7">
        <v>28.953</v>
      </c>
      <c r="J711" s="7">
        <f t="shared" si="52"/>
        <v>14.4765</v>
      </c>
      <c r="K711" s="10">
        <f t="shared" si="50"/>
        <v>39.8765</v>
      </c>
      <c r="L711" s="7">
        <f t="shared" si="49"/>
        <v>431</v>
      </c>
      <c r="M711" s="11"/>
      <c r="N711"/>
    </row>
    <row r="712" spans="1:14" ht="24.75" customHeight="1">
      <c r="A712" s="5">
        <v>710</v>
      </c>
      <c r="B712" s="5" t="s">
        <v>19</v>
      </c>
      <c r="C712" s="5" t="str">
        <f>"陈婆翠"</f>
        <v>陈婆翠</v>
      </c>
      <c r="D712" s="5" t="str">
        <f>"460003199804165667"</f>
        <v>460003199804165667</v>
      </c>
      <c r="E712" s="5" t="s">
        <v>15</v>
      </c>
      <c r="F712" s="5" t="str">
        <f>"073102030639"</f>
        <v>073102030639</v>
      </c>
      <c r="G712" s="7">
        <v>44.1</v>
      </c>
      <c r="H712" s="7">
        <f t="shared" si="51"/>
        <v>22.05</v>
      </c>
      <c r="I712" s="7">
        <v>35.594</v>
      </c>
      <c r="J712" s="7">
        <f t="shared" si="52"/>
        <v>17.797</v>
      </c>
      <c r="K712" s="10">
        <f t="shared" si="50"/>
        <v>39.847</v>
      </c>
      <c r="L712" s="7">
        <f t="shared" si="49"/>
        <v>432</v>
      </c>
      <c r="M712" s="11"/>
      <c r="N712"/>
    </row>
    <row r="713" spans="1:14" ht="24.75" customHeight="1">
      <c r="A713" s="5">
        <v>711</v>
      </c>
      <c r="B713" s="5" t="s">
        <v>19</v>
      </c>
      <c r="C713" s="5" t="str">
        <f>"罗杰"</f>
        <v>罗杰</v>
      </c>
      <c r="D713" s="5" t="str">
        <f>"460006199801230231"</f>
        <v>460006199801230231</v>
      </c>
      <c r="E713" s="5" t="s">
        <v>15</v>
      </c>
      <c r="F713" s="5" t="str">
        <f>"073102020726"</f>
        <v>073102020726</v>
      </c>
      <c r="G713" s="7">
        <v>52.5</v>
      </c>
      <c r="H713" s="7">
        <f t="shared" si="51"/>
        <v>26.25</v>
      </c>
      <c r="I713" s="7">
        <v>26.025</v>
      </c>
      <c r="J713" s="7">
        <f t="shared" si="52"/>
        <v>13.0125</v>
      </c>
      <c r="K713" s="10">
        <f t="shared" si="50"/>
        <v>39.2625</v>
      </c>
      <c r="L713" s="7">
        <f t="shared" si="49"/>
        <v>433</v>
      </c>
      <c r="M713" s="11"/>
      <c r="N713"/>
    </row>
    <row r="714" spans="1:14" ht="24.75" customHeight="1">
      <c r="A714" s="5">
        <v>712</v>
      </c>
      <c r="B714" s="5" t="s">
        <v>19</v>
      </c>
      <c r="C714" s="5" t="str">
        <f>"陈建鲁"</f>
        <v>陈建鲁</v>
      </c>
      <c r="D714" s="5" t="str">
        <f>"460003199307022059"</f>
        <v>460003199307022059</v>
      </c>
      <c r="E714" s="5" t="s">
        <v>15</v>
      </c>
      <c r="F714" s="5" t="str">
        <f>"073102020826"</f>
        <v>073102020826</v>
      </c>
      <c r="G714" s="7">
        <v>51.8</v>
      </c>
      <c r="H714" s="7">
        <f t="shared" si="51"/>
        <v>25.9</v>
      </c>
      <c r="I714" s="7">
        <v>26.09</v>
      </c>
      <c r="J714" s="7">
        <f t="shared" si="52"/>
        <v>13.045</v>
      </c>
      <c r="K714" s="10">
        <f t="shared" si="50"/>
        <v>38.945</v>
      </c>
      <c r="L714" s="7">
        <f t="shared" si="49"/>
        <v>434</v>
      </c>
      <c r="M714" s="11"/>
      <c r="N714"/>
    </row>
    <row r="715" spans="1:14" ht="24.75" customHeight="1">
      <c r="A715" s="5">
        <v>713</v>
      </c>
      <c r="B715" s="5" t="s">
        <v>19</v>
      </c>
      <c r="C715" s="5" t="str">
        <f>"李菁"</f>
        <v>李菁</v>
      </c>
      <c r="D715" s="5" t="str">
        <f>"460003199404172243"</f>
        <v>460003199404172243</v>
      </c>
      <c r="E715" s="5" t="s">
        <v>15</v>
      </c>
      <c r="F715" s="5" t="str">
        <f>"073102020843"</f>
        <v>073102020843</v>
      </c>
      <c r="G715" s="7">
        <v>61.9</v>
      </c>
      <c r="H715" s="7">
        <f t="shared" si="51"/>
        <v>30.95</v>
      </c>
      <c r="I715" s="7">
        <v>15.745</v>
      </c>
      <c r="J715" s="7">
        <f t="shared" si="52"/>
        <v>7.8725</v>
      </c>
      <c r="K715" s="10">
        <f t="shared" si="50"/>
        <v>38.8225</v>
      </c>
      <c r="L715" s="7">
        <f t="shared" si="49"/>
        <v>435</v>
      </c>
      <c r="M715" s="11"/>
      <c r="N715"/>
    </row>
    <row r="716" spans="1:14" ht="24.75" customHeight="1">
      <c r="A716" s="5">
        <v>714</v>
      </c>
      <c r="B716" s="5" t="s">
        <v>19</v>
      </c>
      <c r="C716" s="5" t="str">
        <f>"朱振亮"</f>
        <v>朱振亮</v>
      </c>
      <c r="D716" s="5" t="str">
        <f>"460006199612274016"</f>
        <v>460006199612274016</v>
      </c>
      <c r="E716" s="5" t="s">
        <v>15</v>
      </c>
      <c r="F716" s="5" t="str">
        <f>"073102020613"</f>
        <v>073102020613</v>
      </c>
      <c r="G716" s="7">
        <v>32.9</v>
      </c>
      <c r="H716" s="7">
        <f t="shared" si="51"/>
        <v>16.45</v>
      </c>
      <c r="I716" s="7">
        <v>44.697</v>
      </c>
      <c r="J716" s="7">
        <f t="shared" si="52"/>
        <v>22.3485</v>
      </c>
      <c r="K716" s="10">
        <f t="shared" si="50"/>
        <v>38.798500000000004</v>
      </c>
      <c r="L716" s="7">
        <f t="shared" si="49"/>
        <v>436</v>
      </c>
      <c r="M716" s="11"/>
      <c r="N716"/>
    </row>
    <row r="717" spans="1:14" ht="24.75" customHeight="1">
      <c r="A717" s="5">
        <v>715</v>
      </c>
      <c r="B717" s="5" t="s">
        <v>19</v>
      </c>
      <c r="C717" s="5" t="str">
        <f>"吉晓宇"</f>
        <v>吉晓宇</v>
      </c>
      <c r="D717" s="5" t="str">
        <f>"460033199402124801"</f>
        <v>460033199402124801</v>
      </c>
      <c r="E717" s="5" t="s">
        <v>15</v>
      </c>
      <c r="F717" s="5" t="str">
        <f>"073102020102"</f>
        <v>073102020102</v>
      </c>
      <c r="G717" s="7">
        <v>42.3</v>
      </c>
      <c r="H717" s="7">
        <f t="shared" si="51"/>
        <v>21.15</v>
      </c>
      <c r="I717" s="7">
        <v>35.263</v>
      </c>
      <c r="J717" s="7">
        <f t="shared" si="52"/>
        <v>17.6315</v>
      </c>
      <c r="K717" s="10">
        <f t="shared" si="50"/>
        <v>38.781499999999994</v>
      </c>
      <c r="L717" s="7">
        <f t="shared" si="49"/>
        <v>437</v>
      </c>
      <c r="M717" s="11"/>
      <c r="N717"/>
    </row>
    <row r="718" spans="1:14" ht="24.75" customHeight="1">
      <c r="A718" s="5">
        <v>716</v>
      </c>
      <c r="B718" s="5" t="s">
        <v>19</v>
      </c>
      <c r="C718" s="5" t="str">
        <f>"严海丹"</f>
        <v>严海丹</v>
      </c>
      <c r="D718" s="5" t="str">
        <f>"460003199403181447"</f>
        <v>460003199403181447</v>
      </c>
      <c r="E718" s="5" t="s">
        <v>15</v>
      </c>
      <c r="F718" s="5" t="str">
        <f>"073102030815"</f>
        <v>073102030815</v>
      </c>
      <c r="G718" s="7">
        <v>41</v>
      </c>
      <c r="H718" s="7">
        <f t="shared" si="51"/>
        <v>20.5</v>
      </c>
      <c r="I718" s="7">
        <v>36.4</v>
      </c>
      <c r="J718" s="7">
        <f t="shared" si="52"/>
        <v>18.2</v>
      </c>
      <c r="K718" s="10">
        <f t="shared" si="50"/>
        <v>38.7</v>
      </c>
      <c r="L718" s="7">
        <f t="shared" si="49"/>
        <v>438</v>
      </c>
      <c r="M718" s="11"/>
      <c r="N718"/>
    </row>
    <row r="719" spans="1:14" ht="24.75" customHeight="1">
      <c r="A719" s="5">
        <v>717</v>
      </c>
      <c r="B719" s="5" t="s">
        <v>19</v>
      </c>
      <c r="C719" s="5" t="str">
        <f>"李精武"</f>
        <v>李精武</v>
      </c>
      <c r="D719" s="5" t="str">
        <f>"46000319980331021X"</f>
        <v>46000319980331021X</v>
      </c>
      <c r="E719" s="5" t="s">
        <v>15</v>
      </c>
      <c r="F719" s="5" t="str">
        <f>"073102030142"</f>
        <v>073102030142</v>
      </c>
      <c r="G719" s="7">
        <v>44.1</v>
      </c>
      <c r="H719" s="7">
        <f t="shared" si="51"/>
        <v>22.05</v>
      </c>
      <c r="I719" s="7">
        <v>33.109</v>
      </c>
      <c r="J719" s="7">
        <f t="shared" si="52"/>
        <v>16.5545</v>
      </c>
      <c r="K719" s="10">
        <f t="shared" si="50"/>
        <v>38.6045</v>
      </c>
      <c r="L719" s="7">
        <f t="shared" si="49"/>
        <v>439</v>
      </c>
      <c r="M719" s="11"/>
      <c r="N719"/>
    </row>
    <row r="720" spans="1:14" ht="24.75" customHeight="1">
      <c r="A720" s="5">
        <v>718</v>
      </c>
      <c r="B720" s="5" t="s">
        <v>19</v>
      </c>
      <c r="C720" s="5" t="str">
        <f>"符美秦"</f>
        <v>符美秦</v>
      </c>
      <c r="D720" s="5" t="str">
        <f>"460003199407136061"</f>
        <v>460003199407136061</v>
      </c>
      <c r="E720" s="5" t="s">
        <v>15</v>
      </c>
      <c r="F720" s="5" t="str">
        <f>"073102021141"</f>
        <v>073102021141</v>
      </c>
      <c r="G720" s="7">
        <v>49.8</v>
      </c>
      <c r="H720" s="7">
        <f t="shared" si="51"/>
        <v>24.9</v>
      </c>
      <c r="I720" s="7">
        <v>27.131</v>
      </c>
      <c r="J720" s="7">
        <f t="shared" si="52"/>
        <v>13.5655</v>
      </c>
      <c r="K720" s="10">
        <f t="shared" si="50"/>
        <v>38.4655</v>
      </c>
      <c r="L720" s="7">
        <f t="shared" si="49"/>
        <v>440</v>
      </c>
      <c r="M720" s="11"/>
      <c r="N720"/>
    </row>
    <row r="721" spans="1:14" ht="24.75" customHeight="1">
      <c r="A721" s="5">
        <v>719</v>
      </c>
      <c r="B721" s="5" t="s">
        <v>19</v>
      </c>
      <c r="C721" s="5" t="str">
        <f>"符艳媚"</f>
        <v>符艳媚</v>
      </c>
      <c r="D721" s="5" t="str">
        <f>"460003199705252220"</f>
        <v>460003199705252220</v>
      </c>
      <c r="E721" s="5" t="s">
        <v>15</v>
      </c>
      <c r="F721" s="5" t="str">
        <f>"073102030738"</f>
        <v>073102030738</v>
      </c>
      <c r="G721" s="7">
        <v>49.6</v>
      </c>
      <c r="H721" s="7">
        <f t="shared" si="51"/>
        <v>24.8</v>
      </c>
      <c r="I721" s="7">
        <v>27.065</v>
      </c>
      <c r="J721" s="7">
        <f t="shared" si="52"/>
        <v>13.5325</v>
      </c>
      <c r="K721" s="10">
        <f t="shared" si="50"/>
        <v>38.3325</v>
      </c>
      <c r="L721" s="7">
        <f t="shared" si="49"/>
        <v>441</v>
      </c>
      <c r="M721" s="11"/>
      <c r="N721"/>
    </row>
    <row r="722" spans="1:14" ht="24.75" customHeight="1">
      <c r="A722" s="5">
        <v>720</v>
      </c>
      <c r="B722" s="5" t="s">
        <v>19</v>
      </c>
      <c r="C722" s="5" t="str">
        <f>"符彩女"</f>
        <v>符彩女</v>
      </c>
      <c r="D722" s="5" t="str">
        <f>"460003199202205844"</f>
        <v>460003199202205844</v>
      </c>
      <c r="E722" s="5" t="s">
        <v>15</v>
      </c>
      <c r="F722" s="5" t="str">
        <f>"073102020204"</f>
        <v>073102020204</v>
      </c>
      <c r="G722" s="7">
        <v>35.9</v>
      </c>
      <c r="H722" s="7">
        <f t="shared" si="51"/>
        <v>17.95</v>
      </c>
      <c r="I722" s="7">
        <v>40.729</v>
      </c>
      <c r="J722" s="7">
        <f t="shared" si="52"/>
        <v>20.3645</v>
      </c>
      <c r="K722" s="10">
        <f t="shared" si="50"/>
        <v>38.314499999999995</v>
      </c>
      <c r="L722" s="7">
        <f t="shared" si="49"/>
        <v>442</v>
      </c>
      <c r="M722" s="11"/>
      <c r="N722"/>
    </row>
    <row r="723" spans="1:14" ht="24.75" customHeight="1">
      <c r="A723" s="5">
        <v>721</v>
      </c>
      <c r="B723" s="5" t="s">
        <v>19</v>
      </c>
      <c r="C723" s="5" t="str">
        <f>"王彩玲"</f>
        <v>王彩玲</v>
      </c>
      <c r="D723" s="5" t="str">
        <f>"460003199304271420"</f>
        <v>460003199304271420</v>
      </c>
      <c r="E723" s="5" t="s">
        <v>15</v>
      </c>
      <c r="F723" s="5" t="str">
        <f>"073102030935"</f>
        <v>073102030935</v>
      </c>
      <c r="G723" s="7">
        <v>42.2</v>
      </c>
      <c r="H723" s="7">
        <f t="shared" si="51"/>
        <v>21.1</v>
      </c>
      <c r="I723" s="7">
        <v>34.184</v>
      </c>
      <c r="J723" s="7">
        <f t="shared" si="52"/>
        <v>17.092</v>
      </c>
      <c r="K723" s="10">
        <f t="shared" si="50"/>
        <v>38.192</v>
      </c>
      <c r="L723" s="7">
        <f t="shared" si="49"/>
        <v>443</v>
      </c>
      <c r="M723" s="11"/>
      <c r="N723"/>
    </row>
    <row r="724" spans="1:14" ht="24.75" customHeight="1">
      <c r="A724" s="5">
        <v>722</v>
      </c>
      <c r="B724" s="5" t="s">
        <v>19</v>
      </c>
      <c r="C724" s="5" t="str">
        <f>"杨景倩"</f>
        <v>杨景倩</v>
      </c>
      <c r="D724" s="5" t="str">
        <f>"469007199207184388"</f>
        <v>469007199207184388</v>
      </c>
      <c r="E724" s="5" t="s">
        <v>15</v>
      </c>
      <c r="F724" s="5" t="str">
        <f>"073102031220"</f>
        <v>073102031220</v>
      </c>
      <c r="G724" s="7">
        <v>45.3</v>
      </c>
      <c r="H724" s="7">
        <f t="shared" si="51"/>
        <v>22.65</v>
      </c>
      <c r="I724" s="7">
        <v>29.819</v>
      </c>
      <c r="J724" s="7">
        <f t="shared" si="52"/>
        <v>14.9095</v>
      </c>
      <c r="K724" s="10">
        <f t="shared" si="50"/>
        <v>37.5595</v>
      </c>
      <c r="L724" s="7">
        <f t="shared" si="49"/>
        <v>444</v>
      </c>
      <c r="M724" s="11"/>
      <c r="N724"/>
    </row>
    <row r="725" spans="1:14" ht="24.75" customHeight="1">
      <c r="A725" s="5">
        <v>723</v>
      </c>
      <c r="B725" s="5" t="s">
        <v>19</v>
      </c>
      <c r="C725" s="5" t="str">
        <f>"韩凤姣"</f>
        <v>韩凤姣</v>
      </c>
      <c r="D725" s="5" t="str">
        <f>"460003199702054421"</f>
        <v>460003199702054421</v>
      </c>
      <c r="E725" s="5" t="s">
        <v>15</v>
      </c>
      <c r="F725" s="5" t="str">
        <f>"073102030701"</f>
        <v>073102030701</v>
      </c>
      <c r="G725" s="7">
        <v>42.1</v>
      </c>
      <c r="H725" s="7">
        <f t="shared" si="51"/>
        <v>21.05</v>
      </c>
      <c r="I725" s="7">
        <v>32.774</v>
      </c>
      <c r="J725" s="7">
        <f t="shared" si="52"/>
        <v>16.387</v>
      </c>
      <c r="K725" s="10">
        <f t="shared" si="50"/>
        <v>37.437</v>
      </c>
      <c r="L725" s="7">
        <f t="shared" si="49"/>
        <v>445</v>
      </c>
      <c r="M725" s="11"/>
      <c r="N725"/>
    </row>
    <row r="726" spans="1:14" ht="24.75" customHeight="1">
      <c r="A726" s="5">
        <v>724</v>
      </c>
      <c r="B726" s="5" t="s">
        <v>19</v>
      </c>
      <c r="C726" s="5" t="str">
        <f>"陈星再"</f>
        <v>陈星再</v>
      </c>
      <c r="D726" s="5" t="str">
        <f>"460033200007085078"</f>
        <v>460033200007085078</v>
      </c>
      <c r="E726" s="5" t="s">
        <v>15</v>
      </c>
      <c r="F726" s="5" t="str">
        <f>"073102021004"</f>
        <v>073102021004</v>
      </c>
      <c r="G726" s="7">
        <v>56.9</v>
      </c>
      <c r="H726" s="7">
        <f t="shared" si="51"/>
        <v>28.45</v>
      </c>
      <c r="I726" s="7">
        <v>17.892</v>
      </c>
      <c r="J726" s="7">
        <f t="shared" si="52"/>
        <v>8.946</v>
      </c>
      <c r="K726" s="10">
        <f t="shared" si="50"/>
        <v>37.396</v>
      </c>
      <c r="L726" s="7">
        <f t="shared" si="49"/>
        <v>446</v>
      </c>
      <c r="M726" s="11"/>
      <c r="N726"/>
    </row>
    <row r="727" spans="1:14" ht="24.75" customHeight="1">
      <c r="A727" s="5">
        <v>725</v>
      </c>
      <c r="B727" s="5" t="s">
        <v>19</v>
      </c>
      <c r="C727" s="5" t="str">
        <f>"吴祺"</f>
        <v>吴祺</v>
      </c>
      <c r="D727" s="5" t="str">
        <f>"460003200004065225"</f>
        <v>460003200004065225</v>
      </c>
      <c r="E727" s="5" t="s">
        <v>15</v>
      </c>
      <c r="F727" s="5" t="str">
        <f>"073102031210"</f>
        <v>073102031210</v>
      </c>
      <c r="G727" s="7">
        <v>58.3</v>
      </c>
      <c r="H727" s="7">
        <f t="shared" si="51"/>
        <v>29.15</v>
      </c>
      <c r="I727" s="7">
        <v>16.454</v>
      </c>
      <c r="J727" s="7">
        <f t="shared" si="52"/>
        <v>8.227</v>
      </c>
      <c r="K727" s="10">
        <f t="shared" si="50"/>
        <v>37.376999999999995</v>
      </c>
      <c r="L727" s="7">
        <f t="shared" si="49"/>
        <v>447</v>
      </c>
      <c r="M727" s="11"/>
      <c r="N727"/>
    </row>
    <row r="728" spans="1:14" ht="24.75" customHeight="1">
      <c r="A728" s="5">
        <v>726</v>
      </c>
      <c r="B728" s="5" t="s">
        <v>19</v>
      </c>
      <c r="C728" s="5" t="str">
        <f>"符蕾蕾"</f>
        <v>符蕾蕾</v>
      </c>
      <c r="D728" s="5" t="str">
        <f>"460003199906045826"</f>
        <v>460003199906045826</v>
      </c>
      <c r="E728" s="5" t="s">
        <v>15</v>
      </c>
      <c r="F728" s="5" t="str">
        <f>"073102030838"</f>
        <v>073102030838</v>
      </c>
      <c r="G728" s="7">
        <v>60.5</v>
      </c>
      <c r="H728" s="7">
        <f t="shared" si="51"/>
        <v>30.25</v>
      </c>
      <c r="I728" s="7">
        <v>14.238</v>
      </c>
      <c r="J728" s="7">
        <f t="shared" si="52"/>
        <v>7.119</v>
      </c>
      <c r="K728" s="10">
        <f t="shared" si="50"/>
        <v>37.369</v>
      </c>
      <c r="L728" s="7">
        <f t="shared" si="49"/>
        <v>448</v>
      </c>
      <c r="M728" s="11"/>
      <c r="N728"/>
    </row>
    <row r="729" spans="1:14" ht="24.75" customHeight="1">
      <c r="A729" s="5">
        <v>727</v>
      </c>
      <c r="B729" s="5" t="s">
        <v>19</v>
      </c>
      <c r="C729" s="5" t="str">
        <f>"陈民燕"</f>
        <v>陈民燕</v>
      </c>
      <c r="D729" s="5" t="str">
        <f>"460003199511024422"</f>
        <v>460003199511024422</v>
      </c>
      <c r="E729" s="5" t="s">
        <v>15</v>
      </c>
      <c r="F729" s="5" t="str">
        <f>"073102020820"</f>
        <v>073102020820</v>
      </c>
      <c r="G729" s="7">
        <v>46</v>
      </c>
      <c r="H729" s="7">
        <f t="shared" si="51"/>
        <v>23</v>
      </c>
      <c r="I729" s="7">
        <v>28.302</v>
      </c>
      <c r="J729" s="7">
        <f t="shared" si="52"/>
        <v>14.151</v>
      </c>
      <c r="K729" s="10">
        <f t="shared" si="50"/>
        <v>37.150999999999996</v>
      </c>
      <c r="L729" s="7">
        <f aca="true" t="shared" si="53" ref="L729:L792">RANK(K729,$K$281:$K$1299,0)</f>
        <v>449</v>
      </c>
      <c r="M729" s="11"/>
      <c r="N729"/>
    </row>
    <row r="730" spans="1:14" ht="24.75" customHeight="1">
      <c r="A730" s="5">
        <v>728</v>
      </c>
      <c r="B730" s="5" t="s">
        <v>19</v>
      </c>
      <c r="C730" s="5" t="str">
        <f>"陈春蓉"</f>
        <v>陈春蓉</v>
      </c>
      <c r="D730" s="5" t="str">
        <f>"460034199706040427"</f>
        <v>460034199706040427</v>
      </c>
      <c r="E730" s="5" t="s">
        <v>15</v>
      </c>
      <c r="F730" s="5" t="str">
        <f>"073102030834"</f>
        <v>073102030834</v>
      </c>
      <c r="G730" s="7">
        <v>49.6</v>
      </c>
      <c r="H730" s="7">
        <f t="shared" si="51"/>
        <v>24.8</v>
      </c>
      <c r="I730" s="7">
        <v>23.64</v>
      </c>
      <c r="J730" s="7">
        <f t="shared" si="52"/>
        <v>11.82</v>
      </c>
      <c r="K730" s="10">
        <f t="shared" si="50"/>
        <v>36.620000000000005</v>
      </c>
      <c r="L730" s="7">
        <f t="shared" si="53"/>
        <v>450</v>
      </c>
      <c r="M730" s="11"/>
      <c r="N730"/>
    </row>
    <row r="731" spans="1:14" ht="24.75" customHeight="1">
      <c r="A731" s="5">
        <v>729</v>
      </c>
      <c r="B731" s="5" t="s">
        <v>19</v>
      </c>
      <c r="C731" s="5" t="str">
        <f>"羊秀凤"</f>
        <v>羊秀凤</v>
      </c>
      <c r="D731" s="5" t="str">
        <f>"460003199809267822"</f>
        <v>460003199809267822</v>
      </c>
      <c r="E731" s="5" t="s">
        <v>15</v>
      </c>
      <c r="F731" s="5" t="str">
        <f>"073102030939"</f>
        <v>073102030939</v>
      </c>
      <c r="G731" s="7">
        <v>56.4</v>
      </c>
      <c r="H731" s="7">
        <f t="shared" si="51"/>
        <v>28.2</v>
      </c>
      <c r="I731" s="7">
        <v>16.655</v>
      </c>
      <c r="J731" s="7">
        <f t="shared" si="52"/>
        <v>8.3275</v>
      </c>
      <c r="K731" s="10">
        <f t="shared" si="50"/>
        <v>36.5275</v>
      </c>
      <c r="L731" s="7">
        <f t="shared" si="53"/>
        <v>451</v>
      </c>
      <c r="M731" s="11"/>
      <c r="N731"/>
    </row>
    <row r="732" spans="1:14" ht="24.75" customHeight="1">
      <c r="A732" s="5">
        <v>730</v>
      </c>
      <c r="B732" s="5" t="s">
        <v>19</v>
      </c>
      <c r="C732" s="5" t="str">
        <f>"林树肃"</f>
        <v>林树肃</v>
      </c>
      <c r="D732" s="5" t="str">
        <f>"46000319971011245X"</f>
        <v>46000319971011245X</v>
      </c>
      <c r="E732" s="5" t="s">
        <v>15</v>
      </c>
      <c r="F732" s="5" t="str">
        <f>"073102030603"</f>
        <v>073102030603</v>
      </c>
      <c r="G732" s="7">
        <v>41.4</v>
      </c>
      <c r="H732" s="7">
        <f t="shared" si="51"/>
        <v>20.7</v>
      </c>
      <c r="I732" s="7">
        <v>31.229</v>
      </c>
      <c r="J732" s="7">
        <f t="shared" si="52"/>
        <v>15.6145</v>
      </c>
      <c r="K732" s="10">
        <f t="shared" si="50"/>
        <v>36.314499999999995</v>
      </c>
      <c r="L732" s="7">
        <f t="shared" si="53"/>
        <v>452</v>
      </c>
      <c r="M732" s="11"/>
      <c r="N732"/>
    </row>
    <row r="733" spans="1:14" ht="24.75" customHeight="1">
      <c r="A733" s="5">
        <v>731</v>
      </c>
      <c r="B733" s="5" t="s">
        <v>19</v>
      </c>
      <c r="C733" s="5" t="str">
        <f>"黄海燕"</f>
        <v>黄海燕</v>
      </c>
      <c r="D733" s="5" t="str">
        <f>"460034199901052722"</f>
        <v>460034199901052722</v>
      </c>
      <c r="E733" s="5" t="s">
        <v>15</v>
      </c>
      <c r="F733" s="5" t="str">
        <f>"073102021229"</f>
        <v>073102021229</v>
      </c>
      <c r="G733" s="7">
        <v>55.7</v>
      </c>
      <c r="H733" s="7">
        <f t="shared" si="51"/>
        <v>27.85</v>
      </c>
      <c r="I733" s="7">
        <v>16.916</v>
      </c>
      <c r="J733" s="7">
        <f t="shared" si="52"/>
        <v>8.458</v>
      </c>
      <c r="K733" s="10">
        <f t="shared" si="50"/>
        <v>36.308</v>
      </c>
      <c r="L733" s="7">
        <f t="shared" si="53"/>
        <v>453</v>
      </c>
      <c r="M733" s="11"/>
      <c r="N733"/>
    </row>
    <row r="734" spans="1:14" ht="24.75" customHeight="1">
      <c r="A734" s="5">
        <v>732</v>
      </c>
      <c r="B734" s="5" t="s">
        <v>19</v>
      </c>
      <c r="C734" s="5" t="str">
        <f>"罗永寿"</f>
        <v>罗永寿</v>
      </c>
      <c r="D734" s="5" t="str">
        <f>"460003199503131412"</f>
        <v>460003199503131412</v>
      </c>
      <c r="E734" s="5" t="s">
        <v>15</v>
      </c>
      <c r="F734" s="5" t="str">
        <f>"073102020841"</f>
        <v>073102020841</v>
      </c>
      <c r="G734" s="7">
        <v>33.5</v>
      </c>
      <c r="H734" s="7">
        <f t="shared" si="51"/>
        <v>16.75</v>
      </c>
      <c r="I734" s="7">
        <v>39.037</v>
      </c>
      <c r="J734" s="7">
        <f t="shared" si="52"/>
        <v>19.5185</v>
      </c>
      <c r="K734" s="10">
        <f t="shared" si="50"/>
        <v>36.2685</v>
      </c>
      <c r="L734" s="7">
        <f t="shared" si="53"/>
        <v>454</v>
      </c>
      <c r="M734" s="11"/>
      <c r="N734"/>
    </row>
    <row r="735" spans="1:13" ht="24.75" customHeight="1">
      <c r="A735" s="5">
        <v>733</v>
      </c>
      <c r="B735" s="5" t="s">
        <v>19</v>
      </c>
      <c r="C735" s="5" t="str">
        <f>"楼庚栩"</f>
        <v>楼庚栩</v>
      </c>
      <c r="D735" s="5" t="str">
        <f>"460003199009140620"</f>
        <v>460003199009140620</v>
      </c>
      <c r="E735" s="5" t="s">
        <v>16</v>
      </c>
      <c r="F735" s="5" t="str">
        <f>"073102031038"</f>
        <v>073102031038</v>
      </c>
      <c r="G735" s="7">
        <v>35.9</v>
      </c>
      <c r="H735" s="7">
        <f t="shared" si="51"/>
        <v>17.95</v>
      </c>
      <c r="I735" s="7">
        <v>32.639</v>
      </c>
      <c r="J735" s="7">
        <f t="shared" si="52"/>
        <v>16.3195</v>
      </c>
      <c r="K735" s="12">
        <v>35.982975</v>
      </c>
      <c r="L735" s="7">
        <f t="shared" si="53"/>
        <v>455</v>
      </c>
      <c r="M735" s="11" t="s">
        <v>17</v>
      </c>
    </row>
    <row r="736" spans="1:14" ht="24.75" customHeight="1">
      <c r="A736" s="5">
        <v>734</v>
      </c>
      <c r="B736" s="5" t="s">
        <v>19</v>
      </c>
      <c r="C736" s="5" t="str">
        <f>"赵雪云"</f>
        <v>赵雪云</v>
      </c>
      <c r="D736" s="5" t="str">
        <f>"460006199506032320"</f>
        <v>460006199506032320</v>
      </c>
      <c r="E736" s="5" t="s">
        <v>15</v>
      </c>
      <c r="F736" s="5" t="str">
        <f>"073102020505"</f>
        <v>073102020505</v>
      </c>
      <c r="G736" s="7">
        <v>71.4</v>
      </c>
      <c r="H736" s="7">
        <f t="shared" si="51"/>
        <v>35.7</v>
      </c>
      <c r="I736" s="7">
        <v>0.39</v>
      </c>
      <c r="J736" s="7">
        <f t="shared" si="52"/>
        <v>0.195</v>
      </c>
      <c r="K736" s="10">
        <f aca="true" t="shared" si="54" ref="K736:K750">H736+J736</f>
        <v>35.895</v>
      </c>
      <c r="L736" s="7">
        <f t="shared" si="53"/>
        <v>456</v>
      </c>
      <c r="M736" s="11"/>
      <c r="N736"/>
    </row>
    <row r="737" spans="1:14" ht="24.75" customHeight="1">
      <c r="A737" s="5">
        <v>735</v>
      </c>
      <c r="B737" s="5" t="s">
        <v>19</v>
      </c>
      <c r="C737" s="5" t="str">
        <f>"陈淑娜"</f>
        <v>陈淑娜</v>
      </c>
      <c r="D737" s="5" t="str">
        <f>"460003199107230021"</f>
        <v>460003199107230021</v>
      </c>
      <c r="E737" s="5" t="s">
        <v>15</v>
      </c>
      <c r="F737" s="5" t="str">
        <f>"073102030519"</f>
        <v>073102030519</v>
      </c>
      <c r="G737" s="7">
        <v>29.6</v>
      </c>
      <c r="H737" s="7">
        <f t="shared" si="51"/>
        <v>14.8</v>
      </c>
      <c r="I737" s="7">
        <v>42.109</v>
      </c>
      <c r="J737" s="7">
        <f t="shared" si="52"/>
        <v>21.0545</v>
      </c>
      <c r="K737" s="10">
        <f t="shared" si="54"/>
        <v>35.8545</v>
      </c>
      <c r="L737" s="7">
        <f t="shared" si="53"/>
        <v>457</v>
      </c>
      <c r="M737" s="11"/>
      <c r="N737"/>
    </row>
    <row r="738" spans="1:14" ht="24.75" customHeight="1">
      <c r="A738" s="5">
        <v>736</v>
      </c>
      <c r="B738" s="5" t="s">
        <v>19</v>
      </c>
      <c r="C738" s="5" t="str">
        <f>"吴奇风"</f>
        <v>吴奇风</v>
      </c>
      <c r="D738" s="5" t="str">
        <f>"46000319960916444X"</f>
        <v>46000319960916444X</v>
      </c>
      <c r="E738" s="5" t="s">
        <v>15</v>
      </c>
      <c r="F738" s="5" t="str">
        <f>"073102021206"</f>
        <v>073102021206</v>
      </c>
      <c r="G738" s="7">
        <v>52.6</v>
      </c>
      <c r="H738" s="7">
        <f t="shared" si="51"/>
        <v>26.3</v>
      </c>
      <c r="I738" s="7">
        <v>18.998</v>
      </c>
      <c r="J738" s="7">
        <f t="shared" si="52"/>
        <v>9.499</v>
      </c>
      <c r="K738" s="10">
        <f t="shared" si="54"/>
        <v>35.799</v>
      </c>
      <c r="L738" s="7">
        <f t="shared" si="53"/>
        <v>458</v>
      </c>
      <c r="M738" s="11"/>
      <c r="N738"/>
    </row>
    <row r="739" spans="1:14" ht="24.75" customHeight="1">
      <c r="A739" s="5">
        <v>737</v>
      </c>
      <c r="B739" s="5" t="s">
        <v>19</v>
      </c>
      <c r="C739" s="5" t="str">
        <f>"董雅芳"</f>
        <v>董雅芳</v>
      </c>
      <c r="D739" s="5" t="str">
        <f>"460003200006282688"</f>
        <v>460003200006282688</v>
      </c>
      <c r="E739" s="5" t="s">
        <v>15</v>
      </c>
      <c r="F739" s="5" t="str">
        <f>"073102020931"</f>
        <v>073102020931</v>
      </c>
      <c r="G739" s="7">
        <v>62.8</v>
      </c>
      <c r="H739" s="7">
        <f t="shared" si="51"/>
        <v>31.4</v>
      </c>
      <c r="I739" s="7">
        <v>8.458</v>
      </c>
      <c r="J739" s="7">
        <f t="shared" si="52"/>
        <v>4.229</v>
      </c>
      <c r="K739" s="10">
        <f t="shared" si="54"/>
        <v>35.629</v>
      </c>
      <c r="L739" s="7">
        <f t="shared" si="53"/>
        <v>459</v>
      </c>
      <c r="M739" s="11"/>
      <c r="N739"/>
    </row>
    <row r="740" spans="1:14" ht="24.75" customHeight="1">
      <c r="A740" s="5">
        <v>738</v>
      </c>
      <c r="B740" s="5" t="s">
        <v>19</v>
      </c>
      <c r="C740" s="5" t="str">
        <f>"谢夏楼"</f>
        <v>谢夏楼</v>
      </c>
      <c r="D740" s="5" t="str">
        <f>"460003199306184662"</f>
        <v>460003199306184662</v>
      </c>
      <c r="E740" s="5" t="s">
        <v>15</v>
      </c>
      <c r="F740" s="5" t="str">
        <f>"073102030108"</f>
        <v>073102030108</v>
      </c>
      <c r="G740" s="7">
        <v>49.6</v>
      </c>
      <c r="H740" s="7">
        <f t="shared" si="51"/>
        <v>24.8</v>
      </c>
      <c r="I740" s="7">
        <v>21.357</v>
      </c>
      <c r="J740" s="7">
        <f t="shared" si="52"/>
        <v>10.6785</v>
      </c>
      <c r="K740" s="10">
        <f t="shared" si="54"/>
        <v>35.4785</v>
      </c>
      <c r="L740" s="7">
        <f t="shared" si="53"/>
        <v>460</v>
      </c>
      <c r="M740" s="11"/>
      <c r="N740"/>
    </row>
    <row r="741" spans="1:14" ht="24.75" customHeight="1">
      <c r="A741" s="5">
        <v>739</v>
      </c>
      <c r="B741" s="5" t="s">
        <v>19</v>
      </c>
      <c r="C741" s="5" t="str">
        <f>"谢宏清"</f>
        <v>谢宏清</v>
      </c>
      <c r="D741" s="5" t="str">
        <f>"469005199807044810"</f>
        <v>469005199807044810</v>
      </c>
      <c r="E741" s="5" t="s">
        <v>15</v>
      </c>
      <c r="F741" s="5" t="str">
        <f>"073102020709"</f>
        <v>073102020709</v>
      </c>
      <c r="G741" s="7">
        <v>35.3</v>
      </c>
      <c r="H741" s="7">
        <f t="shared" si="51"/>
        <v>17.65</v>
      </c>
      <c r="I741" s="7">
        <v>35.459</v>
      </c>
      <c r="J741" s="7">
        <f t="shared" si="52"/>
        <v>17.7295</v>
      </c>
      <c r="K741" s="10">
        <f t="shared" si="54"/>
        <v>35.3795</v>
      </c>
      <c r="L741" s="7">
        <f t="shared" si="53"/>
        <v>461</v>
      </c>
      <c r="M741" s="11"/>
      <c r="N741"/>
    </row>
    <row r="742" spans="1:14" ht="24.75" customHeight="1">
      <c r="A742" s="5">
        <v>740</v>
      </c>
      <c r="B742" s="5" t="s">
        <v>19</v>
      </c>
      <c r="C742" s="5" t="str">
        <f>"胡梅艳"</f>
        <v>胡梅艳</v>
      </c>
      <c r="D742" s="5" t="str">
        <f>"460003199706146665"</f>
        <v>460003199706146665</v>
      </c>
      <c r="E742" s="5" t="s">
        <v>15</v>
      </c>
      <c r="F742" s="5" t="str">
        <f>"073102020801"</f>
        <v>073102020801</v>
      </c>
      <c r="G742" s="7">
        <v>47.4</v>
      </c>
      <c r="H742" s="7">
        <f t="shared" si="51"/>
        <v>23.7</v>
      </c>
      <c r="I742" s="7">
        <v>23.292</v>
      </c>
      <c r="J742" s="7">
        <f t="shared" si="52"/>
        <v>11.646</v>
      </c>
      <c r="K742" s="10">
        <f t="shared" si="54"/>
        <v>35.346000000000004</v>
      </c>
      <c r="L742" s="7">
        <f t="shared" si="53"/>
        <v>462</v>
      </c>
      <c r="M742" s="11"/>
      <c r="N742"/>
    </row>
    <row r="743" spans="1:14" ht="24.75" customHeight="1">
      <c r="A743" s="5">
        <v>741</v>
      </c>
      <c r="B743" s="5" t="s">
        <v>19</v>
      </c>
      <c r="C743" s="5" t="str">
        <f>"林前桂"</f>
        <v>林前桂</v>
      </c>
      <c r="D743" s="5" t="str">
        <f>"460003199208114249"</f>
        <v>460003199208114249</v>
      </c>
      <c r="E743" s="5" t="s">
        <v>15</v>
      </c>
      <c r="F743" s="5" t="str">
        <f>"073102020319"</f>
        <v>073102020319</v>
      </c>
      <c r="G743" s="7">
        <v>41.2</v>
      </c>
      <c r="H743" s="7">
        <f t="shared" si="51"/>
        <v>20.6</v>
      </c>
      <c r="I743" s="7">
        <v>28.887</v>
      </c>
      <c r="J743" s="7">
        <f t="shared" si="52"/>
        <v>14.4435</v>
      </c>
      <c r="K743" s="10">
        <f t="shared" si="54"/>
        <v>35.0435</v>
      </c>
      <c r="L743" s="7">
        <f t="shared" si="53"/>
        <v>463</v>
      </c>
      <c r="M743" s="11"/>
      <c r="N743"/>
    </row>
    <row r="744" spans="1:14" ht="24.75" customHeight="1">
      <c r="A744" s="5">
        <v>742</v>
      </c>
      <c r="B744" s="5" t="s">
        <v>19</v>
      </c>
      <c r="C744" s="5" t="str">
        <f>"黎丽交"</f>
        <v>黎丽交</v>
      </c>
      <c r="D744" s="5" t="str">
        <f>"460003199407192223"</f>
        <v>460003199407192223</v>
      </c>
      <c r="E744" s="5" t="s">
        <v>15</v>
      </c>
      <c r="F744" s="5" t="str">
        <f>"073102030731"</f>
        <v>073102030731</v>
      </c>
      <c r="G744" s="7">
        <v>37.9</v>
      </c>
      <c r="H744" s="7">
        <f t="shared" si="51"/>
        <v>18.95</v>
      </c>
      <c r="I744" s="7">
        <v>31.968</v>
      </c>
      <c r="J744" s="7">
        <f t="shared" si="52"/>
        <v>15.984</v>
      </c>
      <c r="K744" s="10">
        <f t="shared" si="54"/>
        <v>34.934</v>
      </c>
      <c r="L744" s="7">
        <f t="shared" si="53"/>
        <v>464</v>
      </c>
      <c r="M744" s="11"/>
      <c r="N744"/>
    </row>
    <row r="745" spans="1:14" ht="24.75" customHeight="1">
      <c r="A745" s="5">
        <v>743</v>
      </c>
      <c r="B745" s="5" t="s">
        <v>19</v>
      </c>
      <c r="C745" s="5" t="str">
        <f>"林斌斌"</f>
        <v>林斌斌</v>
      </c>
      <c r="D745" s="5" t="str">
        <f>"460003199606247434"</f>
        <v>460003199606247434</v>
      </c>
      <c r="E745" s="5" t="s">
        <v>15</v>
      </c>
      <c r="F745" s="5" t="str">
        <f>"073102020225"</f>
        <v>073102020225</v>
      </c>
      <c r="G745" s="7">
        <v>27.3</v>
      </c>
      <c r="H745" s="7">
        <f t="shared" si="51"/>
        <v>13.65</v>
      </c>
      <c r="I745" s="7">
        <v>42.095</v>
      </c>
      <c r="J745" s="7">
        <f t="shared" si="52"/>
        <v>21.0475</v>
      </c>
      <c r="K745" s="10">
        <f t="shared" si="54"/>
        <v>34.6975</v>
      </c>
      <c r="L745" s="7">
        <f t="shared" si="53"/>
        <v>465</v>
      </c>
      <c r="M745" s="11"/>
      <c r="N745"/>
    </row>
    <row r="746" spans="1:14" ht="24.75" customHeight="1">
      <c r="A746" s="5">
        <v>744</v>
      </c>
      <c r="B746" s="5" t="s">
        <v>19</v>
      </c>
      <c r="C746" s="5" t="str">
        <f>"王泉淞"</f>
        <v>王泉淞</v>
      </c>
      <c r="D746" s="5" t="str">
        <f>"460028199812122410"</f>
        <v>460028199812122410</v>
      </c>
      <c r="E746" s="5" t="s">
        <v>15</v>
      </c>
      <c r="F746" s="5" t="str">
        <f>"073102021137"</f>
        <v>073102021137</v>
      </c>
      <c r="G746" s="7">
        <v>29.6</v>
      </c>
      <c r="H746" s="7">
        <f t="shared" si="51"/>
        <v>14.8</v>
      </c>
      <c r="I746" s="7">
        <v>39.558</v>
      </c>
      <c r="J746" s="7">
        <f t="shared" si="52"/>
        <v>19.779</v>
      </c>
      <c r="K746" s="10">
        <f t="shared" si="54"/>
        <v>34.579</v>
      </c>
      <c r="L746" s="7">
        <f t="shared" si="53"/>
        <v>466</v>
      </c>
      <c r="M746" s="11"/>
      <c r="N746"/>
    </row>
    <row r="747" spans="1:14" ht="24.75" customHeight="1">
      <c r="A747" s="5">
        <v>745</v>
      </c>
      <c r="B747" s="5" t="s">
        <v>19</v>
      </c>
      <c r="C747" s="5" t="str">
        <f>"钟绵嘉"</f>
        <v>钟绵嘉</v>
      </c>
      <c r="D747" s="5" t="str">
        <f>"460003199203125221"</f>
        <v>460003199203125221</v>
      </c>
      <c r="E747" s="5" t="s">
        <v>15</v>
      </c>
      <c r="F747" s="5" t="str">
        <f>"073102031130"</f>
        <v>073102031130</v>
      </c>
      <c r="G747" s="7">
        <v>45.4</v>
      </c>
      <c r="H747" s="7">
        <f t="shared" si="51"/>
        <v>22.7</v>
      </c>
      <c r="I747" s="7">
        <v>23.17</v>
      </c>
      <c r="J747" s="7">
        <f t="shared" si="52"/>
        <v>11.585</v>
      </c>
      <c r="K747" s="10">
        <f t="shared" si="54"/>
        <v>34.285</v>
      </c>
      <c r="L747" s="7">
        <f t="shared" si="53"/>
        <v>467</v>
      </c>
      <c r="M747" s="11"/>
      <c r="N747"/>
    </row>
    <row r="748" spans="1:14" ht="24.75" customHeight="1">
      <c r="A748" s="5">
        <v>746</v>
      </c>
      <c r="B748" s="5" t="s">
        <v>19</v>
      </c>
      <c r="C748" s="5" t="str">
        <f>"余业娟"</f>
        <v>余业娟</v>
      </c>
      <c r="D748" s="5" t="str">
        <f>"460003199010126666"</f>
        <v>460003199010126666</v>
      </c>
      <c r="E748" s="5" t="s">
        <v>15</v>
      </c>
      <c r="F748" s="5" t="str">
        <f>"073102030233"</f>
        <v>073102030233</v>
      </c>
      <c r="G748" s="7">
        <v>40.6</v>
      </c>
      <c r="H748" s="7">
        <f t="shared" si="51"/>
        <v>20.3</v>
      </c>
      <c r="I748" s="7">
        <v>27.804</v>
      </c>
      <c r="J748" s="7">
        <f t="shared" si="52"/>
        <v>13.902</v>
      </c>
      <c r="K748" s="10">
        <f t="shared" si="54"/>
        <v>34.202</v>
      </c>
      <c r="L748" s="7">
        <f t="shared" si="53"/>
        <v>468</v>
      </c>
      <c r="M748" s="11"/>
      <c r="N748"/>
    </row>
    <row r="749" spans="1:14" ht="24.75" customHeight="1">
      <c r="A749" s="5">
        <v>747</v>
      </c>
      <c r="B749" s="5" t="s">
        <v>19</v>
      </c>
      <c r="C749" s="5" t="str">
        <f>"陈笔愉"</f>
        <v>陈笔愉</v>
      </c>
      <c r="D749" s="5" t="str">
        <f>"460003199701204424"</f>
        <v>460003199701204424</v>
      </c>
      <c r="E749" s="5" t="s">
        <v>15</v>
      </c>
      <c r="F749" s="5" t="str">
        <f>"073102030126"</f>
        <v>073102030126</v>
      </c>
      <c r="G749" s="7">
        <v>40.1</v>
      </c>
      <c r="H749" s="7">
        <f t="shared" si="51"/>
        <v>20.05</v>
      </c>
      <c r="I749" s="7">
        <v>27.737</v>
      </c>
      <c r="J749" s="7">
        <f t="shared" si="52"/>
        <v>13.8685</v>
      </c>
      <c r="K749" s="10">
        <f t="shared" si="54"/>
        <v>33.9185</v>
      </c>
      <c r="L749" s="7">
        <f t="shared" si="53"/>
        <v>469</v>
      </c>
      <c r="M749" s="11"/>
      <c r="N749"/>
    </row>
    <row r="750" spans="1:14" ht="24.75" customHeight="1">
      <c r="A750" s="5">
        <v>748</v>
      </c>
      <c r="B750" s="5" t="s">
        <v>19</v>
      </c>
      <c r="C750" s="5" t="str">
        <f>"符诗颖"</f>
        <v>符诗颖</v>
      </c>
      <c r="D750" s="5" t="str">
        <f>"469003199705101922"</f>
        <v>469003199705101922</v>
      </c>
      <c r="E750" s="5" t="s">
        <v>15</v>
      </c>
      <c r="F750" s="5" t="str">
        <f>"073102030309"</f>
        <v>073102030309</v>
      </c>
      <c r="G750" s="7">
        <v>29.5</v>
      </c>
      <c r="H750" s="7">
        <f t="shared" si="51"/>
        <v>14.75</v>
      </c>
      <c r="I750" s="7">
        <v>37.676</v>
      </c>
      <c r="J750" s="7">
        <f t="shared" si="52"/>
        <v>18.838</v>
      </c>
      <c r="K750" s="10">
        <f t="shared" si="54"/>
        <v>33.588</v>
      </c>
      <c r="L750" s="7">
        <f t="shared" si="53"/>
        <v>470</v>
      </c>
      <c r="M750" s="11"/>
      <c r="N750"/>
    </row>
    <row r="751" spans="1:13" ht="24.75" customHeight="1">
      <c r="A751" s="5">
        <v>749</v>
      </c>
      <c r="B751" s="5" t="s">
        <v>19</v>
      </c>
      <c r="C751" s="5" t="str">
        <f>"李坤"</f>
        <v>李坤</v>
      </c>
      <c r="D751" s="5" t="str">
        <f>"460003199801232625"</f>
        <v>460003199801232625</v>
      </c>
      <c r="E751" s="5" t="s">
        <v>16</v>
      </c>
      <c r="F751" s="5" t="str">
        <f>"073102020913"</f>
        <v>073102020913</v>
      </c>
      <c r="G751" s="7">
        <v>44.9</v>
      </c>
      <c r="H751" s="7">
        <f t="shared" si="51"/>
        <v>22.45</v>
      </c>
      <c r="I751" s="7">
        <v>19.063</v>
      </c>
      <c r="J751" s="7">
        <f t="shared" si="52"/>
        <v>9.5315</v>
      </c>
      <c r="K751" s="12">
        <v>33.580574999999996</v>
      </c>
      <c r="L751" s="7">
        <f t="shared" si="53"/>
        <v>471</v>
      </c>
      <c r="M751" s="11" t="s">
        <v>17</v>
      </c>
    </row>
    <row r="752" spans="1:14" ht="24.75" customHeight="1">
      <c r="A752" s="5">
        <v>750</v>
      </c>
      <c r="B752" s="5" t="s">
        <v>19</v>
      </c>
      <c r="C752" s="5" t="str">
        <f>"许晨缘"</f>
        <v>许晨缘</v>
      </c>
      <c r="D752" s="5" t="str">
        <f>"46002819970609003X"</f>
        <v>46002819970609003X</v>
      </c>
      <c r="E752" s="5" t="s">
        <v>15</v>
      </c>
      <c r="F752" s="5" t="str">
        <f>"073102020703"</f>
        <v>073102020703</v>
      </c>
      <c r="G752" s="7">
        <v>32.7</v>
      </c>
      <c r="H752" s="7">
        <f t="shared" si="51"/>
        <v>16.35</v>
      </c>
      <c r="I752" s="7">
        <v>34.418</v>
      </c>
      <c r="J752" s="7">
        <f t="shared" si="52"/>
        <v>17.209</v>
      </c>
      <c r="K752" s="10">
        <f aca="true" t="shared" si="55" ref="K752:K755">H752+J752</f>
        <v>33.559</v>
      </c>
      <c r="L752" s="7">
        <f t="shared" si="53"/>
        <v>472</v>
      </c>
      <c r="M752" s="11"/>
      <c r="N752"/>
    </row>
    <row r="753" spans="1:14" ht="24.75" customHeight="1">
      <c r="A753" s="5">
        <v>751</v>
      </c>
      <c r="B753" s="5" t="s">
        <v>19</v>
      </c>
      <c r="C753" s="5" t="str">
        <f>"符文青"</f>
        <v>符文青</v>
      </c>
      <c r="D753" s="5" t="str">
        <f>"460007199809256846"</f>
        <v>460007199809256846</v>
      </c>
      <c r="E753" s="5" t="s">
        <v>15</v>
      </c>
      <c r="F753" s="5" t="str">
        <f>"073102020833"</f>
        <v>073102020833</v>
      </c>
      <c r="G753" s="7">
        <v>39.2</v>
      </c>
      <c r="H753" s="7">
        <f t="shared" si="51"/>
        <v>19.6</v>
      </c>
      <c r="I753" s="7">
        <v>27.196</v>
      </c>
      <c r="J753" s="7">
        <f t="shared" si="52"/>
        <v>13.598</v>
      </c>
      <c r="K753" s="10">
        <f t="shared" si="55"/>
        <v>33.198</v>
      </c>
      <c r="L753" s="7">
        <f t="shared" si="53"/>
        <v>473</v>
      </c>
      <c r="M753" s="11"/>
      <c r="N753"/>
    </row>
    <row r="754" spans="1:14" ht="24.75" customHeight="1">
      <c r="A754" s="5">
        <v>752</v>
      </c>
      <c r="B754" s="5" t="s">
        <v>19</v>
      </c>
      <c r="C754" s="5" t="str">
        <f>"符定高"</f>
        <v>符定高</v>
      </c>
      <c r="D754" s="5" t="str">
        <f>"46000319930303663X"</f>
        <v>46000319930303663X</v>
      </c>
      <c r="E754" s="5" t="s">
        <v>15</v>
      </c>
      <c r="F754" s="5" t="str">
        <f>"073102020240"</f>
        <v>073102020240</v>
      </c>
      <c r="G754" s="7">
        <v>43.6</v>
      </c>
      <c r="H754" s="7">
        <f t="shared" si="51"/>
        <v>21.8</v>
      </c>
      <c r="I754" s="7">
        <v>22.642</v>
      </c>
      <c r="J754" s="7">
        <f t="shared" si="52"/>
        <v>11.321</v>
      </c>
      <c r="K754" s="10">
        <f t="shared" si="55"/>
        <v>33.121</v>
      </c>
      <c r="L754" s="7">
        <f t="shared" si="53"/>
        <v>474</v>
      </c>
      <c r="M754" s="11"/>
      <c r="N754"/>
    </row>
    <row r="755" spans="1:14" ht="24.75" customHeight="1">
      <c r="A755" s="5">
        <v>753</v>
      </c>
      <c r="B755" s="5" t="s">
        <v>19</v>
      </c>
      <c r="C755" s="5" t="str">
        <f>"符业康"</f>
        <v>符业康</v>
      </c>
      <c r="D755" s="5" t="str">
        <f>"460003199309066231"</f>
        <v>460003199309066231</v>
      </c>
      <c r="E755" s="5" t="s">
        <v>15</v>
      </c>
      <c r="F755" s="5" t="str">
        <f>"073102020842"</f>
        <v>073102020842</v>
      </c>
      <c r="G755" s="7">
        <v>45.6</v>
      </c>
      <c r="H755" s="7">
        <f t="shared" si="51"/>
        <v>22.8</v>
      </c>
      <c r="I755" s="7">
        <v>19.388</v>
      </c>
      <c r="J755" s="7">
        <f t="shared" si="52"/>
        <v>9.694</v>
      </c>
      <c r="K755" s="10">
        <f t="shared" si="55"/>
        <v>32.494</v>
      </c>
      <c r="L755" s="7">
        <f t="shared" si="53"/>
        <v>475</v>
      </c>
      <c r="M755" s="11"/>
      <c r="N755"/>
    </row>
    <row r="756" spans="1:13" ht="24.75" customHeight="1">
      <c r="A756" s="5">
        <v>754</v>
      </c>
      <c r="B756" s="5" t="s">
        <v>19</v>
      </c>
      <c r="C756" s="5" t="str">
        <f>"林怡"</f>
        <v>林怡</v>
      </c>
      <c r="D756" s="5" t="str">
        <f>"460003199007202621"</f>
        <v>460003199007202621</v>
      </c>
      <c r="E756" s="5" t="s">
        <v>16</v>
      </c>
      <c r="F756" s="5" t="str">
        <f>"073102031131"</f>
        <v>073102031131</v>
      </c>
      <c r="G756" s="7">
        <v>26</v>
      </c>
      <c r="H756" s="7">
        <f t="shared" si="51"/>
        <v>13</v>
      </c>
      <c r="I756" s="7">
        <v>35.594</v>
      </c>
      <c r="J756" s="7">
        <f t="shared" si="52"/>
        <v>17.797</v>
      </c>
      <c r="K756" s="12">
        <v>32.336850000000005</v>
      </c>
      <c r="L756" s="7">
        <f t="shared" si="53"/>
        <v>476</v>
      </c>
      <c r="M756" s="11" t="s">
        <v>17</v>
      </c>
    </row>
    <row r="757" spans="1:14" ht="24.75" customHeight="1">
      <c r="A757" s="5">
        <v>755</v>
      </c>
      <c r="B757" s="5" t="s">
        <v>19</v>
      </c>
      <c r="C757" s="5" t="str">
        <f>"林海莉"</f>
        <v>林海莉</v>
      </c>
      <c r="D757" s="5" t="str">
        <f>"460102199008211887"</f>
        <v>460102199008211887</v>
      </c>
      <c r="E757" s="5" t="s">
        <v>15</v>
      </c>
      <c r="F757" s="5" t="str">
        <f>"073102020134"</f>
        <v>073102020134</v>
      </c>
      <c r="G757" s="7">
        <v>48.5</v>
      </c>
      <c r="H757" s="7">
        <f t="shared" si="51"/>
        <v>24.25</v>
      </c>
      <c r="I757" s="7">
        <v>16.07</v>
      </c>
      <c r="J757" s="7">
        <f t="shared" si="52"/>
        <v>8.035</v>
      </c>
      <c r="K757" s="10">
        <f aca="true" t="shared" si="56" ref="K757:K767">H757+J757</f>
        <v>32.285</v>
      </c>
      <c r="L757" s="7">
        <f t="shared" si="53"/>
        <v>477</v>
      </c>
      <c r="M757" s="11"/>
      <c r="N757"/>
    </row>
    <row r="758" spans="1:14" ht="24.75" customHeight="1">
      <c r="A758" s="5">
        <v>756</v>
      </c>
      <c r="B758" s="5" t="s">
        <v>19</v>
      </c>
      <c r="C758" s="5" t="str">
        <f>"黎克秀"</f>
        <v>黎克秀</v>
      </c>
      <c r="D758" s="5" t="str">
        <f>"469003199312182223"</f>
        <v>469003199312182223</v>
      </c>
      <c r="E758" s="5" t="s">
        <v>15</v>
      </c>
      <c r="F758" s="5" t="str">
        <f>"073102030118"</f>
        <v>073102030118</v>
      </c>
      <c r="G758" s="7">
        <v>44.7</v>
      </c>
      <c r="H758" s="7">
        <f t="shared" si="51"/>
        <v>22.35</v>
      </c>
      <c r="I758" s="7">
        <v>19.812</v>
      </c>
      <c r="J758" s="7">
        <f t="shared" si="52"/>
        <v>9.906</v>
      </c>
      <c r="K758" s="10">
        <f t="shared" si="56"/>
        <v>32.256</v>
      </c>
      <c r="L758" s="7">
        <f t="shared" si="53"/>
        <v>478</v>
      </c>
      <c r="M758" s="11"/>
      <c r="N758"/>
    </row>
    <row r="759" spans="1:14" ht="24.75" customHeight="1">
      <c r="A759" s="5">
        <v>757</v>
      </c>
      <c r="B759" s="5" t="s">
        <v>19</v>
      </c>
      <c r="C759" s="5" t="str">
        <f>"郭秀民"</f>
        <v>郭秀民</v>
      </c>
      <c r="D759" s="5" t="str">
        <f>"46000319950611663X"</f>
        <v>46000319950611663X</v>
      </c>
      <c r="E759" s="5" t="s">
        <v>15</v>
      </c>
      <c r="F759" s="5" t="str">
        <f>"073102030714"</f>
        <v>073102030714</v>
      </c>
      <c r="G759" s="7">
        <v>40.8</v>
      </c>
      <c r="H759" s="7">
        <f t="shared" si="51"/>
        <v>20.4</v>
      </c>
      <c r="I759" s="7">
        <v>22.901</v>
      </c>
      <c r="J759" s="7">
        <f t="shared" si="52"/>
        <v>11.4505</v>
      </c>
      <c r="K759" s="10">
        <f t="shared" si="56"/>
        <v>31.850499999999997</v>
      </c>
      <c r="L759" s="7">
        <f t="shared" si="53"/>
        <v>479</v>
      </c>
      <c r="M759" s="11"/>
      <c r="N759"/>
    </row>
    <row r="760" spans="1:14" ht="24.75" customHeight="1">
      <c r="A760" s="5">
        <v>758</v>
      </c>
      <c r="B760" s="5" t="s">
        <v>19</v>
      </c>
      <c r="C760" s="5" t="str">
        <f>"羊琼彩"</f>
        <v>羊琼彩</v>
      </c>
      <c r="D760" s="5" t="str">
        <f>"460003199905063424"</f>
        <v>460003199905063424</v>
      </c>
      <c r="E760" s="5" t="s">
        <v>15</v>
      </c>
      <c r="F760" s="5" t="str">
        <f>"073102030417"</f>
        <v>073102030417</v>
      </c>
      <c r="G760" s="7">
        <v>40.7</v>
      </c>
      <c r="H760" s="7">
        <f t="shared" si="51"/>
        <v>20.35</v>
      </c>
      <c r="I760" s="7">
        <v>21.827</v>
      </c>
      <c r="J760" s="7">
        <f t="shared" si="52"/>
        <v>10.9135</v>
      </c>
      <c r="K760" s="10">
        <f t="shared" si="56"/>
        <v>31.2635</v>
      </c>
      <c r="L760" s="7">
        <f t="shared" si="53"/>
        <v>480</v>
      </c>
      <c r="M760" s="11"/>
      <c r="N760"/>
    </row>
    <row r="761" spans="1:14" ht="24.75" customHeight="1">
      <c r="A761" s="5">
        <v>759</v>
      </c>
      <c r="B761" s="5" t="s">
        <v>19</v>
      </c>
      <c r="C761" s="5" t="str">
        <f>"符桂珍"</f>
        <v>符桂珍</v>
      </c>
      <c r="D761" s="5" t="str">
        <f>"469007200005168529"</f>
        <v>469007200005168529</v>
      </c>
      <c r="E761" s="5" t="s">
        <v>15</v>
      </c>
      <c r="F761" s="5" t="str">
        <f>"073102030725"</f>
        <v>073102030725</v>
      </c>
      <c r="G761" s="7">
        <v>36</v>
      </c>
      <c r="H761" s="7">
        <f t="shared" si="51"/>
        <v>18</v>
      </c>
      <c r="I761" s="7">
        <v>26.058</v>
      </c>
      <c r="J761" s="7">
        <f t="shared" si="52"/>
        <v>13.029</v>
      </c>
      <c r="K761" s="10">
        <f t="shared" si="56"/>
        <v>31.029</v>
      </c>
      <c r="L761" s="7">
        <f t="shared" si="53"/>
        <v>481</v>
      </c>
      <c r="M761" s="11"/>
      <c r="N761"/>
    </row>
    <row r="762" spans="1:14" ht="24.75" customHeight="1">
      <c r="A762" s="5">
        <v>760</v>
      </c>
      <c r="B762" s="5" t="s">
        <v>19</v>
      </c>
      <c r="C762" s="5" t="str">
        <f>"郭琼美"</f>
        <v>郭琼美</v>
      </c>
      <c r="D762" s="5" t="str">
        <f>"460300199305120023"</f>
        <v>460300199305120023</v>
      </c>
      <c r="E762" s="5" t="s">
        <v>15</v>
      </c>
      <c r="F762" s="5" t="str">
        <f>"073102020205"</f>
        <v>073102020205</v>
      </c>
      <c r="G762" s="7">
        <v>39</v>
      </c>
      <c r="H762" s="7">
        <f t="shared" si="51"/>
        <v>19.5</v>
      </c>
      <c r="I762" s="7">
        <v>22.186</v>
      </c>
      <c r="J762" s="7">
        <f t="shared" si="52"/>
        <v>11.093</v>
      </c>
      <c r="K762" s="10">
        <f t="shared" si="56"/>
        <v>30.593</v>
      </c>
      <c r="L762" s="7">
        <f t="shared" si="53"/>
        <v>482</v>
      </c>
      <c r="M762" s="11"/>
      <c r="N762"/>
    </row>
    <row r="763" spans="1:14" ht="24.75" customHeight="1">
      <c r="A763" s="5">
        <v>761</v>
      </c>
      <c r="B763" s="5" t="s">
        <v>19</v>
      </c>
      <c r="C763" s="5" t="str">
        <f>"吴清芳"</f>
        <v>吴清芳</v>
      </c>
      <c r="D763" s="5" t="str">
        <f>"460007199310204983"</f>
        <v>460007199310204983</v>
      </c>
      <c r="E763" s="5" t="s">
        <v>15</v>
      </c>
      <c r="F763" s="5" t="str">
        <f>"073102020227"</f>
        <v>073102020227</v>
      </c>
      <c r="G763" s="7">
        <v>31.5</v>
      </c>
      <c r="H763" s="7">
        <f t="shared" si="51"/>
        <v>15.75</v>
      </c>
      <c r="I763" s="7">
        <v>29.278</v>
      </c>
      <c r="J763" s="7">
        <f t="shared" si="52"/>
        <v>14.639</v>
      </c>
      <c r="K763" s="10">
        <f t="shared" si="56"/>
        <v>30.389</v>
      </c>
      <c r="L763" s="7">
        <f t="shared" si="53"/>
        <v>483</v>
      </c>
      <c r="M763" s="11"/>
      <c r="N763"/>
    </row>
    <row r="764" spans="1:14" ht="24.75" customHeight="1">
      <c r="A764" s="5">
        <v>762</v>
      </c>
      <c r="B764" s="5" t="s">
        <v>19</v>
      </c>
      <c r="C764" s="5" t="str">
        <f>"王文君"</f>
        <v>王文君</v>
      </c>
      <c r="D764" s="5" t="str">
        <f>"46003619981220212X"</f>
        <v>46003619981220212X</v>
      </c>
      <c r="E764" s="5" t="s">
        <v>15</v>
      </c>
      <c r="F764" s="5" t="str">
        <f>"073102020233"</f>
        <v>073102020233</v>
      </c>
      <c r="G764" s="7">
        <v>28.4</v>
      </c>
      <c r="H764" s="7">
        <f t="shared" si="51"/>
        <v>14.2</v>
      </c>
      <c r="I764" s="7">
        <v>32.01</v>
      </c>
      <c r="J764" s="7">
        <f t="shared" si="52"/>
        <v>16.005</v>
      </c>
      <c r="K764" s="10">
        <f t="shared" si="56"/>
        <v>30.205</v>
      </c>
      <c r="L764" s="7">
        <f t="shared" si="53"/>
        <v>484</v>
      </c>
      <c r="M764" s="11"/>
      <c r="N764"/>
    </row>
    <row r="765" spans="1:14" ht="24.75" customHeight="1">
      <c r="A765" s="5">
        <v>763</v>
      </c>
      <c r="B765" s="5" t="s">
        <v>19</v>
      </c>
      <c r="C765" s="5" t="str">
        <f>"李兰花"</f>
        <v>李兰花</v>
      </c>
      <c r="D765" s="5" t="str">
        <f>"460003199709203020"</f>
        <v>460003199709203020</v>
      </c>
      <c r="E765" s="5" t="s">
        <v>15</v>
      </c>
      <c r="F765" s="5" t="str">
        <f>"073102030228"</f>
        <v>073102030228</v>
      </c>
      <c r="G765" s="7">
        <v>36</v>
      </c>
      <c r="H765" s="7">
        <f t="shared" si="51"/>
        <v>18</v>
      </c>
      <c r="I765" s="7">
        <v>24.312</v>
      </c>
      <c r="J765" s="7">
        <f t="shared" si="52"/>
        <v>12.156</v>
      </c>
      <c r="K765" s="10">
        <f t="shared" si="56"/>
        <v>30.156</v>
      </c>
      <c r="L765" s="7">
        <f t="shared" si="53"/>
        <v>485</v>
      </c>
      <c r="M765" s="11"/>
      <c r="N765"/>
    </row>
    <row r="766" spans="1:14" ht="24.75" customHeight="1">
      <c r="A766" s="5">
        <v>764</v>
      </c>
      <c r="B766" s="5" t="s">
        <v>19</v>
      </c>
      <c r="C766" s="5" t="str">
        <f>"曾小丹"</f>
        <v>曾小丹</v>
      </c>
      <c r="D766" s="5" t="str">
        <f>"460028199906040440"</f>
        <v>460028199906040440</v>
      </c>
      <c r="E766" s="5" t="s">
        <v>15</v>
      </c>
      <c r="F766" s="5" t="str">
        <f>"073102020706"</f>
        <v>073102020706</v>
      </c>
      <c r="G766" s="7">
        <v>31.6</v>
      </c>
      <c r="H766" s="7">
        <f t="shared" si="51"/>
        <v>15.8</v>
      </c>
      <c r="I766" s="7">
        <v>26.936</v>
      </c>
      <c r="J766" s="7">
        <f t="shared" si="52"/>
        <v>13.468</v>
      </c>
      <c r="K766" s="10">
        <f t="shared" si="56"/>
        <v>29.268</v>
      </c>
      <c r="L766" s="7">
        <f t="shared" si="53"/>
        <v>486</v>
      </c>
      <c r="M766" s="11"/>
      <c r="N766"/>
    </row>
    <row r="767" spans="1:14" ht="24.75" customHeight="1">
      <c r="A767" s="5">
        <v>765</v>
      </c>
      <c r="B767" s="5" t="s">
        <v>19</v>
      </c>
      <c r="C767" s="5" t="str">
        <f>"李春枝"</f>
        <v>李春枝</v>
      </c>
      <c r="D767" s="5" t="str">
        <f>"46000319980422222X"</f>
        <v>46000319980422222X</v>
      </c>
      <c r="E767" s="5" t="s">
        <v>15</v>
      </c>
      <c r="F767" s="5" t="str">
        <f>"073102030716"</f>
        <v>073102030716</v>
      </c>
      <c r="G767" s="7">
        <v>41.4</v>
      </c>
      <c r="H767" s="7">
        <f t="shared" si="51"/>
        <v>20.7</v>
      </c>
      <c r="I767" s="7">
        <v>17.126</v>
      </c>
      <c r="J767" s="7">
        <f t="shared" si="52"/>
        <v>8.563</v>
      </c>
      <c r="K767" s="10">
        <f t="shared" si="56"/>
        <v>29.262999999999998</v>
      </c>
      <c r="L767" s="7">
        <f t="shared" si="53"/>
        <v>487</v>
      </c>
      <c r="M767" s="11"/>
      <c r="N767"/>
    </row>
    <row r="768" spans="1:13" ht="24.75" customHeight="1">
      <c r="A768" s="5">
        <v>766</v>
      </c>
      <c r="B768" s="5" t="s">
        <v>19</v>
      </c>
      <c r="C768" s="5" t="str">
        <f>"邓正月"</f>
        <v>邓正月</v>
      </c>
      <c r="D768" s="5" t="str">
        <f>"460003199408107641"</f>
        <v>460003199408107641</v>
      </c>
      <c r="E768" s="5" t="s">
        <v>16</v>
      </c>
      <c r="F768" s="5" t="str">
        <f>"073102030139"</f>
        <v>073102030139</v>
      </c>
      <c r="G768" s="7">
        <v>28.9</v>
      </c>
      <c r="H768" s="7">
        <f t="shared" si="51"/>
        <v>14.45</v>
      </c>
      <c r="I768" s="7">
        <v>25.588</v>
      </c>
      <c r="J768" s="7">
        <f t="shared" si="52"/>
        <v>12.794</v>
      </c>
      <c r="K768" s="12">
        <v>28.6062</v>
      </c>
      <c r="L768" s="7">
        <f t="shared" si="53"/>
        <v>488</v>
      </c>
      <c r="M768" s="11" t="s">
        <v>17</v>
      </c>
    </row>
    <row r="769" spans="1:14" ht="24.75" customHeight="1">
      <c r="A769" s="5">
        <v>767</v>
      </c>
      <c r="B769" s="5" t="s">
        <v>19</v>
      </c>
      <c r="C769" s="5" t="str">
        <f>"吴关龙"</f>
        <v>吴关龙</v>
      </c>
      <c r="D769" s="5" t="str">
        <f>"460007199901277615"</f>
        <v>460007199901277615</v>
      </c>
      <c r="E769" s="5" t="s">
        <v>15</v>
      </c>
      <c r="F769" s="5" t="str">
        <f>"073102020224"</f>
        <v>073102020224</v>
      </c>
      <c r="G769" s="7">
        <v>34.4</v>
      </c>
      <c r="H769" s="7">
        <f t="shared" si="51"/>
        <v>17.2</v>
      </c>
      <c r="I769" s="7">
        <v>22.707</v>
      </c>
      <c r="J769" s="7">
        <f t="shared" si="52"/>
        <v>11.3535</v>
      </c>
      <c r="K769" s="10">
        <f aca="true" t="shared" si="57" ref="K769:K778">H769+J769</f>
        <v>28.5535</v>
      </c>
      <c r="L769" s="7">
        <f t="shared" si="53"/>
        <v>489</v>
      </c>
      <c r="M769" s="11"/>
      <c r="N769"/>
    </row>
    <row r="770" spans="1:14" ht="24.75" customHeight="1">
      <c r="A770" s="5">
        <v>768</v>
      </c>
      <c r="B770" s="5" t="s">
        <v>19</v>
      </c>
      <c r="C770" s="5" t="str">
        <f>"羊科爵"</f>
        <v>羊科爵</v>
      </c>
      <c r="D770" s="5" t="str">
        <f>"460003200101170019"</f>
        <v>460003200101170019</v>
      </c>
      <c r="E770" s="5" t="s">
        <v>15</v>
      </c>
      <c r="F770" s="5" t="str">
        <f>"073102030719"</f>
        <v>073102030719</v>
      </c>
      <c r="G770" s="7">
        <v>17.3</v>
      </c>
      <c r="H770" s="7">
        <f t="shared" si="51"/>
        <v>8.65</v>
      </c>
      <c r="I770" s="7">
        <v>39.49</v>
      </c>
      <c r="J770" s="7">
        <f t="shared" si="52"/>
        <v>19.745</v>
      </c>
      <c r="K770" s="10">
        <f t="shared" si="57"/>
        <v>28.395000000000003</v>
      </c>
      <c r="L770" s="7">
        <f t="shared" si="53"/>
        <v>490</v>
      </c>
      <c r="M770" s="11"/>
      <c r="N770"/>
    </row>
    <row r="771" spans="1:14" ht="24.75" customHeight="1">
      <c r="A771" s="5">
        <v>769</v>
      </c>
      <c r="B771" s="5" t="s">
        <v>19</v>
      </c>
      <c r="C771" s="5" t="str">
        <f>"钟海妮"</f>
        <v>钟海妮</v>
      </c>
      <c r="D771" s="5" t="str">
        <f>"460003199907216623"</f>
        <v>460003199907216623</v>
      </c>
      <c r="E771" s="5" t="s">
        <v>15</v>
      </c>
      <c r="F771" s="5" t="str">
        <f>"073102020917"</f>
        <v>073102020917</v>
      </c>
      <c r="G771" s="7">
        <v>35.7</v>
      </c>
      <c r="H771" s="7">
        <f aca="true" t="shared" si="58" ref="H771:H834">G771*0.5</f>
        <v>17.85</v>
      </c>
      <c r="I771" s="7">
        <v>19.779</v>
      </c>
      <c r="J771" s="7">
        <f aca="true" t="shared" si="59" ref="J771:J834">I771*0.5</f>
        <v>9.8895</v>
      </c>
      <c r="K771" s="10">
        <f t="shared" si="57"/>
        <v>27.7395</v>
      </c>
      <c r="L771" s="7">
        <f t="shared" si="53"/>
        <v>491</v>
      </c>
      <c r="M771" s="11"/>
      <c r="N771"/>
    </row>
    <row r="772" spans="1:14" ht="24.75" customHeight="1">
      <c r="A772" s="5">
        <v>770</v>
      </c>
      <c r="B772" s="5" t="s">
        <v>19</v>
      </c>
      <c r="C772" s="5" t="str">
        <f>"林晓政"</f>
        <v>林晓政</v>
      </c>
      <c r="D772" s="5" t="str">
        <f>"460003199211250612"</f>
        <v>460003199211250612</v>
      </c>
      <c r="E772" s="5" t="s">
        <v>15</v>
      </c>
      <c r="F772" s="5" t="str">
        <f>"073102020203"</f>
        <v>073102020203</v>
      </c>
      <c r="G772" s="7">
        <v>24.1</v>
      </c>
      <c r="H772" s="7">
        <f t="shared" si="58"/>
        <v>12.05</v>
      </c>
      <c r="I772" s="7">
        <v>31.36</v>
      </c>
      <c r="J772" s="7">
        <f t="shared" si="59"/>
        <v>15.68</v>
      </c>
      <c r="K772" s="10">
        <f t="shared" si="57"/>
        <v>27.73</v>
      </c>
      <c r="L772" s="7">
        <f t="shared" si="53"/>
        <v>492</v>
      </c>
      <c r="M772" s="11"/>
      <c r="N772"/>
    </row>
    <row r="773" spans="1:14" ht="24.75" customHeight="1">
      <c r="A773" s="5">
        <v>771</v>
      </c>
      <c r="B773" s="5" t="s">
        <v>19</v>
      </c>
      <c r="C773" s="5" t="str">
        <f>"高炳强"</f>
        <v>高炳强</v>
      </c>
      <c r="D773" s="5" t="str">
        <f>"460003199912285818"</f>
        <v>460003199912285818</v>
      </c>
      <c r="E773" s="5" t="s">
        <v>15</v>
      </c>
      <c r="F773" s="5" t="str">
        <f>"073102030704"</f>
        <v>073102030704</v>
      </c>
      <c r="G773" s="7">
        <v>35.7</v>
      </c>
      <c r="H773" s="7">
        <f t="shared" si="58"/>
        <v>17.85</v>
      </c>
      <c r="I773" s="7">
        <v>18.872</v>
      </c>
      <c r="J773" s="7">
        <f t="shared" si="59"/>
        <v>9.436</v>
      </c>
      <c r="K773" s="10">
        <f t="shared" si="57"/>
        <v>27.286</v>
      </c>
      <c r="L773" s="7">
        <f t="shared" si="53"/>
        <v>493</v>
      </c>
      <c r="M773" s="11"/>
      <c r="N773"/>
    </row>
    <row r="774" spans="1:14" ht="24.75" customHeight="1">
      <c r="A774" s="5">
        <v>772</v>
      </c>
      <c r="B774" s="5" t="s">
        <v>19</v>
      </c>
      <c r="C774" s="5" t="str">
        <f>"黄海华"</f>
        <v>黄海华</v>
      </c>
      <c r="D774" s="5" t="str">
        <f>"460003199105290012"</f>
        <v>460003199105290012</v>
      </c>
      <c r="E774" s="5" t="s">
        <v>15</v>
      </c>
      <c r="F774" s="5" t="str">
        <f>"073102021022"</f>
        <v>073102021022</v>
      </c>
      <c r="G774" s="7">
        <v>26.8</v>
      </c>
      <c r="H774" s="7">
        <f t="shared" si="58"/>
        <v>13.4</v>
      </c>
      <c r="I774" s="7">
        <v>27.001</v>
      </c>
      <c r="J774" s="7">
        <f t="shared" si="59"/>
        <v>13.5005</v>
      </c>
      <c r="K774" s="10">
        <f t="shared" si="57"/>
        <v>26.9005</v>
      </c>
      <c r="L774" s="7">
        <f t="shared" si="53"/>
        <v>494</v>
      </c>
      <c r="M774" s="11"/>
      <c r="N774"/>
    </row>
    <row r="775" spans="1:14" ht="24.75" customHeight="1">
      <c r="A775" s="5">
        <v>773</v>
      </c>
      <c r="B775" s="5" t="s">
        <v>19</v>
      </c>
      <c r="C775" s="5" t="str">
        <f>"蔡亲坤"</f>
        <v>蔡亲坤</v>
      </c>
      <c r="D775" s="5" t="str">
        <f>"460027199511250033"</f>
        <v>460027199511250033</v>
      </c>
      <c r="E775" s="5" t="s">
        <v>15</v>
      </c>
      <c r="F775" s="5" t="str">
        <f>"073102021020"</f>
        <v>073102021020</v>
      </c>
      <c r="G775" s="7">
        <v>14.8</v>
      </c>
      <c r="H775" s="7">
        <f t="shared" si="58"/>
        <v>7.4</v>
      </c>
      <c r="I775" s="7">
        <v>38.582</v>
      </c>
      <c r="J775" s="7">
        <f t="shared" si="59"/>
        <v>19.291</v>
      </c>
      <c r="K775" s="10">
        <f t="shared" si="57"/>
        <v>26.691000000000003</v>
      </c>
      <c r="L775" s="7">
        <f t="shared" si="53"/>
        <v>495</v>
      </c>
      <c r="M775" s="11"/>
      <c r="N775"/>
    </row>
    <row r="776" spans="1:14" ht="24.75" customHeight="1">
      <c r="A776" s="5">
        <v>774</v>
      </c>
      <c r="B776" s="5" t="s">
        <v>19</v>
      </c>
      <c r="C776" s="5" t="str">
        <f>"韦传子"</f>
        <v>韦传子</v>
      </c>
      <c r="D776" s="5" t="str">
        <f>"460103199510122771"</f>
        <v>460103199510122771</v>
      </c>
      <c r="E776" s="5" t="s">
        <v>15</v>
      </c>
      <c r="F776" s="5" t="str">
        <f>"073102020644"</f>
        <v>073102020644</v>
      </c>
      <c r="G776" s="7">
        <v>37</v>
      </c>
      <c r="H776" s="7">
        <f t="shared" si="58"/>
        <v>18.5</v>
      </c>
      <c r="I776" s="7">
        <v>15.875</v>
      </c>
      <c r="J776" s="7">
        <f t="shared" si="59"/>
        <v>7.9375</v>
      </c>
      <c r="K776" s="10">
        <f t="shared" si="57"/>
        <v>26.4375</v>
      </c>
      <c r="L776" s="7">
        <f t="shared" si="53"/>
        <v>496</v>
      </c>
      <c r="M776" s="11"/>
      <c r="N776"/>
    </row>
    <row r="777" spans="1:14" ht="24.75" customHeight="1">
      <c r="A777" s="5">
        <v>775</v>
      </c>
      <c r="B777" s="5" t="s">
        <v>19</v>
      </c>
      <c r="C777" s="5" t="str">
        <f>"李妹琼"</f>
        <v>李妹琼</v>
      </c>
      <c r="D777" s="5" t="str">
        <f>"460003199510253020"</f>
        <v>460003199510253020</v>
      </c>
      <c r="E777" s="5" t="s">
        <v>15</v>
      </c>
      <c r="F777" s="5" t="str">
        <f>"073102030311"</f>
        <v>073102030311</v>
      </c>
      <c r="G777" s="7">
        <v>25.5</v>
      </c>
      <c r="H777" s="7">
        <f t="shared" si="58"/>
        <v>12.75</v>
      </c>
      <c r="I777" s="7">
        <v>23.707</v>
      </c>
      <c r="J777" s="7">
        <f t="shared" si="59"/>
        <v>11.8535</v>
      </c>
      <c r="K777" s="10">
        <f t="shared" si="57"/>
        <v>24.6035</v>
      </c>
      <c r="L777" s="7">
        <f t="shared" si="53"/>
        <v>497</v>
      </c>
      <c r="M777" s="11"/>
      <c r="N777"/>
    </row>
    <row r="778" spans="1:14" ht="24.75" customHeight="1">
      <c r="A778" s="5">
        <v>776</v>
      </c>
      <c r="B778" s="5" t="s">
        <v>19</v>
      </c>
      <c r="C778" s="5" t="str">
        <f>"高克剑"</f>
        <v>高克剑</v>
      </c>
      <c r="D778" s="5" t="str">
        <f>"469007199804287617"</f>
        <v>469007199804287617</v>
      </c>
      <c r="E778" s="5" t="s">
        <v>15</v>
      </c>
      <c r="F778" s="5" t="str">
        <f>"073102020918"</f>
        <v>073102020918</v>
      </c>
      <c r="G778" s="7">
        <v>48.6</v>
      </c>
      <c r="H778" s="7">
        <f t="shared" si="58"/>
        <v>24.3</v>
      </c>
      <c r="I778" s="7">
        <v>0</v>
      </c>
      <c r="J778" s="7">
        <f t="shared" si="59"/>
        <v>0</v>
      </c>
      <c r="K778" s="10">
        <f t="shared" si="57"/>
        <v>24.3</v>
      </c>
      <c r="L778" s="7">
        <f t="shared" si="53"/>
        <v>498</v>
      </c>
      <c r="M778" s="11"/>
      <c r="N778"/>
    </row>
    <row r="779" spans="1:13" ht="24.75" customHeight="1">
      <c r="A779" s="5">
        <v>777</v>
      </c>
      <c r="B779" s="5" t="s">
        <v>19</v>
      </c>
      <c r="C779" s="5" t="str">
        <f>"符容香"</f>
        <v>符容香</v>
      </c>
      <c r="D779" s="5" t="str">
        <f>"460007200005076829"</f>
        <v>460007200005076829</v>
      </c>
      <c r="E779" s="5" t="s">
        <v>16</v>
      </c>
      <c r="F779" s="5" t="str">
        <f>"073102030613"</f>
        <v>073102030613</v>
      </c>
      <c r="G779" s="7">
        <v>23.9</v>
      </c>
      <c r="H779" s="7">
        <f t="shared" si="58"/>
        <v>11.95</v>
      </c>
      <c r="I779" s="7">
        <v>21.894</v>
      </c>
      <c r="J779" s="7">
        <f t="shared" si="59"/>
        <v>10.947</v>
      </c>
      <c r="K779" s="12">
        <v>24.04185</v>
      </c>
      <c r="L779" s="7">
        <f t="shared" si="53"/>
        <v>499</v>
      </c>
      <c r="M779" s="11" t="s">
        <v>17</v>
      </c>
    </row>
    <row r="780" spans="1:14" ht="24.75" customHeight="1">
      <c r="A780" s="5">
        <v>778</v>
      </c>
      <c r="B780" s="5" t="s">
        <v>19</v>
      </c>
      <c r="C780" s="5" t="str">
        <f>"许振周"</f>
        <v>许振周</v>
      </c>
      <c r="D780" s="5" t="str">
        <f>"460003199803142850"</f>
        <v>460003199803142850</v>
      </c>
      <c r="E780" s="5" t="s">
        <v>15</v>
      </c>
      <c r="F780" s="5" t="str">
        <f>"073102030115"</f>
        <v>073102030115</v>
      </c>
      <c r="G780" s="7">
        <v>17.2</v>
      </c>
      <c r="H780" s="7">
        <f t="shared" si="58"/>
        <v>8.6</v>
      </c>
      <c r="I780" s="7">
        <v>28.274</v>
      </c>
      <c r="J780" s="7">
        <f t="shared" si="59"/>
        <v>14.137</v>
      </c>
      <c r="K780" s="10">
        <f aca="true" t="shared" si="60" ref="K780:K843">H780+J780</f>
        <v>22.737000000000002</v>
      </c>
      <c r="L780" s="7">
        <f t="shared" si="53"/>
        <v>500</v>
      </c>
      <c r="M780" s="11"/>
      <c r="N780"/>
    </row>
    <row r="781" spans="1:14" ht="24.75" customHeight="1">
      <c r="A781" s="5">
        <v>779</v>
      </c>
      <c r="B781" s="5" t="s">
        <v>19</v>
      </c>
      <c r="C781" s="5" t="str">
        <f>"曾承科"</f>
        <v>曾承科</v>
      </c>
      <c r="D781" s="5" t="str">
        <f>"460003199208066654"</f>
        <v>460003199208066654</v>
      </c>
      <c r="E781" s="5" t="s">
        <v>15</v>
      </c>
      <c r="F781" s="5" t="str">
        <f>"073102020944"</f>
        <v>073102020944</v>
      </c>
      <c r="G781" s="7">
        <v>15.7</v>
      </c>
      <c r="H781" s="7">
        <f t="shared" si="58"/>
        <v>7.85</v>
      </c>
      <c r="I781" s="7">
        <v>29.603</v>
      </c>
      <c r="J781" s="7">
        <f t="shared" si="59"/>
        <v>14.8015</v>
      </c>
      <c r="K781" s="10">
        <f t="shared" si="60"/>
        <v>22.6515</v>
      </c>
      <c r="L781" s="7">
        <f t="shared" si="53"/>
        <v>501</v>
      </c>
      <c r="M781" s="11"/>
      <c r="N781"/>
    </row>
    <row r="782" spans="1:14" ht="24.75" customHeight="1">
      <c r="A782" s="5">
        <v>780</v>
      </c>
      <c r="B782" s="5" t="s">
        <v>19</v>
      </c>
      <c r="C782" s="5" t="str">
        <f>"李英俊"</f>
        <v>李英俊</v>
      </c>
      <c r="D782" s="5" t="str">
        <f>"460003199503082219"</f>
        <v>460003199503082219</v>
      </c>
      <c r="E782" s="5" t="s">
        <v>15</v>
      </c>
      <c r="F782" s="5" t="str">
        <f>"073102020844"</f>
        <v>073102020844</v>
      </c>
      <c r="G782" s="7">
        <v>20.9</v>
      </c>
      <c r="H782" s="7">
        <f t="shared" si="58"/>
        <v>10.45</v>
      </c>
      <c r="I782" s="7">
        <v>24.203</v>
      </c>
      <c r="J782" s="7">
        <f t="shared" si="59"/>
        <v>12.1015</v>
      </c>
      <c r="K782" s="10">
        <f t="shared" si="60"/>
        <v>22.551499999999997</v>
      </c>
      <c r="L782" s="7">
        <f t="shared" si="53"/>
        <v>502</v>
      </c>
      <c r="M782" s="11"/>
      <c r="N782"/>
    </row>
    <row r="783" spans="1:14" ht="24.75" customHeight="1">
      <c r="A783" s="5">
        <v>781</v>
      </c>
      <c r="B783" s="5" t="s">
        <v>19</v>
      </c>
      <c r="C783" s="5" t="str">
        <f>"黄璐瑶"</f>
        <v>黄璐瑶</v>
      </c>
      <c r="D783" s="5" t="str">
        <f>"460003199711270222"</f>
        <v>460003199711270222</v>
      </c>
      <c r="E783" s="5" t="s">
        <v>15</v>
      </c>
      <c r="F783" s="5" t="str">
        <f>"073102020339"</f>
        <v>073102020339</v>
      </c>
      <c r="G783" s="7">
        <v>30.3</v>
      </c>
      <c r="H783" s="7">
        <f t="shared" si="58"/>
        <v>15.15</v>
      </c>
      <c r="I783" s="7">
        <v>13.923</v>
      </c>
      <c r="J783" s="7">
        <f t="shared" si="59"/>
        <v>6.9615</v>
      </c>
      <c r="K783" s="10">
        <f t="shared" si="60"/>
        <v>22.1115</v>
      </c>
      <c r="L783" s="7">
        <f t="shared" si="53"/>
        <v>503</v>
      </c>
      <c r="M783" s="11"/>
      <c r="N783"/>
    </row>
    <row r="784" spans="1:14" ht="24.75" customHeight="1">
      <c r="A784" s="5">
        <v>782</v>
      </c>
      <c r="B784" s="5" t="s">
        <v>19</v>
      </c>
      <c r="C784" s="5" t="str">
        <f>"丁悦辉"</f>
        <v>丁悦辉</v>
      </c>
      <c r="D784" s="5" t="str">
        <f>"469003199408191917"</f>
        <v>469003199408191917</v>
      </c>
      <c r="E784" s="5" t="s">
        <v>15</v>
      </c>
      <c r="F784" s="5" t="str">
        <f>"073102030642"</f>
        <v>073102030642</v>
      </c>
      <c r="G784" s="7">
        <v>22</v>
      </c>
      <c r="H784" s="7">
        <f t="shared" si="58"/>
        <v>11</v>
      </c>
      <c r="I784" s="7">
        <v>18.402</v>
      </c>
      <c r="J784" s="7">
        <f t="shared" si="59"/>
        <v>9.201</v>
      </c>
      <c r="K784" s="10">
        <f t="shared" si="60"/>
        <v>20.201</v>
      </c>
      <c r="L784" s="7">
        <f t="shared" si="53"/>
        <v>504</v>
      </c>
      <c r="M784" s="11"/>
      <c r="N784"/>
    </row>
    <row r="785" spans="1:14" ht="24.75" customHeight="1">
      <c r="A785" s="5">
        <v>783</v>
      </c>
      <c r="B785" s="5" t="s">
        <v>19</v>
      </c>
      <c r="C785" s="5" t="str">
        <f>"王学统"</f>
        <v>王学统</v>
      </c>
      <c r="D785" s="5" t="str">
        <f>"460028199508122811"</f>
        <v>460028199508122811</v>
      </c>
      <c r="E785" s="5" t="s">
        <v>15</v>
      </c>
      <c r="F785" s="5" t="str">
        <f>"073102030207"</f>
        <v>073102030207</v>
      </c>
      <c r="G785" s="7">
        <v>13.8</v>
      </c>
      <c r="H785" s="7">
        <f t="shared" si="58"/>
        <v>6.9</v>
      </c>
      <c r="I785" s="7">
        <v>25.319</v>
      </c>
      <c r="J785" s="7">
        <f t="shared" si="59"/>
        <v>12.6595</v>
      </c>
      <c r="K785" s="10">
        <f t="shared" si="60"/>
        <v>19.5595</v>
      </c>
      <c r="L785" s="7">
        <f t="shared" si="53"/>
        <v>505</v>
      </c>
      <c r="M785" s="11"/>
      <c r="N785"/>
    </row>
    <row r="786" spans="1:14" ht="24.75" customHeight="1">
      <c r="A786" s="5">
        <v>784</v>
      </c>
      <c r="B786" s="5" t="s">
        <v>19</v>
      </c>
      <c r="C786" s="5" t="str">
        <f>"李筱玲"</f>
        <v>李筱玲</v>
      </c>
      <c r="D786" s="5" t="str">
        <f>"46000319940603264X"</f>
        <v>46000319940603264X</v>
      </c>
      <c r="E786" s="5" t="s">
        <v>15</v>
      </c>
      <c r="F786" s="5" t="str">
        <f>"073102020811"</f>
        <v>073102020811</v>
      </c>
      <c r="G786" s="7">
        <v>27.1</v>
      </c>
      <c r="H786" s="7">
        <f t="shared" si="58"/>
        <v>13.55</v>
      </c>
      <c r="I786" s="7">
        <v>0</v>
      </c>
      <c r="J786" s="7">
        <f t="shared" si="59"/>
        <v>0</v>
      </c>
      <c r="K786" s="10">
        <f t="shared" si="60"/>
        <v>13.55</v>
      </c>
      <c r="L786" s="7">
        <f t="shared" si="53"/>
        <v>506</v>
      </c>
      <c r="M786" s="11"/>
      <c r="N786"/>
    </row>
    <row r="787" spans="1:14" ht="24.75" customHeight="1">
      <c r="A787" s="5">
        <v>785</v>
      </c>
      <c r="B787" s="5" t="s">
        <v>19</v>
      </c>
      <c r="C787" s="5" t="str">
        <f>"周造顺"</f>
        <v>周造顺</v>
      </c>
      <c r="D787" s="5" t="str">
        <f>"460003200007265230"</f>
        <v>460003200007265230</v>
      </c>
      <c r="E787" s="5" t="s">
        <v>15</v>
      </c>
      <c r="F787" s="5" t="str">
        <f>"073102020824"</f>
        <v>073102020824</v>
      </c>
      <c r="G787" s="7">
        <v>8</v>
      </c>
      <c r="H787" s="7">
        <f t="shared" si="58"/>
        <v>4</v>
      </c>
      <c r="I787" s="7">
        <v>17.502</v>
      </c>
      <c r="J787" s="7">
        <f t="shared" si="59"/>
        <v>8.751</v>
      </c>
      <c r="K787" s="10">
        <f t="shared" si="60"/>
        <v>12.751</v>
      </c>
      <c r="L787" s="7">
        <f t="shared" si="53"/>
        <v>507</v>
      </c>
      <c r="M787" s="11"/>
      <c r="N787"/>
    </row>
    <row r="788" spans="1:14" ht="24.75" customHeight="1">
      <c r="A788" s="5">
        <v>786</v>
      </c>
      <c r="B788" s="5" t="s">
        <v>19</v>
      </c>
      <c r="C788" s="5" t="str">
        <f>"张衍剑"</f>
        <v>张衍剑</v>
      </c>
      <c r="D788" s="5" t="str">
        <f>"460003199310177713"</f>
        <v>460003199310177713</v>
      </c>
      <c r="E788" s="5" t="s">
        <v>15</v>
      </c>
      <c r="F788" s="5" t="str">
        <f>"073102030310"</f>
        <v>073102030310</v>
      </c>
      <c r="G788" s="7">
        <v>7.4</v>
      </c>
      <c r="H788" s="7">
        <f t="shared" si="58"/>
        <v>3.7</v>
      </c>
      <c r="I788" s="7">
        <v>17.73</v>
      </c>
      <c r="J788" s="7">
        <f t="shared" si="59"/>
        <v>8.865</v>
      </c>
      <c r="K788" s="10">
        <f t="shared" si="60"/>
        <v>12.565000000000001</v>
      </c>
      <c r="L788" s="7">
        <f t="shared" si="53"/>
        <v>508</v>
      </c>
      <c r="M788" s="11"/>
      <c r="N788"/>
    </row>
    <row r="789" spans="1:14" ht="24.75" customHeight="1">
      <c r="A789" s="5">
        <v>787</v>
      </c>
      <c r="B789" s="5" t="s">
        <v>19</v>
      </c>
      <c r="C789" s="5" t="str">
        <f>"符玉珍"</f>
        <v>符玉珍</v>
      </c>
      <c r="D789" s="5" t="str">
        <f>"460003199304122222"</f>
        <v>460003199304122222</v>
      </c>
      <c r="E789" s="5" t="s">
        <v>15</v>
      </c>
      <c r="F789" s="5" t="str">
        <f>"073102020101"</f>
        <v>073102020101</v>
      </c>
      <c r="G789" s="7">
        <v>0</v>
      </c>
      <c r="H789" s="7">
        <f t="shared" si="58"/>
        <v>0</v>
      </c>
      <c r="I789" s="7">
        <v>0</v>
      </c>
      <c r="J789" s="7">
        <f t="shared" si="59"/>
        <v>0</v>
      </c>
      <c r="K789" s="10">
        <f t="shared" si="60"/>
        <v>0</v>
      </c>
      <c r="L789" s="7">
        <f t="shared" si="53"/>
        <v>509</v>
      </c>
      <c r="M789" s="13" t="s">
        <v>18</v>
      </c>
      <c r="N789"/>
    </row>
    <row r="790" spans="1:14" ht="24.75" customHeight="1">
      <c r="A790" s="5">
        <v>788</v>
      </c>
      <c r="B790" s="5" t="s">
        <v>19</v>
      </c>
      <c r="C790" s="5" t="str">
        <f>"王鹏越"</f>
        <v>王鹏越</v>
      </c>
      <c r="D790" s="5" t="str">
        <f>"370982199012058030"</f>
        <v>370982199012058030</v>
      </c>
      <c r="E790" s="5" t="s">
        <v>15</v>
      </c>
      <c r="F790" s="5" t="str">
        <f>"073102020104"</f>
        <v>073102020104</v>
      </c>
      <c r="G790" s="7">
        <v>0</v>
      </c>
      <c r="H790" s="7">
        <f t="shared" si="58"/>
        <v>0</v>
      </c>
      <c r="I790" s="7">
        <v>0</v>
      </c>
      <c r="J790" s="7">
        <f t="shared" si="59"/>
        <v>0</v>
      </c>
      <c r="K790" s="10">
        <f t="shared" si="60"/>
        <v>0</v>
      </c>
      <c r="L790" s="7">
        <f t="shared" si="53"/>
        <v>509</v>
      </c>
      <c r="M790" s="13" t="s">
        <v>18</v>
      </c>
      <c r="N790"/>
    </row>
    <row r="791" spans="1:14" ht="24.75" customHeight="1">
      <c r="A791" s="5">
        <v>789</v>
      </c>
      <c r="B791" s="5" t="s">
        <v>19</v>
      </c>
      <c r="C791" s="5" t="str">
        <f>"刘教伟"</f>
        <v>刘教伟</v>
      </c>
      <c r="D791" s="5" t="str">
        <f>"460003199207232016"</f>
        <v>460003199207232016</v>
      </c>
      <c r="E791" s="5" t="s">
        <v>15</v>
      </c>
      <c r="F791" s="5" t="str">
        <f>"073102020106"</f>
        <v>073102020106</v>
      </c>
      <c r="G791" s="7">
        <v>0</v>
      </c>
      <c r="H791" s="7">
        <f t="shared" si="58"/>
        <v>0</v>
      </c>
      <c r="I791" s="7">
        <v>0</v>
      </c>
      <c r="J791" s="7">
        <f t="shared" si="59"/>
        <v>0</v>
      </c>
      <c r="K791" s="10">
        <f t="shared" si="60"/>
        <v>0</v>
      </c>
      <c r="L791" s="7">
        <f t="shared" si="53"/>
        <v>509</v>
      </c>
      <c r="M791" s="13" t="s">
        <v>18</v>
      </c>
      <c r="N791"/>
    </row>
    <row r="792" spans="1:14" ht="24.75" customHeight="1">
      <c r="A792" s="5">
        <v>790</v>
      </c>
      <c r="B792" s="5" t="s">
        <v>19</v>
      </c>
      <c r="C792" s="5" t="str">
        <f>"朱丽萍"</f>
        <v>朱丽萍</v>
      </c>
      <c r="D792" s="5" t="str">
        <f>"632824199505120425"</f>
        <v>632824199505120425</v>
      </c>
      <c r="E792" s="5" t="s">
        <v>15</v>
      </c>
      <c r="F792" s="5" t="str">
        <f>"073102020108"</f>
        <v>073102020108</v>
      </c>
      <c r="G792" s="7">
        <v>0</v>
      </c>
      <c r="H792" s="7">
        <f t="shared" si="58"/>
        <v>0</v>
      </c>
      <c r="I792" s="7">
        <v>0</v>
      </c>
      <c r="J792" s="7">
        <f t="shared" si="59"/>
        <v>0</v>
      </c>
      <c r="K792" s="10">
        <f t="shared" si="60"/>
        <v>0</v>
      </c>
      <c r="L792" s="7">
        <f t="shared" si="53"/>
        <v>509</v>
      </c>
      <c r="M792" s="13" t="s">
        <v>18</v>
      </c>
      <c r="N792"/>
    </row>
    <row r="793" spans="1:14" ht="24.75" customHeight="1">
      <c r="A793" s="5">
        <v>791</v>
      </c>
      <c r="B793" s="5" t="s">
        <v>19</v>
      </c>
      <c r="C793" s="5" t="str">
        <f>"邓俊虎"</f>
        <v>邓俊虎</v>
      </c>
      <c r="D793" s="5" t="str">
        <f>"460003199801060034"</f>
        <v>460003199801060034</v>
      </c>
      <c r="E793" s="5" t="s">
        <v>15</v>
      </c>
      <c r="F793" s="5" t="str">
        <f>"073102020109"</f>
        <v>073102020109</v>
      </c>
      <c r="G793" s="7">
        <v>0</v>
      </c>
      <c r="H793" s="7">
        <f t="shared" si="58"/>
        <v>0</v>
      </c>
      <c r="I793" s="7">
        <v>0</v>
      </c>
      <c r="J793" s="7">
        <f t="shared" si="59"/>
        <v>0</v>
      </c>
      <c r="K793" s="10">
        <f t="shared" si="60"/>
        <v>0</v>
      </c>
      <c r="L793" s="7">
        <f aca="true" t="shared" si="61" ref="L793:L856">RANK(K793,$K$281:$K$1299,0)</f>
        <v>509</v>
      </c>
      <c r="M793" s="13" t="s">
        <v>18</v>
      </c>
      <c r="N793"/>
    </row>
    <row r="794" spans="1:14" ht="24.75" customHeight="1">
      <c r="A794" s="5">
        <v>792</v>
      </c>
      <c r="B794" s="5" t="s">
        <v>19</v>
      </c>
      <c r="C794" s="5" t="str">
        <f>"王祉平"</f>
        <v>王祉平</v>
      </c>
      <c r="D794" s="5" t="str">
        <f>"460027199407291310"</f>
        <v>460027199407291310</v>
      </c>
      <c r="E794" s="5" t="s">
        <v>15</v>
      </c>
      <c r="F794" s="5" t="str">
        <f>"073102020110"</f>
        <v>073102020110</v>
      </c>
      <c r="G794" s="7">
        <v>0</v>
      </c>
      <c r="H794" s="7">
        <f t="shared" si="58"/>
        <v>0</v>
      </c>
      <c r="I794" s="7">
        <v>0</v>
      </c>
      <c r="J794" s="7">
        <f t="shared" si="59"/>
        <v>0</v>
      </c>
      <c r="K794" s="10">
        <f t="shared" si="60"/>
        <v>0</v>
      </c>
      <c r="L794" s="7">
        <f t="shared" si="61"/>
        <v>509</v>
      </c>
      <c r="M794" s="13" t="s">
        <v>18</v>
      </c>
      <c r="N794"/>
    </row>
    <row r="795" spans="1:14" ht="24.75" customHeight="1">
      <c r="A795" s="5">
        <v>793</v>
      </c>
      <c r="B795" s="5" t="s">
        <v>19</v>
      </c>
      <c r="C795" s="5" t="str">
        <f>"余倩"</f>
        <v>余倩</v>
      </c>
      <c r="D795" s="5" t="str">
        <f>"460102199509031227"</f>
        <v>460102199509031227</v>
      </c>
      <c r="E795" s="5" t="s">
        <v>15</v>
      </c>
      <c r="F795" s="5" t="str">
        <f>"073102020113"</f>
        <v>073102020113</v>
      </c>
      <c r="G795" s="7">
        <v>0</v>
      </c>
      <c r="H795" s="7">
        <f t="shared" si="58"/>
        <v>0</v>
      </c>
      <c r="I795" s="7">
        <v>0</v>
      </c>
      <c r="J795" s="7">
        <f t="shared" si="59"/>
        <v>0</v>
      </c>
      <c r="K795" s="10">
        <f t="shared" si="60"/>
        <v>0</v>
      </c>
      <c r="L795" s="7">
        <f t="shared" si="61"/>
        <v>509</v>
      </c>
      <c r="M795" s="13" t="s">
        <v>18</v>
      </c>
      <c r="N795"/>
    </row>
    <row r="796" spans="1:14" ht="24.75" customHeight="1">
      <c r="A796" s="5">
        <v>794</v>
      </c>
      <c r="B796" s="5" t="s">
        <v>19</v>
      </c>
      <c r="C796" s="5" t="str">
        <f>"符青丽"</f>
        <v>符青丽</v>
      </c>
      <c r="D796" s="5" t="str">
        <f>"46000519950324214X"</f>
        <v>46000519950324214X</v>
      </c>
      <c r="E796" s="5" t="s">
        <v>15</v>
      </c>
      <c r="F796" s="5" t="str">
        <f>"073102020114"</f>
        <v>073102020114</v>
      </c>
      <c r="G796" s="7">
        <v>0</v>
      </c>
      <c r="H796" s="7">
        <f t="shared" si="58"/>
        <v>0</v>
      </c>
      <c r="I796" s="7">
        <v>0</v>
      </c>
      <c r="J796" s="7">
        <f t="shared" si="59"/>
        <v>0</v>
      </c>
      <c r="K796" s="10">
        <f t="shared" si="60"/>
        <v>0</v>
      </c>
      <c r="L796" s="7">
        <f t="shared" si="61"/>
        <v>509</v>
      </c>
      <c r="M796" s="13" t="s">
        <v>18</v>
      </c>
      <c r="N796"/>
    </row>
    <row r="797" spans="1:14" ht="24.75" customHeight="1">
      <c r="A797" s="5">
        <v>795</v>
      </c>
      <c r="B797" s="5" t="s">
        <v>19</v>
      </c>
      <c r="C797" s="5" t="str">
        <f>"陈莲妹"</f>
        <v>陈莲妹</v>
      </c>
      <c r="D797" s="5" t="str">
        <f>"460003199506093220"</f>
        <v>460003199506093220</v>
      </c>
      <c r="E797" s="5" t="s">
        <v>15</v>
      </c>
      <c r="F797" s="5" t="str">
        <f>"073102020115"</f>
        <v>073102020115</v>
      </c>
      <c r="G797" s="7">
        <v>0</v>
      </c>
      <c r="H797" s="7">
        <f t="shared" si="58"/>
        <v>0</v>
      </c>
      <c r="I797" s="7">
        <v>0</v>
      </c>
      <c r="J797" s="7">
        <f t="shared" si="59"/>
        <v>0</v>
      </c>
      <c r="K797" s="10">
        <f t="shared" si="60"/>
        <v>0</v>
      </c>
      <c r="L797" s="7">
        <f t="shared" si="61"/>
        <v>509</v>
      </c>
      <c r="M797" s="13" t="s">
        <v>18</v>
      </c>
      <c r="N797"/>
    </row>
    <row r="798" spans="1:14" ht="24.75" customHeight="1">
      <c r="A798" s="5">
        <v>796</v>
      </c>
      <c r="B798" s="5" t="s">
        <v>19</v>
      </c>
      <c r="C798" s="5" t="str">
        <f>"徐雄姣"</f>
        <v>徐雄姣</v>
      </c>
      <c r="D798" s="5" t="str">
        <f>"469003199504102427"</f>
        <v>469003199504102427</v>
      </c>
      <c r="E798" s="5" t="s">
        <v>15</v>
      </c>
      <c r="F798" s="5" t="str">
        <f>"073102020116"</f>
        <v>073102020116</v>
      </c>
      <c r="G798" s="7">
        <v>0</v>
      </c>
      <c r="H798" s="7">
        <f t="shared" si="58"/>
        <v>0</v>
      </c>
      <c r="I798" s="7">
        <v>0</v>
      </c>
      <c r="J798" s="7">
        <f t="shared" si="59"/>
        <v>0</v>
      </c>
      <c r="K798" s="10">
        <f t="shared" si="60"/>
        <v>0</v>
      </c>
      <c r="L798" s="7">
        <f t="shared" si="61"/>
        <v>509</v>
      </c>
      <c r="M798" s="13" t="s">
        <v>18</v>
      </c>
      <c r="N798"/>
    </row>
    <row r="799" spans="1:14" ht="24.75" customHeight="1">
      <c r="A799" s="5">
        <v>797</v>
      </c>
      <c r="B799" s="5" t="s">
        <v>19</v>
      </c>
      <c r="C799" s="5" t="str">
        <f>"吴兴妃"</f>
        <v>吴兴妃</v>
      </c>
      <c r="D799" s="5" t="str">
        <f>"469003199609232762"</f>
        <v>469003199609232762</v>
      </c>
      <c r="E799" s="5" t="s">
        <v>15</v>
      </c>
      <c r="F799" s="5" t="str">
        <f>"073102020118"</f>
        <v>073102020118</v>
      </c>
      <c r="G799" s="7">
        <v>0</v>
      </c>
      <c r="H799" s="7">
        <f t="shared" si="58"/>
        <v>0</v>
      </c>
      <c r="I799" s="7">
        <v>0</v>
      </c>
      <c r="J799" s="7">
        <f t="shared" si="59"/>
        <v>0</v>
      </c>
      <c r="K799" s="10">
        <f t="shared" si="60"/>
        <v>0</v>
      </c>
      <c r="L799" s="7">
        <f t="shared" si="61"/>
        <v>509</v>
      </c>
      <c r="M799" s="13" t="s">
        <v>18</v>
      </c>
      <c r="N799"/>
    </row>
    <row r="800" spans="1:14" ht="24.75" customHeight="1">
      <c r="A800" s="5">
        <v>798</v>
      </c>
      <c r="B800" s="5" t="s">
        <v>19</v>
      </c>
      <c r="C800" s="5" t="str">
        <f>"羊积万"</f>
        <v>羊积万</v>
      </c>
      <c r="D800" s="5" t="str">
        <f>"460003199405172851"</f>
        <v>460003199405172851</v>
      </c>
      <c r="E800" s="5" t="s">
        <v>15</v>
      </c>
      <c r="F800" s="5" t="str">
        <f>"073102020120"</f>
        <v>073102020120</v>
      </c>
      <c r="G800" s="7">
        <v>0</v>
      </c>
      <c r="H800" s="7">
        <f t="shared" si="58"/>
        <v>0</v>
      </c>
      <c r="I800" s="7">
        <v>0</v>
      </c>
      <c r="J800" s="7">
        <f t="shared" si="59"/>
        <v>0</v>
      </c>
      <c r="K800" s="10">
        <f t="shared" si="60"/>
        <v>0</v>
      </c>
      <c r="L800" s="7">
        <f t="shared" si="61"/>
        <v>509</v>
      </c>
      <c r="M800" s="13" t="s">
        <v>18</v>
      </c>
      <c r="N800"/>
    </row>
    <row r="801" spans="1:14" ht="24.75" customHeight="1">
      <c r="A801" s="5">
        <v>799</v>
      </c>
      <c r="B801" s="5" t="s">
        <v>19</v>
      </c>
      <c r="C801" s="5" t="str">
        <f>"林菲琼"</f>
        <v>林菲琼</v>
      </c>
      <c r="D801" s="5" t="str">
        <f>"460003199412124647"</f>
        <v>460003199412124647</v>
      </c>
      <c r="E801" s="5" t="s">
        <v>15</v>
      </c>
      <c r="F801" s="5" t="str">
        <f>"073102020123"</f>
        <v>073102020123</v>
      </c>
      <c r="G801" s="7">
        <v>0</v>
      </c>
      <c r="H801" s="7">
        <f t="shared" si="58"/>
        <v>0</v>
      </c>
      <c r="I801" s="7">
        <v>0</v>
      </c>
      <c r="J801" s="7">
        <f t="shared" si="59"/>
        <v>0</v>
      </c>
      <c r="K801" s="10">
        <f t="shared" si="60"/>
        <v>0</v>
      </c>
      <c r="L801" s="7">
        <f t="shared" si="61"/>
        <v>509</v>
      </c>
      <c r="M801" s="13" t="s">
        <v>18</v>
      </c>
      <c r="N801"/>
    </row>
    <row r="802" spans="1:14" ht="24.75" customHeight="1">
      <c r="A802" s="5">
        <v>800</v>
      </c>
      <c r="B802" s="5" t="s">
        <v>19</v>
      </c>
      <c r="C802" s="5" t="str">
        <f>"符土园"</f>
        <v>符土园</v>
      </c>
      <c r="D802" s="5" t="str">
        <f>"460030199508195123"</f>
        <v>460030199508195123</v>
      </c>
      <c r="E802" s="5" t="s">
        <v>15</v>
      </c>
      <c r="F802" s="5" t="str">
        <f>"073102020124"</f>
        <v>073102020124</v>
      </c>
      <c r="G802" s="7">
        <v>0</v>
      </c>
      <c r="H802" s="7">
        <f t="shared" si="58"/>
        <v>0</v>
      </c>
      <c r="I802" s="7">
        <v>0</v>
      </c>
      <c r="J802" s="7">
        <f t="shared" si="59"/>
        <v>0</v>
      </c>
      <c r="K802" s="10">
        <f t="shared" si="60"/>
        <v>0</v>
      </c>
      <c r="L802" s="7">
        <f t="shared" si="61"/>
        <v>509</v>
      </c>
      <c r="M802" s="13" t="s">
        <v>18</v>
      </c>
      <c r="N802"/>
    </row>
    <row r="803" spans="1:14" ht="24.75" customHeight="1">
      <c r="A803" s="5">
        <v>801</v>
      </c>
      <c r="B803" s="5" t="s">
        <v>19</v>
      </c>
      <c r="C803" s="5" t="str">
        <f>"吴惠妃"</f>
        <v>吴惠妃</v>
      </c>
      <c r="D803" s="5" t="str">
        <f>"460003199404033040"</f>
        <v>460003199404033040</v>
      </c>
      <c r="E803" s="5" t="s">
        <v>15</v>
      </c>
      <c r="F803" s="5" t="str">
        <f>"073102020125"</f>
        <v>073102020125</v>
      </c>
      <c r="G803" s="7">
        <v>0</v>
      </c>
      <c r="H803" s="7">
        <f t="shared" si="58"/>
        <v>0</v>
      </c>
      <c r="I803" s="7">
        <v>0</v>
      </c>
      <c r="J803" s="7">
        <f t="shared" si="59"/>
        <v>0</v>
      </c>
      <c r="K803" s="10">
        <f t="shared" si="60"/>
        <v>0</v>
      </c>
      <c r="L803" s="7">
        <f t="shared" si="61"/>
        <v>509</v>
      </c>
      <c r="M803" s="13" t="s">
        <v>18</v>
      </c>
      <c r="N803"/>
    </row>
    <row r="804" spans="1:14" ht="24.75" customHeight="1">
      <c r="A804" s="5">
        <v>802</v>
      </c>
      <c r="B804" s="5" t="s">
        <v>19</v>
      </c>
      <c r="C804" s="5" t="str">
        <f>"陈垂威"</f>
        <v>陈垂威</v>
      </c>
      <c r="D804" s="5" t="str">
        <f>"460003199210236210"</f>
        <v>460003199210236210</v>
      </c>
      <c r="E804" s="5" t="s">
        <v>15</v>
      </c>
      <c r="F804" s="5" t="str">
        <f>"073102020126"</f>
        <v>073102020126</v>
      </c>
      <c r="G804" s="7">
        <v>0</v>
      </c>
      <c r="H804" s="7">
        <f t="shared" si="58"/>
        <v>0</v>
      </c>
      <c r="I804" s="7">
        <v>0</v>
      </c>
      <c r="J804" s="7">
        <f t="shared" si="59"/>
        <v>0</v>
      </c>
      <c r="K804" s="10">
        <f t="shared" si="60"/>
        <v>0</v>
      </c>
      <c r="L804" s="7">
        <f t="shared" si="61"/>
        <v>509</v>
      </c>
      <c r="M804" s="13" t="s">
        <v>18</v>
      </c>
      <c r="N804"/>
    </row>
    <row r="805" spans="1:14" ht="24.75" customHeight="1">
      <c r="A805" s="5">
        <v>803</v>
      </c>
      <c r="B805" s="5" t="s">
        <v>19</v>
      </c>
      <c r="C805" s="5" t="str">
        <f>"曾威"</f>
        <v>曾威</v>
      </c>
      <c r="D805" s="5" t="str">
        <f>"460003199110232634"</f>
        <v>460003199110232634</v>
      </c>
      <c r="E805" s="5" t="s">
        <v>15</v>
      </c>
      <c r="F805" s="5" t="str">
        <f>"073102020136"</f>
        <v>073102020136</v>
      </c>
      <c r="G805" s="7">
        <v>0</v>
      </c>
      <c r="H805" s="7">
        <f t="shared" si="58"/>
        <v>0</v>
      </c>
      <c r="I805" s="7">
        <v>0</v>
      </c>
      <c r="J805" s="7">
        <f t="shared" si="59"/>
        <v>0</v>
      </c>
      <c r="K805" s="10">
        <f t="shared" si="60"/>
        <v>0</v>
      </c>
      <c r="L805" s="7">
        <f t="shared" si="61"/>
        <v>509</v>
      </c>
      <c r="M805" s="13" t="s">
        <v>18</v>
      </c>
      <c r="N805"/>
    </row>
    <row r="806" spans="1:14" ht="24.75" customHeight="1">
      <c r="A806" s="5">
        <v>804</v>
      </c>
      <c r="B806" s="5" t="s">
        <v>19</v>
      </c>
      <c r="C806" s="5" t="str">
        <f>"蔡丽婷"</f>
        <v>蔡丽婷</v>
      </c>
      <c r="D806" s="5" t="str">
        <f>"460103199706182725"</f>
        <v>460103199706182725</v>
      </c>
      <c r="E806" s="5" t="s">
        <v>15</v>
      </c>
      <c r="F806" s="5" t="str">
        <f>"073102020138"</f>
        <v>073102020138</v>
      </c>
      <c r="G806" s="7">
        <v>0</v>
      </c>
      <c r="H806" s="7">
        <f t="shared" si="58"/>
        <v>0</v>
      </c>
      <c r="I806" s="7">
        <v>0</v>
      </c>
      <c r="J806" s="7">
        <f t="shared" si="59"/>
        <v>0</v>
      </c>
      <c r="K806" s="10">
        <f t="shared" si="60"/>
        <v>0</v>
      </c>
      <c r="L806" s="7">
        <f t="shared" si="61"/>
        <v>509</v>
      </c>
      <c r="M806" s="13" t="s">
        <v>18</v>
      </c>
      <c r="N806"/>
    </row>
    <row r="807" spans="1:14" ht="24.75" customHeight="1">
      <c r="A807" s="5">
        <v>805</v>
      </c>
      <c r="B807" s="5" t="s">
        <v>19</v>
      </c>
      <c r="C807" s="5" t="str">
        <f>"李玲"</f>
        <v>李玲</v>
      </c>
      <c r="D807" s="5" t="str">
        <f>"460003199111072628"</f>
        <v>460003199111072628</v>
      </c>
      <c r="E807" s="5" t="s">
        <v>15</v>
      </c>
      <c r="F807" s="5" t="str">
        <f>"073102020140"</f>
        <v>073102020140</v>
      </c>
      <c r="G807" s="7">
        <v>0</v>
      </c>
      <c r="H807" s="7">
        <f t="shared" si="58"/>
        <v>0</v>
      </c>
      <c r="I807" s="7">
        <v>0</v>
      </c>
      <c r="J807" s="7">
        <f t="shared" si="59"/>
        <v>0</v>
      </c>
      <c r="K807" s="10">
        <f t="shared" si="60"/>
        <v>0</v>
      </c>
      <c r="L807" s="7">
        <f t="shared" si="61"/>
        <v>509</v>
      </c>
      <c r="M807" s="13" t="s">
        <v>18</v>
      </c>
      <c r="N807"/>
    </row>
    <row r="808" spans="1:14" ht="24.75" customHeight="1">
      <c r="A808" s="5">
        <v>806</v>
      </c>
      <c r="B808" s="5" t="s">
        <v>19</v>
      </c>
      <c r="C808" s="5" t="str">
        <f>"陈小琴"</f>
        <v>陈小琴</v>
      </c>
      <c r="D808" s="5" t="str">
        <f>"460003199212092425"</f>
        <v>460003199212092425</v>
      </c>
      <c r="E808" s="5" t="s">
        <v>15</v>
      </c>
      <c r="F808" s="5" t="str">
        <f>"073102020206"</f>
        <v>073102020206</v>
      </c>
      <c r="G808" s="7">
        <v>0</v>
      </c>
      <c r="H808" s="7">
        <f t="shared" si="58"/>
        <v>0</v>
      </c>
      <c r="I808" s="7">
        <v>0</v>
      </c>
      <c r="J808" s="7">
        <f t="shared" si="59"/>
        <v>0</v>
      </c>
      <c r="K808" s="10">
        <f t="shared" si="60"/>
        <v>0</v>
      </c>
      <c r="L808" s="7">
        <f t="shared" si="61"/>
        <v>509</v>
      </c>
      <c r="M808" s="13" t="s">
        <v>18</v>
      </c>
      <c r="N808"/>
    </row>
    <row r="809" spans="1:14" ht="24.75" customHeight="1">
      <c r="A809" s="5">
        <v>807</v>
      </c>
      <c r="B809" s="5" t="s">
        <v>19</v>
      </c>
      <c r="C809" s="5" t="str">
        <f>"邓建辉"</f>
        <v>邓建辉</v>
      </c>
      <c r="D809" s="5" t="str">
        <f>"46000319931031241X"</f>
        <v>46000319931031241X</v>
      </c>
      <c r="E809" s="5" t="s">
        <v>16</v>
      </c>
      <c r="F809" s="5" t="str">
        <f>"073102020207"</f>
        <v>073102020207</v>
      </c>
      <c r="G809" s="7">
        <v>0</v>
      </c>
      <c r="H809" s="7">
        <f t="shared" si="58"/>
        <v>0</v>
      </c>
      <c r="I809" s="7">
        <v>0</v>
      </c>
      <c r="J809" s="7">
        <f t="shared" si="59"/>
        <v>0</v>
      </c>
      <c r="K809" s="10">
        <f t="shared" si="60"/>
        <v>0</v>
      </c>
      <c r="L809" s="7">
        <f t="shared" si="61"/>
        <v>509</v>
      </c>
      <c r="M809" s="13" t="s">
        <v>18</v>
      </c>
      <c r="N809"/>
    </row>
    <row r="810" spans="1:14" ht="24.75" customHeight="1">
      <c r="A810" s="5">
        <v>808</v>
      </c>
      <c r="B810" s="5" t="s">
        <v>19</v>
      </c>
      <c r="C810" s="5" t="str">
        <f>"符吉子"</f>
        <v>符吉子</v>
      </c>
      <c r="D810" s="5" t="str">
        <f>"460002199806216628"</f>
        <v>460002199806216628</v>
      </c>
      <c r="E810" s="5" t="s">
        <v>15</v>
      </c>
      <c r="F810" s="5" t="str">
        <f>"073102020210"</f>
        <v>073102020210</v>
      </c>
      <c r="G810" s="7">
        <v>0</v>
      </c>
      <c r="H810" s="7">
        <f t="shared" si="58"/>
        <v>0</v>
      </c>
      <c r="I810" s="7">
        <v>0</v>
      </c>
      <c r="J810" s="7">
        <f t="shared" si="59"/>
        <v>0</v>
      </c>
      <c r="K810" s="10">
        <f t="shared" si="60"/>
        <v>0</v>
      </c>
      <c r="L810" s="7">
        <f t="shared" si="61"/>
        <v>509</v>
      </c>
      <c r="M810" s="13" t="s">
        <v>18</v>
      </c>
      <c r="N810"/>
    </row>
    <row r="811" spans="1:14" ht="24.75" customHeight="1">
      <c r="A811" s="5">
        <v>809</v>
      </c>
      <c r="B811" s="5" t="s">
        <v>19</v>
      </c>
      <c r="C811" s="5" t="str">
        <f>"朱孟霞"</f>
        <v>朱孟霞</v>
      </c>
      <c r="D811" s="5" t="str">
        <f>"460003199609094824"</f>
        <v>460003199609094824</v>
      </c>
      <c r="E811" s="5" t="s">
        <v>15</v>
      </c>
      <c r="F811" s="5" t="str">
        <f>"073102020215"</f>
        <v>073102020215</v>
      </c>
      <c r="G811" s="7">
        <v>0</v>
      </c>
      <c r="H811" s="7">
        <f t="shared" si="58"/>
        <v>0</v>
      </c>
      <c r="I811" s="7">
        <v>0</v>
      </c>
      <c r="J811" s="7">
        <f t="shared" si="59"/>
        <v>0</v>
      </c>
      <c r="K811" s="10">
        <f t="shared" si="60"/>
        <v>0</v>
      </c>
      <c r="L811" s="7">
        <f t="shared" si="61"/>
        <v>509</v>
      </c>
      <c r="M811" s="13" t="s">
        <v>18</v>
      </c>
      <c r="N811"/>
    </row>
    <row r="812" spans="1:14" ht="24.75" customHeight="1">
      <c r="A812" s="5">
        <v>810</v>
      </c>
      <c r="B812" s="5" t="s">
        <v>19</v>
      </c>
      <c r="C812" s="5" t="str">
        <f>"王明靠"</f>
        <v>王明靠</v>
      </c>
      <c r="D812" s="5" t="str">
        <f>"460006199807317514"</f>
        <v>460006199807317514</v>
      </c>
      <c r="E812" s="5" t="s">
        <v>15</v>
      </c>
      <c r="F812" s="5" t="str">
        <f>"073102020216"</f>
        <v>073102020216</v>
      </c>
      <c r="G812" s="7">
        <v>0</v>
      </c>
      <c r="H812" s="7">
        <f t="shared" si="58"/>
        <v>0</v>
      </c>
      <c r="I812" s="7">
        <v>0</v>
      </c>
      <c r="J812" s="7">
        <f t="shared" si="59"/>
        <v>0</v>
      </c>
      <c r="K812" s="10">
        <f t="shared" si="60"/>
        <v>0</v>
      </c>
      <c r="L812" s="7">
        <f t="shared" si="61"/>
        <v>509</v>
      </c>
      <c r="M812" s="13" t="s">
        <v>18</v>
      </c>
      <c r="N812"/>
    </row>
    <row r="813" spans="1:14" ht="24.75" customHeight="1">
      <c r="A813" s="5">
        <v>811</v>
      </c>
      <c r="B813" s="5" t="s">
        <v>19</v>
      </c>
      <c r="C813" s="5" t="str">
        <f>"秦瑞雪"</f>
        <v>秦瑞雪</v>
      </c>
      <c r="D813" s="5" t="str">
        <f>"469024199812230027"</f>
        <v>469024199812230027</v>
      </c>
      <c r="E813" s="5" t="s">
        <v>15</v>
      </c>
      <c r="F813" s="5" t="str">
        <f>"073102020217"</f>
        <v>073102020217</v>
      </c>
      <c r="G813" s="7">
        <v>0</v>
      </c>
      <c r="H813" s="7">
        <f t="shared" si="58"/>
        <v>0</v>
      </c>
      <c r="I813" s="7">
        <v>0</v>
      </c>
      <c r="J813" s="7">
        <f t="shared" si="59"/>
        <v>0</v>
      </c>
      <c r="K813" s="10">
        <f t="shared" si="60"/>
        <v>0</v>
      </c>
      <c r="L813" s="7">
        <f t="shared" si="61"/>
        <v>509</v>
      </c>
      <c r="M813" s="13" t="s">
        <v>18</v>
      </c>
      <c r="N813"/>
    </row>
    <row r="814" spans="1:14" ht="24.75" customHeight="1">
      <c r="A814" s="5">
        <v>812</v>
      </c>
      <c r="B814" s="5" t="s">
        <v>19</v>
      </c>
      <c r="C814" s="5" t="str">
        <f>"陈林玉"</f>
        <v>陈林玉</v>
      </c>
      <c r="D814" s="5" t="str">
        <f>"460003200101030622"</f>
        <v>460003200101030622</v>
      </c>
      <c r="E814" s="5" t="s">
        <v>15</v>
      </c>
      <c r="F814" s="5" t="str">
        <f>"073102020218"</f>
        <v>073102020218</v>
      </c>
      <c r="G814" s="7">
        <v>0</v>
      </c>
      <c r="H814" s="7">
        <f t="shared" si="58"/>
        <v>0</v>
      </c>
      <c r="I814" s="7">
        <v>0</v>
      </c>
      <c r="J814" s="7">
        <f t="shared" si="59"/>
        <v>0</v>
      </c>
      <c r="K814" s="10">
        <f t="shared" si="60"/>
        <v>0</v>
      </c>
      <c r="L814" s="7">
        <f t="shared" si="61"/>
        <v>509</v>
      </c>
      <c r="M814" s="13" t="s">
        <v>18</v>
      </c>
      <c r="N814"/>
    </row>
    <row r="815" spans="1:14" ht="24.75" customHeight="1">
      <c r="A815" s="5">
        <v>813</v>
      </c>
      <c r="B815" s="5" t="s">
        <v>19</v>
      </c>
      <c r="C815" s="5" t="str">
        <f>"吉颖"</f>
        <v>吉颖</v>
      </c>
      <c r="D815" s="5" t="str">
        <f>"460035199612081726"</f>
        <v>460035199612081726</v>
      </c>
      <c r="E815" s="5" t="s">
        <v>15</v>
      </c>
      <c r="F815" s="5" t="str">
        <f>"073102020220"</f>
        <v>073102020220</v>
      </c>
      <c r="G815" s="7">
        <v>0</v>
      </c>
      <c r="H815" s="7">
        <f t="shared" si="58"/>
        <v>0</v>
      </c>
      <c r="I815" s="7">
        <v>0</v>
      </c>
      <c r="J815" s="7">
        <f t="shared" si="59"/>
        <v>0</v>
      </c>
      <c r="K815" s="10">
        <f t="shared" si="60"/>
        <v>0</v>
      </c>
      <c r="L815" s="7">
        <f t="shared" si="61"/>
        <v>509</v>
      </c>
      <c r="M815" s="13" t="s">
        <v>18</v>
      </c>
      <c r="N815"/>
    </row>
    <row r="816" spans="1:14" ht="24.75" customHeight="1">
      <c r="A816" s="5">
        <v>814</v>
      </c>
      <c r="B816" s="5" t="s">
        <v>19</v>
      </c>
      <c r="C816" s="5" t="str">
        <f>"王露薇"</f>
        <v>王露薇</v>
      </c>
      <c r="D816" s="5" t="str">
        <f>"460028199807163242"</f>
        <v>460028199807163242</v>
      </c>
      <c r="E816" s="5" t="s">
        <v>15</v>
      </c>
      <c r="F816" s="5" t="str">
        <f>"073102020222"</f>
        <v>073102020222</v>
      </c>
      <c r="G816" s="7">
        <v>0</v>
      </c>
      <c r="H816" s="7">
        <f t="shared" si="58"/>
        <v>0</v>
      </c>
      <c r="I816" s="7">
        <v>0</v>
      </c>
      <c r="J816" s="7">
        <f t="shared" si="59"/>
        <v>0</v>
      </c>
      <c r="K816" s="10">
        <f t="shared" si="60"/>
        <v>0</v>
      </c>
      <c r="L816" s="7">
        <f t="shared" si="61"/>
        <v>509</v>
      </c>
      <c r="M816" s="13" t="s">
        <v>18</v>
      </c>
      <c r="N816"/>
    </row>
    <row r="817" spans="1:14" ht="24.75" customHeight="1">
      <c r="A817" s="5">
        <v>815</v>
      </c>
      <c r="B817" s="5" t="s">
        <v>19</v>
      </c>
      <c r="C817" s="5" t="str">
        <f>"李本鹏"</f>
        <v>李本鹏</v>
      </c>
      <c r="D817" s="5" t="str">
        <f>"469003199810086410"</f>
        <v>469003199810086410</v>
      </c>
      <c r="E817" s="5" t="s">
        <v>15</v>
      </c>
      <c r="F817" s="5" t="str">
        <f>"073102020228"</f>
        <v>073102020228</v>
      </c>
      <c r="G817" s="7">
        <v>0</v>
      </c>
      <c r="H817" s="7">
        <f t="shared" si="58"/>
        <v>0</v>
      </c>
      <c r="I817" s="7">
        <v>0</v>
      </c>
      <c r="J817" s="7">
        <f t="shared" si="59"/>
        <v>0</v>
      </c>
      <c r="K817" s="10">
        <f t="shared" si="60"/>
        <v>0</v>
      </c>
      <c r="L817" s="7">
        <f t="shared" si="61"/>
        <v>509</v>
      </c>
      <c r="M817" s="13" t="s">
        <v>18</v>
      </c>
      <c r="N817"/>
    </row>
    <row r="818" spans="1:14" ht="24.75" customHeight="1">
      <c r="A818" s="5">
        <v>816</v>
      </c>
      <c r="B818" s="5" t="s">
        <v>19</v>
      </c>
      <c r="C818" s="5" t="str">
        <f>" 马凤雅"</f>
        <v> 马凤雅</v>
      </c>
      <c r="D818" s="5" t="str">
        <f>"460007199801014121"</f>
        <v>460007199801014121</v>
      </c>
      <c r="E818" s="5" t="s">
        <v>15</v>
      </c>
      <c r="F818" s="5" t="str">
        <f>"073102020231"</f>
        <v>073102020231</v>
      </c>
      <c r="G818" s="7">
        <v>0</v>
      </c>
      <c r="H818" s="7">
        <f t="shared" si="58"/>
        <v>0</v>
      </c>
      <c r="I818" s="7">
        <v>0</v>
      </c>
      <c r="J818" s="7">
        <f t="shared" si="59"/>
        <v>0</v>
      </c>
      <c r="K818" s="10">
        <f t="shared" si="60"/>
        <v>0</v>
      </c>
      <c r="L818" s="7">
        <f t="shared" si="61"/>
        <v>509</v>
      </c>
      <c r="M818" s="13" t="s">
        <v>18</v>
      </c>
      <c r="N818"/>
    </row>
    <row r="819" spans="1:14" ht="24.75" customHeight="1">
      <c r="A819" s="5">
        <v>817</v>
      </c>
      <c r="B819" s="5" t="s">
        <v>19</v>
      </c>
      <c r="C819" s="5" t="str">
        <f>"王小敏"</f>
        <v>王小敏</v>
      </c>
      <c r="D819" s="5" t="str">
        <f>"460027199906105922"</f>
        <v>460027199906105922</v>
      </c>
      <c r="E819" s="5" t="s">
        <v>15</v>
      </c>
      <c r="F819" s="5" t="str">
        <f>"073102020232"</f>
        <v>073102020232</v>
      </c>
      <c r="G819" s="7">
        <v>0</v>
      </c>
      <c r="H819" s="7">
        <f t="shared" si="58"/>
        <v>0</v>
      </c>
      <c r="I819" s="7">
        <v>0</v>
      </c>
      <c r="J819" s="7">
        <f t="shared" si="59"/>
        <v>0</v>
      </c>
      <c r="K819" s="10">
        <f t="shared" si="60"/>
        <v>0</v>
      </c>
      <c r="L819" s="7">
        <f t="shared" si="61"/>
        <v>509</v>
      </c>
      <c r="M819" s="13" t="s">
        <v>18</v>
      </c>
      <c r="N819"/>
    </row>
    <row r="820" spans="1:14" ht="24.75" customHeight="1">
      <c r="A820" s="5">
        <v>818</v>
      </c>
      <c r="B820" s="5" t="s">
        <v>19</v>
      </c>
      <c r="C820" s="5" t="str">
        <f>"陈冬迪"</f>
        <v>陈冬迪</v>
      </c>
      <c r="D820" s="5" t="str">
        <f>"460003199512240629"</f>
        <v>460003199512240629</v>
      </c>
      <c r="E820" s="5" t="s">
        <v>15</v>
      </c>
      <c r="F820" s="5" t="str">
        <f>"073102020236"</f>
        <v>073102020236</v>
      </c>
      <c r="G820" s="7">
        <v>0</v>
      </c>
      <c r="H820" s="7">
        <f t="shared" si="58"/>
        <v>0</v>
      </c>
      <c r="I820" s="7">
        <v>0</v>
      </c>
      <c r="J820" s="7">
        <f t="shared" si="59"/>
        <v>0</v>
      </c>
      <c r="K820" s="10">
        <f t="shared" si="60"/>
        <v>0</v>
      </c>
      <c r="L820" s="7">
        <f t="shared" si="61"/>
        <v>509</v>
      </c>
      <c r="M820" s="13" t="s">
        <v>18</v>
      </c>
      <c r="N820"/>
    </row>
    <row r="821" spans="1:14" ht="24.75" customHeight="1">
      <c r="A821" s="5">
        <v>819</v>
      </c>
      <c r="B821" s="5" t="s">
        <v>19</v>
      </c>
      <c r="C821" s="5" t="str">
        <f>"陈南良"</f>
        <v>陈南良</v>
      </c>
      <c r="D821" s="5" t="str">
        <f>"46000319910903063X"</f>
        <v>46000319910903063X</v>
      </c>
      <c r="E821" s="5" t="s">
        <v>15</v>
      </c>
      <c r="F821" s="5" t="str">
        <f>"073102020239"</f>
        <v>073102020239</v>
      </c>
      <c r="G821" s="7">
        <v>0</v>
      </c>
      <c r="H821" s="7">
        <f t="shared" si="58"/>
        <v>0</v>
      </c>
      <c r="I821" s="7">
        <v>0</v>
      </c>
      <c r="J821" s="7">
        <f t="shared" si="59"/>
        <v>0</v>
      </c>
      <c r="K821" s="10">
        <f t="shared" si="60"/>
        <v>0</v>
      </c>
      <c r="L821" s="7">
        <f t="shared" si="61"/>
        <v>509</v>
      </c>
      <c r="M821" s="13" t="s">
        <v>18</v>
      </c>
      <c r="N821"/>
    </row>
    <row r="822" spans="1:14" ht="24.75" customHeight="1">
      <c r="A822" s="5">
        <v>820</v>
      </c>
      <c r="B822" s="5" t="s">
        <v>19</v>
      </c>
      <c r="C822" s="5" t="str">
        <f>"赵顺玲"</f>
        <v>赵顺玲</v>
      </c>
      <c r="D822" s="5" t="str">
        <f>"469003199310196744"</f>
        <v>469003199310196744</v>
      </c>
      <c r="E822" s="5" t="s">
        <v>15</v>
      </c>
      <c r="F822" s="5" t="str">
        <f>"073102020302"</f>
        <v>073102020302</v>
      </c>
      <c r="G822" s="7">
        <v>0</v>
      </c>
      <c r="H822" s="7">
        <f t="shared" si="58"/>
        <v>0</v>
      </c>
      <c r="I822" s="7">
        <v>0</v>
      </c>
      <c r="J822" s="7">
        <f t="shared" si="59"/>
        <v>0</v>
      </c>
      <c r="K822" s="10">
        <f t="shared" si="60"/>
        <v>0</v>
      </c>
      <c r="L822" s="7">
        <f t="shared" si="61"/>
        <v>509</v>
      </c>
      <c r="M822" s="13" t="s">
        <v>18</v>
      </c>
      <c r="N822"/>
    </row>
    <row r="823" spans="1:14" ht="24.75" customHeight="1">
      <c r="A823" s="5">
        <v>821</v>
      </c>
      <c r="B823" s="5" t="s">
        <v>19</v>
      </c>
      <c r="C823" s="5" t="str">
        <f>"张小婷"</f>
        <v>张小婷</v>
      </c>
      <c r="D823" s="5" t="str">
        <f>"460003199305180029"</f>
        <v>460003199305180029</v>
      </c>
      <c r="E823" s="5" t="s">
        <v>15</v>
      </c>
      <c r="F823" s="5" t="str">
        <f>"073102020306"</f>
        <v>073102020306</v>
      </c>
      <c r="G823" s="7">
        <v>0</v>
      </c>
      <c r="H823" s="7">
        <f t="shared" si="58"/>
        <v>0</v>
      </c>
      <c r="I823" s="7">
        <v>0</v>
      </c>
      <c r="J823" s="7">
        <f t="shared" si="59"/>
        <v>0</v>
      </c>
      <c r="K823" s="10">
        <f t="shared" si="60"/>
        <v>0</v>
      </c>
      <c r="L823" s="7">
        <f t="shared" si="61"/>
        <v>509</v>
      </c>
      <c r="M823" s="13" t="s">
        <v>18</v>
      </c>
      <c r="N823"/>
    </row>
    <row r="824" spans="1:14" ht="24.75" customHeight="1">
      <c r="A824" s="5">
        <v>822</v>
      </c>
      <c r="B824" s="5" t="s">
        <v>19</v>
      </c>
      <c r="C824" s="5" t="str">
        <f>"符文升"</f>
        <v>符文升</v>
      </c>
      <c r="D824" s="5" t="str">
        <f>"469003199408248426"</f>
        <v>469003199408248426</v>
      </c>
      <c r="E824" s="5" t="s">
        <v>15</v>
      </c>
      <c r="F824" s="5" t="str">
        <f>"073102020308"</f>
        <v>073102020308</v>
      </c>
      <c r="G824" s="7">
        <v>0</v>
      </c>
      <c r="H824" s="7">
        <f t="shared" si="58"/>
        <v>0</v>
      </c>
      <c r="I824" s="7">
        <v>0</v>
      </c>
      <c r="J824" s="7">
        <f t="shared" si="59"/>
        <v>0</v>
      </c>
      <c r="K824" s="10">
        <f t="shared" si="60"/>
        <v>0</v>
      </c>
      <c r="L824" s="7">
        <f t="shared" si="61"/>
        <v>509</v>
      </c>
      <c r="M824" s="13" t="s">
        <v>18</v>
      </c>
      <c r="N824"/>
    </row>
    <row r="825" spans="1:14" ht="24.75" customHeight="1">
      <c r="A825" s="5">
        <v>823</v>
      </c>
      <c r="B825" s="5" t="s">
        <v>19</v>
      </c>
      <c r="C825" s="5" t="str">
        <f>"赵栋莲"</f>
        <v>赵栋莲</v>
      </c>
      <c r="D825" s="5" t="str">
        <f>"469003199108207024"</f>
        <v>469003199108207024</v>
      </c>
      <c r="E825" s="5" t="s">
        <v>15</v>
      </c>
      <c r="F825" s="5" t="str">
        <f>"073102020311"</f>
        <v>073102020311</v>
      </c>
      <c r="G825" s="7">
        <v>0</v>
      </c>
      <c r="H825" s="7">
        <f t="shared" si="58"/>
        <v>0</v>
      </c>
      <c r="I825" s="7">
        <v>0</v>
      </c>
      <c r="J825" s="7">
        <f t="shared" si="59"/>
        <v>0</v>
      </c>
      <c r="K825" s="10">
        <f t="shared" si="60"/>
        <v>0</v>
      </c>
      <c r="L825" s="7">
        <f t="shared" si="61"/>
        <v>509</v>
      </c>
      <c r="M825" s="13" t="s">
        <v>18</v>
      </c>
      <c r="N825"/>
    </row>
    <row r="826" spans="1:14" ht="24.75" customHeight="1">
      <c r="A826" s="5">
        <v>824</v>
      </c>
      <c r="B826" s="5" t="s">
        <v>19</v>
      </c>
      <c r="C826" s="5" t="str">
        <f>"周学娜"</f>
        <v>周学娜</v>
      </c>
      <c r="D826" s="5" t="str">
        <f>"460003199703212647"</f>
        <v>460003199703212647</v>
      </c>
      <c r="E826" s="5" t="s">
        <v>15</v>
      </c>
      <c r="F826" s="5" t="str">
        <f>"073102020312"</f>
        <v>073102020312</v>
      </c>
      <c r="G826" s="7">
        <v>0</v>
      </c>
      <c r="H826" s="7">
        <f t="shared" si="58"/>
        <v>0</v>
      </c>
      <c r="I826" s="7">
        <v>0</v>
      </c>
      <c r="J826" s="7">
        <f t="shared" si="59"/>
        <v>0</v>
      </c>
      <c r="K826" s="10">
        <f t="shared" si="60"/>
        <v>0</v>
      </c>
      <c r="L826" s="7">
        <f t="shared" si="61"/>
        <v>509</v>
      </c>
      <c r="M826" s="13" t="s">
        <v>18</v>
      </c>
      <c r="N826"/>
    </row>
    <row r="827" spans="1:14" ht="24.75" customHeight="1">
      <c r="A827" s="5">
        <v>825</v>
      </c>
      <c r="B827" s="5" t="s">
        <v>19</v>
      </c>
      <c r="C827" s="5" t="str">
        <f>"吴业智"</f>
        <v>吴业智</v>
      </c>
      <c r="D827" s="5" t="str">
        <f>"460003199511212810"</f>
        <v>460003199511212810</v>
      </c>
      <c r="E827" s="5" t="s">
        <v>15</v>
      </c>
      <c r="F827" s="5" t="str">
        <f>"073102020313"</f>
        <v>073102020313</v>
      </c>
      <c r="G827" s="7">
        <v>0</v>
      </c>
      <c r="H827" s="7">
        <f t="shared" si="58"/>
        <v>0</v>
      </c>
      <c r="I827" s="7">
        <v>0</v>
      </c>
      <c r="J827" s="7">
        <f t="shared" si="59"/>
        <v>0</v>
      </c>
      <c r="K827" s="10">
        <f t="shared" si="60"/>
        <v>0</v>
      </c>
      <c r="L827" s="7">
        <f t="shared" si="61"/>
        <v>509</v>
      </c>
      <c r="M827" s="13" t="s">
        <v>18</v>
      </c>
      <c r="N827"/>
    </row>
    <row r="828" spans="1:14" ht="24.75" customHeight="1">
      <c r="A828" s="5">
        <v>826</v>
      </c>
      <c r="B828" s="5" t="s">
        <v>19</v>
      </c>
      <c r="C828" s="5" t="str">
        <f>"徐微"</f>
        <v>徐微</v>
      </c>
      <c r="D828" s="5" t="str">
        <f>"460028199712293220"</f>
        <v>460028199712293220</v>
      </c>
      <c r="E828" s="5" t="s">
        <v>15</v>
      </c>
      <c r="F828" s="5" t="str">
        <f>"073102020316"</f>
        <v>073102020316</v>
      </c>
      <c r="G828" s="7">
        <v>0</v>
      </c>
      <c r="H828" s="7">
        <f t="shared" si="58"/>
        <v>0</v>
      </c>
      <c r="I828" s="7">
        <v>0</v>
      </c>
      <c r="J828" s="7">
        <f t="shared" si="59"/>
        <v>0</v>
      </c>
      <c r="K828" s="10">
        <f t="shared" si="60"/>
        <v>0</v>
      </c>
      <c r="L828" s="7">
        <f t="shared" si="61"/>
        <v>509</v>
      </c>
      <c r="M828" s="13" t="s">
        <v>18</v>
      </c>
      <c r="N828"/>
    </row>
    <row r="829" spans="1:14" ht="24.75" customHeight="1">
      <c r="A829" s="5">
        <v>827</v>
      </c>
      <c r="B829" s="5" t="s">
        <v>19</v>
      </c>
      <c r="C829" s="5" t="str">
        <f>"李达波"</f>
        <v>李达波</v>
      </c>
      <c r="D829" s="5" t="str">
        <f>"460003199311124410"</f>
        <v>460003199311124410</v>
      </c>
      <c r="E829" s="5" t="s">
        <v>15</v>
      </c>
      <c r="F829" s="5" t="str">
        <f>"073102020317"</f>
        <v>073102020317</v>
      </c>
      <c r="G829" s="7">
        <v>0</v>
      </c>
      <c r="H829" s="7">
        <f t="shared" si="58"/>
        <v>0</v>
      </c>
      <c r="I829" s="7">
        <v>0</v>
      </c>
      <c r="J829" s="7">
        <f t="shared" si="59"/>
        <v>0</v>
      </c>
      <c r="K829" s="10">
        <f t="shared" si="60"/>
        <v>0</v>
      </c>
      <c r="L829" s="7">
        <f t="shared" si="61"/>
        <v>509</v>
      </c>
      <c r="M829" s="13" t="s">
        <v>18</v>
      </c>
      <c r="N829"/>
    </row>
    <row r="830" spans="1:14" ht="24.75" customHeight="1">
      <c r="A830" s="5">
        <v>828</v>
      </c>
      <c r="B830" s="5" t="s">
        <v>19</v>
      </c>
      <c r="C830" s="5" t="str">
        <f>"邓钰"</f>
        <v>邓钰</v>
      </c>
      <c r="D830" s="5" t="str">
        <f>"460030199110144828"</f>
        <v>460030199110144828</v>
      </c>
      <c r="E830" s="5" t="s">
        <v>15</v>
      </c>
      <c r="F830" s="5" t="str">
        <f>"073102020318"</f>
        <v>073102020318</v>
      </c>
      <c r="G830" s="7">
        <v>0</v>
      </c>
      <c r="H830" s="7">
        <f t="shared" si="58"/>
        <v>0</v>
      </c>
      <c r="I830" s="7">
        <v>0</v>
      </c>
      <c r="J830" s="7">
        <f t="shared" si="59"/>
        <v>0</v>
      </c>
      <c r="K830" s="10">
        <f t="shared" si="60"/>
        <v>0</v>
      </c>
      <c r="L830" s="7">
        <f t="shared" si="61"/>
        <v>509</v>
      </c>
      <c r="M830" s="13" t="s">
        <v>18</v>
      </c>
      <c r="N830"/>
    </row>
    <row r="831" spans="1:14" ht="24.75" customHeight="1">
      <c r="A831" s="5">
        <v>829</v>
      </c>
      <c r="B831" s="5" t="s">
        <v>19</v>
      </c>
      <c r="C831" s="5" t="str">
        <f>"陈祝妁"</f>
        <v>陈祝妁</v>
      </c>
      <c r="D831" s="5" t="str">
        <f>"460003199211292046"</f>
        <v>460003199211292046</v>
      </c>
      <c r="E831" s="5" t="s">
        <v>15</v>
      </c>
      <c r="F831" s="5" t="str">
        <f>"073102020320"</f>
        <v>073102020320</v>
      </c>
      <c r="G831" s="7">
        <v>0</v>
      </c>
      <c r="H831" s="7">
        <f t="shared" si="58"/>
        <v>0</v>
      </c>
      <c r="I831" s="7">
        <v>0</v>
      </c>
      <c r="J831" s="7">
        <f t="shared" si="59"/>
        <v>0</v>
      </c>
      <c r="K831" s="10">
        <f t="shared" si="60"/>
        <v>0</v>
      </c>
      <c r="L831" s="7">
        <f t="shared" si="61"/>
        <v>509</v>
      </c>
      <c r="M831" s="13" t="s">
        <v>18</v>
      </c>
      <c r="N831"/>
    </row>
    <row r="832" spans="1:14" ht="24.75" customHeight="1">
      <c r="A832" s="5">
        <v>830</v>
      </c>
      <c r="B832" s="5" t="s">
        <v>19</v>
      </c>
      <c r="C832" s="5" t="str">
        <f>"陈秋平"</f>
        <v>陈秋平</v>
      </c>
      <c r="D832" s="5" t="str">
        <f>"460003199609213221"</f>
        <v>460003199609213221</v>
      </c>
      <c r="E832" s="5" t="s">
        <v>15</v>
      </c>
      <c r="F832" s="5" t="str">
        <f>"073102020322"</f>
        <v>073102020322</v>
      </c>
      <c r="G832" s="7">
        <v>0</v>
      </c>
      <c r="H832" s="7">
        <f t="shared" si="58"/>
        <v>0</v>
      </c>
      <c r="I832" s="7">
        <v>0</v>
      </c>
      <c r="J832" s="7">
        <f t="shared" si="59"/>
        <v>0</v>
      </c>
      <c r="K832" s="10">
        <f t="shared" si="60"/>
        <v>0</v>
      </c>
      <c r="L832" s="7">
        <f t="shared" si="61"/>
        <v>509</v>
      </c>
      <c r="M832" s="13" t="s">
        <v>18</v>
      </c>
      <c r="N832"/>
    </row>
    <row r="833" spans="1:14" ht="24.75" customHeight="1">
      <c r="A833" s="5">
        <v>831</v>
      </c>
      <c r="B833" s="5" t="s">
        <v>19</v>
      </c>
      <c r="C833" s="5" t="str">
        <f>"何应祥"</f>
        <v>何应祥</v>
      </c>
      <c r="D833" s="5" t="str">
        <f>"469003199802282710"</f>
        <v>469003199802282710</v>
      </c>
      <c r="E833" s="5" t="s">
        <v>15</v>
      </c>
      <c r="F833" s="5" t="str">
        <f>"073102020324"</f>
        <v>073102020324</v>
      </c>
      <c r="G833" s="7">
        <v>0</v>
      </c>
      <c r="H833" s="7">
        <f t="shared" si="58"/>
        <v>0</v>
      </c>
      <c r="I833" s="7">
        <v>0</v>
      </c>
      <c r="J833" s="7">
        <f t="shared" si="59"/>
        <v>0</v>
      </c>
      <c r="K833" s="10">
        <f t="shared" si="60"/>
        <v>0</v>
      </c>
      <c r="L833" s="7">
        <f t="shared" si="61"/>
        <v>509</v>
      </c>
      <c r="M833" s="13" t="s">
        <v>18</v>
      </c>
      <c r="N833"/>
    </row>
    <row r="834" spans="1:14" ht="24.75" customHeight="1">
      <c r="A834" s="5">
        <v>832</v>
      </c>
      <c r="B834" s="5" t="s">
        <v>19</v>
      </c>
      <c r="C834" s="5" t="str">
        <f>"符宠祝"</f>
        <v>符宠祝</v>
      </c>
      <c r="D834" s="5" t="str">
        <f>"460003199410166229"</f>
        <v>460003199410166229</v>
      </c>
      <c r="E834" s="5" t="s">
        <v>15</v>
      </c>
      <c r="F834" s="5" t="str">
        <f>"073102020326"</f>
        <v>073102020326</v>
      </c>
      <c r="G834" s="7">
        <v>0</v>
      </c>
      <c r="H834" s="7">
        <f t="shared" si="58"/>
        <v>0</v>
      </c>
      <c r="I834" s="7">
        <v>0</v>
      </c>
      <c r="J834" s="7">
        <f t="shared" si="59"/>
        <v>0</v>
      </c>
      <c r="K834" s="10">
        <f t="shared" si="60"/>
        <v>0</v>
      </c>
      <c r="L834" s="7">
        <f t="shared" si="61"/>
        <v>509</v>
      </c>
      <c r="M834" s="13" t="s">
        <v>18</v>
      </c>
      <c r="N834"/>
    </row>
    <row r="835" spans="1:14" ht="24.75" customHeight="1">
      <c r="A835" s="5">
        <v>833</v>
      </c>
      <c r="B835" s="5" t="s">
        <v>19</v>
      </c>
      <c r="C835" s="5" t="str">
        <f>"蔡常杰"</f>
        <v>蔡常杰</v>
      </c>
      <c r="D835" s="5" t="str">
        <f>"460003199512240637"</f>
        <v>460003199512240637</v>
      </c>
      <c r="E835" s="5" t="s">
        <v>15</v>
      </c>
      <c r="F835" s="5" t="str">
        <f>"073102020328"</f>
        <v>073102020328</v>
      </c>
      <c r="G835" s="7">
        <v>0</v>
      </c>
      <c r="H835" s="7">
        <f aca="true" t="shared" si="62" ref="H835:H898">G835*0.5</f>
        <v>0</v>
      </c>
      <c r="I835" s="7">
        <v>0</v>
      </c>
      <c r="J835" s="7">
        <f aca="true" t="shared" si="63" ref="J835:J898">I835*0.5</f>
        <v>0</v>
      </c>
      <c r="K835" s="10">
        <f t="shared" si="60"/>
        <v>0</v>
      </c>
      <c r="L835" s="7">
        <f t="shared" si="61"/>
        <v>509</v>
      </c>
      <c r="M835" s="13" t="s">
        <v>18</v>
      </c>
      <c r="N835"/>
    </row>
    <row r="836" spans="1:14" ht="24.75" customHeight="1">
      <c r="A836" s="5">
        <v>834</v>
      </c>
      <c r="B836" s="5" t="s">
        <v>19</v>
      </c>
      <c r="C836" s="5" t="str">
        <f>"符亚丹"</f>
        <v>符亚丹</v>
      </c>
      <c r="D836" s="5" t="str">
        <f>"460034199508162423"</f>
        <v>460034199508162423</v>
      </c>
      <c r="E836" s="5" t="s">
        <v>15</v>
      </c>
      <c r="F836" s="5" t="str">
        <f>"073102020332"</f>
        <v>073102020332</v>
      </c>
      <c r="G836" s="7">
        <v>0</v>
      </c>
      <c r="H836" s="7">
        <f t="shared" si="62"/>
        <v>0</v>
      </c>
      <c r="I836" s="7">
        <v>0</v>
      </c>
      <c r="J836" s="7">
        <f t="shared" si="63"/>
        <v>0</v>
      </c>
      <c r="K836" s="10">
        <f t="shared" si="60"/>
        <v>0</v>
      </c>
      <c r="L836" s="7">
        <f t="shared" si="61"/>
        <v>509</v>
      </c>
      <c r="M836" s="13" t="s">
        <v>18</v>
      </c>
      <c r="N836"/>
    </row>
    <row r="837" spans="1:14" ht="24.75" customHeight="1">
      <c r="A837" s="5">
        <v>835</v>
      </c>
      <c r="B837" s="5" t="s">
        <v>19</v>
      </c>
      <c r="C837" s="5" t="str">
        <f>"庄雪芬"</f>
        <v>庄雪芬</v>
      </c>
      <c r="D837" s="5" t="str">
        <f>"460030199606176620"</f>
        <v>460030199606176620</v>
      </c>
      <c r="E837" s="5" t="s">
        <v>15</v>
      </c>
      <c r="F837" s="5" t="str">
        <f>"073102020333"</f>
        <v>073102020333</v>
      </c>
      <c r="G837" s="7">
        <v>0</v>
      </c>
      <c r="H837" s="7">
        <f t="shared" si="62"/>
        <v>0</v>
      </c>
      <c r="I837" s="7">
        <v>0</v>
      </c>
      <c r="J837" s="7">
        <f t="shared" si="63"/>
        <v>0</v>
      </c>
      <c r="K837" s="10">
        <f t="shared" si="60"/>
        <v>0</v>
      </c>
      <c r="L837" s="7">
        <f t="shared" si="61"/>
        <v>509</v>
      </c>
      <c r="M837" s="13" t="s">
        <v>18</v>
      </c>
      <c r="N837"/>
    </row>
    <row r="838" spans="1:14" ht="24.75" customHeight="1">
      <c r="A838" s="5">
        <v>836</v>
      </c>
      <c r="B838" s="5" t="s">
        <v>19</v>
      </c>
      <c r="C838" s="5" t="str">
        <f>"冯大旭"</f>
        <v>冯大旭</v>
      </c>
      <c r="D838" s="5" t="str">
        <f>"460027199502244117"</f>
        <v>460027199502244117</v>
      </c>
      <c r="E838" s="5" t="s">
        <v>15</v>
      </c>
      <c r="F838" s="5" t="str">
        <f>"073102020334"</f>
        <v>073102020334</v>
      </c>
      <c r="G838" s="7">
        <v>0</v>
      </c>
      <c r="H838" s="7">
        <f t="shared" si="62"/>
        <v>0</v>
      </c>
      <c r="I838" s="7">
        <v>0</v>
      </c>
      <c r="J838" s="7">
        <f t="shared" si="63"/>
        <v>0</v>
      </c>
      <c r="K838" s="10">
        <f t="shared" si="60"/>
        <v>0</v>
      </c>
      <c r="L838" s="7">
        <f t="shared" si="61"/>
        <v>509</v>
      </c>
      <c r="M838" s="13" t="s">
        <v>18</v>
      </c>
      <c r="N838"/>
    </row>
    <row r="839" spans="1:14" ht="24.75" customHeight="1">
      <c r="A839" s="5">
        <v>837</v>
      </c>
      <c r="B839" s="5" t="s">
        <v>19</v>
      </c>
      <c r="C839" s="5" t="str">
        <f>"赵志川"</f>
        <v>赵志川</v>
      </c>
      <c r="D839" s="5" t="str">
        <f>"460003199203223817"</f>
        <v>460003199203223817</v>
      </c>
      <c r="E839" s="5" t="s">
        <v>15</v>
      </c>
      <c r="F839" s="5" t="str">
        <f>"073102020336"</f>
        <v>073102020336</v>
      </c>
      <c r="G839" s="7">
        <v>0</v>
      </c>
      <c r="H839" s="7">
        <f t="shared" si="62"/>
        <v>0</v>
      </c>
      <c r="I839" s="7">
        <v>0</v>
      </c>
      <c r="J839" s="7">
        <f t="shared" si="63"/>
        <v>0</v>
      </c>
      <c r="K839" s="10">
        <f t="shared" si="60"/>
        <v>0</v>
      </c>
      <c r="L839" s="7">
        <f t="shared" si="61"/>
        <v>509</v>
      </c>
      <c r="M839" s="13" t="s">
        <v>18</v>
      </c>
      <c r="N839"/>
    </row>
    <row r="840" spans="1:14" ht="24.75" customHeight="1">
      <c r="A840" s="5">
        <v>838</v>
      </c>
      <c r="B840" s="5" t="s">
        <v>19</v>
      </c>
      <c r="C840" s="5" t="str">
        <f>"黄仪"</f>
        <v>黄仪</v>
      </c>
      <c r="D840" s="5" t="str">
        <f>"460036199809260847"</f>
        <v>460036199809260847</v>
      </c>
      <c r="E840" s="5" t="s">
        <v>15</v>
      </c>
      <c r="F840" s="5" t="str">
        <f>"073102020337"</f>
        <v>073102020337</v>
      </c>
      <c r="G840" s="7">
        <v>0</v>
      </c>
      <c r="H840" s="7">
        <f t="shared" si="62"/>
        <v>0</v>
      </c>
      <c r="I840" s="7">
        <v>0</v>
      </c>
      <c r="J840" s="7">
        <f t="shared" si="63"/>
        <v>0</v>
      </c>
      <c r="K840" s="10">
        <f t="shared" si="60"/>
        <v>0</v>
      </c>
      <c r="L840" s="7">
        <f t="shared" si="61"/>
        <v>509</v>
      </c>
      <c r="M840" s="13" t="s">
        <v>18</v>
      </c>
      <c r="N840"/>
    </row>
    <row r="841" spans="1:14" ht="24.75" customHeight="1">
      <c r="A841" s="5">
        <v>839</v>
      </c>
      <c r="B841" s="5" t="s">
        <v>19</v>
      </c>
      <c r="C841" s="5" t="str">
        <f>"陈锦丽"</f>
        <v>陈锦丽</v>
      </c>
      <c r="D841" s="5" t="str">
        <f>"460027199307292324"</f>
        <v>460027199307292324</v>
      </c>
      <c r="E841" s="5" t="s">
        <v>15</v>
      </c>
      <c r="F841" s="5" t="str">
        <f>"073102020338"</f>
        <v>073102020338</v>
      </c>
      <c r="G841" s="7">
        <v>0</v>
      </c>
      <c r="H841" s="7">
        <f t="shared" si="62"/>
        <v>0</v>
      </c>
      <c r="I841" s="7">
        <v>0</v>
      </c>
      <c r="J841" s="7">
        <f t="shared" si="63"/>
        <v>0</v>
      </c>
      <c r="K841" s="10">
        <f t="shared" si="60"/>
        <v>0</v>
      </c>
      <c r="L841" s="7">
        <f t="shared" si="61"/>
        <v>509</v>
      </c>
      <c r="M841" s="13" t="s">
        <v>18</v>
      </c>
      <c r="N841"/>
    </row>
    <row r="842" spans="1:14" ht="24.75" customHeight="1">
      <c r="A842" s="5">
        <v>840</v>
      </c>
      <c r="B842" s="5" t="s">
        <v>19</v>
      </c>
      <c r="C842" s="5" t="str">
        <f>"梁静宇"</f>
        <v>梁静宇</v>
      </c>
      <c r="D842" s="5" t="str">
        <f>"460102199811143027"</f>
        <v>460102199811143027</v>
      </c>
      <c r="E842" s="5" t="s">
        <v>15</v>
      </c>
      <c r="F842" s="5" t="str">
        <f>"073102020340"</f>
        <v>073102020340</v>
      </c>
      <c r="G842" s="7">
        <v>0</v>
      </c>
      <c r="H842" s="7">
        <f t="shared" si="62"/>
        <v>0</v>
      </c>
      <c r="I842" s="7">
        <v>0</v>
      </c>
      <c r="J842" s="7">
        <f t="shared" si="63"/>
        <v>0</v>
      </c>
      <c r="K842" s="10">
        <f t="shared" si="60"/>
        <v>0</v>
      </c>
      <c r="L842" s="7">
        <f t="shared" si="61"/>
        <v>509</v>
      </c>
      <c r="M842" s="13" t="s">
        <v>18</v>
      </c>
      <c r="N842"/>
    </row>
    <row r="843" spans="1:14" ht="24.75" customHeight="1">
      <c r="A843" s="5">
        <v>841</v>
      </c>
      <c r="B843" s="5" t="s">
        <v>19</v>
      </c>
      <c r="C843" s="5" t="str">
        <f>"符洋榛"</f>
        <v>符洋榛</v>
      </c>
      <c r="D843" s="5" t="str">
        <f>"460028199808196417"</f>
        <v>460028199808196417</v>
      </c>
      <c r="E843" s="5" t="s">
        <v>15</v>
      </c>
      <c r="F843" s="5" t="str">
        <f>"073102020401"</f>
        <v>073102020401</v>
      </c>
      <c r="G843" s="7">
        <v>0</v>
      </c>
      <c r="H843" s="7">
        <f t="shared" si="62"/>
        <v>0</v>
      </c>
      <c r="I843" s="7">
        <v>0</v>
      </c>
      <c r="J843" s="7">
        <f t="shared" si="63"/>
        <v>0</v>
      </c>
      <c r="K843" s="10">
        <f t="shared" si="60"/>
        <v>0</v>
      </c>
      <c r="L843" s="7">
        <f t="shared" si="61"/>
        <v>509</v>
      </c>
      <c r="M843" s="13" t="s">
        <v>18</v>
      </c>
      <c r="N843"/>
    </row>
    <row r="844" spans="1:14" ht="24.75" customHeight="1">
      <c r="A844" s="5">
        <v>842</v>
      </c>
      <c r="B844" s="5" t="s">
        <v>19</v>
      </c>
      <c r="C844" s="5" t="str">
        <f>"刘甲汉"</f>
        <v>刘甲汉</v>
      </c>
      <c r="D844" s="5" t="str">
        <f>"460003199503042030"</f>
        <v>460003199503042030</v>
      </c>
      <c r="E844" s="5" t="s">
        <v>15</v>
      </c>
      <c r="F844" s="5" t="str">
        <f>"073102020402"</f>
        <v>073102020402</v>
      </c>
      <c r="G844" s="7">
        <v>0</v>
      </c>
      <c r="H844" s="7">
        <f t="shared" si="62"/>
        <v>0</v>
      </c>
      <c r="I844" s="7">
        <v>0</v>
      </c>
      <c r="J844" s="7">
        <f t="shared" si="63"/>
        <v>0</v>
      </c>
      <c r="K844" s="10">
        <f aca="true" t="shared" si="64" ref="K844:K907">H844+J844</f>
        <v>0</v>
      </c>
      <c r="L844" s="7">
        <f t="shared" si="61"/>
        <v>509</v>
      </c>
      <c r="M844" s="13" t="s">
        <v>18</v>
      </c>
      <c r="N844"/>
    </row>
    <row r="845" spans="1:14" ht="24.75" customHeight="1">
      <c r="A845" s="5">
        <v>843</v>
      </c>
      <c r="B845" s="5" t="s">
        <v>19</v>
      </c>
      <c r="C845" s="5" t="str">
        <f>"邓陈杏"</f>
        <v>邓陈杏</v>
      </c>
      <c r="D845" s="5" t="str">
        <f>"460003199709280624"</f>
        <v>460003199709280624</v>
      </c>
      <c r="E845" s="5" t="s">
        <v>15</v>
      </c>
      <c r="F845" s="5" t="str">
        <f>"073102020404"</f>
        <v>073102020404</v>
      </c>
      <c r="G845" s="7">
        <v>0</v>
      </c>
      <c r="H845" s="7">
        <f t="shared" si="62"/>
        <v>0</v>
      </c>
      <c r="I845" s="7">
        <v>0</v>
      </c>
      <c r="J845" s="7">
        <f t="shared" si="63"/>
        <v>0</v>
      </c>
      <c r="K845" s="10">
        <f t="shared" si="64"/>
        <v>0</v>
      </c>
      <c r="L845" s="7">
        <f t="shared" si="61"/>
        <v>509</v>
      </c>
      <c r="M845" s="13" t="s">
        <v>18</v>
      </c>
      <c r="N845"/>
    </row>
    <row r="846" spans="1:14" ht="24.75" customHeight="1">
      <c r="A846" s="5">
        <v>844</v>
      </c>
      <c r="B846" s="5" t="s">
        <v>19</v>
      </c>
      <c r="C846" s="5" t="str">
        <f>"孙雪妃"</f>
        <v>孙雪妃</v>
      </c>
      <c r="D846" s="5" t="str">
        <f>"460300199806160023"</f>
        <v>460300199806160023</v>
      </c>
      <c r="E846" s="5" t="s">
        <v>15</v>
      </c>
      <c r="F846" s="5" t="str">
        <f>"073102020405"</f>
        <v>073102020405</v>
      </c>
      <c r="G846" s="7">
        <v>0</v>
      </c>
      <c r="H846" s="7">
        <f t="shared" si="62"/>
        <v>0</v>
      </c>
      <c r="I846" s="7">
        <v>0</v>
      </c>
      <c r="J846" s="7">
        <f t="shared" si="63"/>
        <v>0</v>
      </c>
      <c r="K846" s="10">
        <f t="shared" si="64"/>
        <v>0</v>
      </c>
      <c r="L846" s="7">
        <f t="shared" si="61"/>
        <v>509</v>
      </c>
      <c r="M846" s="13" t="s">
        <v>18</v>
      </c>
      <c r="N846"/>
    </row>
    <row r="847" spans="1:14" ht="24.75" customHeight="1">
      <c r="A847" s="5">
        <v>845</v>
      </c>
      <c r="B847" s="5" t="s">
        <v>19</v>
      </c>
      <c r="C847" s="5" t="str">
        <f>"陈宏旺"</f>
        <v>陈宏旺</v>
      </c>
      <c r="D847" s="5" t="str">
        <f>"460003199105080218"</f>
        <v>460003199105080218</v>
      </c>
      <c r="E847" s="5" t="s">
        <v>15</v>
      </c>
      <c r="F847" s="5" t="str">
        <f>"073102020408"</f>
        <v>073102020408</v>
      </c>
      <c r="G847" s="7">
        <v>0</v>
      </c>
      <c r="H847" s="7">
        <f t="shared" si="62"/>
        <v>0</v>
      </c>
      <c r="I847" s="7">
        <v>0</v>
      </c>
      <c r="J847" s="7">
        <f t="shared" si="63"/>
        <v>0</v>
      </c>
      <c r="K847" s="10">
        <f t="shared" si="64"/>
        <v>0</v>
      </c>
      <c r="L847" s="7">
        <f t="shared" si="61"/>
        <v>509</v>
      </c>
      <c r="M847" s="13" t="s">
        <v>18</v>
      </c>
      <c r="N847"/>
    </row>
    <row r="848" spans="1:14" ht="24.75" customHeight="1">
      <c r="A848" s="5">
        <v>846</v>
      </c>
      <c r="B848" s="5" t="s">
        <v>19</v>
      </c>
      <c r="C848" s="5" t="str">
        <f>"邓官花"</f>
        <v>邓官花</v>
      </c>
      <c r="D848" s="5" t="str">
        <f>"460003199503036626"</f>
        <v>460003199503036626</v>
      </c>
      <c r="E848" s="5" t="s">
        <v>15</v>
      </c>
      <c r="F848" s="5" t="str">
        <f>"073102020409"</f>
        <v>073102020409</v>
      </c>
      <c r="G848" s="7">
        <v>0</v>
      </c>
      <c r="H848" s="7">
        <f t="shared" si="62"/>
        <v>0</v>
      </c>
      <c r="I848" s="7">
        <v>0</v>
      </c>
      <c r="J848" s="7">
        <f t="shared" si="63"/>
        <v>0</v>
      </c>
      <c r="K848" s="10">
        <f t="shared" si="64"/>
        <v>0</v>
      </c>
      <c r="L848" s="7">
        <f t="shared" si="61"/>
        <v>509</v>
      </c>
      <c r="M848" s="13" t="s">
        <v>18</v>
      </c>
      <c r="N848"/>
    </row>
    <row r="849" spans="1:14" ht="24.75" customHeight="1">
      <c r="A849" s="5">
        <v>847</v>
      </c>
      <c r="B849" s="5" t="s">
        <v>19</v>
      </c>
      <c r="C849" s="5" t="str">
        <f>"王晓婧"</f>
        <v>王晓婧</v>
      </c>
      <c r="D849" s="5" t="str">
        <f>"460036199804157525"</f>
        <v>460036199804157525</v>
      </c>
      <c r="E849" s="5" t="s">
        <v>15</v>
      </c>
      <c r="F849" s="5" t="str">
        <f>"073102020410"</f>
        <v>073102020410</v>
      </c>
      <c r="G849" s="7">
        <v>0</v>
      </c>
      <c r="H849" s="7">
        <f t="shared" si="62"/>
        <v>0</v>
      </c>
      <c r="I849" s="7">
        <v>0</v>
      </c>
      <c r="J849" s="7">
        <f t="shared" si="63"/>
        <v>0</v>
      </c>
      <c r="K849" s="10">
        <f t="shared" si="64"/>
        <v>0</v>
      </c>
      <c r="L849" s="7">
        <f t="shared" si="61"/>
        <v>509</v>
      </c>
      <c r="M849" s="13" t="s">
        <v>18</v>
      </c>
      <c r="N849"/>
    </row>
    <row r="850" spans="1:14" ht="24.75" customHeight="1">
      <c r="A850" s="5">
        <v>848</v>
      </c>
      <c r="B850" s="5" t="s">
        <v>19</v>
      </c>
      <c r="C850" s="5" t="str">
        <f>"李珊"</f>
        <v>李珊</v>
      </c>
      <c r="D850" s="5" t="str">
        <f>"460003199909284646"</f>
        <v>460003199909284646</v>
      </c>
      <c r="E850" s="5" t="s">
        <v>15</v>
      </c>
      <c r="F850" s="5" t="str">
        <f>"073102020414"</f>
        <v>073102020414</v>
      </c>
      <c r="G850" s="7">
        <v>0</v>
      </c>
      <c r="H850" s="7">
        <f t="shared" si="62"/>
        <v>0</v>
      </c>
      <c r="I850" s="7">
        <v>0</v>
      </c>
      <c r="J850" s="7">
        <f t="shared" si="63"/>
        <v>0</v>
      </c>
      <c r="K850" s="10">
        <f t="shared" si="64"/>
        <v>0</v>
      </c>
      <c r="L850" s="7">
        <f t="shared" si="61"/>
        <v>509</v>
      </c>
      <c r="M850" s="13" t="s">
        <v>18</v>
      </c>
      <c r="N850"/>
    </row>
    <row r="851" spans="1:14" ht="24.75" customHeight="1">
      <c r="A851" s="5">
        <v>849</v>
      </c>
      <c r="B851" s="5" t="s">
        <v>19</v>
      </c>
      <c r="C851" s="5" t="str">
        <f>"沈铭"</f>
        <v>沈铭</v>
      </c>
      <c r="D851" s="5" t="str">
        <f>"450922199412240193"</f>
        <v>450922199412240193</v>
      </c>
      <c r="E851" s="5" t="s">
        <v>15</v>
      </c>
      <c r="F851" s="5" t="str">
        <f>"073102020416"</f>
        <v>073102020416</v>
      </c>
      <c r="G851" s="7">
        <v>0</v>
      </c>
      <c r="H851" s="7">
        <f t="shared" si="62"/>
        <v>0</v>
      </c>
      <c r="I851" s="7">
        <v>0</v>
      </c>
      <c r="J851" s="7">
        <f t="shared" si="63"/>
        <v>0</v>
      </c>
      <c r="K851" s="10">
        <f t="shared" si="64"/>
        <v>0</v>
      </c>
      <c r="L851" s="7">
        <f t="shared" si="61"/>
        <v>509</v>
      </c>
      <c r="M851" s="13" t="s">
        <v>18</v>
      </c>
      <c r="N851"/>
    </row>
    <row r="852" spans="1:14" ht="24.75" customHeight="1">
      <c r="A852" s="5">
        <v>850</v>
      </c>
      <c r="B852" s="5" t="s">
        <v>19</v>
      </c>
      <c r="C852" s="5" t="str">
        <f>"王文丽"</f>
        <v>王文丽</v>
      </c>
      <c r="D852" s="5" t="str">
        <f>"46000319990622404X"</f>
        <v>46000319990622404X</v>
      </c>
      <c r="E852" s="5" t="s">
        <v>15</v>
      </c>
      <c r="F852" s="5" t="str">
        <f>"073102020417"</f>
        <v>073102020417</v>
      </c>
      <c r="G852" s="7">
        <v>0</v>
      </c>
      <c r="H852" s="7">
        <f t="shared" si="62"/>
        <v>0</v>
      </c>
      <c r="I852" s="7">
        <v>0</v>
      </c>
      <c r="J852" s="7">
        <f t="shared" si="63"/>
        <v>0</v>
      </c>
      <c r="K852" s="10">
        <f t="shared" si="64"/>
        <v>0</v>
      </c>
      <c r="L852" s="7">
        <f t="shared" si="61"/>
        <v>509</v>
      </c>
      <c r="M852" s="13" t="s">
        <v>18</v>
      </c>
      <c r="N852"/>
    </row>
    <row r="853" spans="1:14" ht="24.75" customHeight="1">
      <c r="A853" s="5">
        <v>851</v>
      </c>
      <c r="B853" s="5" t="s">
        <v>19</v>
      </c>
      <c r="C853" s="5" t="str">
        <f>"陈照新"</f>
        <v>陈照新</v>
      </c>
      <c r="D853" s="5" t="str">
        <f>"460006199708278118"</f>
        <v>460006199708278118</v>
      </c>
      <c r="E853" s="5" t="s">
        <v>15</v>
      </c>
      <c r="F853" s="5" t="str">
        <f>"073102020419"</f>
        <v>073102020419</v>
      </c>
      <c r="G853" s="7">
        <v>0</v>
      </c>
      <c r="H853" s="7">
        <f t="shared" si="62"/>
        <v>0</v>
      </c>
      <c r="I853" s="7">
        <v>0</v>
      </c>
      <c r="J853" s="7">
        <f t="shared" si="63"/>
        <v>0</v>
      </c>
      <c r="K853" s="10">
        <f t="shared" si="64"/>
        <v>0</v>
      </c>
      <c r="L853" s="7">
        <f t="shared" si="61"/>
        <v>509</v>
      </c>
      <c r="M853" s="13" t="s">
        <v>18</v>
      </c>
      <c r="N853"/>
    </row>
    <row r="854" spans="1:14" ht="24.75" customHeight="1">
      <c r="A854" s="5">
        <v>852</v>
      </c>
      <c r="B854" s="5" t="s">
        <v>19</v>
      </c>
      <c r="C854" s="5" t="str">
        <f>"林常舜"</f>
        <v>林常舜</v>
      </c>
      <c r="D854" s="5" t="str">
        <f>"460003199812180234"</f>
        <v>460003199812180234</v>
      </c>
      <c r="E854" s="5" t="s">
        <v>15</v>
      </c>
      <c r="F854" s="5" t="str">
        <f>"073102020420"</f>
        <v>073102020420</v>
      </c>
      <c r="G854" s="7">
        <v>0</v>
      </c>
      <c r="H854" s="7">
        <f t="shared" si="62"/>
        <v>0</v>
      </c>
      <c r="I854" s="7">
        <v>0</v>
      </c>
      <c r="J854" s="7">
        <f t="shared" si="63"/>
        <v>0</v>
      </c>
      <c r="K854" s="10">
        <f t="shared" si="64"/>
        <v>0</v>
      </c>
      <c r="L854" s="7">
        <f t="shared" si="61"/>
        <v>509</v>
      </c>
      <c r="M854" s="13" t="s">
        <v>18</v>
      </c>
      <c r="N854"/>
    </row>
    <row r="855" spans="1:14" ht="24.75" customHeight="1">
      <c r="A855" s="5">
        <v>853</v>
      </c>
      <c r="B855" s="5" t="s">
        <v>19</v>
      </c>
      <c r="C855" s="5" t="str">
        <f>"蒋晓婷"</f>
        <v>蒋晓婷</v>
      </c>
      <c r="D855" s="5" t="str">
        <f>"460002199710193820"</f>
        <v>460002199710193820</v>
      </c>
      <c r="E855" s="5" t="s">
        <v>15</v>
      </c>
      <c r="F855" s="5" t="str">
        <f>"073102020422"</f>
        <v>073102020422</v>
      </c>
      <c r="G855" s="7">
        <v>0</v>
      </c>
      <c r="H855" s="7">
        <f t="shared" si="62"/>
        <v>0</v>
      </c>
      <c r="I855" s="7">
        <v>0</v>
      </c>
      <c r="J855" s="7">
        <f t="shared" si="63"/>
        <v>0</v>
      </c>
      <c r="K855" s="10">
        <f t="shared" si="64"/>
        <v>0</v>
      </c>
      <c r="L855" s="7">
        <f t="shared" si="61"/>
        <v>509</v>
      </c>
      <c r="M855" s="13" t="s">
        <v>18</v>
      </c>
      <c r="N855"/>
    </row>
    <row r="856" spans="1:14" ht="24.75" customHeight="1">
      <c r="A856" s="5">
        <v>854</v>
      </c>
      <c r="B856" s="5" t="s">
        <v>19</v>
      </c>
      <c r="C856" s="5" t="str">
        <f>"陈泰"</f>
        <v>陈泰</v>
      </c>
      <c r="D856" s="5" t="str">
        <f>"460027199312247616"</f>
        <v>460027199312247616</v>
      </c>
      <c r="E856" s="5" t="s">
        <v>15</v>
      </c>
      <c r="F856" s="5" t="str">
        <f>"073102020425"</f>
        <v>073102020425</v>
      </c>
      <c r="G856" s="7">
        <v>0</v>
      </c>
      <c r="H856" s="7">
        <f t="shared" si="62"/>
        <v>0</v>
      </c>
      <c r="I856" s="7">
        <v>0</v>
      </c>
      <c r="J856" s="7">
        <f t="shared" si="63"/>
        <v>0</v>
      </c>
      <c r="K856" s="10">
        <f t="shared" si="64"/>
        <v>0</v>
      </c>
      <c r="L856" s="7">
        <f t="shared" si="61"/>
        <v>509</v>
      </c>
      <c r="M856" s="13" t="s">
        <v>18</v>
      </c>
      <c r="N856"/>
    </row>
    <row r="857" spans="1:14" ht="24.75" customHeight="1">
      <c r="A857" s="5">
        <v>855</v>
      </c>
      <c r="B857" s="5" t="s">
        <v>19</v>
      </c>
      <c r="C857" s="5" t="str">
        <f>"黄兰"</f>
        <v>黄兰</v>
      </c>
      <c r="D857" s="5" t="str">
        <f>"460004199307065223"</f>
        <v>460004199307065223</v>
      </c>
      <c r="E857" s="5" t="s">
        <v>15</v>
      </c>
      <c r="F857" s="5" t="str">
        <f>"073102020427"</f>
        <v>073102020427</v>
      </c>
      <c r="G857" s="7">
        <v>0</v>
      </c>
      <c r="H857" s="7">
        <f t="shared" si="62"/>
        <v>0</v>
      </c>
      <c r="I857" s="7">
        <v>0</v>
      </c>
      <c r="J857" s="7">
        <f t="shared" si="63"/>
        <v>0</v>
      </c>
      <c r="K857" s="10">
        <f t="shared" si="64"/>
        <v>0</v>
      </c>
      <c r="L857" s="7">
        <f aca="true" t="shared" si="65" ref="L857:L920">RANK(K857,$K$281:$K$1299,0)</f>
        <v>509</v>
      </c>
      <c r="M857" s="13" t="s">
        <v>18</v>
      </c>
      <c r="N857"/>
    </row>
    <row r="858" spans="1:14" ht="24.75" customHeight="1">
      <c r="A858" s="5">
        <v>856</v>
      </c>
      <c r="B858" s="5" t="s">
        <v>19</v>
      </c>
      <c r="C858" s="5" t="str">
        <f>"王宇婷"</f>
        <v>王宇婷</v>
      </c>
      <c r="D858" s="5" t="str">
        <f>"460003199907040621"</f>
        <v>460003199907040621</v>
      </c>
      <c r="E858" s="5" t="s">
        <v>15</v>
      </c>
      <c r="F858" s="5" t="str">
        <f>"073102020430"</f>
        <v>073102020430</v>
      </c>
      <c r="G858" s="7">
        <v>0</v>
      </c>
      <c r="H858" s="7">
        <f t="shared" si="62"/>
        <v>0</v>
      </c>
      <c r="I858" s="7">
        <v>0</v>
      </c>
      <c r="J858" s="7">
        <f t="shared" si="63"/>
        <v>0</v>
      </c>
      <c r="K858" s="10">
        <f t="shared" si="64"/>
        <v>0</v>
      </c>
      <c r="L858" s="7">
        <f t="shared" si="65"/>
        <v>509</v>
      </c>
      <c r="M858" s="13" t="s">
        <v>18</v>
      </c>
      <c r="N858"/>
    </row>
    <row r="859" spans="1:14" ht="24.75" customHeight="1">
      <c r="A859" s="5">
        <v>857</v>
      </c>
      <c r="B859" s="5" t="s">
        <v>19</v>
      </c>
      <c r="C859" s="5" t="str">
        <f>"陆雯惠"</f>
        <v>陆雯惠</v>
      </c>
      <c r="D859" s="5" t="str">
        <f>"460027199902097363"</f>
        <v>460027199902097363</v>
      </c>
      <c r="E859" s="5" t="s">
        <v>15</v>
      </c>
      <c r="F859" s="5" t="str">
        <f>"073102020431"</f>
        <v>073102020431</v>
      </c>
      <c r="G859" s="7">
        <v>0</v>
      </c>
      <c r="H859" s="7">
        <f t="shared" si="62"/>
        <v>0</v>
      </c>
      <c r="I859" s="7">
        <v>0</v>
      </c>
      <c r="J859" s="7">
        <f t="shared" si="63"/>
        <v>0</v>
      </c>
      <c r="K859" s="10">
        <f t="shared" si="64"/>
        <v>0</v>
      </c>
      <c r="L859" s="7">
        <f t="shared" si="65"/>
        <v>509</v>
      </c>
      <c r="M859" s="13" t="s">
        <v>18</v>
      </c>
      <c r="N859"/>
    </row>
    <row r="860" spans="1:14" ht="24.75" customHeight="1">
      <c r="A860" s="5">
        <v>858</v>
      </c>
      <c r="B860" s="5" t="s">
        <v>19</v>
      </c>
      <c r="C860" s="5" t="str">
        <f>"胡翼琴"</f>
        <v>胡翼琴</v>
      </c>
      <c r="D860" s="5" t="str">
        <f>"460003199208144229"</f>
        <v>460003199208144229</v>
      </c>
      <c r="E860" s="5" t="s">
        <v>15</v>
      </c>
      <c r="F860" s="5" t="str">
        <f>"073102020435"</f>
        <v>073102020435</v>
      </c>
      <c r="G860" s="7">
        <v>0</v>
      </c>
      <c r="H860" s="7">
        <f t="shared" si="62"/>
        <v>0</v>
      </c>
      <c r="I860" s="7">
        <v>0</v>
      </c>
      <c r="J860" s="7">
        <f t="shared" si="63"/>
        <v>0</v>
      </c>
      <c r="K860" s="10">
        <f t="shared" si="64"/>
        <v>0</v>
      </c>
      <c r="L860" s="7">
        <f t="shared" si="65"/>
        <v>509</v>
      </c>
      <c r="M860" s="13" t="s">
        <v>18</v>
      </c>
      <c r="N860"/>
    </row>
    <row r="861" spans="1:14" ht="24.75" customHeight="1">
      <c r="A861" s="5">
        <v>859</v>
      </c>
      <c r="B861" s="5" t="s">
        <v>19</v>
      </c>
      <c r="C861" s="5" t="str">
        <f>"李道魁"</f>
        <v>李道魁</v>
      </c>
      <c r="D861" s="5" t="str">
        <f>"460027199404054416"</f>
        <v>460027199404054416</v>
      </c>
      <c r="E861" s="5" t="s">
        <v>15</v>
      </c>
      <c r="F861" s="5" t="str">
        <f>"073102020438"</f>
        <v>073102020438</v>
      </c>
      <c r="G861" s="7">
        <v>0</v>
      </c>
      <c r="H861" s="7">
        <f t="shared" si="62"/>
        <v>0</v>
      </c>
      <c r="I861" s="7">
        <v>0</v>
      </c>
      <c r="J861" s="7">
        <f t="shared" si="63"/>
        <v>0</v>
      </c>
      <c r="K861" s="10">
        <f t="shared" si="64"/>
        <v>0</v>
      </c>
      <c r="L861" s="7">
        <f t="shared" si="65"/>
        <v>509</v>
      </c>
      <c r="M861" s="13" t="s">
        <v>18</v>
      </c>
      <c r="N861"/>
    </row>
    <row r="862" spans="1:14" ht="24.75" customHeight="1">
      <c r="A862" s="5">
        <v>860</v>
      </c>
      <c r="B862" s="5" t="s">
        <v>19</v>
      </c>
      <c r="C862" s="5" t="str">
        <f>"郭益翠"</f>
        <v>郭益翠</v>
      </c>
      <c r="D862" s="5" t="str">
        <f>"469003199406066426"</f>
        <v>469003199406066426</v>
      </c>
      <c r="E862" s="5" t="s">
        <v>15</v>
      </c>
      <c r="F862" s="5" t="str">
        <f>"073102020439"</f>
        <v>073102020439</v>
      </c>
      <c r="G862" s="7">
        <v>0</v>
      </c>
      <c r="H862" s="7">
        <f t="shared" si="62"/>
        <v>0</v>
      </c>
      <c r="I862" s="7">
        <v>0</v>
      </c>
      <c r="J862" s="7">
        <f t="shared" si="63"/>
        <v>0</v>
      </c>
      <c r="K862" s="10">
        <f t="shared" si="64"/>
        <v>0</v>
      </c>
      <c r="L862" s="7">
        <f t="shared" si="65"/>
        <v>509</v>
      </c>
      <c r="M862" s="13" t="s">
        <v>18</v>
      </c>
      <c r="N862"/>
    </row>
    <row r="863" spans="1:14" ht="24.75" customHeight="1">
      <c r="A863" s="5">
        <v>861</v>
      </c>
      <c r="B863" s="5" t="s">
        <v>19</v>
      </c>
      <c r="C863" s="5" t="str">
        <f>"吉茜"</f>
        <v>吉茜</v>
      </c>
      <c r="D863" s="5" t="str">
        <f>"460033199609294488"</f>
        <v>460033199609294488</v>
      </c>
      <c r="E863" s="5" t="s">
        <v>15</v>
      </c>
      <c r="F863" s="5" t="str">
        <f>"073102020440"</f>
        <v>073102020440</v>
      </c>
      <c r="G863" s="7">
        <v>0</v>
      </c>
      <c r="H863" s="7">
        <f t="shared" si="62"/>
        <v>0</v>
      </c>
      <c r="I863" s="7">
        <v>0</v>
      </c>
      <c r="J863" s="7">
        <f t="shared" si="63"/>
        <v>0</v>
      </c>
      <c r="K863" s="10">
        <f t="shared" si="64"/>
        <v>0</v>
      </c>
      <c r="L863" s="7">
        <f t="shared" si="65"/>
        <v>509</v>
      </c>
      <c r="M863" s="13" t="s">
        <v>18</v>
      </c>
      <c r="N863"/>
    </row>
    <row r="864" spans="1:14" ht="24.75" customHeight="1">
      <c r="A864" s="5">
        <v>862</v>
      </c>
      <c r="B864" s="5" t="s">
        <v>19</v>
      </c>
      <c r="C864" s="5" t="str">
        <f>"黎宏政"</f>
        <v>黎宏政</v>
      </c>
      <c r="D864" s="5" t="str">
        <f>"460003199705273814"</f>
        <v>460003199705273814</v>
      </c>
      <c r="E864" s="5" t="s">
        <v>15</v>
      </c>
      <c r="F864" s="5" t="str">
        <f>"073102020442"</f>
        <v>073102020442</v>
      </c>
      <c r="G864" s="7">
        <v>0</v>
      </c>
      <c r="H864" s="7">
        <f t="shared" si="62"/>
        <v>0</v>
      </c>
      <c r="I864" s="7">
        <v>0</v>
      </c>
      <c r="J864" s="7">
        <f t="shared" si="63"/>
        <v>0</v>
      </c>
      <c r="K864" s="10">
        <f t="shared" si="64"/>
        <v>0</v>
      </c>
      <c r="L864" s="7">
        <f t="shared" si="65"/>
        <v>509</v>
      </c>
      <c r="M864" s="13" t="s">
        <v>18</v>
      </c>
      <c r="N864"/>
    </row>
    <row r="865" spans="1:14" ht="24.75" customHeight="1">
      <c r="A865" s="5">
        <v>863</v>
      </c>
      <c r="B865" s="5" t="s">
        <v>19</v>
      </c>
      <c r="C865" s="5" t="str">
        <f>"蒲妹妹"</f>
        <v>蒲妹妹</v>
      </c>
      <c r="D865" s="5" t="str">
        <f>"460003199609293321"</f>
        <v>460003199609293321</v>
      </c>
      <c r="E865" s="5" t="s">
        <v>15</v>
      </c>
      <c r="F865" s="5" t="str">
        <f>"073102020443"</f>
        <v>073102020443</v>
      </c>
      <c r="G865" s="7">
        <v>0</v>
      </c>
      <c r="H865" s="7">
        <f t="shared" si="62"/>
        <v>0</v>
      </c>
      <c r="I865" s="7">
        <v>0</v>
      </c>
      <c r="J865" s="7">
        <f t="shared" si="63"/>
        <v>0</v>
      </c>
      <c r="K865" s="10">
        <f t="shared" si="64"/>
        <v>0</v>
      </c>
      <c r="L865" s="7">
        <f t="shared" si="65"/>
        <v>509</v>
      </c>
      <c r="M865" s="13" t="s">
        <v>18</v>
      </c>
      <c r="N865"/>
    </row>
    <row r="866" spans="1:14" ht="24.75" customHeight="1">
      <c r="A866" s="5">
        <v>864</v>
      </c>
      <c r="B866" s="5" t="s">
        <v>19</v>
      </c>
      <c r="C866" s="5" t="str">
        <f>"韦俊婕"</f>
        <v>韦俊婕</v>
      </c>
      <c r="D866" s="5" t="str">
        <f>"460036199509276521"</f>
        <v>460036199509276521</v>
      </c>
      <c r="E866" s="5" t="s">
        <v>15</v>
      </c>
      <c r="F866" s="5" t="str">
        <f>"073102020444"</f>
        <v>073102020444</v>
      </c>
      <c r="G866" s="7">
        <v>0</v>
      </c>
      <c r="H866" s="7">
        <f t="shared" si="62"/>
        <v>0</v>
      </c>
      <c r="I866" s="7">
        <v>0</v>
      </c>
      <c r="J866" s="7">
        <f t="shared" si="63"/>
        <v>0</v>
      </c>
      <c r="K866" s="10">
        <f t="shared" si="64"/>
        <v>0</v>
      </c>
      <c r="L866" s="7">
        <f t="shared" si="65"/>
        <v>509</v>
      </c>
      <c r="M866" s="13" t="s">
        <v>18</v>
      </c>
      <c r="N866"/>
    </row>
    <row r="867" spans="1:14" ht="24.75" customHeight="1">
      <c r="A867" s="5">
        <v>865</v>
      </c>
      <c r="B867" s="5" t="s">
        <v>19</v>
      </c>
      <c r="C867" s="5" t="str">
        <f>"陈美鸾"</f>
        <v>陈美鸾</v>
      </c>
      <c r="D867" s="5" t="str">
        <f>"469003199708035625"</f>
        <v>469003199708035625</v>
      </c>
      <c r="E867" s="5" t="s">
        <v>15</v>
      </c>
      <c r="F867" s="5" t="str">
        <f>"073102020507"</f>
        <v>073102020507</v>
      </c>
      <c r="G867" s="7">
        <v>0</v>
      </c>
      <c r="H867" s="7">
        <f t="shared" si="62"/>
        <v>0</v>
      </c>
      <c r="I867" s="7">
        <v>0</v>
      </c>
      <c r="J867" s="7">
        <f t="shared" si="63"/>
        <v>0</v>
      </c>
      <c r="K867" s="10">
        <f t="shared" si="64"/>
        <v>0</v>
      </c>
      <c r="L867" s="7">
        <f t="shared" si="65"/>
        <v>509</v>
      </c>
      <c r="M867" s="13" t="s">
        <v>18</v>
      </c>
      <c r="N867"/>
    </row>
    <row r="868" spans="1:14" ht="24.75" customHeight="1">
      <c r="A868" s="5">
        <v>866</v>
      </c>
      <c r="B868" s="5" t="s">
        <v>19</v>
      </c>
      <c r="C868" s="5" t="str">
        <f>"李敏欢"</f>
        <v>李敏欢</v>
      </c>
      <c r="D868" s="5" t="str">
        <f>"460028199508276028"</f>
        <v>460028199508276028</v>
      </c>
      <c r="E868" s="5" t="s">
        <v>15</v>
      </c>
      <c r="F868" s="5" t="str">
        <f>"073102020510"</f>
        <v>073102020510</v>
      </c>
      <c r="G868" s="7">
        <v>0</v>
      </c>
      <c r="H868" s="7">
        <f t="shared" si="62"/>
        <v>0</v>
      </c>
      <c r="I868" s="7">
        <v>0</v>
      </c>
      <c r="J868" s="7">
        <f t="shared" si="63"/>
        <v>0</v>
      </c>
      <c r="K868" s="10">
        <f t="shared" si="64"/>
        <v>0</v>
      </c>
      <c r="L868" s="7">
        <f t="shared" si="65"/>
        <v>509</v>
      </c>
      <c r="M868" s="13" t="s">
        <v>18</v>
      </c>
      <c r="N868"/>
    </row>
    <row r="869" spans="1:14" ht="24.75" customHeight="1">
      <c r="A869" s="5">
        <v>867</v>
      </c>
      <c r="B869" s="5" t="s">
        <v>19</v>
      </c>
      <c r="C869" s="5" t="str">
        <f>"詹达锦"</f>
        <v>詹达锦</v>
      </c>
      <c r="D869" s="5" t="str">
        <f>"460026199901190017"</f>
        <v>460026199901190017</v>
      </c>
      <c r="E869" s="5" t="s">
        <v>15</v>
      </c>
      <c r="F869" s="5" t="str">
        <f>"073102020512"</f>
        <v>073102020512</v>
      </c>
      <c r="G869" s="7">
        <v>0</v>
      </c>
      <c r="H869" s="7">
        <f t="shared" si="62"/>
        <v>0</v>
      </c>
      <c r="I869" s="7">
        <v>0</v>
      </c>
      <c r="J869" s="7">
        <f t="shared" si="63"/>
        <v>0</v>
      </c>
      <c r="K869" s="10">
        <f t="shared" si="64"/>
        <v>0</v>
      </c>
      <c r="L869" s="7">
        <f t="shared" si="65"/>
        <v>509</v>
      </c>
      <c r="M869" s="13" t="s">
        <v>18</v>
      </c>
      <c r="N869"/>
    </row>
    <row r="870" spans="1:14" ht="24.75" customHeight="1">
      <c r="A870" s="5">
        <v>868</v>
      </c>
      <c r="B870" s="5" t="s">
        <v>19</v>
      </c>
      <c r="C870" s="5" t="str">
        <f>"吉盈"</f>
        <v>吉盈</v>
      </c>
      <c r="D870" s="5" t="str">
        <f>"460007199702158760"</f>
        <v>460007199702158760</v>
      </c>
      <c r="E870" s="5" t="s">
        <v>15</v>
      </c>
      <c r="F870" s="5" t="str">
        <f>"073102020515"</f>
        <v>073102020515</v>
      </c>
      <c r="G870" s="7">
        <v>0</v>
      </c>
      <c r="H870" s="7">
        <f t="shared" si="62"/>
        <v>0</v>
      </c>
      <c r="I870" s="7">
        <v>0</v>
      </c>
      <c r="J870" s="7">
        <f t="shared" si="63"/>
        <v>0</v>
      </c>
      <c r="K870" s="10">
        <f t="shared" si="64"/>
        <v>0</v>
      </c>
      <c r="L870" s="7">
        <f t="shared" si="65"/>
        <v>509</v>
      </c>
      <c r="M870" s="13" t="s">
        <v>18</v>
      </c>
      <c r="N870"/>
    </row>
    <row r="871" spans="1:14" ht="24.75" customHeight="1">
      <c r="A871" s="5">
        <v>869</v>
      </c>
      <c r="B871" s="5" t="s">
        <v>19</v>
      </c>
      <c r="C871" s="5" t="str">
        <f>"刘月秀"</f>
        <v>刘月秀</v>
      </c>
      <c r="D871" s="5" t="str">
        <f>"460003199410293025"</f>
        <v>460003199410293025</v>
      </c>
      <c r="E871" s="5" t="s">
        <v>15</v>
      </c>
      <c r="F871" s="5" t="str">
        <f>"073102020518"</f>
        <v>073102020518</v>
      </c>
      <c r="G871" s="7">
        <v>0</v>
      </c>
      <c r="H871" s="7">
        <f t="shared" si="62"/>
        <v>0</v>
      </c>
      <c r="I871" s="7">
        <v>0</v>
      </c>
      <c r="J871" s="7">
        <f t="shared" si="63"/>
        <v>0</v>
      </c>
      <c r="K871" s="10">
        <f t="shared" si="64"/>
        <v>0</v>
      </c>
      <c r="L871" s="7">
        <f t="shared" si="65"/>
        <v>509</v>
      </c>
      <c r="M871" s="13" t="s">
        <v>18</v>
      </c>
      <c r="N871"/>
    </row>
    <row r="872" spans="1:14" ht="24.75" customHeight="1">
      <c r="A872" s="5">
        <v>870</v>
      </c>
      <c r="B872" s="5" t="s">
        <v>19</v>
      </c>
      <c r="C872" s="5" t="str">
        <f>"吴华亮"</f>
        <v>吴华亮</v>
      </c>
      <c r="D872" s="5" t="str">
        <f>"469003199512266712"</f>
        <v>469003199512266712</v>
      </c>
      <c r="E872" s="5" t="s">
        <v>15</v>
      </c>
      <c r="F872" s="5" t="str">
        <f>"073102020524"</f>
        <v>073102020524</v>
      </c>
      <c r="G872" s="7">
        <v>0</v>
      </c>
      <c r="H872" s="7">
        <f t="shared" si="62"/>
        <v>0</v>
      </c>
      <c r="I872" s="7">
        <v>0</v>
      </c>
      <c r="J872" s="7">
        <f t="shared" si="63"/>
        <v>0</v>
      </c>
      <c r="K872" s="10">
        <f t="shared" si="64"/>
        <v>0</v>
      </c>
      <c r="L872" s="7">
        <f t="shared" si="65"/>
        <v>509</v>
      </c>
      <c r="M872" s="13" t="s">
        <v>18</v>
      </c>
      <c r="N872"/>
    </row>
    <row r="873" spans="1:14" ht="24.75" customHeight="1">
      <c r="A873" s="5">
        <v>871</v>
      </c>
      <c r="B873" s="5" t="s">
        <v>19</v>
      </c>
      <c r="C873" s="5" t="str">
        <f>"林佳慧"</f>
        <v>林佳慧</v>
      </c>
      <c r="D873" s="5" t="str">
        <f>"46000219970609562X"</f>
        <v>46000219970609562X</v>
      </c>
      <c r="E873" s="5" t="s">
        <v>15</v>
      </c>
      <c r="F873" s="5" t="str">
        <f>"073102020525"</f>
        <v>073102020525</v>
      </c>
      <c r="G873" s="7">
        <v>0</v>
      </c>
      <c r="H873" s="7">
        <f t="shared" si="62"/>
        <v>0</v>
      </c>
      <c r="I873" s="7">
        <v>0</v>
      </c>
      <c r="J873" s="7">
        <f t="shared" si="63"/>
        <v>0</v>
      </c>
      <c r="K873" s="10">
        <f t="shared" si="64"/>
        <v>0</v>
      </c>
      <c r="L873" s="7">
        <f t="shared" si="65"/>
        <v>509</v>
      </c>
      <c r="M873" s="13" t="s">
        <v>18</v>
      </c>
      <c r="N873"/>
    </row>
    <row r="874" spans="1:14" ht="24.75" customHeight="1">
      <c r="A874" s="5">
        <v>872</v>
      </c>
      <c r="B874" s="5" t="s">
        <v>19</v>
      </c>
      <c r="C874" s="5" t="str">
        <f>"孙蕾"</f>
        <v>孙蕾</v>
      </c>
      <c r="D874" s="5" t="str">
        <f>"46000119970701192X"</f>
        <v>46000119970701192X</v>
      </c>
      <c r="E874" s="5" t="s">
        <v>15</v>
      </c>
      <c r="F874" s="5" t="str">
        <f>"073102020527"</f>
        <v>073102020527</v>
      </c>
      <c r="G874" s="7">
        <v>0</v>
      </c>
      <c r="H874" s="7">
        <f t="shared" si="62"/>
        <v>0</v>
      </c>
      <c r="I874" s="7">
        <v>0</v>
      </c>
      <c r="J874" s="7">
        <f t="shared" si="63"/>
        <v>0</v>
      </c>
      <c r="K874" s="10">
        <f t="shared" si="64"/>
        <v>0</v>
      </c>
      <c r="L874" s="7">
        <f t="shared" si="65"/>
        <v>509</v>
      </c>
      <c r="M874" s="13" t="s">
        <v>18</v>
      </c>
      <c r="N874"/>
    </row>
    <row r="875" spans="1:14" ht="24.75" customHeight="1">
      <c r="A875" s="5">
        <v>873</v>
      </c>
      <c r="B875" s="5" t="s">
        <v>19</v>
      </c>
      <c r="C875" s="5" t="str">
        <f>"蔡欣蕾"</f>
        <v>蔡欣蕾</v>
      </c>
      <c r="D875" s="5" t="str">
        <f>"460001199405100724"</f>
        <v>460001199405100724</v>
      </c>
      <c r="E875" s="5" t="s">
        <v>15</v>
      </c>
      <c r="F875" s="5" t="str">
        <f>"073102020529"</f>
        <v>073102020529</v>
      </c>
      <c r="G875" s="7">
        <v>0</v>
      </c>
      <c r="H875" s="7">
        <f t="shared" si="62"/>
        <v>0</v>
      </c>
      <c r="I875" s="7">
        <v>0</v>
      </c>
      <c r="J875" s="7">
        <f t="shared" si="63"/>
        <v>0</v>
      </c>
      <c r="K875" s="10">
        <f t="shared" si="64"/>
        <v>0</v>
      </c>
      <c r="L875" s="7">
        <f t="shared" si="65"/>
        <v>509</v>
      </c>
      <c r="M875" s="13" t="s">
        <v>18</v>
      </c>
      <c r="N875"/>
    </row>
    <row r="876" spans="1:14" ht="24.75" customHeight="1">
      <c r="A876" s="5">
        <v>874</v>
      </c>
      <c r="B876" s="5" t="s">
        <v>19</v>
      </c>
      <c r="C876" s="5" t="str">
        <f>"刘书海"</f>
        <v>刘书海</v>
      </c>
      <c r="D876" s="5" t="str">
        <f>"460003199502203015"</f>
        <v>460003199502203015</v>
      </c>
      <c r="E876" s="5" t="s">
        <v>15</v>
      </c>
      <c r="F876" s="5" t="str">
        <f>"073102020530"</f>
        <v>073102020530</v>
      </c>
      <c r="G876" s="7">
        <v>0</v>
      </c>
      <c r="H876" s="7">
        <f t="shared" si="62"/>
        <v>0</v>
      </c>
      <c r="I876" s="7">
        <v>0</v>
      </c>
      <c r="J876" s="7">
        <f t="shared" si="63"/>
        <v>0</v>
      </c>
      <c r="K876" s="10">
        <f t="shared" si="64"/>
        <v>0</v>
      </c>
      <c r="L876" s="7">
        <f t="shared" si="65"/>
        <v>509</v>
      </c>
      <c r="M876" s="13" t="s">
        <v>18</v>
      </c>
      <c r="N876"/>
    </row>
    <row r="877" spans="1:14" ht="24.75" customHeight="1">
      <c r="A877" s="5">
        <v>875</v>
      </c>
      <c r="B877" s="5" t="s">
        <v>19</v>
      </c>
      <c r="C877" s="5" t="str">
        <f>"韩智"</f>
        <v>韩智</v>
      </c>
      <c r="D877" s="5" t="str">
        <f>"460005199710172316"</f>
        <v>460005199710172316</v>
      </c>
      <c r="E877" s="5" t="s">
        <v>15</v>
      </c>
      <c r="F877" s="5" t="str">
        <f>"073102020534"</f>
        <v>073102020534</v>
      </c>
      <c r="G877" s="7">
        <v>0</v>
      </c>
      <c r="H877" s="7">
        <f t="shared" si="62"/>
        <v>0</v>
      </c>
      <c r="I877" s="7">
        <v>0</v>
      </c>
      <c r="J877" s="7">
        <f t="shared" si="63"/>
        <v>0</v>
      </c>
      <c r="K877" s="10">
        <f t="shared" si="64"/>
        <v>0</v>
      </c>
      <c r="L877" s="7">
        <f t="shared" si="65"/>
        <v>509</v>
      </c>
      <c r="M877" s="13" t="s">
        <v>18</v>
      </c>
      <c r="N877"/>
    </row>
    <row r="878" spans="1:14" ht="24.75" customHeight="1">
      <c r="A878" s="5">
        <v>876</v>
      </c>
      <c r="B878" s="5" t="s">
        <v>19</v>
      </c>
      <c r="C878" s="5" t="str">
        <f>"李梦萍"</f>
        <v>李梦萍</v>
      </c>
      <c r="D878" s="5" t="str">
        <f>"460006199710023122"</f>
        <v>460006199710023122</v>
      </c>
      <c r="E878" s="5" t="s">
        <v>15</v>
      </c>
      <c r="F878" s="5" t="str">
        <f>"073102020535"</f>
        <v>073102020535</v>
      </c>
      <c r="G878" s="7">
        <v>0</v>
      </c>
      <c r="H878" s="7">
        <f t="shared" si="62"/>
        <v>0</v>
      </c>
      <c r="I878" s="7">
        <v>0</v>
      </c>
      <c r="J878" s="7">
        <f t="shared" si="63"/>
        <v>0</v>
      </c>
      <c r="K878" s="10">
        <f t="shared" si="64"/>
        <v>0</v>
      </c>
      <c r="L878" s="7">
        <f t="shared" si="65"/>
        <v>509</v>
      </c>
      <c r="M878" s="13" t="s">
        <v>18</v>
      </c>
      <c r="N878"/>
    </row>
    <row r="879" spans="1:14" ht="24.75" customHeight="1">
      <c r="A879" s="5">
        <v>877</v>
      </c>
      <c r="B879" s="5" t="s">
        <v>19</v>
      </c>
      <c r="C879" s="5" t="str">
        <f>"陈珏葶"</f>
        <v>陈珏葶</v>
      </c>
      <c r="D879" s="5" t="str">
        <f>"460004199512290024"</f>
        <v>460004199512290024</v>
      </c>
      <c r="E879" s="5" t="s">
        <v>15</v>
      </c>
      <c r="F879" s="5" t="str">
        <f>"073102020536"</f>
        <v>073102020536</v>
      </c>
      <c r="G879" s="7">
        <v>0</v>
      </c>
      <c r="H879" s="7">
        <f t="shared" si="62"/>
        <v>0</v>
      </c>
      <c r="I879" s="7">
        <v>0</v>
      </c>
      <c r="J879" s="7">
        <f t="shared" si="63"/>
        <v>0</v>
      </c>
      <c r="K879" s="10">
        <f t="shared" si="64"/>
        <v>0</v>
      </c>
      <c r="L879" s="7">
        <f t="shared" si="65"/>
        <v>509</v>
      </c>
      <c r="M879" s="13" t="s">
        <v>18</v>
      </c>
      <c r="N879"/>
    </row>
    <row r="880" spans="1:14" ht="24.75" customHeight="1">
      <c r="A880" s="5">
        <v>878</v>
      </c>
      <c r="B880" s="5" t="s">
        <v>19</v>
      </c>
      <c r="C880" s="5" t="str">
        <f>"羊德明"</f>
        <v>羊德明</v>
      </c>
      <c r="D880" s="5" t="str">
        <f>"460300199510300015"</f>
        <v>460300199510300015</v>
      </c>
      <c r="E880" s="5" t="s">
        <v>15</v>
      </c>
      <c r="F880" s="5" t="str">
        <f>"073102020537"</f>
        <v>073102020537</v>
      </c>
      <c r="G880" s="7">
        <v>0</v>
      </c>
      <c r="H880" s="7">
        <f t="shared" si="62"/>
        <v>0</v>
      </c>
      <c r="I880" s="7">
        <v>0</v>
      </c>
      <c r="J880" s="7">
        <f t="shared" si="63"/>
        <v>0</v>
      </c>
      <c r="K880" s="10">
        <f t="shared" si="64"/>
        <v>0</v>
      </c>
      <c r="L880" s="7">
        <f t="shared" si="65"/>
        <v>509</v>
      </c>
      <c r="M880" s="13" t="s">
        <v>18</v>
      </c>
      <c r="N880"/>
    </row>
    <row r="881" spans="1:14" ht="24.75" customHeight="1">
      <c r="A881" s="5">
        <v>879</v>
      </c>
      <c r="B881" s="5" t="s">
        <v>19</v>
      </c>
      <c r="C881" s="5" t="str">
        <f>"黄艳秋"</f>
        <v>黄艳秋</v>
      </c>
      <c r="D881" s="5" t="str">
        <f>"46000319930407446X"</f>
        <v>46000319930407446X</v>
      </c>
      <c r="E881" s="5" t="s">
        <v>15</v>
      </c>
      <c r="F881" s="5" t="str">
        <f>"073102020538"</f>
        <v>073102020538</v>
      </c>
      <c r="G881" s="7">
        <v>0</v>
      </c>
      <c r="H881" s="7">
        <f t="shared" si="62"/>
        <v>0</v>
      </c>
      <c r="I881" s="7">
        <v>0</v>
      </c>
      <c r="J881" s="7">
        <f t="shared" si="63"/>
        <v>0</v>
      </c>
      <c r="K881" s="10">
        <f t="shared" si="64"/>
        <v>0</v>
      </c>
      <c r="L881" s="7">
        <f t="shared" si="65"/>
        <v>509</v>
      </c>
      <c r="M881" s="13" t="s">
        <v>18</v>
      </c>
      <c r="N881"/>
    </row>
    <row r="882" spans="1:14" ht="24.75" customHeight="1">
      <c r="A882" s="5">
        <v>880</v>
      </c>
      <c r="B882" s="5" t="s">
        <v>19</v>
      </c>
      <c r="C882" s="5" t="str">
        <f>"羊佳宝"</f>
        <v>羊佳宝</v>
      </c>
      <c r="D882" s="5" t="str">
        <f>"460030199707242412"</f>
        <v>460030199707242412</v>
      </c>
      <c r="E882" s="5" t="s">
        <v>15</v>
      </c>
      <c r="F882" s="5" t="str">
        <f>"073102020601"</f>
        <v>073102020601</v>
      </c>
      <c r="G882" s="7">
        <v>0</v>
      </c>
      <c r="H882" s="7">
        <f t="shared" si="62"/>
        <v>0</v>
      </c>
      <c r="I882" s="7">
        <v>0</v>
      </c>
      <c r="J882" s="7">
        <f t="shared" si="63"/>
        <v>0</v>
      </c>
      <c r="K882" s="10">
        <f t="shared" si="64"/>
        <v>0</v>
      </c>
      <c r="L882" s="7">
        <f t="shared" si="65"/>
        <v>509</v>
      </c>
      <c r="M882" s="13" t="s">
        <v>18</v>
      </c>
      <c r="N882"/>
    </row>
    <row r="883" spans="1:14" ht="24.75" customHeight="1">
      <c r="A883" s="5">
        <v>881</v>
      </c>
      <c r="B883" s="5" t="s">
        <v>19</v>
      </c>
      <c r="C883" s="5" t="str">
        <f>"王小丁"</f>
        <v>王小丁</v>
      </c>
      <c r="D883" s="5" t="str">
        <f>"460036199708201522"</f>
        <v>460036199708201522</v>
      </c>
      <c r="E883" s="5" t="s">
        <v>15</v>
      </c>
      <c r="F883" s="5" t="str">
        <f>"073102020603"</f>
        <v>073102020603</v>
      </c>
      <c r="G883" s="7">
        <v>0</v>
      </c>
      <c r="H883" s="7">
        <f t="shared" si="62"/>
        <v>0</v>
      </c>
      <c r="I883" s="7">
        <v>0</v>
      </c>
      <c r="J883" s="7">
        <f t="shared" si="63"/>
        <v>0</v>
      </c>
      <c r="K883" s="10">
        <f t="shared" si="64"/>
        <v>0</v>
      </c>
      <c r="L883" s="7">
        <f t="shared" si="65"/>
        <v>509</v>
      </c>
      <c r="M883" s="13" t="s">
        <v>18</v>
      </c>
      <c r="N883"/>
    </row>
    <row r="884" spans="1:14" ht="24.75" customHeight="1">
      <c r="A884" s="5">
        <v>882</v>
      </c>
      <c r="B884" s="5" t="s">
        <v>19</v>
      </c>
      <c r="C884" s="5" t="str">
        <f>"陈小芳"</f>
        <v>陈小芳</v>
      </c>
      <c r="D884" s="5" t="str">
        <f>"460028199906202446"</f>
        <v>460028199906202446</v>
      </c>
      <c r="E884" s="5" t="s">
        <v>15</v>
      </c>
      <c r="F884" s="5" t="str">
        <f>"073102020605"</f>
        <v>073102020605</v>
      </c>
      <c r="G884" s="7">
        <v>0</v>
      </c>
      <c r="H884" s="7">
        <f t="shared" si="62"/>
        <v>0</v>
      </c>
      <c r="I884" s="7">
        <v>0</v>
      </c>
      <c r="J884" s="7">
        <f t="shared" si="63"/>
        <v>0</v>
      </c>
      <c r="K884" s="10">
        <f t="shared" si="64"/>
        <v>0</v>
      </c>
      <c r="L884" s="7">
        <f t="shared" si="65"/>
        <v>509</v>
      </c>
      <c r="M884" s="13" t="s">
        <v>18</v>
      </c>
      <c r="N884"/>
    </row>
    <row r="885" spans="1:14" ht="24.75" customHeight="1">
      <c r="A885" s="5">
        <v>883</v>
      </c>
      <c r="B885" s="5" t="s">
        <v>19</v>
      </c>
      <c r="C885" s="5" t="str">
        <f>"钟玮君"</f>
        <v>钟玮君</v>
      </c>
      <c r="D885" s="5" t="str">
        <f>"46002819990219002X"</f>
        <v>46002819990219002X</v>
      </c>
      <c r="E885" s="5" t="s">
        <v>15</v>
      </c>
      <c r="F885" s="5" t="str">
        <f>"073102020606"</f>
        <v>073102020606</v>
      </c>
      <c r="G885" s="7">
        <v>0</v>
      </c>
      <c r="H885" s="7">
        <f t="shared" si="62"/>
        <v>0</v>
      </c>
      <c r="I885" s="7">
        <v>0</v>
      </c>
      <c r="J885" s="7">
        <f t="shared" si="63"/>
        <v>0</v>
      </c>
      <c r="K885" s="10">
        <f t="shared" si="64"/>
        <v>0</v>
      </c>
      <c r="L885" s="7">
        <f t="shared" si="65"/>
        <v>509</v>
      </c>
      <c r="M885" s="13" t="s">
        <v>18</v>
      </c>
      <c r="N885"/>
    </row>
    <row r="886" spans="1:14" ht="24.75" customHeight="1">
      <c r="A886" s="5">
        <v>884</v>
      </c>
      <c r="B886" s="5" t="s">
        <v>19</v>
      </c>
      <c r="C886" s="5" t="str">
        <f>"卢桐"</f>
        <v>卢桐</v>
      </c>
      <c r="D886" s="5" t="str">
        <f>"460003199708140021"</f>
        <v>460003199708140021</v>
      </c>
      <c r="E886" s="5" t="s">
        <v>15</v>
      </c>
      <c r="F886" s="5" t="str">
        <f>"073102020608"</f>
        <v>073102020608</v>
      </c>
      <c r="G886" s="7">
        <v>0</v>
      </c>
      <c r="H886" s="7">
        <f t="shared" si="62"/>
        <v>0</v>
      </c>
      <c r="I886" s="7">
        <v>0</v>
      </c>
      <c r="J886" s="7">
        <f t="shared" si="63"/>
        <v>0</v>
      </c>
      <c r="K886" s="10">
        <f t="shared" si="64"/>
        <v>0</v>
      </c>
      <c r="L886" s="7">
        <f t="shared" si="65"/>
        <v>509</v>
      </c>
      <c r="M886" s="13" t="s">
        <v>18</v>
      </c>
      <c r="N886"/>
    </row>
    <row r="887" spans="1:14" ht="24.75" customHeight="1">
      <c r="A887" s="5">
        <v>885</v>
      </c>
      <c r="B887" s="5" t="s">
        <v>19</v>
      </c>
      <c r="C887" s="5" t="str">
        <f>"吴梅凤"</f>
        <v>吴梅凤</v>
      </c>
      <c r="D887" s="5" t="str">
        <f>"460004199802104023"</f>
        <v>460004199802104023</v>
      </c>
      <c r="E887" s="5" t="s">
        <v>15</v>
      </c>
      <c r="F887" s="5" t="str">
        <f>"073102020609"</f>
        <v>073102020609</v>
      </c>
      <c r="G887" s="7">
        <v>0</v>
      </c>
      <c r="H887" s="7">
        <f t="shared" si="62"/>
        <v>0</v>
      </c>
      <c r="I887" s="7">
        <v>0</v>
      </c>
      <c r="J887" s="7">
        <f t="shared" si="63"/>
        <v>0</v>
      </c>
      <c r="K887" s="10">
        <f t="shared" si="64"/>
        <v>0</v>
      </c>
      <c r="L887" s="7">
        <f t="shared" si="65"/>
        <v>509</v>
      </c>
      <c r="M887" s="13" t="s">
        <v>18</v>
      </c>
      <c r="N887"/>
    </row>
    <row r="888" spans="1:14" ht="24.75" customHeight="1">
      <c r="A888" s="5">
        <v>886</v>
      </c>
      <c r="B888" s="5" t="s">
        <v>19</v>
      </c>
      <c r="C888" s="5" t="str">
        <f>"陈强"</f>
        <v>陈强</v>
      </c>
      <c r="D888" s="5" t="str">
        <f>"460103199502283647"</f>
        <v>460103199502283647</v>
      </c>
      <c r="E888" s="5" t="s">
        <v>15</v>
      </c>
      <c r="F888" s="5" t="str">
        <f>"073102020610"</f>
        <v>073102020610</v>
      </c>
      <c r="G888" s="7">
        <v>0</v>
      </c>
      <c r="H888" s="7">
        <f t="shared" si="62"/>
        <v>0</v>
      </c>
      <c r="I888" s="7">
        <v>0</v>
      </c>
      <c r="J888" s="7">
        <f t="shared" si="63"/>
        <v>0</v>
      </c>
      <c r="K888" s="10">
        <f t="shared" si="64"/>
        <v>0</v>
      </c>
      <c r="L888" s="7">
        <f t="shared" si="65"/>
        <v>509</v>
      </c>
      <c r="M888" s="13" t="s">
        <v>18</v>
      </c>
      <c r="N888"/>
    </row>
    <row r="889" spans="1:14" ht="24.75" customHeight="1">
      <c r="A889" s="5">
        <v>887</v>
      </c>
      <c r="B889" s="5" t="s">
        <v>19</v>
      </c>
      <c r="C889" s="5" t="str">
        <f>"陈飘"</f>
        <v>陈飘</v>
      </c>
      <c r="D889" s="5" t="str">
        <f>"460033199605105985"</f>
        <v>460033199605105985</v>
      </c>
      <c r="E889" s="5" t="s">
        <v>15</v>
      </c>
      <c r="F889" s="5" t="str">
        <f>"073102020611"</f>
        <v>073102020611</v>
      </c>
      <c r="G889" s="7">
        <v>0</v>
      </c>
      <c r="H889" s="7">
        <f t="shared" si="62"/>
        <v>0</v>
      </c>
      <c r="I889" s="7">
        <v>0</v>
      </c>
      <c r="J889" s="7">
        <f t="shared" si="63"/>
        <v>0</v>
      </c>
      <c r="K889" s="10">
        <f t="shared" si="64"/>
        <v>0</v>
      </c>
      <c r="L889" s="7">
        <f t="shared" si="65"/>
        <v>509</v>
      </c>
      <c r="M889" s="13" t="s">
        <v>18</v>
      </c>
      <c r="N889"/>
    </row>
    <row r="890" spans="1:14" ht="24.75" customHeight="1">
      <c r="A890" s="5">
        <v>888</v>
      </c>
      <c r="B890" s="5" t="s">
        <v>19</v>
      </c>
      <c r="C890" s="5" t="str">
        <f>"王金如"</f>
        <v>王金如</v>
      </c>
      <c r="D890" s="5" t="str">
        <f>"460026199803270048"</f>
        <v>460026199803270048</v>
      </c>
      <c r="E890" s="5" t="s">
        <v>15</v>
      </c>
      <c r="F890" s="5" t="str">
        <f>"073102020612"</f>
        <v>073102020612</v>
      </c>
      <c r="G890" s="7">
        <v>0</v>
      </c>
      <c r="H890" s="7">
        <f t="shared" si="62"/>
        <v>0</v>
      </c>
      <c r="I890" s="7">
        <v>0</v>
      </c>
      <c r="J890" s="7">
        <f t="shared" si="63"/>
        <v>0</v>
      </c>
      <c r="K890" s="10">
        <f t="shared" si="64"/>
        <v>0</v>
      </c>
      <c r="L890" s="7">
        <f t="shared" si="65"/>
        <v>509</v>
      </c>
      <c r="M890" s="13" t="s">
        <v>18</v>
      </c>
      <c r="N890"/>
    </row>
    <row r="891" spans="1:14" ht="24.75" customHeight="1">
      <c r="A891" s="5">
        <v>889</v>
      </c>
      <c r="B891" s="5" t="s">
        <v>19</v>
      </c>
      <c r="C891" s="5" t="str">
        <f>"吴夏婷"</f>
        <v>吴夏婷</v>
      </c>
      <c r="D891" s="5" t="str">
        <f>"460003199701042621"</f>
        <v>460003199701042621</v>
      </c>
      <c r="E891" s="5" t="s">
        <v>15</v>
      </c>
      <c r="F891" s="5" t="str">
        <f>"073102020614"</f>
        <v>073102020614</v>
      </c>
      <c r="G891" s="7">
        <v>0</v>
      </c>
      <c r="H891" s="7">
        <f t="shared" si="62"/>
        <v>0</v>
      </c>
      <c r="I891" s="7">
        <v>0</v>
      </c>
      <c r="J891" s="7">
        <f t="shared" si="63"/>
        <v>0</v>
      </c>
      <c r="K891" s="10">
        <f t="shared" si="64"/>
        <v>0</v>
      </c>
      <c r="L891" s="7">
        <f t="shared" si="65"/>
        <v>509</v>
      </c>
      <c r="M891" s="13" t="s">
        <v>18</v>
      </c>
      <c r="N891"/>
    </row>
    <row r="892" spans="1:14" ht="24.75" customHeight="1">
      <c r="A892" s="5">
        <v>890</v>
      </c>
      <c r="B892" s="5" t="s">
        <v>19</v>
      </c>
      <c r="C892" s="5" t="str">
        <f>"林治德"</f>
        <v>林治德</v>
      </c>
      <c r="D892" s="5" t="str">
        <f>"460003199512181833"</f>
        <v>460003199512181833</v>
      </c>
      <c r="E892" s="5" t="s">
        <v>15</v>
      </c>
      <c r="F892" s="5" t="str">
        <f>"073102020615"</f>
        <v>073102020615</v>
      </c>
      <c r="G892" s="7">
        <v>0</v>
      </c>
      <c r="H892" s="7">
        <f t="shared" si="62"/>
        <v>0</v>
      </c>
      <c r="I892" s="7">
        <v>0</v>
      </c>
      <c r="J892" s="7">
        <f t="shared" si="63"/>
        <v>0</v>
      </c>
      <c r="K892" s="10">
        <f t="shared" si="64"/>
        <v>0</v>
      </c>
      <c r="L892" s="7">
        <f t="shared" si="65"/>
        <v>509</v>
      </c>
      <c r="M892" s="13" t="s">
        <v>18</v>
      </c>
      <c r="N892"/>
    </row>
    <row r="893" spans="1:14" ht="24.75" customHeight="1">
      <c r="A893" s="5">
        <v>891</v>
      </c>
      <c r="B893" s="5" t="s">
        <v>19</v>
      </c>
      <c r="C893" s="5" t="str">
        <f>"李丽莹"</f>
        <v>李丽莹</v>
      </c>
      <c r="D893" s="5" t="str">
        <f>"460030199904295724"</f>
        <v>460030199904295724</v>
      </c>
      <c r="E893" s="5" t="s">
        <v>15</v>
      </c>
      <c r="F893" s="5" t="str">
        <f>"073102020616"</f>
        <v>073102020616</v>
      </c>
      <c r="G893" s="7">
        <v>0</v>
      </c>
      <c r="H893" s="7">
        <f t="shared" si="62"/>
        <v>0</v>
      </c>
      <c r="I893" s="7">
        <v>0</v>
      </c>
      <c r="J893" s="7">
        <f t="shared" si="63"/>
        <v>0</v>
      </c>
      <c r="K893" s="10">
        <f t="shared" si="64"/>
        <v>0</v>
      </c>
      <c r="L893" s="7">
        <f t="shared" si="65"/>
        <v>509</v>
      </c>
      <c r="M893" s="13" t="s">
        <v>18</v>
      </c>
      <c r="N893"/>
    </row>
    <row r="894" spans="1:14" ht="24.75" customHeight="1">
      <c r="A894" s="5">
        <v>892</v>
      </c>
      <c r="B894" s="5" t="s">
        <v>19</v>
      </c>
      <c r="C894" s="5" t="str">
        <f>"李娟"</f>
        <v>李娟</v>
      </c>
      <c r="D894" s="5" t="str">
        <f>"460027199410141022"</f>
        <v>460027199410141022</v>
      </c>
      <c r="E894" s="5" t="s">
        <v>15</v>
      </c>
      <c r="F894" s="5" t="str">
        <f>"073102020618"</f>
        <v>073102020618</v>
      </c>
      <c r="G894" s="7">
        <v>0</v>
      </c>
      <c r="H894" s="7">
        <f t="shared" si="62"/>
        <v>0</v>
      </c>
      <c r="I894" s="7">
        <v>0</v>
      </c>
      <c r="J894" s="7">
        <f t="shared" si="63"/>
        <v>0</v>
      </c>
      <c r="K894" s="10">
        <f t="shared" si="64"/>
        <v>0</v>
      </c>
      <c r="L894" s="7">
        <f t="shared" si="65"/>
        <v>509</v>
      </c>
      <c r="M894" s="13" t="s">
        <v>18</v>
      </c>
      <c r="N894"/>
    </row>
    <row r="895" spans="1:14" ht="24.75" customHeight="1">
      <c r="A895" s="5">
        <v>893</v>
      </c>
      <c r="B895" s="5" t="s">
        <v>19</v>
      </c>
      <c r="C895" s="5" t="str">
        <f>"洪绵豪"</f>
        <v>洪绵豪</v>
      </c>
      <c r="D895" s="5" t="str">
        <f>"460025199804300011"</f>
        <v>460025199804300011</v>
      </c>
      <c r="E895" s="5" t="s">
        <v>15</v>
      </c>
      <c r="F895" s="5" t="str">
        <f>"073102020619"</f>
        <v>073102020619</v>
      </c>
      <c r="G895" s="7">
        <v>0</v>
      </c>
      <c r="H895" s="7">
        <f t="shared" si="62"/>
        <v>0</v>
      </c>
      <c r="I895" s="7">
        <v>0</v>
      </c>
      <c r="J895" s="7">
        <f t="shared" si="63"/>
        <v>0</v>
      </c>
      <c r="K895" s="10">
        <f t="shared" si="64"/>
        <v>0</v>
      </c>
      <c r="L895" s="7">
        <f t="shared" si="65"/>
        <v>509</v>
      </c>
      <c r="M895" s="13" t="s">
        <v>18</v>
      </c>
      <c r="N895"/>
    </row>
    <row r="896" spans="1:14" ht="24.75" customHeight="1">
      <c r="A896" s="5">
        <v>894</v>
      </c>
      <c r="B896" s="5" t="s">
        <v>19</v>
      </c>
      <c r="C896" s="5" t="str">
        <f>"纪婷婷"</f>
        <v>纪婷婷</v>
      </c>
      <c r="D896" s="5" t="str">
        <f>"460003199712205449"</f>
        <v>460003199712205449</v>
      </c>
      <c r="E896" s="5" t="s">
        <v>15</v>
      </c>
      <c r="F896" s="5" t="str">
        <f>"073102020620"</f>
        <v>073102020620</v>
      </c>
      <c r="G896" s="7">
        <v>0</v>
      </c>
      <c r="H896" s="7">
        <f t="shared" si="62"/>
        <v>0</v>
      </c>
      <c r="I896" s="7">
        <v>0</v>
      </c>
      <c r="J896" s="7">
        <f t="shared" si="63"/>
        <v>0</v>
      </c>
      <c r="K896" s="10">
        <f t="shared" si="64"/>
        <v>0</v>
      </c>
      <c r="L896" s="7">
        <f t="shared" si="65"/>
        <v>509</v>
      </c>
      <c r="M896" s="13" t="s">
        <v>18</v>
      </c>
      <c r="N896"/>
    </row>
    <row r="897" spans="1:14" ht="24.75" customHeight="1">
      <c r="A897" s="5">
        <v>895</v>
      </c>
      <c r="B897" s="5" t="s">
        <v>19</v>
      </c>
      <c r="C897" s="5" t="str">
        <f>"蒋朝安"</f>
        <v>蒋朝安</v>
      </c>
      <c r="D897" s="5" t="str">
        <f>"460036199405192913"</f>
        <v>460036199405192913</v>
      </c>
      <c r="E897" s="5" t="s">
        <v>16</v>
      </c>
      <c r="F897" s="5" t="str">
        <f>"073102020621"</f>
        <v>073102020621</v>
      </c>
      <c r="G897" s="7">
        <v>0</v>
      </c>
      <c r="H897" s="7">
        <f t="shared" si="62"/>
        <v>0</v>
      </c>
      <c r="I897" s="7">
        <v>0</v>
      </c>
      <c r="J897" s="7">
        <f t="shared" si="63"/>
        <v>0</v>
      </c>
      <c r="K897" s="10">
        <f t="shared" si="64"/>
        <v>0</v>
      </c>
      <c r="L897" s="7">
        <f t="shared" si="65"/>
        <v>509</v>
      </c>
      <c r="M897" s="13" t="s">
        <v>18</v>
      </c>
      <c r="N897"/>
    </row>
    <row r="898" spans="1:14" ht="24.75" customHeight="1">
      <c r="A898" s="5">
        <v>896</v>
      </c>
      <c r="B898" s="5" t="s">
        <v>19</v>
      </c>
      <c r="C898" s="5" t="str">
        <f>"许秀英"</f>
        <v>许秀英</v>
      </c>
      <c r="D898" s="5" t="str">
        <f>"460003199608062484"</f>
        <v>460003199608062484</v>
      </c>
      <c r="E898" s="5" t="s">
        <v>15</v>
      </c>
      <c r="F898" s="5" t="str">
        <f>"073102020622"</f>
        <v>073102020622</v>
      </c>
      <c r="G898" s="7">
        <v>0</v>
      </c>
      <c r="H898" s="7">
        <f t="shared" si="62"/>
        <v>0</v>
      </c>
      <c r="I898" s="7">
        <v>0</v>
      </c>
      <c r="J898" s="7">
        <f t="shared" si="63"/>
        <v>0</v>
      </c>
      <c r="K898" s="10">
        <f t="shared" si="64"/>
        <v>0</v>
      </c>
      <c r="L898" s="7">
        <f t="shared" si="65"/>
        <v>509</v>
      </c>
      <c r="M898" s="13" t="s">
        <v>18</v>
      </c>
      <c r="N898"/>
    </row>
    <row r="899" spans="1:14" ht="24.75" customHeight="1">
      <c r="A899" s="5">
        <v>897</v>
      </c>
      <c r="B899" s="5" t="s">
        <v>19</v>
      </c>
      <c r="C899" s="5" t="str">
        <f>"陈阿妹"</f>
        <v>陈阿妹</v>
      </c>
      <c r="D899" s="5" t="str">
        <f>"460003200106043027"</f>
        <v>460003200106043027</v>
      </c>
      <c r="E899" s="5" t="s">
        <v>15</v>
      </c>
      <c r="F899" s="5" t="str">
        <f>"073102020625"</f>
        <v>073102020625</v>
      </c>
      <c r="G899" s="7">
        <v>0</v>
      </c>
      <c r="H899" s="7">
        <f aca="true" t="shared" si="66" ref="H899:H962">G899*0.5</f>
        <v>0</v>
      </c>
      <c r="I899" s="7">
        <v>0</v>
      </c>
      <c r="J899" s="7">
        <f aca="true" t="shared" si="67" ref="J899:J962">I899*0.5</f>
        <v>0</v>
      </c>
      <c r="K899" s="10">
        <f t="shared" si="64"/>
        <v>0</v>
      </c>
      <c r="L899" s="7">
        <f t="shared" si="65"/>
        <v>509</v>
      </c>
      <c r="M899" s="13" t="s">
        <v>18</v>
      </c>
      <c r="N899"/>
    </row>
    <row r="900" spans="1:14" ht="24.75" customHeight="1">
      <c r="A900" s="5">
        <v>898</v>
      </c>
      <c r="B900" s="5" t="s">
        <v>19</v>
      </c>
      <c r="C900" s="5" t="str">
        <f>"冯春爱"</f>
        <v>冯春爱</v>
      </c>
      <c r="D900" s="5" t="str">
        <f>"460006199604210928"</f>
        <v>460006199604210928</v>
      </c>
      <c r="E900" s="5" t="s">
        <v>15</v>
      </c>
      <c r="F900" s="5" t="str">
        <f>"073102020627"</f>
        <v>073102020627</v>
      </c>
      <c r="G900" s="7">
        <v>0</v>
      </c>
      <c r="H900" s="7">
        <f t="shared" si="66"/>
        <v>0</v>
      </c>
      <c r="I900" s="7">
        <v>0</v>
      </c>
      <c r="J900" s="7">
        <f t="shared" si="67"/>
        <v>0</v>
      </c>
      <c r="K900" s="10">
        <f t="shared" si="64"/>
        <v>0</v>
      </c>
      <c r="L900" s="7">
        <f t="shared" si="65"/>
        <v>509</v>
      </c>
      <c r="M900" s="13" t="s">
        <v>18</v>
      </c>
      <c r="N900"/>
    </row>
    <row r="901" spans="1:14" ht="24.75" customHeight="1">
      <c r="A901" s="5">
        <v>899</v>
      </c>
      <c r="B901" s="5" t="s">
        <v>19</v>
      </c>
      <c r="C901" s="5" t="str">
        <f>"许永欣"</f>
        <v>许永欣</v>
      </c>
      <c r="D901" s="5" t="str">
        <f>"460003200006141420"</f>
        <v>460003200006141420</v>
      </c>
      <c r="E901" s="5" t="s">
        <v>15</v>
      </c>
      <c r="F901" s="5" t="str">
        <f>"073102020630"</f>
        <v>073102020630</v>
      </c>
      <c r="G901" s="7">
        <v>0</v>
      </c>
      <c r="H901" s="7">
        <f t="shared" si="66"/>
        <v>0</v>
      </c>
      <c r="I901" s="7">
        <v>0</v>
      </c>
      <c r="J901" s="7">
        <f t="shared" si="67"/>
        <v>0</v>
      </c>
      <c r="K901" s="10">
        <f t="shared" si="64"/>
        <v>0</v>
      </c>
      <c r="L901" s="7">
        <f t="shared" si="65"/>
        <v>509</v>
      </c>
      <c r="M901" s="13" t="s">
        <v>18</v>
      </c>
      <c r="N901"/>
    </row>
    <row r="902" spans="1:14" ht="24.75" customHeight="1">
      <c r="A902" s="5">
        <v>900</v>
      </c>
      <c r="B902" s="5" t="s">
        <v>19</v>
      </c>
      <c r="C902" s="5" t="str">
        <f>"黎秀巧"</f>
        <v>黎秀巧</v>
      </c>
      <c r="D902" s="5" t="str">
        <f>"460033199911174524"</f>
        <v>460033199911174524</v>
      </c>
      <c r="E902" s="5" t="s">
        <v>15</v>
      </c>
      <c r="F902" s="5" t="str">
        <f>"073102020631"</f>
        <v>073102020631</v>
      </c>
      <c r="G902" s="7">
        <v>0</v>
      </c>
      <c r="H902" s="7">
        <f t="shared" si="66"/>
        <v>0</v>
      </c>
      <c r="I902" s="7">
        <v>0</v>
      </c>
      <c r="J902" s="7">
        <f t="shared" si="67"/>
        <v>0</v>
      </c>
      <c r="K902" s="10">
        <f t="shared" si="64"/>
        <v>0</v>
      </c>
      <c r="L902" s="7">
        <f t="shared" si="65"/>
        <v>509</v>
      </c>
      <c r="M902" s="13" t="s">
        <v>18</v>
      </c>
      <c r="N902"/>
    </row>
    <row r="903" spans="1:14" ht="24.75" customHeight="1">
      <c r="A903" s="5">
        <v>901</v>
      </c>
      <c r="B903" s="5" t="s">
        <v>19</v>
      </c>
      <c r="C903" s="5" t="str">
        <f>"刘其展"</f>
        <v>刘其展</v>
      </c>
      <c r="D903" s="5" t="str">
        <f>"460003199706140415"</f>
        <v>460003199706140415</v>
      </c>
      <c r="E903" s="5" t="s">
        <v>15</v>
      </c>
      <c r="F903" s="5" t="str">
        <f>"073102020634"</f>
        <v>073102020634</v>
      </c>
      <c r="G903" s="7">
        <v>0</v>
      </c>
      <c r="H903" s="7">
        <f t="shared" si="66"/>
        <v>0</v>
      </c>
      <c r="I903" s="7">
        <v>0</v>
      </c>
      <c r="J903" s="7">
        <f t="shared" si="67"/>
        <v>0</v>
      </c>
      <c r="K903" s="10">
        <f t="shared" si="64"/>
        <v>0</v>
      </c>
      <c r="L903" s="7">
        <f t="shared" si="65"/>
        <v>509</v>
      </c>
      <c r="M903" s="13" t="s">
        <v>18</v>
      </c>
      <c r="N903"/>
    </row>
    <row r="904" spans="1:14" ht="24.75" customHeight="1">
      <c r="A904" s="5">
        <v>902</v>
      </c>
      <c r="B904" s="5" t="s">
        <v>19</v>
      </c>
      <c r="C904" s="5" t="str">
        <f>"李智绵"</f>
        <v>李智绵</v>
      </c>
      <c r="D904" s="5" t="str">
        <f>"460003199705102214"</f>
        <v>460003199705102214</v>
      </c>
      <c r="E904" s="5" t="s">
        <v>15</v>
      </c>
      <c r="F904" s="5" t="str">
        <f>"073102020635"</f>
        <v>073102020635</v>
      </c>
      <c r="G904" s="7">
        <v>0</v>
      </c>
      <c r="H904" s="7">
        <f t="shared" si="66"/>
        <v>0</v>
      </c>
      <c r="I904" s="7">
        <v>0</v>
      </c>
      <c r="J904" s="7">
        <f t="shared" si="67"/>
        <v>0</v>
      </c>
      <c r="K904" s="10">
        <f t="shared" si="64"/>
        <v>0</v>
      </c>
      <c r="L904" s="7">
        <f t="shared" si="65"/>
        <v>509</v>
      </c>
      <c r="M904" s="13" t="s">
        <v>18</v>
      </c>
      <c r="N904"/>
    </row>
    <row r="905" spans="1:14" ht="24.75" customHeight="1">
      <c r="A905" s="5">
        <v>903</v>
      </c>
      <c r="B905" s="5" t="s">
        <v>19</v>
      </c>
      <c r="C905" s="5" t="str">
        <f>"魏秀水"</f>
        <v>魏秀水</v>
      </c>
      <c r="D905" s="5" t="str">
        <f>"460003199210072244"</f>
        <v>460003199210072244</v>
      </c>
      <c r="E905" s="5" t="s">
        <v>15</v>
      </c>
      <c r="F905" s="5" t="str">
        <f>"073102020638"</f>
        <v>073102020638</v>
      </c>
      <c r="G905" s="7">
        <v>0</v>
      </c>
      <c r="H905" s="7">
        <f t="shared" si="66"/>
        <v>0</v>
      </c>
      <c r="I905" s="7">
        <v>0</v>
      </c>
      <c r="J905" s="7">
        <f t="shared" si="67"/>
        <v>0</v>
      </c>
      <c r="K905" s="10">
        <f t="shared" si="64"/>
        <v>0</v>
      </c>
      <c r="L905" s="7">
        <f t="shared" si="65"/>
        <v>509</v>
      </c>
      <c r="M905" s="13" t="s">
        <v>18</v>
      </c>
      <c r="N905"/>
    </row>
    <row r="906" spans="1:14" ht="24.75" customHeight="1">
      <c r="A906" s="5">
        <v>904</v>
      </c>
      <c r="B906" s="5" t="s">
        <v>19</v>
      </c>
      <c r="C906" s="5" t="str">
        <f>"谢圣才"</f>
        <v>谢圣才</v>
      </c>
      <c r="D906" s="5" t="str">
        <f>"460003199809022454"</f>
        <v>460003199809022454</v>
      </c>
      <c r="E906" s="5" t="s">
        <v>15</v>
      </c>
      <c r="F906" s="5" t="str">
        <f>"073102020642"</f>
        <v>073102020642</v>
      </c>
      <c r="G906" s="7">
        <v>0</v>
      </c>
      <c r="H906" s="7">
        <f t="shared" si="66"/>
        <v>0</v>
      </c>
      <c r="I906" s="7">
        <v>0</v>
      </c>
      <c r="J906" s="7">
        <f t="shared" si="67"/>
        <v>0</v>
      </c>
      <c r="K906" s="10">
        <f t="shared" si="64"/>
        <v>0</v>
      </c>
      <c r="L906" s="7">
        <f t="shared" si="65"/>
        <v>509</v>
      </c>
      <c r="M906" s="13" t="s">
        <v>18</v>
      </c>
      <c r="N906"/>
    </row>
    <row r="907" spans="1:14" ht="24.75" customHeight="1">
      <c r="A907" s="5">
        <v>905</v>
      </c>
      <c r="B907" s="5" t="s">
        <v>19</v>
      </c>
      <c r="C907" s="5" t="str">
        <f>"李高群"</f>
        <v>李高群</v>
      </c>
      <c r="D907" s="5" t="str">
        <f>"46900319971104192X"</f>
        <v>46900319971104192X</v>
      </c>
      <c r="E907" s="5" t="s">
        <v>15</v>
      </c>
      <c r="F907" s="5" t="str">
        <f>"073102020701"</f>
        <v>073102020701</v>
      </c>
      <c r="G907" s="7">
        <v>0</v>
      </c>
      <c r="H907" s="7">
        <f t="shared" si="66"/>
        <v>0</v>
      </c>
      <c r="I907" s="7">
        <v>0</v>
      </c>
      <c r="J907" s="7">
        <f t="shared" si="67"/>
        <v>0</v>
      </c>
      <c r="K907" s="10">
        <f t="shared" si="64"/>
        <v>0</v>
      </c>
      <c r="L907" s="7">
        <f t="shared" si="65"/>
        <v>509</v>
      </c>
      <c r="M907" s="13" t="s">
        <v>18</v>
      </c>
      <c r="N907"/>
    </row>
    <row r="908" spans="1:14" ht="24.75" customHeight="1">
      <c r="A908" s="5">
        <v>906</v>
      </c>
      <c r="B908" s="5" t="s">
        <v>19</v>
      </c>
      <c r="C908" s="5" t="str">
        <f>"符峥"</f>
        <v>符峥</v>
      </c>
      <c r="D908" s="5" t="str">
        <f>"460030199508243914"</f>
        <v>460030199508243914</v>
      </c>
      <c r="E908" s="5" t="s">
        <v>15</v>
      </c>
      <c r="F908" s="5" t="str">
        <f>"073102020702"</f>
        <v>073102020702</v>
      </c>
      <c r="G908" s="7">
        <v>0</v>
      </c>
      <c r="H908" s="7">
        <f t="shared" si="66"/>
        <v>0</v>
      </c>
      <c r="I908" s="7">
        <v>0</v>
      </c>
      <c r="J908" s="7">
        <f t="shared" si="67"/>
        <v>0</v>
      </c>
      <c r="K908" s="10">
        <f aca="true" t="shared" si="68" ref="K908:K971">H908+J908</f>
        <v>0</v>
      </c>
      <c r="L908" s="7">
        <f t="shared" si="65"/>
        <v>509</v>
      </c>
      <c r="M908" s="13" t="s">
        <v>18</v>
      </c>
      <c r="N908"/>
    </row>
    <row r="909" spans="1:14" ht="24.75" customHeight="1">
      <c r="A909" s="5">
        <v>907</v>
      </c>
      <c r="B909" s="5" t="s">
        <v>19</v>
      </c>
      <c r="C909" s="5" t="str">
        <f>"符武云"</f>
        <v>符武云</v>
      </c>
      <c r="D909" s="5" t="str">
        <f>"460033199601204177"</f>
        <v>460033199601204177</v>
      </c>
      <c r="E909" s="5" t="s">
        <v>15</v>
      </c>
      <c r="F909" s="5" t="str">
        <f>"073102020704"</f>
        <v>073102020704</v>
      </c>
      <c r="G909" s="7">
        <v>0</v>
      </c>
      <c r="H909" s="7">
        <f t="shared" si="66"/>
        <v>0</v>
      </c>
      <c r="I909" s="7">
        <v>0</v>
      </c>
      <c r="J909" s="7">
        <f t="shared" si="67"/>
        <v>0</v>
      </c>
      <c r="K909" s="10">
        <f t="shared" si="68"/>
        <v>0</v>
      </c>
      <c r="L909" s="7">
        <f t="shared" si="65"/>
        <v>509</v>
      </c>
      <c r="M909" s="13" t="s">
        <v>18</v>
      </c>
      <c r="N909"/>
    </row>
    <row r="910" spans="1:14" ht="24.75" customHeight="1">
      <c r="A910" s="5">
        <v>908</v>
      </c>
      <c r="B910" s="5" t="s">
        <v>19</v>
      </c>
      <c r="C910" s="5" t="str">
        <f>"吴美春"</f>
        <v>吴美春</v>
      </c>
      <c r="D910" s="5" t="str">
        <f>"460003199609193021"</f>
        <v>460003199609193021</v>
      </c>
      <c r="E910" s="5" t="s">
        <v>15</v>
      </c>
      <c r="F910" s="5" t="str">
        <f>"073102020705"</f>
        <v>073102020705</v>
      </c>
      <c r="G910" s="7">
        <v>0</v>
      </c>
      <c r="H910" s="7">
        <f t="shared" si="66"/>
        <v>0</v>
      </c>
      <c r="I910" s="7">
        <v>0</v>
      </c>
      <c r="J910" s="7">
        <f t="shared" si="67"/>
        <v>0</v>
      </c>
      <c r="K910" s="10">
        <f t="shared" si="68"/>
        <v>0</v>
      </c>
      <c r="L910" s="7">
        <f t="shared" si="65"/>
        <v>509</v>
      </c>
      <c r="M910" s="13" t="s">
        <v>18</v>
      </c>
      <c r="N910"/>
    </row>
    <row r="911" spans="1:14" ht="24.75" customHeight="1">
      <c r="A911" s="5">
        <v>909</v>
      </c>
      <c r="B911" s="5" t="s">
        <v>19</v>
      </c>
      <c r="C911" s="5" t="str">
        <f>"陈述威"</f>
        <v>陈述威</v>
      </c>
      <c r="D911" s="5" t="str">
        <f>"460200199211011656"</f>
        <v>460200199211011656</v>
      </c>
      <c r="E911" s="5" t="s">
        <v>15</v>
      </c>
      <c r="F911" s="5" t="str">
        <f>"073102020707"</f>
        <v>073102020707</v>
      </c>
      <c r="G911" s="7">
        <v>0</v>
      </c>
      <c r="H911" s="7">
        <f t="shared" si="66"/>
        <v>0</v>
      </c>
      <c r="I911" s="7">
        <v>0</v>
      </c>
      <c r="J911" s="7">
        <f t="shared" si="67"/>
        <v>0</v>
      </c>
      <c r="K911" s="10">
        <f t="shared" si="68"/>
        <v>0</v>
      </c>
      <c r="L911" s="7">
        <f t="shared" si="65"/>
        <v>509</v>
      </c>
      <c r="M911" s="13" t="s">
        <v>18</v>
      </c>
      <c r="N911"/>
    </row>
    <row r="912" spans="1:14" ht="24.75" customHeight="1">
      <c r="A912" s="5">
        <v>910</v>
      </c>
      <c r="B912" s="5" t="s">
        <v>19</v>
      </c>
      <c r="C912" s="5" t="str">
        <f>"符婷"</f>
        <v>符婷</v>
      </c>
      <c r="D912" s="5" t="str">
        <f>"460003199811300222"</f>
        <v>460003199811300222</v>
      </c>
      <c r="E912" s="5" t="s">
        <v>15</v>
      </c>
      <c r="F912" s="5" t="str">
        <f>"073102020710"</f>
        <v>073102020710</v>
      </c>
      <c r="G912" s="7">
        <v>0</v>
      </c>
      <c r="H912" s="7">
        <f t="shared" si="66"/>
        <v>0</v>
      </c>
      <c r="I912" s="7">
        <v>0</v>
      </c>
      <c r="J912" s="7">
        <f t="shared" si="67"/>
        <v>0</v>
      </c>
      <c r="K912" s="10">
        <f t="shared" si="68"/>
        <v>0</v>
      </c>
      <c r="L912" s="7">
        <f t="shared" si="65"/>
        <v>509</v>
      </c>
      <c r="M912" s="13" t="s">
        <v>18</v>
      </c>
      <c r="N912"/>
    </row>
    <row r="913" spans="1:14" ht="24.75" customHeight="1">
      <c r="A913" s="5">
        <v>911</v>
      </c>
      <c r="B913" s="5" t="s">
        <v>19</v>
      </c>
      <c r="C913" s="5" t="str">
        <f>"李凌娟"</f>
        <v>李凌娟</v>
      </c>
      <c r="D913" s="5" t="str">
        <f>"460003199305124860"</f>
        <v>460003199305124860</v>
      </c>
      <c r="E913" s="5" t="s">
        <v>15</v>
      </c>
      <c r="F913" s="5" t="str">
        <f>"073102020711"</f>
        <v>073102020711</v>
      </c>
      <c r="G913" s="7">
        <v>0</v>
      </c>
      <c r="H913" s="7">
        <f t="shared" si="66"/>
        <v>0</v>
      </c>
      <c r="I913" s="7">
        <v>0</v>
      </c>
      <c r="J913" s="7">
        <f t="shared" si="67"/>
        <v>0</v>
      </c>
      <c r="K913" s="10">
        <f t="shared" si="68"/>
        <v>0</v>
      </c>
      <c r="L913" s="7">
        <f t="shared" si="65"/>
        <v>509</v>
      </c>
      <c r="M913" s="13" t="s">
        <v>18</v>
      </c>
      <c r="N913"/>
    </row>
    <row r="914" spans="1:14" ht="24.75" customHeight="1">
      <c r="A914" s="5">
        <v>912</v>
      </c>
      <c r="B914" s="5" t="s">
        <v>19</v>
      </c>
      <c r="C914" s="5" t="str">
        <f>"吴晨亮"</f>
        <v>吴晨亮</v>
      </c>
      <c r="D914" s="5" t="str">
        <f>"460007199908234677"</f>
        <v>460007199908234677</v>
      </c>
      <c r="E914" s="5" t="s">
        <v>15</v>
      </c>
      <c r="F914" s="5" t="str">
        <f>"073102020712"</f>
        <v>073102020712</v>
      </c>
      <c r="G914" s="7">
        <v>0</v>
      </c>
      <c r="H914" s="7">
        <f t="shared" si="66"/>
        <v>0</v>
      </c>
      <c r="I914" s="7">
        <v>0</v>
      </c>
      <c r="J914" s="7">
        <f t="shared" si="67"/>
        <v>0</v>
      </c>
      <c r="K914" s="10">
        <f t="shared" si="68"/>
        <v>0</v>
      </c>
      <c r="L914" s="7">
        <f t="shared" si="65"/>
        <v>509</v>
      </c>
      <c r="M914" s="13" t="s">
        <v>18</v>
      </c>
      <c r="N914"/>
    </row>
    <row r="915" spans="1:14" ht="24.75" customHeight="1">
      <c r="A915" s="5">
        <v>913</v>
      </c>
      <c r="B915" s="5" t="s">
        <v>19</v>
      </c>
      <c r="C915" s="5" t="str">
        <f>"谢兰芳"</f>
        <v>谢兰芳</v>
      </c>
      <c r="D915" s="5" t="str">
        <f>"460003199906284229"</f>
        <v>460003199906284229</v>
      </c>
      <c r="E915" s="5" t="s">
        <v>15</v>
      </c>
      <c r="F915" s="5" t="str">
        <f>"073102020713"</f>
        <v>073102020713</v>
      </c>
      <c r="G915" s="7">
        <v>0</v>
      </c>
      <c r="H915" s="7">
        <f t="shared" si="66"/>
        <v>0</v>
      </c>
      <c r="I915" s="7">
        <v>0</v>
      </c>
      <c r="J915" s="7">
        <f t="shared" si="67"/>
        <v>0</v>
      </c>
      <c r="K915" s="10">
        <f t="shared" si="68"/>
        <v>0</v>
      </c>
      <c r="L915" s="7">
        <f t="shared" si="65"/>
        <v>509</v>
      </c>
      <c r="M915" s="13" t="s">
        <v>18</v>
      </c>
      <c r="N915"/>
    </row>
    <row r="916" spans="1:14" ht="24.75" customHeight="1">
      <c r="A916" s="5">
        <v>914</v>
      </c>
      <c r="B916" s="5" t="s">
        <v>19</v>
      </c>
      <c r="C916" s="5" t="str">
        <f>"袁学海"</f>
        <v>袁学海</v>
      </c>
      <c r="D916" s="5" t="str">
        <f>"460026199505020032"</f>
        <v>460026199505020032</v>
      </c>
      <c r="E916" s="5" t="s">
        <v>15</v>
      </c>
      <c r="F916" s="5" t="str">
        <f>"073102020714"</f>
        <v>073102020714</v>
      </c>
      <c r="G916" s="7">
        <v>0</v>
      </c>
      <c r="H916" s="7">
        <f t="shared" si="66"/>
        <v>0</v>
      </c>
      <c r="I916" s="7">
        <v>0</v>
      </c>
      <c r="J916" s="7">
        <f t="shared" si="67"/>
        <v>0</v>
      </c>
      <c r="K916" s="10">
        <f t="shared" si="68"/>
        <v>0</v>
      </c>
      <c r="L916" s="7">
        <f t="shared" si="65"/>
        <v>509</v>
      </c>
      <c r="M916" s="13" t="s">
        <v>18</v>
      </c>
      <c r="N916"/>
    </row>
    <row r="917" spans="1:14" ht="24.75" customHeight="1">
      <c r="A917" s="5">
        <v>915</v>
      </c>
      <c r="B917" s="5" t="s">
        <v>19</v>
      </c>
      <c r="C917" s="5" t="str">
        <f>"张智红"</f>
        <v>张智红</v>
      </c>
      <c r="D917" s="5" t="str">
        <f>"460026199401014826"</f>
        <v>460026199401014826</v>
      </c>
      <c r="E917" s="5" t="s">
        <v>15</v>
      </c>
      <c r="F917" s="5" t="str">
        <f>"073102020717"</f>
        <v>073102020717</v>
      </c>
      <c r="G917" s="7">
        <v>0</v>
      </c>
      <c r="H917" s="7">
        <f t="shared" si="66"/>
        <v>0</v>
      </c>
      <c r="I917" s="7">
        <v>0</v>
      </c>
      <c r="J917" s="7">
        <f t="shared" si="67"/>
        <v>0</v>
      </c>
      <c r="K917" s="10">
        <f t="shared" si="68"/>
        <v>0</v>
      </c>
      <c r="L917" s="7">
        <f t="shared" si="65"/>
        <v>509</v>
      </c>
      <c r="M917" s="13" t="s">
        <v>18</v>
      </c>
      <c r="N917"/>
    </row>
    <row r="918" spans="1:14" ht="24.75" customHeight="1">
      <c r="A918" s="5">
        <v>916</v>
      </c>
      <c r="B918" s="5" t="s">
        <v>19</v>
      </c>
      <c r="C918" s="5" t="str">
        <f>"唐昕"</f>
        <v>唐昕</v>
      </c>
      <c r="D918" s="5" t="str">
        <f>"460003199909010020"</f>
        <v>460003199909010020</v>
      </c>
      <c r="E918" s="5" t="s">
        <v>15</v>
      </c>
      <c r="F918" s="5" t="str">
        <f>"073102020718"</f>
        <v>073102020718</v>
      </c>
      <c r="G918" s="7">
        <v>0</v>
      </c>
      <c r="H918" s="7">
        <f t="shared" si="66"/>
        <v>0</v>
      </c>
      <c r="I918" s="7">
        <v>0</v>
      </c>
      <c r="J918" s="7">
        <f t="shared" si="67"/>
        <v>0</v>
      </c>
      <c r="K918" s="10">
        <f t="shared" si="68"/>
        <v>0</v>
      </c>
      <c r="L918" s="7">
        <f t="shared" si="65"/>
        <v>509</v>
      </c>
      <c r="M918" s="13" t="s">
        <v>18</v>
      </c>
      <c r="N918"/>
    </row>
    <row r="919" spans="1:14" ht="24.75" customHeight="1">
      <c r="A919" s="5">
        <v>917</v>
      </c>
      <c r="B919" s="5" t="s">
        <v>19</v>
      </c>
      <c r="C919" s="5" t="str">
        <f>"符慧琳"</f>
        <v>符慧琳</v>
      </c>
      <c r="D919" s="5" t="str">
        <f>"460003199901060621"</f>
        <v>460003199901060621</v>
      </c>
      <c r="E919" s="5" t="s">
        <v>15</v>
      </c>
      <c r="F919" s="5" t="str">
        <f>"073102020719"</f>
        <v>073102020719</v>
      </c>
      <c r="G919" s="7">
        <v>0</v>
      </c>
      <c r="H919" s="7">
        <f t="shared" si="66"/>
        <v>0</v>
      </c>
      <c r="I919" s="7">
        <v>0</v>
      </c>
      <c r="J919" s="7">
        <f t="shared" si="67"/>
        <v>0</v>
      </c>
      <c r="K919" s="10">
        <f t="shared" si="68"/>
        <v>0</v>
      </c>
      <c r="L919" s="7">
        <f t="shared" si="65"/>
        <v>509</v>
      </c>
      <c r="M919" s="13" t="s">
        <v>18</v>
      </c>
      <c r="N919"/>
    </row>
    <row r="920" spans="1:14" ht="24.75" customHeight="1">
      <c r="A920" s="5">
        <v>918</v>
      </c>
      <c r="B920" s="5" t="s">
        <v>19</v>
      </c>
      <c r="C920" s="5" t="str">
        <f>"符荣榜"</f>
        <v>符荣榜</v>
      </c>
      <c r="D920" s="5" t="str">
        <f>"460003199408076056"</f>
        <v>460003199408076056</v>
      </c>
      <c r="E920" s="5" t="s">
        <v>15</v>
      </c>
      <c r="F920" s="5" t="str">
        <f>"073102020720"</f>
        <v>073102020720</v>
      </c>
      <c r="G920" s="7">
        <v>0</v>
      </c>
      <c r="H920" s="7">
        <f t="shared" si="66"/>
        <v>0</v>
      </c>
      <c r="I920" s="7">
        <v>0</v>
      </c>
      <c r="J920" s="7">
        <f t="shared" si="67"/>
        <v>0</v>
      </c>
      <c r="K920" s="10">
        <f t="shared" si="68"/>
        <v>0</v>
      </c>
      <c r="L920" s="7">
        <f t="shared" si="65"/>
        <v>509</v>
      </c>
      <c r="M920" s="13" t="s">
        <v>18</v>
      </c>
      <c r="N920"/>
    </row>
    <row r="921" spans="1:14" ht="24.75" customHeight="1">
      <c r="A921" s="5">
        <v>919</v>
      </c>
      <c r="B921" s="5" t="s">
        <v>19</v>
      </c>
      <c r="C921" s="5" t="str">
        <f>"童建花"</f>
        <v>童建花</v>
      </c>
      <c r="D921" s="5" t="str">
        <f>"46000319940205442X"</f>
        <v>46000319940205442X</v>
      </c>
      <c r="E921" s="5" t="s">
        <v>15</v>
      </c>
      <c r="F921" s="5" t="str">
        <f>"073102020723"</f>
        <v>073102020723</v>
      </c>
      <c r="G921" s="7">
        <v>0</v>
      </c>
      <c r="H921" s="7">
        <f t="shared" si="66"/>
        <v>0</v>
      </c>
      <c r="I921" s="7">
        <v>0</v>
      </c>
      <c r="J921" s="7">
        <f t="shared" si="67"/>
        <v>0</v>
      </c>
      <c r="K921" s="10">
        <f t="shared" si="68"/>
        <v>0</v>
      </c>
      <c r="L921" s="7">
        <f aca="true" t="shared" si="69" ref="L921:L984">RANK(K921,$K$281:$K$1299,0)</f>
        <v>509</v>
      </c>
      <c r="M921" s="13" t="s">
        <v>18</v>
      </c>
      <c r="N921"/>
    </row>
    <row r="922" spans="1:14" ht="24.75" customHeight="1">
      <c r="A922" s="5">
        <v>920</v>
      </c>
      <c r="B922" s="5" t="s">
        <v>19</v>
      </c>
      <c r="C922" s="5" t="str">
        <f>"蒲休瀚"</f>
        <v>蒲休瀚</v>
      </c>
      <c r="D922" s="5" t="str">
        <f>"460003199801100219"</f>
        <v>460003199801100219</v>
      </c>
      <c r="E922" s="5" t="s">
        <v>15</v>
      </c>
      <c r="F922" s="5" t="str">
        <f>"073102020724"</f>
        <v>073102020724</v>
      </c>
      <c r="G922" s="7">
        <v>0</v>
      </c>
      <c r="H922" s="7">
        <f t="shared" si="66"/>
        <v>0</v>
      </c>
      <c r="I922" s="7">
        <v>0</v>
      </c>
      <c r="J922" s="7">
        <f t="shared" si="67"/>
        <v>0</v>
      </c>
      <c r="K922" s="10">
        <f t="shared" si="68"/>
        <v>0</v>
      </c>
      <c r="L922" s="7">
        <f t="shared" si="69"/>
        <v>509</v>
      </c>
      <c r="M922" s="13" t="s">
        <v>18</v>
      </c>
      <c r="N922"/>
    </row>
    <row r="923" spans="1:14" ht="24.75" customHeight="1">
      <c r="A923" s="5">
        <v>921</v>
      </c>
      <c r="B923" s="5" t="s">
        <v>19</v>
      </c>
      <c r="C923" s="5" t="str">
        <f>"黄庆楼"</f>
        <v>黄庆楼</v>
      </c>
      <c r="D923" s="5" t="str">
        <f>"460003199609304828"</f>
        <v>460003199609304828</v>
      </c>
      <c r="E923" s="5" t="s">
        <v>15</v>
      </c>
      <c r="F923" s="5" t="str">
        <f>"073102020727"</f>
        <v>073102020727</v>
      </c>
      <c r="G923" s="7">
        <v>0</v>
      </c>
      <c r="H923" s="7">
        <f t="shared" si="66"/>
        <v>0</v>
      </c>
      <c r="I923" s="7">
        <v>0</v>
      </c>
      <c r="J923" s="7">
        <f t="shared" si="67"/>
        <v>0</v>
      </c>
      <c r="K923" s="10">
        <f t="shared" si="68"/>
        <v>0</v>
      </c>
      <c r="L923" s="7">
        <f t="shared" si="69"/>
        <v>509</v>
      </c>
      <c r="M923" s="13" t="s">
        <v>18</v>
      </c>
      <c r="N923"/>
    </row>
    <row r="924" spans="1:14" ht="24.75" customHeight="1">
      <c r="A924" s="5">
        <v>922</v>
      </c>
      <c r="B924" s="5" t="s">
        <v>19</v>
      </c>
      <c r="C924" s="5" t="str">
        <f>"谢宇"</f>
        <v>谢宇</v>
      </c>
      <c r="D924" s="5" t="str">
        <f>"460102199110081812"</f>
        <v>460102199110081812</v>
      </c>
      <c r="E924" s="5" t="s">
        <v>15</v>
      </c>
      <c r="F924" s="5" t="str">
        <f>"073102020730"</f>
        <v>073102020730</v>
      </c>
      <c r="G924" s="7">
        <v>0</v>
      </c>
      <c r="H924" s="7">
        <f t="shared" si="66"/>
        <v>0</v>
      </c>
      <c r="I924" s="7">
        <v>0</v>
      </c>
      <c r="J924" s="7">
        <f t="shared" si="67"/>
        <v>0</v>
      </c>
      <c r="K924" s="10">
        <f t="shared" si="68"/>
        <v>0</v>
      </c>
      <c r="L924" s="7">
        <f t="shared" si="69"/>
        <v>509</v>
      </c>
      <c r="M924" s="13" t="s">
        <v>18</v>
      </c>
      <c r="N924"/>
    </row>
    <row r="925" spans="1:14" ht="24.75" customHeight="1">
      <c r="A925" s="5">
        <v>923</v>
      </c>
      <c r="B925" s="5" t="s">
        <v>19</v>
      </c>
      <c r="C925" s="5" t="str">
        <f>"王悦妃"</f>
        <v>王悦妃</v>
      </c>
      <c r="D925" s="5" t="str">
        <f>"460003199909094228"</f>
        <v>460003199909094228</v>
      </c>
      <c r="E925" s="5" t="s">
        <v>15</v>
      </c>
      <c r="F925" s="5" t="str">
        <f>"073102020732"</f>
        <v>073102020732</v>
      </c>
      <c r="G925" s="7">
        <v>0</v>
      </c>
      <c r="H925" s="7">
        <f t="shared" si="66"/>
        <v>0</v>
      </c>
      <c r="I925" s="7">
        <v>0</v>
      </c>
      <c r="J925" s="7">
        <f t="shared" si="67"/>
        <v>0</v>
      </c>
      <c r="K925" s="10">
        <f t="shared" si="68"/>
        <v>0</v>
      </c>
      <c r="L925" s="7">
        <f t="shared" si="69"/>
        <v>509</v>
      </c>
      <c r="M925" s="13" t="s">
        <v>18</v>
      </c>
      <c r="N925"/>
    </row>
    <row r="926" spans="1:14" ht="24.75" customHeight="1">
      <c r="A926" s="5">
        <v>924</v>
      </c>
      <c r="B926" s="5" t="s">
        <v>19</v>
      </c>
      <c r="C926" s="5" t="str">
        <f>"李晓秋"</f>
        <v>李晓秋</v>
      </c>
      <c r="D926" s="5" t="str">
        <f>"460006199808130022"</f>
        <v>460006199808130022</v>
      </c>
      <c r="E926" s="5" t="s">
        <v>15</v>
      </c>
      <c r="F926" s="5" t="str">
        <f>"073102020733"</f>
        <v>073102020733</v>
      </c>
      <c r="G926" s="7">
        <v>0</v>
      </c>
      <c r="H926" s="7">
        <f t="shared" si="66"/>
        <v>0</v>
      </c>
      <c r="I926" s="7">
        <v>0</v>
      </c>
      <c r="J926" s="7">
        <f t="shared" si="67"/>
        <v>0</v>
      </c>
      <c r="K926" s="10">
        <f t="shared" si="68"/>
        <v>0</v>
      </c>
      <c r="L926" s="7">
        <f t="shared" si="69"/>
        <v>509</v>
      </c>
      <c r="M926" s="13" t="s">
        <v>18</v>
      </c>
      <c r="N926"/>
    </row>
    <row r="927" spans="1:14" ht="24.75" customHeight="1">
      <c r="A927" s="5">
        <v>925</v>
      </c>
      <c r="B927" s="5" t="s">
        <v>19</v>
      </c>
      <c r="C927" s="5" t="str">
        <f>"洪景"</f>
        <v>洪景</v>
      </c>
      <c r="D927" s="5" t="str">
        <f>"460033199906087784"</f>
        <v>460033199906087784</v>
      </c>
      <c r="E927" s="5" t="s">
        <v>15</v>
      </c>
      <c r="F927" s="5" t="str">
        <f>"073102020736"</f>
        <v>073102020736</v>
      </c>
      <c r="G927" s="7">
        <v>0</v>
      </c>
      <c r="H927" s="7">
        <f t="shared" si="66"/>
        <v>0</v>
      </c>
      <c r="I927" s="7">
        <v>0</v>
      </c>
      <c r="J927" s="7">
        <f t="shared" si="67"/>
        <v>0</v>
      </c>
      <c r="K927" s="10">
        <f t="shared" si="68"/>
        <v>0</v>
      </c>
      <c r="L927" s="7">
        <f t="shared" si="69"/>
        <v>509</v>
      </c>
      <c r="M927" s="13" t="s">
        <v>18</v>
      </c>
      <c r="N927"/>
    </row>
    <row r="928" spans="1:14" ht="24.75" customHeight="1">
      <c r="A928" s="5">
        <v>926</v>
      </c>
      <c r="B928" s="5" t="s">
        <v>19</v>
      </c>
      <c r="C928" s="5" t="str">
        <f>"赖丽梅"</f>
        <v>赖丽梅</v>
      </c>
      <c r="D928" s="5" t="str">
        <f>"460003199607156825"</f>
        <v>460003199607156825</v>
      </c>
      <c r="E928" s="5" t="s">
        <v>15</v>
      </c>
      <c r="F928" s="5" t="str">
        <f>"073102020739"</f>
        <v>073102020739</v>
      </c>
      <c r="G928" s="7">
        <v>0</v>
      </c>
      <c r="H928" s="7">
        <f t="shared" si="66"/>
        <v>0</v>
      </c>
      <c r="I928" s="7">
        <v>0</v>
      </c>
      <c r="J928" s="7">
        <f t="shared" si="67"/>
        <v>0</v>
      </c>
      <c r="K928" s="10">
        <f t="shared" si="68"/>
        <v>0</v>
      </c>
      <c r="L928" s="7">
        <f t="shared" si="69"/>
        <v>509</v>
      </c>
      <c r="M928" s="13" t="s">
        <v>18</v>
      </c>
      <c r="N928"/>
    </row>
    <row r="929" spans="1:14" ht="24.75" customHeight="1">
      <c r="A929" s="5">
        <v>927</v>
      </c>
      <c r="B929" s="5" t="s">
        <v>19</v>
      </c>
      <c r="C929" s="5" t="str">
        <f>"符吉娜"</f>
        <v>符吉娜</v>
      </c>
      <c r="D929" s="5" t="str">
        <f>"460006199603255227"</f>
        <v>460006199603255227</v>
      </c>
      <c r="E929" s="5" t="s">
        <v>15</v>
      </c>
      <c r="F929" s="5" t="str">
        <f>"073102020741"</f>
        <v>073102020741</v>
      </c>
      <c r="G929" s="7">
        <v>0</v>
      </c>
      <c r="H929" s="7">
        <f t="shared" si="66"/>
        <v>0</v>
      </c>
      <c r="I929" s="7">
        <v>0</v>
      </c>
      <c r="J929" s="7">
        <f t="shared" si="67"/>
        <v>0</v>
      </c>
      <c r="K929" s="10">
        <f t="shared" si="68"/>
        <v>0</v>
      </c>
      <c r="L929" s="7">
        <f t="shared" si="69"/>
        <v>509</v>
      </c>
      <c r="M929" s="13" t="s">
        <v>18</v>
      </c>
      <c r="N929"/>
    </row>
    <row r="930" spans="1:14" ht="24.75" customHeight="1">
      <c r="A930" s="5">
        <v>928</v>
      </c>
      <c r="B930" s="5" t="s">
        <v>19</v>
      </c>
      <c r="C930" s="5" t="str">
        <f>"羊开学"</f>
        <v>羊开学</v>
      </c>
      <c r="D930" s="5" t="str">
        <f>"460003199110025432"</f>
        <v>460003199110025432</v>
      </c>
      <c r="E930" s="5" t="s">
        <v>15</v>
      </c>
      <c r="F930" s="5" t="str">
        <f>"073102020743"</f>
        <v>073102020743</v>
      </c>
      <c r="G930" s="7">
        <v>0</v>
      </c>
      <c r="H930" s="7">
        <f t="shared" si="66"/>
        <v>0</v>
      </c>
      <c r="I930" s="7">
        <v>0</v>
      </c>
      <c r="J930" s="7">
        <f t="shared" si="67"/>
        <v>0</v>
      </c>
      <c r="K930" s="10">
        <f t="shared" si="68"/>
        <v>0</v>
      </c>
      <c r="L930" s="7">
        <f t="shared" si="69"/>
        <v>509</v>
      </c>
      <c r="M930" s="13" t="s">
        <v>18</v>
      </c>
      <c r="N930"/>
    </row>
    <row r="931" spans="1:14" ht="24.75" customHeight="1">
      <c r="A931" s="5">
        <v>929</v>
      </c>
      <c r="B931" s="5" t="s">
        <v>19</v>
      </c>
      <c r="C931" s="5" t="str">
        <f>"李明静"</f>
        <v>李明静</v>
      </c>
      <c r="D931" s="5" t="str">
        <f>"460003199506187024"</f>
        <v>460003199506187024</v>
      </c>
      <c r="E931" s="5" t="s">
        <v>15</v>
      </c>
      <c r="F931" s="5" t="str">
        <f>"073102020744"</f>
        <v>073102020744</v>
      </c>
      <c r="G931" s="7">
        <v>0</v>
      </c>
      <c r="H931" s="7">
        <f t="shared" si="66"/>
        <v>0</v>
      </c>
      <c r="I931" s="7">
        <v>0</v>
      </c>
      <c r="J931" s="7">
        <f t="shared" si="67"/>
        <v>0</v>
      </c>
      <c r="K931" s="10">
        <f t="shared" si="68"/>
        <v>0</v>
      </c>
      <c r="L931" s="7">
        <f t="shared" si="69"/>
        <v>509</v>
      </c>
      <c r="M931" s="13" t="s">
        <v>18</v>
      </c>
      <c r="N931"/>
    </row>
    <row r="932" spans="1:14" ht="24.75" customHeight="1">
      <c r="A932" s="5">
        <v>930</v>
      </c>
      <c r="B932" s="5" t="s">
        <v>19</v>
      </c>
      <c r="C932" s="5" t="str">
        <f>"郑引兰"</f>
        <v>郑引兰</v>
      </c>
      <c r="D932" s="5" t="str">
        <f>"460003199805312227"</f>
        <v>460003199805312227</v>
      </c>
      <c r="E932" s="5" t="s">
        <v>15</v>
      </c>
      <c r="F932" s="5" t="str">
        <f>"073102020802"</f>
        <v>073102020802</v>
      </c>
      <c r="G932" s="7">
        <v>0</v>
      </c>
      <c r="H932" s="7">
        <f t="shared" si="66"/>
        <v>0</v>
      </c>
      <c r="I932" s="7">
        <v>0</v>
      </c>
      <c r="J932" s="7">
        <f t="shared" si="67"/>
        <v>0</v>
      </c>
      <c r="K932" s="10">
        <f t="shared" si="68"/>
        <v>0</v>
      </c>
      <c r="L932" s="7">
        <f t="shared" si="69"/>
        <v>509</v>
      </c>
      <c r="M932" s="13" t="s">
        <v>18</v>
      </c>
      <c r="N932"/>
    </row>
    <row r="933" spans="1:14" ht="24.75" customHeight="1">
      <c r="A933" s="5">
        <v>931</v>
      </c>
      <c r="B933" s="5" t="s">
        <v>19</v>
      </c>
      <c r="C933" s="5" t="str">
        <f>"何岩尾"</f>
        <v>何岩尾</v>
      </c>
      <c r="D933" s="5" t="str">
        <f>"460003199607214028"</f>
        <v>460003199607214028</v>
      </c>
      <c r="E933" s="5" t="s">
        <v>16</v>
      </c>
      <c r="F933" s="5" t="str">
        <f>"073102020804"</f>
        <v>073102020804</v>
      </c>
      <c r="G933" s="7">
        <v>0</v>
      </c>
      <c r="H933" s="7">
        <f t="shared" si="66"/>
        <v>0</v>
      </c>
      <c r="I933" s="7">
        <v>0</v>
      </c>
      <c r="J933" s="7">
        <f t="shared" si="67"/>
        <v>0</v>
      </c>
      <c r="K933" s="10">
        <f t="shared" si="68"/>
        <v>0</v>
      </c>
      <c r="L933" s="7">
        <f t="shared" si="69"/>
        <v>509</v>
      </c>
      <c r="M933" s="13" t="s">
        <v>18</v>
      </c>
      <c r="N933"/>
    </row>
    <row r="934" spans="1:14" ht="24.75" customHeight="1">
      <c r="A934" s="5">
        <v>932</v>
      </c>
      <c r="B934" s="5" t="s">
        <v>19</v>
      </c>
      <c r="C934" s="5" t="str">
        <f>"陈文凤"</f>
        <v>陈文凤</v>
      </c>
      <c r="D934" s="5" t="str">
        <f>"460003199302186425"</f>
        <v>460003199302186425</v>
      </c>
      <c r="E934" s="5" t="s">
        <v>15</v>
      </c>
      <c r="F934" s="5" t="str">
        <f>"073102020805"</f>
        <v>073102020805</v>
      </c>
      <c r="G934" s="7">
        <v>0</v>
      </c>
      <c r="H934" s="7">
        <f t="shared" si="66"/>
        <v>0</v>
      </c>
      <c r="I934" s="7">
        <v>0</v>
      </c>
      <c r="J934" s="7">
        <f t="shared" si="67"/>
        <v>0</v>
      </c>
      <c r="K934" s="10">
        <f t="shared" si="68"/>
        <v>0</v>
      </c>
      <c r="L934" s="7">
        <f t="shared" si="69"/>
        <v>509</v>
      </c>
      <c r="M934" s="13" t="s">
        <v>18</v>
      </c>
      <c r="N934"/>
    </row>
    <row r="935" spans="1:14" ht="24.75" customHeight="1">
      <c r="A935" s="5">
        <v>933</v>
      </c>
      <c r="B935" s="5" t="s">
        <v>19</v>
      </c>
      <c r="C935" s="5" t="str">
        <f>"周丽"</f>
        <v>周丽</v>
      </c>
      <c r="D935" s="5" t="str">
        <f>"460006199602156526"</f>
        <v>460006199602156526</v>
      </c>
      <c r="E935" s="5" t="s">
        <v>15</v>
      </c>
      <c r="F935" s="5" t="str">
        <f>"073102020806"</f>
        <v>073102020806</v>
      </c>
      <c r="G935" s="7">
        <v>0</v>
      </c>
      <c r="H935" s="7">
        <f t="shared" si="66"/>
        <v>0</v>
      </c>
      <c r="I935" s="7">
        <v>0</v>
      </c>
      <c r="J935" s="7">
        <f t="shared" si="67"/>
        <v>0</v>
      </c>
      <c r="K935" s="10">
        <f t="shared" si="68"/>
        <v>0</v>
      </c>
      <c r="L935" s="7">
        <f t="shared" si="69"/>
        <v>509</v>
      </c>
      <c r="M935" s="13" t="s">
        <v>18</v>
      </c>
      <c r="N935"/>
    </row>
    <row r="936" spans="1:14" ht="24.75" customHeight="1">
      <c r="A936" s="5">
        <v>934</v>
      </c>
      <c r="B936" s="5" t="s">
        <v>19</v>
      </c>
      <c r="C936" s="5" t="str">
        <f>"张爱诗"</f>
        <v>张爱诗</v>
      </c>
      <c r="D936" s="5" t="str">
        <f>"460003199804140224"</f>
        <v>460003199804140224</v>
      </c>
      <c r="E936" s="5" t="s">
        <v>15</v>
      </c>
      <c r="F936" s="5" t="str">
        <f>"073102020807"</f>
        <v>073102020807</v>
      </c>
      <c r="G936" s="7">
        <v>0</v>
      </c>
      <c r="H936" s="7">
        <f t="shared" si="66"/>
        <v>0</v>
      </c>
      <c r="I936" s="7">
        <v>0</v>
      </c>
      <c r="J936" s="7">
        <f t="shared" si="67"/>
        <v>0</v>
      </c>
      <c r="K936" s="10">
        <f t="shared" si="68"/>
        <v>0</v>
      </c>
      <c r="L936" s="7">
        <f t="shared" si="69"/>
        <v>509</v>
      </c>
      <c r="M936" s="13" t="s">
        <v>18</v>
      </c>
      <c r="N936"/>
    </row>
    <row r="937" spans="1:14" ht="24.75" customHeight="1">
      <c r="A937" s="5">
        <v>935</v>
      </c>
      <c r="B937" s="5" t="s">
        <v>19</v>
      </c>
      <c r="C937" s="5" t="str">
        <f>"黄莉娜"</f>
        <v>黄莉娜</v>
      </c>
      <c r="D937" s="5" t="str">
        <f>"460006199903196820"</f>
        <v>460006199903196820</v>
      </c>
      <c r="E937" s="5" t="s">
        <v>15</v>
      </c>
      <c r="F937" s="5" t="str">
        <f>"073102020808"</f>
        <v>073102020808</v>
      </c>
      <c r="G937" s="7">
        <v>0</v>
      </c>
      <c r="H937" s="7">
        <f t="shared" si="66"/>
        <v>0</v>
      </c>
      <c r="I937" s="7">
        <v>0</v>
      </c>
      <c r="J937" s="7">
        <f t="shared" si="67"/>
        <v>0</v>
      </c>
      <c r="K937" s="10">
        <f t="shared" si="68"/>
        <v>0</v>
      </c>
      <c r="L937" s="7">
        <f t="shared" si="69"/>
        <v>509</v>
      </c>
      <c r="M937" s="13" t="s">
        <v>18</v>
      </c>
      <c r="N937"/>
    </row>
    <row r="938" spans="1:14" ht="24.75" customHeight="1">
      <c r="A938" s="5">
        <v>936</v>
      </c>
      <c r="B938" s="5" t="s">
        <v>19</v>
      </c>
      <c r="C938" s="5" t="str">
        <f>"黎花英"</f>
        <v>黎花英</v>
      </c>
      <c r="D938" s="5" t="str">
        <f>"460003199509123026"</f>
        <v>460003199509123026</v>
      </c>
      <c r="E938" s="5" t="s">
        <v>15</v>
      </c>
      <c r="F938" s="5" t="str">
        <f>"073102020809"</f>
        <v>073102020809</v>
      </c>
      <c r="G938" s="7">
        <v>0</v>
      </c>
      <c r="H938" s="7">
        <f t="shared" si="66"/>
        <v>0</v>
      </c>
      <c r="I938" s="7">
        <v>0</v>
      </c>
      <c r="J938" s="7">
        <f t="shared" si="67"/>
        <v>0</v>
      </c>
      <c r="K938" s="10">
        <f t="shared" si="68"/>
        <v>0</v>
      </c>
      <c r="L938" s="7">
        <f t="shared" si="69"/>
        <v>509</v>
      </c>
      <c r="M938" s="13" t="s">
        <v>18</v>
      </c>
      <c r="N938"/>
    </row>
    <row r="939" spans="1:14" ht="24.75" customHeight="1">
      <c r="A939" s="5">
        <v>937</v>
      </c>
      <c r="B939" s="5" t="s">
        <v>19</v>
      </c>
      <c r="C939" s="5" t="str">
        <f>"赵章任"</f>
        <v>赵章任</v>
      </c>
      <c r="D939" s="5" t="str">
        <f>"460003199209102039"</f>
        <v>460003199209102039</v>
      </c>
      <c r="E939" s="5" t="s">
        <v>15</v>
      </c>
      <c r="F939" s="5" t="str">
        <f>"073102020810"</f>
        <v>073102020810</v>
      </c>
      <c r="G939" s="7">
        <v>0</v>
      </c>
      <c r="H939" s="7">
        <f t="shared" si="66"/>
        <v>0</v>
      </c>
      <c r="I939" s="7">
        <v>0</v>
      </c>
      <c r="J939" s="7">
        <f t="shared" si="67"/>
        <v>0</v>
      </c>
      <c r="K939" s="10">
        <f t="shared" si="68"/>
        <v>0</v>
      </c>
      <c r="L939" s="7">
        <f t="shared" si="69"/>
        <v>509</v>
      </c>
      <c r="M939" s="13" t="s">
        <v>18</v>
      </c>
      <c r="N939"/>
    </row>
    <row r="940" spans="1:14" ht="24.75" customHeight="1">
      <c r="A940" s="5">
        <v>938</v>
      </c>
      <c r="B940" s="5" t="s">
        <v>19</v>
      </c>
      <c r="C940" s="5" t="str">
        <f>"铁永萍"</f>
        <v>铁永萍</v>
      </c>
      <c r="D940" s="5" t="str">
        <f>"632123199307103144"</f>
        <v>632123199307103144</v>
      </c>
      <c r="E940" s="5" t="s">
        <v>15</v>
      </c>
      <c r="F940" s="5" t="str">
        <f>"073102020812"</f>
        <v>073102020812</v>
      </c>
      <c r="G940" s="7">
        <v>0</v>
      </c>
      <c r="H940" s="7">
        <f t="shared" si="66"/>
        <v>0</v>
      </c>
      <c r="I940" s="7">
        <v>0</v>
      </c>
      <c r="J940" s="7">
        <f t="shared" si="67"/>
        <v>0</v>
      </c>
      <c r="K940" s="10">
        <f t="shared" si="68"/>
        <v>0</v>
      </c>
      <c r="L940" s="7">
        <f t="shared" si="69"/>
        <v>509</v>
      </c>
      <c r="M940" s="13" t="s">
        <v>18</v>
      </c>
      <c r="N940"/>
    </row>
    <row r="941" spans="1:14" ht="24.75" customHeight="1">
      <c r="A941" s="5">
        <v>939</v>
      </c>
      <c r="B941" s="5" t="s">
        <v>19</v>
      </c>
      <c r="C941" s="5" t="str">
        <f>"曾光妍"</f>
        <v>曾光妍</v>
      </c>
      <c r="D941" s="5" t="str">
        <f>"460003199612082445"</f>
        <v>460003199612082445</v>
      </c>
      <c r="E941" s="5" t="s">
        <v>15</v>
      </c>
      <c r="F941" s="5" t="str">
        <f>"073102020814"</f>
        <v>073102020814</v>
      </c>
      <c r="G941" s="7">
        <v>0</v>
      </c>
      <c r="H941" s="7">
        <f t="shared" si="66"/>
        <v>0</v>
      </c>
      <c r="I941" s="7">
        <v>0</v>
      </c>
      <c r="J941" s="7">
        <f t="shared" si="67"/>
        <v>0</v>
      </c>
      <c r="K941" s="10">
        <f t="shared" si="68"/>
        <v>0</v>
      </c>
      <c r="L941" s="7">
        <f t="shared" si="69"/>
        <v>509</v>
      </c>
      <c r="M941" s="13" t="s">
        <v>18</v>
      </c>
      <c r="N941"/>
    </row>
    <row r="942" spans="1:14" ht="24.75" customHeight="1">
      <c r="A942" s="5">
        <v>940</v>
      </c>
      <c r="B942" s="5" t="s">
        <v>19</v>
      </c>
      <c r="C942" s="5" t="str">
        <f>"莫新嫩"</f>
        <v>莫新嫩</v>
      </c>
      <c r="D942" s="5" t="str">
        <f>"460007199712267266"</f>
        <v>460007199712267266</v>
      </c>
      <c r="E942" s="5" t="s">
        <v>15</v>
      </c>
      <c r="F942" s="5" t="str">
        <f>"073102020816"</f>
        <v>073102020816</v>
      </c>
      <c r="G942" s="7">
        <v>0</v>
      </c>
      <c r="H942" s="7">
        <f t="shared" si="66"/>
        <v>0</v>
      </c>
      <c r="I942" s="7">
        <v>0</v>
      </c>
      <c r="J942" s="7">
        <f t="shared" si="67"/>
        <v>0</v>
      </c>
      <c r="K942" s="10">
        <f t="shared" si="68"/>
        <v>0</v>
      </c>
      <c r="L942" s="7">
        <f t="shared" si="69"/>
        <v>509</v>
      </c>
      <c r="M942" s="13" t="s">
        <v>18</v>
      </c>
      <c r="N942"/>
    </row>
    <row r="943" spans="1:14" ht="24.75" customHeight="1">
      <c r="A943" s="5">
        <v>941</v>
      </c>
      <c r="B943" s="5" t="s">
        <v>19</v>
      </c>
      <c r="C943" s="5" t="str">
        <f>"杨鹏"</f>
        <v>杨鹏</v>
      </c>
      <c r="D943" s="5" t="str">
        <f>"469005199705028115"</f>
        <v>469005199705028115</v>
      </c>
      <c r="E943" s="5" t="s">
        <v>15</v>
      </c>
      <c r="F943" s="5" t="str">
        <f>"073102020818"</f>
        <v>073102020818</v>
      </c>
      <c r="G943" s="7">
        <v>0</v>
      </c>
      <c r="H943" s="7">
        <f t="shared" si="66"/>
        <v>0</v>
      </c>
      <c r="I943" s="7">
        <v>0</v>
      </c>
      <c r="J943" s="7">
        <f t="shared" si="67"/>
        <v>0</v>
      </c>
      <c r="K943" s="10">
        <f t="shared" si="68"/>
        <v>0</v>
      </c>
      <c r="L943" s="7">
        <f t="shared" si="69"/>
        <v>509</v>
      </c>
      <c r="M943" s="13" t="s">
        <v>18</v>
      </c>
      <c r="N943"/>
    </row>
    <row r="944" spans="1:14" ht="24.75" customHeight="1">
      <c r="A944" s="5">
        <v>942</v>
      </c>
      <c r="B944" s="5" t="s">
        <v>19</v>
      </c>
      <c r="C944" s="5" t="str">
        <f>"唐丽美"</f>
        <v>唐丽美</v>
      </c>
      <c r="D944" s="5" t="str">
        <f>"460027199907266621"</f>
        <v>460027199907266621</v>
      </c>
      <c r="E944" s="5" t="s">
        <v>15</v>
      </c>
      <c r="F944" s="5" t="str">
        <f>"073102020819"</f>
        <v>073102020819</v>
      </c>
      <c r="G944" s="7">
        <v>0</v>
      </c>
      <c r="H944" s="7">
        <f t="shared" si="66"/>
        <v>0</v>
      </c>
      <c r="I944" s="7">
        <v>0</v>
      </c>
      <c r="J944" s="7">
        <f t="shared" si="67"/>
        <v>0</v>
      </c>
      <c r="K944" s="10">
        <f t="shared" si="68"/>
        <v>0</v>
      </c>
      <c r="L944" s="7">
        <f t="shared" si="69"/>
        <v>509</v>
      </c>
      <c r="M944" s="13" t="s">
        <v>18</v>
      </c>
      <c r="N944"/>
    </row>
    <row r="945" spans="1:14" ht="24.75" customHeight="1">
      <c r="A945" s="5">
        <v>943</v>
      </c>
      <c r="B945" s="5" t="s">
        <v>19</v>
      </c>
      <c r="C945" s="5" t="str">
        <f>"吴卓雄"</f>
        <v>吴卓雄</v>
      </c>
      <c r="D945" s="5" t="str">
        <f>"460003199612183051"</f>
        <v>460003199612183051</v>
      </c>
      <c r="E945" s="5" t="s">
        <v>15</v>
      </c>
      <c r="F945" s="5" t="str">
        <f>"073102020825"</f>
        <v>073102020825</v>
      </c>
      <c r="G945" s="7">
        <v>0</v>
      </c>
      <c r="H945" s="7">
        <f t="shared" si="66"/>
        <v>0</v>
      </c>
      <c r="I945" s="7">
        <v>0</v>
      </c>
      <c r="J945" s="7">
        <f t="shared" si="67"/>
        <v>0</v>
      </c>
      <c r="K945" s="10">
        <f t="shared" si="68"/>
        <v>0</v>
      </c>
      <c r="L945" s="7">
        <f t="shared" si="69"/>
        <v>509</v>
      </c>
      <c r="M945" s="13" t="s">
        <v>18</v>
      </c>
      <c r="N945"/>
    </row>
    <row r="946" spans="1:14" ht="24.75" customHeight="1">
      <c r="A946" s="5">
        <v>944</v>
      </c>
      <c r="B946" s="5" t="s">
        <v>19</v>
      </c>
      <c r="C946" s="5" t="str">
        <f>"周林松"</f>
        <v>周林松</v>
      </c>
      <c r="D946" s="5" t="str">
        <f>"460003199609204034"</f>
        <v>460003199609204034</v>
      </c>
      <c r="E946" s="5" t="s">
        <v>15</v>
      </c>
      <c r="F946" s="5" t="str">
        <f>"073102020827"</f>
        <v>073102020827</v>
      </c>
      <c r="G946" s="7">
        <v>0</v>
      </c>
      <c r="H946" s="7">
        <f t="shared" si="66"/>
        <v>0</v>
      </c>
      <c r="I946" s="7">
        <v>0</v>
      </c>
      <c r="J946" s="7">
        <f t="shared" si="67"/>
        <v>0</v>
      </c>
      <c r="K946" s="10">
        <f t="shared" si="68"/>
        <v>0</v>
      </c>
      <c r="L946" s="7">
        <f t="shared" si="69"/>
        <v>509</v>
      </c>
      <c r="M946" s="13" t="s">
        <v>18</v>
      </c>
      <c r="N946"/>
    </row>
    <row r="947" spans="1:14" ht="24.75" customHeight="1">
      <c r="A947" s="5">
        <v>945</v>
      </c>
      <c r="B947" s="5" t="s">
        <v>19</v>
      </c>
      <c r="C947" s="5" t="str">
        <f>"李斌"</f>
        <v>李斌</v>
      </c>
      <c r="D947" s="5" t="str">
        <f>"46000319940223851X"</f>
        <v>46000319940223851X</v>
      </c>
      <c r="E947" s="5" t="s">
        <v>15</v>
      </c>
      <c r="F947" s="5" t="str">
        <f>"073102020828"</f>
        <v>073102020828</v>
      </c>
      <c r="G947" s="7">
        <v>0</v>
      </c>
      <c r="H947" s="7">
        <f t="shared" si="66"/>
        <v>0</v>
      </c>
      <c r="I947" s="7">
        <v>0</v>
      </c>
      <c r="J947" s="7">
        <f t="shared" si="67"/>
        <v>0</v>
      </c>
      <c r="K947" s="10">
        <f t="shared" si="68"/>
        <v>0</v>
      </c>
      <c r="L947" s="7">
        <f t="shared" si="69"/>
        <v>509</v>
      </c>
      <c r="M947" s="13" t="s">
        <v>18</v>
      </c>
      <c r="N947"/>
    </row>
    <row r="948" spans="1:14" ht="24.75" customHeight="1">
      <c r="A948" s="5">
        <v>946</v>
      </c>
      <c r="B948" s="5" t="s">
        <v>19</v>
      </c>
      <c r="C948" s="5" t="str">
        <f>"王文昀"</f>
        <v>王文昀</v>
      </c>
      <c r="D948" s="5" t="str">
        <f>"460028199310157218"</f>
        <v>460028199310157218</v>
      </c>
      <c r="E948" s="5" t="s">
        <v>15</v>
      </c>
      <c r="F948" s="5" t="str">
        <f>"073102020829"</f>
        <v>073102020829</v>
      </c>
      <c r="G948" s="7">
        <v>0</v>
      </c>
      <c r="H948" s="7">
        <f t="shared" si="66"/>
        <v>0</v>
      </c>
      <c r="I948" s="7">
        <v>0</v>
      </c>
      <c r="J948" s="7">
        <f t="shared" si="67"/>
        <v>0</v>
      </c>
      <c r="K948" s="10">
        <f t="shared" si="68"/>
        <v>0</v>
      </c>
      <c r="L948" s="7">
        <f t="shared" si="69"/>
        <v>509</v>
      </c>
      <c r="M948" s="13" t="s">
        <v>18</v>
      </c>
      <c r="N948"/>
    </row>
    <row r="949" spans="1:14" ht="24.75" customHeight="1">
      <c r="A949" s="5">
        <v>947</v>
      </c>
      <c r="B949" s="5" t="s">
        <v>19</v>
      </c>
      <c r="C949" s="5" t="str">
        <f>"王月萍"</f>
        <v>王月萍</v>
      </c>
      <c r="D949" s="5" t="str">
        <f>"460028199908055646"</f>
        <v>460028199908055646</v>
      </c>
      <c r="E949" s="5" t="s">
        <v>15</v>
      </c>
      <c r="F949" s="5" t="str">
        <f>"073102020830"</f>
        <v>073102020830</v>
      </c>
      <c r="G949" s="7">
        <v>0</v>
      </c>
      <c r="H949" s="7">
        <f t="shared" si="66"/>
        <v>0</v>
      </c>
      <c r="I949" s="7">
        <v>0</v>
      </c>
      <c r="J949" s="7">
        <f t="shared" si="67"/>
        <v>0</v>
      </c>
      <c r="K949" s="10">
        <f t="shared" si="68"/>
        <v>0</v>
      </c>
      <c r="L949" s="7">
        <f t="shared" si="69"/>
        <v>509</v>
      </c>
      <c r="M949" s="13" t="s">
        <v>18</v>
      </c>
      <c r="N949"/>
    </row>
    <row r="950" spans="1:14" ht="24.75" customHeight="1">
      <c r="A950" s="5">
        <v>948</v>
      </c>
      <c r="B950" s="5" t="s">
        <v>19</v>
      </c>
      <c r="C950" s="5" t="str">
        <f>"陈朋"</f>
        <v>陈朋</v>
      </c>
      <c r="D950" s="5" t="str">
        <f>"460007200108287610"</f>
        <v>460007200108287610</v>
      </c>
      <c r="E950" s="5" t="s">
        <v>15</v>
      </c>
      <c r="F950" s="5" t="str">
        <f>"073102020831"</f>
        <v>073102020831</v>
      </c>
      <c r="G950" s="7">
        <v>0</v>
      </c>
      <c r="H950" s="7">
        <f t="shared" si="66"/>
        <v>0</v>
      </c>
      <c r="I950" s="7">
        <v>0</v>
      </c>
      <c r="J950" s="7">
        <f t="shared" si="67"/>
        <v>0</v>
      </c>
      <c r="K950" s="10">
        <f t="shared" si="68"/>
        <v>0</v>
      </c>
      <c r="L950" s="7">
        <f t="shared" si="69"/>
        <v>509</v>
      </c>
      <c r="M950" s="13" t="s">
        <v>18</v>
      </c>
      <c r="N950"/>
    </row>
    <row r="951" spans="1:14" ht="24.75" customHeight="1">
      <c r="A951" s="5">
        <v>949</v>
      </c>
      <c r="B951" s="5" t="s">
        <v>19</v>
      </c>
      <c r="C951" s="5" t="str">
        <f>"吴梅霜"</f>
        <v>吴梅霜</v>
      </c>
      <c r="D951" s="5" t="str">
        <f>"460003199304100621"</f>
        <v>460003199304100621</v>
      </c>
      <c r="E951" s="5" t="s">
        <v>15</v>
      </c>
      <c r="F951" s="5" t="str">
        <f>"073102020836"</f>
        <v>073102020836</v>
      </c>
      <c r="G951" s="7">
        <v>0</v>
      </c>
      <c r="H951" s="7">
        <f t="shared" si="66"/>
        <v>0</v>
      </c>
      <c r="I951" s="7">
        <v>0</v>
      </c>
      <c r="J951" s="7">
        <f t="shared" si="67"/>
        <v>0</v>
      </c>
      <c r="K951" s="10">
        <f t="shared" si="68"/>
        <v>0</v>
      </c>
      <c r="L951" s="7">
        <f t="shared" si="69"/>
        <v>509</v>
      </c>
      <c r="M951" s="13" t="s">
        <v>18</v>
      </c>
      <c r="N951"/>
    </row>
    <row r="952" spans="1:14" ht="24.75" customHeight="1">
      <c r="A952" s="5">
        <v>950</v>
      </c>
      <c r="B952" s="5" t="s">
        <v>19</v>
      </c>
      <c r="C952" s="5" t="str">
        <f>"梁瑜"</f>
        <v>梁瑜</v>
      </c>
      <c r="D952" s="5" t="str">
        <f>"460006199907281328"</f>
        <v>460006199907281328</v>
      </c>
      <c r="E952" s="5" t="s">
        <v>15</v>
      </c>
      <c r="F952" s="5" t="str">
        <f>"073102020837"</f>
        <v>073102020837</v>
      </c>
      <c r="G952" s="7">
        <v>0</v>
      </c>
      <c r="H952" s="7">
        <f t="shared" si="66"/>
        <v>0</v>
      </c>
      <c r="I952" s="7">
        <v>0</v>
      </c>
      <c r="J952" s="7">
        <f t="shared" si="67"/>
        <v>0</v>
      </c>
      <c r="K952" s="10">
        <f t="shared" si="68"/>
        <v>0</v>
      </c>
      <c r="L952" s="7">
        <f t="shared" si="69"/>
        <v>509</v>
      </c>
      <c r="M952" s="13" t="s">
        <v>18</v>
      </c>
      <c r="N952"/>
    </row>
    <row r="953" spans="1:14" ht="24.75" customHeight="1">
      <c r="A953" s="5">
        <v>951</v>
      </c>
      <c r="B953" s="5" t="s">
        <v>19</v>
      </c>
      <c r="C953" s="5" t="str">
        <f>"许鹏"</f>
        <v>许鹏</v>
      </c>
      <c r="D953" s="5" t="str">
        <f>"46000319901214661X"</f>
        <v>46000319901214661X</v>
      </c>
      <c r="E953" s="5" t="s">
        <v>15</v>
      </c>
      <c r="F953" s="5" t="str">
        <f>"073102020839"</f>
        <v>073102020839</v>
      </c>
      <c r="G953" s="7">
        <v>0</v>
      </c>
      <c r="H953" s="7">
        <f t="shared" si="66"/>
        <v>0</v>
      </c>
      <c r="I953" s="7">
        <v>0</v>
      </c>
      <c r="J953" s="7">
        <f t="shared" si="67"/>
        <v>0</v>
      </c>
      <c r="K953" s="10">
        <f t="shared" si="68"/>
        <v>0</v>
      </c>
      <c r="L953" s="7">
        <f t="shared" si="69"/>
        <v>509</v>
      </c>
      <c r="M953" s="13" t="s">
        <v>18</v>
      </c>
      <c r="N953"/>
    </row>
    <row r="954" spans="1:14" ht="24.75" customHeight="1">
      <c r="A954" s="5">
        <v>952</v>
      </c>
      <c r="B954" s="5" t="s">
        <v>19</v>
      </c>
      <c r="C954" s="5" t="str">
        <f>"符海转"</f>
        <v>符海转</v>
      </c>
      <c r="D954" s="5" t="str">
        <f>"469023199612126624"</f>
        <v>469023199612126624</v>
      </c>
      <c r="E954" s="5" t="s">
        <v>15</v>
      </c>
      <c r="F954" s="5" t="str">
        <f>"073102020901"</f>
        <v>073102020901</v>
      </c>
      <c r="G954" s="7">
        <v>0</v>
      </c>
      <c r="H954" s="7">
        <f t="shared" si="66"/>
        <v>0</v>
      </c>
      <c r="I954" s="7">
        <v>0</v>
      </c>
      <c r="J954" s="7">
        <f t="shared" si="67"/>
        <v>0</v>
      </c>
      <c r="K954" s="10">
        <f t="shared" si="68"/>
        <v>0</v>
      </c>
      <c r="L954" s="7">
        <f t="shared" si="69"/>
        <v>509</v>
      </c>
      <c r="M954" s="13" t="s">
        <v>18</v>
      </c>
      <c r="N954"/>
    </row>
    <row r="955" spans="1:14" ht="24.75" customHeight="1">
      <c r="A955" s="5">
        <v>953</v>
      </c>
      <c r="B955" s="5" t="s">
        <v>19</v>
      </c>
      <c r="C955" s="5" t="str">
        <f>"梁业进"</f>
        <v>梁业进</v>
      </c>
      <c r="D955" s="5" t="str">
        <f>"46010319960601031X"</f>
        <v>46010319960601031X</v>
      </c>
      <c r="E955" s="5" t="s">
        <v>15</v>
      </c>
      <c r="F955" s="5" t="str">
        <f>"073102020902"</f>
        <v>073102020902</v>
      </c>
      <c r="G955" s="7">
        <v>0</v>
      </c>
      <c r="H955" s="7">
        <f t="shared" si="66"/>
        <v>0</v>
      </c>
      <c r="I955" s="7">
        <v>0</v>
      </c>
      <c r="J955" s="7">
        <f t="shared" si="67"/>
        <v>0</v>
      </c>
      <c r="K955" s="10">
        <f t="shared" si="68"/>
        <v>0</v>
      </c>
      <c r="L955" s="7">
        <f t="shared" si="69"/>
        <v>509</v>
      </c>
      <c r="M955" s="13" t="s">
        <v>18</v>
      </c>
      <c r="N955"/>
    </row>
    <row r="956" spans="1:14" ht="24.75" customHeight="1">
      <c r="A956" s="5">
        <v>954</v>
      </c>
      <c r="B956" s="5" t="s">
        <v>19</v>
      </c>
      <c r="C956" s="5" t="str">
        <f>"陈芳"</f>
        <v>陈芳</v>
      </c>
      <c r="D956" s="5" t="str">
        <f>"46003619980430082X"</f>
        <v>46003619980430082X</v>
      </c>
      <c r="E956" s="5" t="s">
        <v>15</v>
      </c>
      <c r="F956" s="5" t="str">
        <f>"073102020903"</f>
        <v>073102020903</v>
      </c>
      <c r="G956" s="7">
        <v>0</v>
      </c>
      <c r="H956" s="7">
        <f t="shared" si="66"/>
        <v>0</v>
      </c>
      <c r="I956" s="7">
        <v>0</v>
      </c>
      <c r="J956" s="7">
        <f t="shared" si="67"/>
        <v>0</v>
      </c>
      <c r="K956" s="10">
        <f t="shared" si="68"/>
        <v>0</v>
      </c>
      <c r="L956" s="7">
        <f t="shared" si="69"/>
        <v>509</v>
      </c>
      <c r="M956" s="13" t="s">
        <v>18</v>
      </c>
      <c r="N956"/>
    </row>
    <row r="957" spans="1:14" ht="24.75" customHeight="1">
      <c r="A957" s="5">
        <v>955</v>
      </c>
      <c r="B957" s="5" t="s">
        <v>19</v>
      </c>
      <c r="C957" s="5" t="str">
        <f>"吴开菊"</f>
        <v>吴开菊</v>
      </c>
      <c r="D957" s="5" t="str">
        <f>"460003199811123027"</f>
        <v>460003199811123027</v>
      </c>
      <c r="E957" s="5" t="s">
        <v>15</v>
      </c>
      <c r="F957" s="5" t="str">
        <f>"073102020904"</f>
        <v>073102020904</v>
      </c>
      <c r="G957" s="7">
        <v>0</v>
      </c>
      <c r="H957" s="7">
        <f t="shared" si="66"/>
        <v>0</v>
      </c>
      <c r="I957" s="7">
        <v>0</v>
      </c>
      <c r="J957" s="7">
        <f t="shared" si="67"/>
        <v>0</v>
      </c>
      <c r="K957" s="10">
        <f t="shared" si="68"/>
        <v>0</v>
      </c>
      <c r="L957" s="7">
        <f t="shared" si="69"/>
        <v>509</v>
      </c>
      <c r="M957" s="13" t="s">
        <v>18</v>
      </c>
      <c r="N957"/>
    </row>
    <row r="958" spans="1:14" ht="24.75" customHeight="1">
      <c r="A958" s="5">
        <v>956</v>
      </c>
      <c r="B958" s="5" t="s">
        <v>19</v>
      </c>
      <c r="C958" s="5" t="str">
        <f>"黄华鸣"</f>
        <v>黄华鸣</v>
      </c>
      <c r="D958" s="5" t="str">
        <f>"460030199309280018"</f>
        <v>460030199309280018</v>
      </c>
      <c r="E958" s="5" t="s">
        <v>15</v>
      </c>
      <c r="F958" s="5" t="str">
        <f>"073102020905"</f>
        <v>073102020905</v>
      </c>
      <c r="G958" s="7">
        <v>0</v>
      </c>
      <c r="H958" s="7">
        <f t="shared" si="66"/>
        <v>0</v>
      </c>
      <c r="I958" s="7">
        <v>0</v>
      </c>
      <c r="J958" s="7">
        <f t="shared" si="67"/>
        <v>0</v>
      </c>
      <c r="K958" s="10">
        <f t="shared" si="68"/>
        <v>0</v>
      </c>
      <c r="L958" s="7">
        <f t="shared" si="69"/>
        <v>509</v>
      </c>
      <c r="M958" s="13" t="s">
        <v>18</v>
      </c>
      <c r="N958"/>
    </row>
    <row r="959" spans="1:14" ht="24.75" customHeight="1">
      <c r="A959" s="5">
        <v>957</v>
      </c>
      <c r="B959" s="5" t="s">
        <v>19</v>
      </c>
      <c r="C959" s="5" t="str">
        <f>"张丹"</f>
        <v>张丹</v>
      </c>
      <c r="D959" s="5" t="str">
        <f>"460027199902236626"</f>
        <v>460027199902236626</v>
      </c>
      <c r="E959" s="5" t="s">
        <v>15</v>
      </c>
      <c r="F959" s="5" t="str">
        <f>"073102020906"</f>
        <v>073102020906</v>
      </c>
      <c r="G959" s="7">
        <v>0</v>
      </c>
      <c r="H959" s="7">
        <f t="shared" si="66"/>
        <v>0</v>
      </c>
      <c r="I959" s="7">
        <v>0</v>
      </c>
      <c r="J959" s="7">
        <f t="shared" si="67"/>
        <v>0</v>
      </c>
      <c r="K959" s="10">
        <f t="shared" si="68"/>
        <v>0</v>
      </c>
      <c r="L959" s="7">
        <f t="shared" si="69"/>
        <v>509</v>
      </c>
      <c r="M959" s="13" t="s">
        <v>18</v>
      </c>
      <c r="N959"/>
    </row>
    <row r="960" spans="1:14" ht="24.75" customHeight="1">
      <c r="A960" s="5">
        <v>958</v>
      </c>
      <c r="B960" s="5" t="s">
        <v>19</v>
      </c>
      <c r="C960" s="5" t="str">
        <f>"傅留连"</f>
        <v>傅留连</v>
      </c>
      <c r="D960" s="5" t="str">
        <f>"460006199711062326"</f>
        <v>460006199711062326</v>
      </c>
      <c r="E960" s="5" t="s">
        <v>15</v>
      </c>
      <c r="F960" s="5" t="str">
        <f>"073102020907"</f>
        <v>073102020907</v>
      </c>
      <c r="G960" s="7">
        <v>0</v>
      </c>
      <c r="H960" s="7">
        <f t="shared" si="66"/>
        <v>0</v>
      </c>
      <c r="I960" s="7">
        <v>0</v>
      </c>
      <c r="J960" s="7">
        <f t="shared" si="67"/>
        <v>0</v>
      </c>
      <c r="K960" s="10">
        <f t="shared" si="68"/>
        <v>0</v>
      </c>
      <c r="L960" s="7">
        <f t="shared" si="69"/>
        <v>509</v>
      </c>
      <c r="M960" s="13" t="s">
        <v>18</v>
      </c>
      <c r="N960"/>
    </row>
    <row r="961" spans="1:14" ht="24.75" customHeight="1">
      <c r="A961" s="5">
        <v>959</v>
      </c>
      <c r="B961" s="5" t="s">
        <v>19</v>
      </c>
      <c r="C961" s="5" t="str">
        <f>"林翠"</f>
        <v>林翠</v>
      </c>
      <c r="D961" s="5" t="str">
        <f>"460002199906214929"</f>
        <v>460002199906214929</v>
      </c>
      <c r="E961" s="5" t="s">
        <v>15</v>
      </c>
      <c r="F961" s="5" t="str">
        <f>"073102020909"</f>
        <v>073102020909</v>
      </c>
      <c r="G961" s="7">
        <v>0</v>
      </c>
      <c r="H961" s="7">
        <f t="shared" si="66"/>
        <v>0</v>
      </c>
      <c r="I961" s="7">
        <v>0</v>
      </c>
      <c r="J961" s="7">
        <f t="shared" si="67"/>
        <v>0</v>
      </c>
      <c r="K961" s="10">
        <f t="shared" si="68"/>
        <v>0</v>
      </c>
      <c r="L961" s="7">
        <f t="shared" si="69"/>
        <v>509</v>
      </c>
      <c r="M961" s="13" t="s">
        <v>18</v>
      </c>
      <c r="N961"/>
    </row>
    <row r="962" spans="1:14" ht="24.75" customHeight="1">
      <c r="A962" s="5">
        <v>960</v>
      </c>
      <c r="B962" s="5" t="s">
        <v>19</v>
      </c>
      <c r="C962" s="5" t="str">
        <f>"张婧"</f>
        <v>张婧</v>
      </c>
      <c r="D962" s="5" t="str">
        <f>"46000319970102022X"</f>
        <v>46000319970102022X</v>
      </c>
      <c r="E962" s="5" t="s">
        <v>15</v>
      </c>
      <c r="F962" s="5" t="str">
        <f>"073102020910"</f>
        <v>073102020910</v>
      </c>
      <c r="G962" s="7">
        <v>0</v>
      </c>
      <c r="H962" s="7">
        <f t="shared" si="66"/>
        <v>0</v>
      </c>
      <c r="I962" s="7">
        <v>0</v>
      </c>
      <c r="J962" s="7">
        <f t="shared" si="67"/>
        <v>0</v>
      </c>
      <c r="K962" s="10">
        <f t="shared" si="68"/>
        <v>0</v>
      </c>
      <c r="L962" s="7">
        <f t="shared" si="69"/>
        <v>509</v>
      </c>
      <c r="M962" s="13" t="s">
        <v>18</v>
      </c>
      <c r="N962"/>
    </row>
    <row r="963" spans="1:14" ht="24.75" customHeight="1">
      <c r="A963" s="5">
        <v>961</v>
      </c>
      <c r="B963" s="5" t="s">
        <v>19</v>
      </c>
      <c r="C963" s="5" t="str">
        <f>"薛欧妃"</f>
        <v>薛欧妃</v>
      </c>
      <c r="D963" s="5" t="str">
        <f>"460003199903173224"</f>
        <v>460003199903173224</v>
      </c>
      <c r="E963" s="5" t="s">
        <v>15</v>
      </c>
      <c r="F963" s="5" t="str">
        <f>"073102020911"</f>
        <v>073102020911</v>
      </c>
      <c r="G963" s="7">
        <v>0</v>
      </c>
      <c r="H963" s="7">
        <f aca="true" t="shared" si="70" ref="H963:H1026">G963*0.5</f>
        <v>0</v>
      </c>
      <c r="I963" s="7">
        <v>0</v>
      </c>
      <c r="J963" s="7">
        <f aca="true" t="shared" si="71" ref="J963:J1026">I963*0.5</f>
        <v>0</v>
      </c>
      <c r="K963" s="10">
        <f t="shared" si="68"/>
        <v>0</v>
      </c>
      <c r="L963" s="7">
        <f t="shared" si="69"/>
        <v>509</v>
      </c>
      <c r="M963" s="13" t="s">
        <v>18</v>
      </c>
      <c r="N963"/>
    </row>
    <row r="964" spans="1:14" ht="24.75" customHeight="1">
      <c r="A964" s="5">
        <v>962</v>
      </c>
      <c r="B964" s="5" t="s">
        <v>19</v>
      </c>
      <c r="C964" s="5" t="str">
        <f>"罗崇政"</f>
        <v>罗崇政</v>
      </c>
      <c r="D964" s="5" t="str">
        <f>"469007199612087637"</f>
        <v>469007199612087637</v>
      </c>
      <c r="E964" s="5" t="s">
        <v>15</v>
      </c>
      <c r="F964" s="5" t="str">
        <f>"073102020914"</f>
        <v>073102020914</v>
      </c>
      <c r="G964" s="7">
        <v>0</v>
      </c>
      <c r="H964" s="7">
        <f t="shared" si="70"/>
        <v>0</v>
      </c>
      <c r="I964" s="7">
        <v>0</v>
      </c>
      <c r="J964" s="7">
        <f t="shared" si="71"/>
        <v>0</v>
      </c>
      <c r="K964" s="10">
        <f t="shared" si="68"/>
        <v>0</v>
      </c>
      <c r="L964" s="7">
        <f t="shared" si="69"/>
        <v>509</v>
      </c>
      <c r="M964" s="13" t="s">
        <v>18</v>
      </c>
      <c r="N964"/>
    </row>
    <row r="965" spans="1:14" ht="24.75" customHeight="1">
      <c r="A965" s="5">
        <v>963</v>
      </c>
      <c r="B965" s="5" t="s">
        <v>19</v>
      </c>
      <c r="C965" s="5" t="str">
        <f>"石珠花"</f>
        <v>石珠花</v>
      </c>
      <c r="D965" s="5" t="str">
        <f>"460003199502183827"</f>
        <v>460003199502183827</v>
      </c>
      <c r="E965" s="5" t="s">
        <v>15</v>
      </c>
      <c r="F965" s="5" t="str">
        <f>"073102020919"</f>
        <v>073102020919</v>
      </c>
      <c r="G965" s="7">
        <v>0</v>
      </c>
      <c r="H965" s="7">
        <f t="shared" si="70"/>
        <v>0</v>
      </c>
      <c r="I965" s="7">
        <v>0</v>
      </c>
      <c r="J965" s="7">
        <f t="shared" si="71"/>
        <v>0</v>
      </c>
      <c r="K965" s="10">
        <f t="shared" si="68"/>
        <v>0</v>
      </c>
      <c r="L965" s="7">
        <f t="shared" si="69"/>
        <v>509</v>
      </c>
      <c r="M965" s="13" t="s">
        <v>18</v>
      </c>
      <c r="N965"/>
    </row>
    <row r="966" spans="1:14" ht="24.75" customHeight="1">
      <c r="A966" s="5">
        <v>964</v>
      </c>
      <c r="B966" s="5" t="s">
        <v>19</v>
      </c>
      <c r="C966" s="5" t="str">
        <f>"龙文静"</f>
        <v>龙文静</v>
      </c>
      <c r="D966" s="5" t="str">
        <f>"460005199711110723"</f>
        <v>460005199711110723</v>
      </c>
      <c r="E966" s="5" t="s">
        <v>15</v>
      </c>
      <c r="F966" s="5" t="str">
        <f>"073102020920"</f>
        <v>073102020920</v>
      </c>
      <c r="G966" s="7">
        <v>0</v>
      </c>
      <c r="H966" s="7">
        <f t="shared" si="70"/>
        <v>0</v>
      </c>
      <c r="I966" s="7">
        <v>0</v>
      </c>
      <c r="J966" s="7">
        <f t="shared" si="71"/>
        <v>0</v>
      </c>
      <c r="K966" s="10">
        <f t="shared" si="68"/>
        <v>0</v>
      </c>
      <c r="L966" s="7">
        <f t="shared" si="69"/>
        <v>509</v>
      </c>
      <c r="M966" s="13" t="s">
        <v>18</v>
      </c>
      <c r="N966"/>
    </row>
    <row r="967" spans="1:14" ht="24.75" customHeight="1">
      <c r="A967" s="5">
        <v>965</v>
      </c>
      <c r="B967" s="5" t="s">
        <v>19</v>
      </c>
      <c r="C967" s="5" t="str">
        <f>"侯德建"</f>
        <v>侯德建</v>
      </c>
      <c r="D967" s="5" t="str">
        <f>"46002719951101441X"</f>
        <v>46002719951101441X</v>
      </c>
      <c r="E967" s="5" t="s">
        <v>15</v>
      </c>
      <c r="F967" s="5" t="str">
        <f>"073102020921"</f>
        <v>073102020921</v>
      </c>
      <c r="G967" s="7">
        <v>0</v>
      </c>
      <c r="H967" s="7">
        <f t="shared" si="70"/>
        <v>0</v>
      </c>
      <c r="I967" s="7">
        <v>0</v>
      </c>
      <c r="J967" s="7">
        <f t="shared" si="71"/>
        <v>0</v>
      </c>
      <c r="K967" s="10">
        <f t="shared" si="68"/>
        <v>0</v>
      </c>
      <c r="L967" s="7">
        <f t="shared" si="69"/>
        <v>509</v>
      </c>
      <c r="M967" s="13" t="s">
        <v>18</v>
      </c>
      <c r="N967"/>
    </row>
    <row r="968" spans="1:14" ht="24.75" customHeight="1">
      <c r="A968" s="5">
        <v>966</v>
      </c>
      <c r="B968" s="5" t="s">
        <v>19</v>
      </c>
      <c r="C968" s="5" t="str">
        <f>"陈婉秋"</f>
        <v>陈婉秋</v>
      </c>
      <c r="D968" s="5" t="str">
        <f>"460035199710272526"</f>
        <v>460035199710272526</v>
      </c>
      <c r="E968" s="5" t="s">
        <v>15</v>
      </c>
      <c r="F968" s="5" t="str">
        <f>"073102020923"</f>
        <v>073102020923</v>
      </c>
      <c r="G968" s="7">
        <v>0</v>
      </c>
      <c r="H968" s="7">
        <f t="shared" si="70"/>
        <v>0</v>
      </c>
      <c r="I968" s="7">
        <v>0</v>
      </c>
      <c r="J968" s="7">
        <f t="shared" si="71"/>
        <v>0</v>
      </c>
      <c r="K968" s="10">
        <f t="shared" si="68"/>
        <v>0</v>
      </c>
      <c r="L968" s="7">
        <f t="shared" si="69"/>
        <v>509</v>
      </c>
      <c r="M968" s="13" t="s">
        <v>18</v>
      </c>
      <c r="N968"/>
    </row>
    <row r="969" spans="1:14" ht="24.75" customHeight="1">
      <c r="A969" s="5">
        <v>967</v>
      </c>
      <c r="B969" s="5" t="s">
        <v>19</v>
      </c>
      <c r="C969" s="5" t="str">
        <f>"王发汝"</f>
        <v>王发汝</v>
      </c>
      <c r="D969" s="5" t="str">
        <f>"460007199602257243"</f>
        <v>460007199602257243</v>
      </c>
      <c r="E969" s="5" t="s">
        <v>15</v>
      </c>
      <c r="F969" s="5" t="str">
        <f>"073102020926"</f>
        <v>073102020926</v>
      </c>
      <c r="G969" s="7">
        <v>0</v>
      </c>
      <c r="H969" s="7">
        <f t="shared" si="70"/>
        <v>0</v>
      </c>
      <c r="I969" s="7">
        <v>0</v>
      </c>
      <c r="J969" s="7">
        <f t="shared" si="71"/>
        <v>0</v>
      </c>
      <c r="K969" s="10">
        <f t="shared" si="68"/>
        <v>0</v>
      </c>
      <c r="L969" s="7">
        <f t="shared" si="69"/>
        <v>509</v>
      </c>
      <c r="M969" s="13" t="s">
        <v>18</v>
      </c>
      <c r="N969"/>
    </row>
    <row r="970" spans="1:14" ht="24.75" customHeight="1">
      <c r="A970" s="5">
        <v>968</v>
      </c>
      <c r="B970" s="5" t="s">
        <v>19</v>
      </c>
      <c r="C970" s="5" t="str">
        <f>"王培"</f>
        <v>王培</v>
      </c>
      <c r="D970" s="5" t="str">
        <f>"460033199605135981"</f>
        <v>460033199605135981</v>
      </c>
      <c r="E970" s="5" t="s">
        <v>15</v>
      </c>
      <c r="F970" s="5" t="str">
        <f>"073102020927"</f>
        <v>073102020927</v>
      </c>
      <c r="G970" s="7">
        <v>0</v>
      </c>
      <c r="H970" s="7">
        <f t="shared" si="70"/>
        <v>0</v>
      </c>
      <c r="I970" s="7">
        <v>0</v>
      </c>
      <c r="J970" s="7">
        <f t="shared" si="71"/>
        <v>0</v>
      </c>
      <c r="K970" s="10">
        <f t="shared" si="68"/>
        <v>0</v>
      </c>
      <c r="L970" s="7">
        <f t="shared" si="69"/>
        <v>509</v>
      </c>
      <c r="M970" s="13" t="s">
        <v>18</v>
      </c>
      <c r="N970"/>
    </row>
    <row r="971" spans="1:14" ht="24.75" customHeight="1">
      <c r="A971" s="5">
        <v>969</v>
      </c>
      <c r="B971" s="5" t="s">
        <v>19</v>
      </c>
      <c r="C971" s="5" t="str">
        <f>"何嘉毅"</f>
        <v>何嘉毅</v>
      </c>
      <c r="D971" s="5" t="str">
        <f>"652323199706182614"</f>
        <v>652323199706182614</v>
      </c>
      <c r="E971" s="5" t="s">
        <v>15</v>
      </c>
      <c r="F971" s="5" t="str">
        <f>"073102020928"</f>
        <v>073102020928</v>
      </c>
      <c r="G971" s="7">
        <v>0</v>
      </c>
      <c r="H971" s="7">
        <f t="shared" si="70"/>
        <v>0</v>
      </c>
      <c r="I971" s="7">
        <v>0</v>
      </c>
      <c r="J971" s="7">
        <f t="shared" si="71"/>
        <v>0</v>
      </c>
      <c r="K971" s="10">
        <f t="shared" si="68"/>
        <v>0</v>
      </c>
      <c r="L971" s="7">
        <f t="shared" si="69"/>
        <v>509</v>
      </c>
      <c r="M971" s="13" t="s">
        <v>18</v>
      </c>
      <c r="N971"/>
    </row>
    <row r="972" spans="1:14" ht="24.75" customHeight="1">
      <c r="A972" s="5">
        <v>970</v>
      </c>
      <c r="B972" s="5" t="s">
        <v>19</v>
      </c>
      <c r="C972" s="5" t="str">
        <f>"王秀菊"</f>
        <v>王秀菊</v>
      </c>
      <c r="D972" s="5" t="str">
        <f>"460028199602066027"</f>
        <v>460028199602066027</v>
      </c>
      <c r="E972" s="5" t="s">
        <v>15</v>
      </c>
      <c r="F972" s="5" t="str">
        <f>"073102020929"</f>
        <v>073102020929</v>
      </c>
      <c r="G972" s="7">
        <v>0</v>
      </c>
      <c r="H972" s="7">
        <f t="shared" si="70"/>
        <v>0</v>
      </c>
      <c r="I972" s="7">
        <v>0</v>
      </c>
      <c r="J972" s="7">
        <f t="shared" si="71"/>
        <v>0</v>
      </c>
      <c r="K972" s="10">
        <f aca="true" t="shared" si="72" ref="K972:K1035">H972+J972</f>
        <v>0</v>
      </c>
      <c r="L972" s="7">
        <f t="shared" si="69"/>
        <v>509</v>
      </c>
      <c r="M972" s="13" t="s">
        <v>18</v>
      </c>
      <c r="N972"/>
    </row>
    <row r="973" spans="1:14" ht="24.75" customHeight="1">
      <c r="A973" s="5">
        <v>971</v>
      </c>
      <c r="B973" s="5" t="s">
        <v>19</v>
      </c>
      <c r="C973" s="5" t="str">
        <f>"蔡沁茹"</f>
        <v>蔡沁茹</v>
      </c>
      <c r="D973" s="5" t="str">
        <f>"430724199501040028"</f>
        <v>430724199501040028</v>
      </c>
      <c r="E973" s="5" t="s">
        <v>15</v>
      </c>
      <c r="F973" s="5" t="str">
        <f>"073102020930"</f>
        <v>073102020930</v>
      </c>
      <c r="G973" s="7">
        <v>0</v>
      </c>
      <c r="H973" s="7">
        <f t="shared" si="70"/>
        <v>0</v>
      </c>
      <c r="I973" s="7">
        <v>0</v>
      </c>
      <c r="J973" s="7">
        <f t="shared" si="71"/>
        <v>0</v>
      </c>
      <c r="K973" s="10">
        <f t="shared" si="72"/>
        <v>0</v>
      </c>
      <c r="L973" s="7">
        <f t="shared" si="69"/>
        <v>509</v>
      </c>
      <c r="M973" s="13" t="s">
        <v>18</v>
      </c>
      <c r="N973"/>
    </row>
    <row r="974" spans="1:14" ht="24.75" customHeight="1">
      <c r="A974" s="5">
        <v>972</v>
      </c>
      <c r="B974" s="5" t="s">
        <v>19</v>
      </c>
      <c r="C974" s="5" t="str">
        <f>"梁彩金"</f>
        <v>梁彩金</v>
      </c>
      <c r="D974" s="5" t="str">
        <f>"460003200002083227"</f>
        <v>460003200002083227</v>
      </c>
      <c r="E974" s="5" t="s">
        <v>15</v>
      </c>
      <c r="F974" s="5" t="str">
        <f>"073102020934"</f>
        <v>073102020934</v>
      </c>
      <c r="G974" s="7">
        <v>0</v>
      </c>
      <c r="H974" s="7">
        <f t="shared" si="70"/>
        <v>0</v>
      </c>
      <c r="I974" s="7">
        <v>0</v>
      </c>
      <c r="J974" s="7">
        <f t="shared" si="71"/>
        <v>0</v>
      </c>
      <c r="K974" s="10">
        <f t="shared" si="72"/>
        <v>0</v>
      </c>
      <c r="L974" s="7">
        <f t="shared" si="69"/>
        <v>509</v>
      </c>
      <c r="M974" s="13" t="s">
        <v>18</v>
      </c>
      <c r="N974"/>
    </row>
    <row r="975" spans="1:14" ht="24.75" customHeight="1">
      <c r="A975" s="5">
        <v>973</v>
      </c>
      <c r="B975" s="5" t="s">
        <v>19</v>
      </c>
      <c r="C975" s="5" t="str">
        <f>"叶仁芬"</f>
        <v>叶仁芬</v>
      </c>
      <c r="D975" s="5" t="str">
        <f>"460003199603044623"</f>
        <v>460003199603044623</v>
      </c>
      <c r="E975" s="5" t="s">
        <v>15</v>
      </c>
      <c r="F975" s="5" t="str">
        <f>"073102020935"</f>
        <v>073102020935</v>
      </c>
      <c r="G975" s="7">
        <v>0</v>
      </c>
      <c r="H975" s="7">
        <f t="shared" si="70"/>
        <v>0</v>
      </c>
      <c r="I975" s="7">
        <v>0</v>
      </c>
      <c r="J975" s="7">
        <f t="shared" si="71"/>
        <v>0</v>
      </c>
      <c r="K975" s="10">
        <f t="shared" si="72"/>
        <v>0</v>
      </c>
      <c r="L975" s="7">
        <f t="shared" si="69"/>
        <v>509</v>
      </c>
      <c r="M975" s="13" t="s">
        <v>18</v>
      </c>
      <c r="N975"/>
    </row>
    <row r="976" spans="1:14" ht="24.75" customHeight="1">
      <c r="A976" s="5">
        <v>974</v>
      </c>
      <c r="B976" s="5" t="s">
        <v>19</v>
      </c>
      <c r="C976" s="5" t="str">
        <f>"黄紫余"</f>
        <v>黄紫余</v>
      </c>
      <c r="D976" s="5" t="str">
        <f>"460001199709301322"</f>
        <v>460001199709301322</v>
      </c>
      <c r="E976" s="5" t="s">
        <v>15</v>
      </c>
      <c r="F976" s="5" t="str">
        <f>"073102020938"</f>
        <v>073102020938</v>
      </c>
      <c r="G976" s="7">
        <v>0</v>
      </c>
      <c r="H976" s="7">
        <f t="shared" si="70"/>
        <v>0</v>
      </c>
      <c r="I976" s="7">
        <v>0</v>
      </c>
      <c r="J976" s="7">
        <f t="shared" si="71"/>
        <v>0</v>
      </c>
      <c r="K976" s="10">
        <f t="shared" si="72"/>
        <v>0</v>
      </c>
      <c r="L976" s="7">
        <f t="shared" si="69"/>
        <v>509</v>
      </c>
      <c r="M976" s="13" t="s">
        <v>18</v>
      </c>
      <c r="N976"/>
    </row>
    <row r="977" spans="1:14" ht="24.75" customHeight="1">
      <c r="A977" s="5">
        <v>975</v>
      </c>
      <c r="B977" s="5" t="s">
        <v>19</v>
      </c>
      <c r="C977" s="5" t="str">
        <f>"黄青慧"</f>
        <v>黄青慧</v>
      </c>
      <c r="D977" s="5" t="str">
        <f>"469029199710022528"</f>
        <v>469029199710022528</v>
      </c>
      <c r="E977" s="5" t="s">
        <v>15</v>
      </c>
      <c r="F977" s="5" t="str">
        <f>"073102020940"</f>
        <v>073102020940</v>
      </c>
      <c r="G977" s="7">
        <v>0</v>
      </c>
      <c r="H977" s="7">
        <f t="shared" si="70"/>
        <v>0</v>
      </c>
      <c r="I977" s="7">
        <v>0</v>
      </c>
      <c r="J977" s="7">
        <f t="shared" si="71"/>
        <v>0</v>
      </c>
      <c r="K977" s="10">
        <f t="shared" si="72"/>
        <v>0</v>
      </c>
      <c r="L977" s="7">
        <f t="shared" si="69"/>
        <v>509</v>
      </c>
      <c r="M977" s="13" t="s">
        <v>18</v>
      </c>
      <c r="N977"/>
    </row>
    <row r="978" spans="1:14" ht="24.75" customHeight="1">
      <c r="A978" s="5">
        <v>976</v>
      </c>
      <c r="B978" s="5" t="s">
        <v>19</v>
      </c>
      <c r="C978" s="5" t="str">
        <f>"罗雅珅"</f>
        <v>罗雅珅</v>
      </c>
      <c r="D978" s="5" t="str">
        <f>"460030199703201824"</f>
        <v>460030199703201824</v>
      </c>
      <c r="E978" s="5" t="s">
        <v>15</v>
      </c>
      <c r="F978" s="5" t="str">
        <f>"073102020941"</f>
        <v>073102020941</v>
      </c>
      <c r="G978" s="7">
        <v>0</v>
      </c>
      <c r="H978" s="7">
        <f t="shared" si="70"/>
        <v>0</v>
      </c>
      <c r="I978" s="7">
        <v>0</v>
      </c>
      <c r="J978" s="7">
        <f t="shared" si="71"/>
        <v>0</v>
      </c>
      <c r="K978" s="10">
        <f t="shared" si="72"/>
        <v>0</v>
      </c>
      <c r="L978" s="7">
        <f t="shared" si="69"/>
        <v>509</v>
      </c>
      <c r="M978" s="13" t="s">
        <v>18</v>
      </c>
      <c r="N978"/>
    </row>
    <row r="979" spans="1:14" ht="24.75" customHeight="1">
      <c r="A979" s="5">
        <v>977</v>
      </c>
      <c r="B979" s="5" t="s">
        <v>19</v>
      </c>
      <c r="C979" s="5" t="str">
        <f>"符英丽"</f>
        <v>符英丽</v>
      </c>
      <c r="D979" s="5" t="str">
        <f>"46000319960302442X"</f>
        <v>46000319960302442X</v>
      </c>
      <c r="E979" s="5" t="s">
        <v>15</v>
      </c>
      <c r="F979" s="5" t="str">
        <f>"073102020942"</f>
        <v>073102020942</v>
      </c>
      <c r="G979" s="7">
        <v>0</v>
      </c>
      <c r="H979" s="7">
        <f t="shared" si="70"/>
        <v>0</v>
      </c>
      <c r="I979" s="7">
        <v>0</v>
      </c>
      <c r="J979" s="7">
        <f t="shared" si="71"/>
        <v>0</v>
      </c>
      <c r="K979" s="10">
        <f t="shared" si="72"/>
        <v>0</v>
      </c>
      <c r="L979" s="7">
        <f t="shared" si="69"/>
        <v>509</v>
      </c>
      <c r="M979" s="13" t="s">
        <v>18</v>
      </c>
      <c r="N979"/>
    </row>
    <row r="980" spans="1:14" ht="24.75" customHeight="1">
      <c r="A980" s="5">
        <v>978</v>
      </c>
      <c r="B980" s="5" t="s">
        <v>19</v>
      </c>
      <c r="C980" s="5" t="str">
        <f>"林国英"</f>
        <v>林国英</v>
      </c>
      <c r="D980" s="5" t="str">
        <f>"46900319990612192X"</f>
        <v>46900319990612192X</v>
      </c>
      <c r="E980" s="5" t="s">
        <v>15</v>
      </c>
      <c r="F980" s="5" t="str">
        <f>"073102020943"</f>
        <v>073102020943</v>
      </c>
      <c r="G980" s="7">
        <v>0</v>
      </c>
      <c r="H980" s="7">
        <f t="shared" si="70"/>
        <v>0</v>
      </c>
      <c r="I980" s="7">
        <v>0</v>
      </c>
      <c r="J980" s="7">
        <f t="shared" si="71"/>
        <v>0</v>
      </c>
      <c r="K980" s="10">
        <f t="shared" si="72"/>
        <v>0</v>
      </c>
      <c r="L980" s="7">
        <f t="shared" si="69"/>
        <v>509</v>
      </c>
      <c r="M980" s="13" t="s">
        <v>18</v>
      </c>
      <c r="N980"/>
    </row>
    <row r="981" spans="1:14" ht="24.75" customHeight="1">
      <c r="A981" s="5">
        <v>979</v>
      </c>
      <c r="B981" s="5" t="s">
        <v>19</v>
      </c>
      <c r="C981" s="5" t="str">
        <f>"黄方裕"</f>
        <v>黄方裕</v>
      </c>
      <c r="D981" s="5" t="str">
        <f>"460003199007230219"</f>
        <v>460003199007230219</v>
      </c>
      <c r="E981" s="5" t="s">
        <v>15</v>
      </c>
      <c r="F981" s="5" t="str">
        <f>"073102021001"</f>
        <v>073102021001</v>
      </c>
      <c r="G981" s="7">
        <v>0</v>
      </c>
      <c r="H981" s="7">
        <f t="shared" si="70"/>
        <v>0</v>
      </c>
      <c r="I981" s="7">
        <v>0</v>
      </c>
      <c r="J981" s="7">
        <f t="shared" si="71"/>
        <v>0</v>
      </c>
      <c r="K981" s="10">
        <f t="shared" si="72"/>
        <v>0</v>
      </c>
      <c r="L981" s="7">
        <f t="shared" si="69"/>
        <v>509</v>
      </c>
      <c r="M981" s="13" t="s">
        <v>18</v>
      </c>
      <c r="N981"/>
    </row>
    <row r="982" spans="1:14" ht="24.75" customHeight="1">
      <c r="A982" s="5">
        <v>980</v>
      </c>
      <c r="B982" s="5" t="s">
        <v>19</v>
      </c>
      <c r="C982" s="5" t="str">
        <f>"朱文业"</f>
        <v>朱文业</v>
      </c>
      <c r="D982" s="5" t="str">
        <f>"469023199304050015"</f>
        <v>469023199304050015</v>
      </c>
      <c r="E982" s="5" t="s">
        <v>15</v>
      </c>
      <c r="F982" s="5" t="str">
        <f>"073102021009"</f>
        <v>073102021009</v>
      </c>
      <c r="G982" s="7">
        <v>0</v>
      </c>
      <c r="H982" s="7">
        <f t="shared" si="70"/>
        <v>0</v>
      </c>
      <c r="I982" s="7">
        <v>0</v>
      </c>
      <c r="J982" s="7">
        <f t="shared" si="71"/>
        <v>0</v>
      </c>
      <c r="K982" s="10">
        <f t="shared" si="72"/>
        <v>0</v>
      </c>
      <c r="L982" s="7">
        <f t="shared" si="69"/>
        <v>509</v>
      </c>
      <c r="M982" s="13" t="s">
        <v>18</v>
      </c>
      <c r="N982"/>
    </row>
    <row r="983" spans="1:14" ht="24.75" customHeight="1">
      <c r="A983" s="5">
        <v>981</v>
      </c>
      <c r="B983" s="5" t="s">
        <v>19</v>
      </c>
      <c r="C983" s="5" t="str">
        <f>"邓巧依"</f>
        <v>邓巧依</v>
      </c>
      <c r="D983" s="5" t="str">
        <f>"460003199301011447"</f>
        <v>460003199301011447</v>
      </c>
      <c r="E983" s="5" t="s">
        <v>15</v>
      </c>
      <c r="F983" s="5" t="str">
        <f>"073102021012"</f>
        <v>073102021012</v>
      </c>
      <c r="G983" s="7">
        <v>0</v>
      </c>
      <c r="H983" s="7">
        <f t="shared" si="70"/>
        <v>0</v>
      </c>
      <c r="I983" s="7">
        <v>0</v>
      </c>
      <c r="J983" s="7">
        <f t="shared" si="71"/>
        <v>0</v>
      </c>
      <c r="K983" s="10">
        <f t="shared" si="72"/>
        <v>0</v>
      </c>
      <c r="L983" s="7">
        <f t="shared" si="69"/>
        <v>509</v>
      </c>
      <c r="M983" s="13" t="s">
        <v>18</v>
      </c>
      <c r="N983"/>
    </row>
    <row r="984" spans="1:14" ht="24.75" customHeight="1">
      <c r="A984" s="5">
        <v>982</v>
      </c>
      <c r="B984" s="5" t="s">
        <v>19</v>
      </c>
      <c r="C984" s="5" t="str">
        <f>"黎土榕"</f>
        <v>黎土榕</v>
      </c>
      <c r="D984" s="5" t="str">
        <f>"469003199204077928"</f>
        <v>469003199204077928</v>
      </c>
      <c r="E984" s="5" t="s">
        <v>15</v>
      </c>
      <c r="F984" s="5" t="str">
        <f>"073102021013"</f>
        <v>073102021013</v>
      </c>
      <c r="G984" s="7">
        <v>0</v>
      </c>
      <c r="H984" s="7">
        <f t="shared" si="70"/>
        <v>0</v>
      </c>
      <c r="I984" s="7">
        <v>0</v>
      </c>
      <c r="J984" s="7">
        <f t="shared" si="71"/>
        <v>0</v>
      </c>
      <c r="K984" s="10">
        <f t="shared" si="72"/>
        <v>0</v>
      </c>
      <c r="L984" s="7">
        <f t="shared" si="69"/>
        <v>509</v>
      </c>
      <c r="M984" s="13" t="s">
        <v>18</v>
      </c>
      <c r="N984"/>
    </row>
    <row r="985" spans="1:14" ht="24.75" customHeight="1">
      <c r="A985" s="5">
        <v>983</v>
      </c>
      <c r="B985" s="5" t="s">
        <v>19</v>
      </c>
      <c r="C985" s="5" t="str">
        <f>"张博莲"</f>
        <v>张博莲</v>
      </c>
      <c r="D985" s="5" t="str">
        <f>"46000319930316464X"</f>
        <v>46000319930316464X</v>
      </c>
      <c r="E985" s="5" t="s">
        <v>15</v>
      </c>
      <c r="F985" s="5" t="str">
        <f>"073102021016"</f>
        <v>073102021016</v>
      </c>
      <c r="G985" s="7">
        <v>0</v>
      </c>
      <c r="H985" s="7">
        <f t="shared" si="70"/>
        <v>0</v>
      </c>
      <c r="I985" s="7">
        <v>0</v>
      </c>
      <c r="J985" s="7">
        <f t="shared" si="71"/>
        <v>0</v>
      </c>
      <c r="K985" s="10">
        <f t="shared" si="72"/>
        <v>0</v>
      </c>
      <c r="L985" s="7">
        <f aca="true" t="shared" si="73" ref="L985:L1048">RANK(K985,$K$281:$K$1299,0)</f>
        <v>509</v>
      </c>
      <c r="M985" s="13" t="s">
        <v>18</v>
      </c>
      <c r="N985"/>
    </row>
    <row r="986" spans="1:14" ht="24.75" customHeight="1">
      <c r="A986" s="5">
        <v>984</v>
      </c>
      <c r="B986" s="5" t="s">
        <v>19</v>
      </c>
      <c r="C986" s="5" t="str">
        <f>"陈琪"</f>
        <v>陈琪</v>
      </c>
      <c r="D986" s="5" t="str">
        <f>"460004199712285422"</f>
        <v>460004199712285422</v>
      </c>
      <c r="E986" s="5" t="s">
        <v>15</v>
      </c>
      <c r="F986" s="5" t="str">
        <f>"073102021018"</f>
        <v>073102021018</v>
      </c>
      <c r="G986" s="7">
        <v>0</v>
      </c>
      <c r="H986" s="7">
        <f t="shared" si="70"/>
        <v>0</v>
      </c>
      <c r="I986" s="7">
        <v>0</v>
      </c>
      <c r="J986" s="7">
        <f t="shared" si="71"/>
        <v>0</v>
      </c>
      <c r="K986" s="10">
        <f t="shared" si="72"/>
        <v>0</v>
      </c>
      <c r="L986" s="7">
        <f t="shared" si="73"/>
        <v>509</v>
      </c>
      <c r="M986" s="13" t="s">
        <v>18</v>
      </c>
      <c r="N986"/>
    </row>
    <row r="987" spans="1:14" ht="24.75" customHeight="1">
      <c r="A987" s="5">
        <v>985</v>
      </c>
      <c r="B987" s="5" t="s">
        <v>19</v>
      </c>
      <c r="C987" s="5" t="str">
        <f>"李碧玉"</f>
        <v>李碧玉</v>
      </c>
      <c r="D987" s="5" t="str">
        <f>"460006199808062728"</f>
        <v>460006199808062728</v>
      </c>
      <c r="E987" s="5" t="s">
        <v>15</v>
      </c>
      <c r="F987" s="5" t="str">
        <f>"073102021028"</f>
        <v>073102021028</v>
      </c>
      <c r="G987" s="7">
        <v>0</v>
      </c>
      <c r="H987" s="7">
        <f t="shared" si="70"/>
        <v>0</v>
      </c>
      <c r="I987" s="7">
        <v>0</v>
      </c>
      <c r="J987" s="7">
        <f t="shared" si="71"/>
        <v>0</v>
      </c>
      <c r="K987" s="10">
        <f t="shared" si="72"/>
        <v>0</v>
      </c>
      <c r="L987" s="7">
        <f t="shared" si="73"/>
        <v>509</v>
      </c>
      <c r="M987" s="13" t="s">
        <v>18</v>
      </c>
      <c r="N987"/>
    </row>
    <row r="988" spans="1:14" ht="24.75" customHeight="1">
      <c r="A988" s="5">
        <v>986</v>
      </c>
      <c r="B988" s="5" t="s">
        <v>19</v>
      </c>
      <c r="C988" s="5" t="str">
        <f>"陈淑桃"</f>
        <v>陈淑桃</v>
      </c>
      <c r="D988" s="5" t="str">
        <f>"460003199610204242"</f>
        <v>460003199610204242</v>
      </c>
      <c r="E988" s="5" t="s">
        <v>15</v>
      </c>
      <c r="F988" s="5" t="str">
        <f>"073102021029"</f>
        <v>073102021029</v>
      </c>
      <c r="G988" s="7">
        <v>0</v>
      </c>
      <c r="H988" s="7">
        <f t="shared" si="70"/>
        <v>0</v>
      </c>
      <c r="I988" s="7">
        <v>0</v>
      </c>
      <c r="J988" s="7">
        <f t="shared" si="71"/>
        <v>0</v>
      </c>
      <c r="K988" s="10">
        <f t="shared" si="72"/>
        <v>0</v>
      </c>
      <c r="L988" s="7">
        <f t="shared" si="73"/>
        <v>509</v>
      </c>
      <c r="M988" s="13" t="s">
        <v>18</v>
      </c>
      <c r="N988"/>
    </row>
    <row r="989" spans="1:14" ht="24.75" customHeight="1">
      <c r="A989" s="5">
        <v>987</v>
      </c>
      <c r="B989" s="5" t="s">
        <v>19</v>
      </c>
      <c r="C989" s="5" t="str">
        <f>"李丽霞"</f>
        <v>李丽霞</v>
      </c>
      <c r="D989" s="5" t="str">
        <f>"450922199806162343"</f>
        <v>450922199806162343</v>
      </c>
      <c r="E989" s="5" t="s">
        <v>15</v>
      </c>
      <c r="F989" s="5" t="str">
        <f>"073102021031"</f>
        <v>073102021031</v>
      </c>
      <c r="G989" s="7">
        <v>0</v>
      </c>
      <c r="H989" s="7">
        <f t="shared" si="70"/>
        <v>0</v>
      </c>
      <c r="I989" s="7">
        <v>0</v>
      </c>
      <c r="J989" s="7">
        <f t="shared" si="71"/>
        <v>0</v>
      </c>
      <c r="K989" s="10">
        <f t="shared" si="72"/>
        <v>0</v>
      </c>
      <c r="L989" s="7">
        <f t="shared" si="73"/>
        <v>509</v>
      </c>
      <c r="M989" s="13" t="s">
        <v>18</v>
      </c>
      <c r="N989"/>
    </row>
    <row r="990" spans="1:14" ht="24.75" customHeight="1">
      <c r="A990" s="5">
        <v>988</v>
      </c>
      <c r="B990" s="5" t="s">
        <v>19</v>
      </c>
      <c r="C990" s="5" t="str">
        <f>"蔡聪慧"</f>
        <v>蔡聪慧</v>
      </c>
      <c r="D990" s="5" t="str">
        <f>"460028199803260029"</f>
        <v>460028199803260029</v>
      </c>
      <c r="E990" s="5" t="s">
        <v>15</v>
      </c>
      <c r="F990" s="5" t="str">
        <f>"073102021032"</f>
        <v>073102021032</v>
      </c>
      <c r="G990" s="7">
        <v>0</v>
      </c>
      <c r="H990" s="7">
        <f t="shared" si="70"/>
        <v>0</v>
      </c>
      <c r="I990" s="7">
        <v>0</v>
      </c>
      <c r="J990" s="7">
        <f t="shared" si="71"/>
        <v>0</v>
      </c>
      <c r="K990" s="10">
        <f t="shared" si="72"/>
        <v>0</v>
      </c>
      <c r="L990" s="7">
        <f t="shared" si="73"/>
        <v>509</v>
      </c>
      <c r="M990" s="13" t="s">
        <v>18</v>
      </c>
      <c r="N990"/>
    </row>
    <row r="991" spans="1:14" ht="24.75" customHeight="1">
      <c r="A991" s="5">
        <v>989</v>
      </c>
      <c r="B991" s="5" t="s">
        <v>19</v>
      </c>
      <c r="C991" s="5" t="str">
        <f>"何里丹"</f>
        <v>何里丹</v>
      </c>
      <c r="D991" s="5" t="str">
        <f>"460003199812072823"</f>
        <v>460003199812072823</v>
      </c>
      <c r="E991" s="5" t="s">
        <v>15</v>
      </c>
      <c r="F991" s="5" t="str">
        <f>"073102021033"</f>
        <v>073102021033</v>
      </c>
      <c r="G991" s="7">
        <v>0</v>
      </c>
      <c r="H991" s="7">
        <f t="shared" si="70"/>
        <v>0</v>
      </c>
      <c r="I991" s="7">
        <v>0</v>
      </c>
      <c r="J991" s="7">
        <f t="shared" si="71"/>
        <v>0</v>
      </c>
      <c r="K991" s="10">
        <f t="shared" si="72"/>
        <v>0</v>
      </c>
      <c r="L991" s="7">
        <f t="shared" si="73"/>
        <v>509</v>
      </c>
      <c r="M991" s="13" t="s">
        <v>18</v>
      </c>
      <c r="N991"/>
    </row>
    <row r="992" spans="1:14" ht="24.75" customHeight="1">
      <c r="A992" s="5">
        <v>990</v>
      </c>
      <c r="B992" s="5" t="s">
        <v>19</v>
      </c>
      <c r="C992" s="5" t="str">
        <f>"曾琼阳"</f>
        <v>曾琼阳</v>
      </c>
      <c r="D992" s="5" t="str">
        <f>"460003199808192232"</f>
        <v>460003199808192232</v>
      </c>
      <c r="E992" s="5" t="s">
        <v>15</v>
      </c>
      <c r="F992" s="5" t="str">
        <f>"073102021036"</f>
        <v>073102021036</v>
      </c>
      <c r="G992" s="7">
        <v>0</v>
      </c>
      <c r="H992" s="7">
        <f t="shared" si="70"/>
        <v>0</v>
      </c>
      <c r="I992" s="7">
        <v>0</v>
      </c>
      <c r="J992" s="7">
        <f t="shared" si="71"/>
        <v>0</v>
      </c>
      <c r="K992" s="10">
        <f t="shared" si="72"/>
        <v>0</v>
      </c>
      <c r="L992" s="7">
        <f t="shared" si="73"/>
        <v>509</v>
      </c>
      <c r="M992" s="13" t="s">
        <v>18</v>
      </c>
      <c r="N992"/>
    </row>
    <row r="993" spans="1:14" ht="24.75" customHeight="1">
      <c r="A993" s="5">
        <v>991</v>
      </c>
      <c r="B993" s="5" t="s">
        <v>19</v>
      </c>
      <c r="C993" s="5" t="str">
        <f>"李若兰"</f>
        <v>李若兰</v>
      </c>
      <c r="D993" s="5" t="str">
        <f>"469003199906032724"</f>
        <v>469003199906032724</v>
      </c>
      <c r="E993" s="5" t="s">
        <v>15</v>
      </c>
      <c r="F993" s="5" t="str">
        <f>"073102021037"</f>
        <v>073102021037</v>
      </c>
      <c r="G993" s="7">
        <v>0</v>
      </c>
      <c r="H993" s="7">
        <f t="shared" si="70"/>
        <v>0</v>
      </c>
      <c r="I993" s="7">
        <v>0</v>
      </c>
      <c r="J993" s="7">
        <f t="shared" si="71"/>
        <v>0</v>
      </c>
      <c r="K993" s="10">
        <f t="shared" si="72"/>
        <v>0</v>
      </c>
      <c r="L993" s="7">
        <f t="shared" si="73"/>
        <v>509</v>
      </c>
      <c r="M993" s="13" t="s">
        <v>18</v>
      </c>
      <c r="N993"/>
    </row>
    <row r="994" spans="1:14" ht="24.75" customHeight="1">
      <c r="A994" s="5">
        <v>992</v>
      </c>
      <c r="B994" s="5" t="s">
        <v>19</v>
      </c>
      <c r="C994" s="5" t="str">
        <f>"符永泽"</f>
        <v>符永泽</v>
      </c>
      <c r="D994" s="5" t="str">
        <f>"460031199709270018"</f>
        <v>460031199709270018</v>
      </c>
      <c r="E994" s="5" t="s">
        <v>15</v>
      </c>
      <c r="F994" s="5" t="str">
        <f>"073102021039"</f>
        <v>073102021039</v>
      </c>
      <c r="G994" s="7">
        <v>0</v>
      </c>
      <c r="H994" s="7">
        <f t="shared" si="70"/>
        <v>0</v>
      </c>
      <c r="I994" s="7">
        <v>0</v>
      </c>
      <c r="J994" s="7">
        <f t="shared" si="71"/>
        <v>0</v>
      </c>
      <c r="K994" s="10">
        <f t="shared" si="72"/>
        <v>0</v>
      </c>
      <c r="L994" s="7">
        <f t="shared" si="73"/>
        <v>509</v>
      </c>
      <c r="M994" s="13" t="s">
        <v>18</v>
      </c>
      <c r="N994"/>
    </row>
    <row r="995" spans="1:14" ht="24.75" customHeight="1">
      <c r="A995" s="5">
        <v>993</v>
      </c>
      <c r="B995" s="5" t="s">
        <v>19</v>
      </c>
      <c r="C995" s="5" t="str">
        <f>"邢景胜"</f>
        <v>邢景胜</v>
      </c>
      <c r="D995" s="5" t="str">
        <f>"46003319961220325X"</f>
        <v>46003319961220325X</v>
      </c>
      <c r="E995" s="5" t="s">
        <v>15</v>
      </c>
      <c r="F995" s="5" t="str">
        <f>"073102021041"</f>
        <v>073102021041</v>
      </c>
      <c r="G995" s="7">
        <v>0</v>
      </c>
      <c r="H995" s="7">
        <f t="shared" si="70"/>
        <v>0</v>
      </c>
      <c r="I995" s="7">
        <v>0</v>
      </c>
      <c r="J995" s="7">
        <f t="shared" si="71"/>
        <v>0</v>
      </c>
      <c r="K995" s="10">
        <f t="shared" si="72"/>
        <v>0</v>
      </c>
      <c r="L995" s="7">
        <f t="shared" si="73"/>
        <v>509</v>
      </c>
      <c r="M995" s="13" t="s">
        <v>18</v>
      </c>
      <c r="N995"/>
    </row>
    <row r="996" spans="1:14" ht="24.75" customHeight="1">
      <c r="A996" s="5">
        <v>994</v>
      </c>
      <c r="B996" s="5" t="s">
        <v>19</v>
      </c>
      <c r="C996" s="5" t="str">
        <f>"黄丽宏"</f>
        <v>黄丽宏</v>
      </c>
      <c r="D996" s="5" t="str">
        <f>"460003199109085622"</f>
        <v>460003199109085622</v>
      </c>
      <c r="E996" s="5" t="s">
        <v>15</v>
      </c>
      <c r="F996" s="5" t="str">
        <f>"073102021102"</f>
        <v>073102021102</v>
      </c>
      <c r="G996" s="7">
        <v>0</v>
      </c>
      <c r="H996" s="7">
        <f t="shared" si="70"/>
        <v>0</v>
      </c>
      <c r="I996" s="7">
        <v>0</v>
      </c>
      <c r="J996" s="7">
        <f t="shared" si="71"/>
        <v>0</v>
      </c>
      <c r="K996" s="10">
        <f t="shared" si="72"/>
        <v>0</v>
      </c>
      <c r="L996" s="7">
        <f t="shared" si="73"/>
        <v>509</v>
      </c>
      <c r="M996" s="13" t="s">
        <v>18</v>
      </c>
      <c r="N996"/>
    </row>
    <row r="997" spans="1:14" ht="24.75" customHeight="1">
      <c r="A997" s="5">
        <v>995</v>
      </c>
      <c r="B997" s="5" t="s">
        <v>19</v>
      </c>
      <c r="C997" s="5" t="str">
        <f>"符丽"</f>
        <v>符丽</v>
      </c>
      <c r="D997" s="5" t="str">
        <f>"460003199207214221"</f>
        <v>460003199207214221</v>
      </c>
      <c r="E997" s="5" t="s">
        <v>15</v>
      </c>
      <c r="F997" s="5" t="str">
        <f>"073102021104"</f>
        <v>073102021104</v>
      </c>
      <c r="G997" s="7">
        <v>0</v>
      </c>
      <c r="H997" s="7">
        <f t="shared" si="70"/>
        <v>0</v>
      </c>
      <c r="I997" s="7">
        <v>0</v>
      </c>
      <c r="J997" s="7">
        <f t="shared" si="71"/>
        <v>0</v>
      </c>
      <c r="K997" s="10">
        <f t="shared" si="72"/>
        <v>0</v>
      </c>
      <c r="L997" s="7">
        <f t="shared" si="73"/>
        <v>509</v>
      </c>
      <c r="M997" s="13" t="s">
        <v>18</v>
      </c>
      <c r="N997"/>
    </row>
    <row r="998" spans="1:14" ht="24.75" customHeight="1">
      <c r="A998" s="5">
        <v>996</v>
      </c>
      <c r="B998" s="5" t="s">
        <v>19</v>
      </c>
      <c r="C998" s="5" t="str">
        <f>"陈洪霞"</f>
        <v>陈洪霞</v>
      </c>
      <c r="D998" s="5" t="str">
        <f>"460033199904203905"</f>
        <v>460033199904203905</v>
      </c>
      <c r="E998" s="5" t="s">
        <v>15</v>
      </c>
      <c r="F998" s="5" t="str">
        <f>"073102021110"</f>
        <v>073102021110</v>
      </c>
      <c r="G998" s="7">
        <v>0</v>
      </c>
      <c r="H998" s="7">
        <f t="shared" si="70"/>
        <v>0</v>
      </c>
      <c r="I998" s="7">
        <v>0</v>
      </c>
      <c r="J998" s="7">
        <f t="shared" si="71"/>
        <v>0</v>
      </c>
      <c r="K998" s="10">
        <f t="shared" si="72"/>
        <v>0</v>
      </c>
      <c r="L998" s="7">
        <f t="shared" si="73"/>
        <v>509</v>
      </c>
      <c r="M998" s="13" t="s">
        <v>18</v>
      </c>
      <c r="N998"/>
    </row>
    <row r="999" spans="1:14" ht="24.75" customHeight="1">
      <c r="A999" s="5">
        <v>997</v>
      </c>
      <c r="B999" s="5" t="s">
        <v>19</v>
      </c>
      <c r="C999" s="5" t="str">
        <f>"唐国娜"</f>
        <v>唐国娜</v>
      </c>
      <c r="D999" s="5" t="str">
        <f>"460031199610146420"</f>
        <v>460031199610146420</v>
      </c>
      <c r="E999" s="5" t="s">
        <v>15</v>
      </c>
      <c r="F999" s="5" t="str">
        <f>"073102021111"</f>
        <v>073102021111</v>
      </c>
      <c r="G999" s="7">
        <v>0</v>
      </c>
      <c r="H999" s="7">
        <f t="shared" si="70"/>
        <v>0</v>
      </c>
      <c r="I999" s="7">
        <v>0</v>
      </c>
      <c r="J999" s="7">
        <f t="shared" si="71"/>
        <v>0</v>
      </c>
      <c r="K999" s="10">
        <f t="shared" si="72"/>
        <v>0</v>
      </c>
      <c r="L999" s="7">
        <f t="shared" si="73"/>
        <v>509</v>
      </c>
      <c r="M999" s="13" t="s">
        <v>18</v>
      </c>
      <c r="N999"/>
    </row>
    <row r="1000" spans="1:14" ht="24.75" customHeight="1">
      <c r="A1000" s="5">
        <v>998</v>
      </c>
      <c r="B1000" s="5" t="s">
        <v>19</v>
      </c>
      <c r="C1000" s="5" t="str">
        <f>"陈岩玲"</f>
        <v>陈岩玲</v>
      </c>
      <c r="D1000" s="5" t="str">
        <f>"460300199808030329"</f>
        <v>460300199808030329</v>
      </c>
      <c r="E1000" s="5" t="s">
        <v>15</v>
      </c>
      <c r="F1000" s="5" t="str">
        <f>"073102021112"</f>
        <v>073102021112</v>
      </c>
      <c r="G1000" s="7">
        <v>0</v>
      </c>
      <c r="H1000" s="7">
        <f t="shared" si="70"/>
        <v>0</v>
      </c>
      <c r="I1000" s="7">
        <v>0</v>
      </c>
      <c r="J1000" s="7">
        <f t="shared" si="71"/>
        <v>0</v>
      </c>
      <c r="K1000" s="10">
        <f t="shared" si="72"/>
        <v>0</v>
      </c>
      <c r="L1000" s="7">
        <f t="shared" si="73"/>
        <v>509</v>
      </c>
      <c r="M1000" s="13" t="s">
        <v>18</v>
      </c>
      <c r="N1000"/>
    </row>
    <row r="1001" spans="1:14" ht="24.75" customHeight="1">
      <c r="A1001" s="5">
        <v>999</v>
      </c>
      <c r="B1001" s="5" t="s">
        <v>19</v>
      </c>
      <c r="C1001" s="5" t="str">
        <f>"林立莉"</f>
        <v>林立莉</v>
      </c>
      <c r="D1001" s="5" t="str">
        <f>"460033199612023849"</f>
        <v>460033199612023849</v>
      </c>
      <c r="E1001" s="5" t="s">
        <v>15</v>
      </c>
      <c r="F1001" s="5" t="str">
        <f>"073102021113"</f>
        <v>073102021113</v>
      </c>
      <c r="G1001" s="7">
        <v>0</v>
      </c>
      <c r="H1001" s="7">
        <f t="shared" si="70"/>
        <v>0</v>
      </c>
      <c r="I1001" s="7">
        <v>0</v>
      </c>
      <c r="J1001" s="7">
        <f t="shared" si="71"/>
        <v>0</v>
      </c>
      <c r="K1001" s="10">
        <f t="shared" si="72"/>
        <v>0</v>
      </c>
      <c r="L1001" s="7">
        <f t="shared" si="73"/>
        <v>509</v>
      </c>
      <c r="M1001" s="13" t="s">
        <v>18</v>
      </c>
      <c r="N1001"/>
    </row>
    <row r="1002" spans="1:14" ht="24.75" customHeight="1">
      <c r="A1002" s="5">
        <v>1000</v>
      </c>
      <c r="B1002" s="5" t="s">
        <v>19</v>
      </c>
      <c r="C1002" s="5" t="str">
        <f>"王学月"</f>
        <v>王学月</v>
      </c>
      <c r="D1002" s="5" t="str">
        <f>"460003199706234227"</f>
        <v>460003199706234227</v>
      </c>
      <c r="E1002" s="5" t="s">
        <v>15</v>
      </c>
      <c r="F1002" s="5" t="str">
        <f>"073102021114"</f>
        <v>073102021114</v>
      </c>
      <c r="G1002" s="7">
        <v>0</v>
      </c>
      <c r="H1002" s="7">
        <f t="shared" si="70"/>
        <v>0</v>
      </c>
      <c r="I1002" s="7">
        <v>0</v>
      </c>
      <c r="J1002" s="7">
        <f t="shared" si="71"/>
        <v>0</v>
      </c>
      <c r="K1002" s="10">
        <f t="shared" si="72"/>
        <v>0</v>
      </c>
      <c r="L1002" s="7">
        <f t="shared" si="73"/>
        <v>509</v>
      </c>
      <c r="M1002" s="13" t="s">
        <v>18</v>
      </c>
      <c r="N1002"/>
    </row>
    <row r="1003" spans="1:14" ht="24.75" customHeight="1">
      <c r="A1003" s="5">
        <v>1001</v>
      </c>
      <c r="B1003" s="5" t="s">
        <v>19</v>
      </c>
      <c r="C1003" s="5" t="str">
        <f>"王琼梅"</f>
        <v>王琼梅</v>
      </c>
      <c r="D1003" s="5" t="str">
        <f>"460036199506117525"</f>
        <v>460036199506117525</v>
      </c>
      <c r="E1003" s="5" t="s">
        <v>15</v>
      </c>
      <c r="F1003" s="5" t="str">
        <f>"073102021115"</f>
        <v>073102021115</v>
      </c>
      <c r="G1003" s="7">
        <v>0</v>
      </c>
      <c r="H1003" s="7">
        <f t="shared" si="70"/>
        <v>0</v>
      </c>
      <c r="I1003" s="7">
        <v>0</v>
      </c>
      <c r="J1003" s="7">
        <f t="shared" si="71"/>
        <v>0</v>
      </c>
      <c r="K1003" s="10">
        <f t="shared" si="72"/>
        <v>0</v>
      </c>
      <c r="L1003" s="7">
        <f t="shared" si="73"/>
        <v>509</v>
      </c>
      <c r="M1003" s="13" t="s">
        <v>18</v>
      </c>
      <c r="N1003"/>
    </row>
    <row r="1004" spans="1:14" ht="24.75" customHeight="1">
      <c r="A1004" s="5">
        <v>1002</v>
      </c>
      <c r="B1004" s="5" t="s">
        <v>19</v>
      </c>
      <c r="C1004" s="5" t="str">
        <f>"张蓉蓉"</f>
        <v>张蓉蓉</v>
      </c>
      <c r="D1004" s="5" t="str">
        <f>"460003199412226627"</f>
        <v>460003199412226627</v>
      </c>
      <c r="E1004" s="5" t="s">
        <v>15</v>
      </c>
      <c r="F1004" s="5" t="str">
        <f>"073102021116"</f>
        <v>073102021116</v>
      </c>
      <c r="G1004" s="7">
        <v>0</v>
      </c>
      <c r="H1004" s="7">
        <f t="shared" si="70"/>
        <v>0</v>
      </c>
      <c r="I1004" s="7">
        <v>0</v>
      </c>
      <c r="J1004" s="7">
        <f t="shared" si="71"/>
        <v>0</v>
      </c>
      <c r="K1004" s="10">
        <f t="shared" si="72"/>
        <v>0</v>
      </c>
      <c r="L1004" s="7">
        <f t="shared" si="73"/>
        <v>509</v>
      </c>
      <c r="M1004" s="13" t="s">
        <v>18</v>
      </c>
      <c r="N1004"/>
    </row>
    <row r="1005" spans="1:14" ht="24.75" customHeight="1">
      <c r="A1005" s="5">
        <v>1003</v>
      </c>
      <c r="B1005" s="5" t="s">
        <v>19</v>
      </c>
      <c r="C1005" s="5" t="str">
        <f>"罗晓琳"</f>
        <v>罗晓琳</v>
      </c>
      <c r="D1005" s="5" t="str">
        <f>"460003199403234625"</f>
        <v>460003199403234625</v>
      </c>
      <c r="E1005" s="5" t="s">
        <v>15</v>
      </c>
      <c r="F1005" s="5" t="str">
        <f>"073102021118"</f>
        <v>073102021118</v>
      </c>
      <c r="G1005" s="7">
        <v>0</v>
      </c>
      <c r="H1005" s="7">
        <f t="shared" si="70"/>
        <v>0</v>
      </c>
      <c r="I1005" s="7">
        <v>0</v>
      </c>
      <c r="J1005" s="7">
        <f t="shared" si="71"/>
        <v>0</v>
      </c>
      <c r="K1005" s="10">
        <f t="shared" si="72"/>
        <v>0</v>
      </c>
      <c r="L1005" s="7">
        <f t="shared" si="73"/>
        <v>509</v>
      </c>
      <c r="M1005" s="13" t="s">
        <v>18</v>
      </c>
      <c r="N1005"/>
    </row>
    <row r="1006" spans="1:14" ht="24.75" customHeight="1">
      <c r="A1006" s="5">
        <v>1004</v>
      </c>
      <c r="B1006" s="5" t="s">
        <v>19</v>
      </c>
      <c r="C1006" s="5" t="str">
        <f>"麦雯萍"</f>
        <v>麦雯萍</v>
      </c>
      <c r="D1006" s="5" t="str">
        <f>"460007199310123366"</f>
        <v>460007199310123366</v>
      </c>
      <c r="E1006" s="5" t="s">
        <v>15</v>
      </c>
      <c r="F1006" s="5" t="str">
        <f>"073102021119"</f>
        <v>073102021119</v>
      </c>
      <c r="G1006" s="7">
        <v>0</v>
      </c>
      <c r="H1006" s="7">
        <f t="shared" si="70"/>
        <v>0</v>
      </c>
      <c r="I1006" s="7">
        <v>0</v>
      </c>
      <c r="J1006" s="7">
        <f t="shared" si="71"/>
        <v>0</v>
      </c>
      <c r="K1006" s="10">
        <f t="shared" si="72"/>
        <v>0</v>
      </c>
      <c r="L1006" s="7">
        <f t="shared" si="73"/>
        <v>509</v>
      </c>
      <c r="M1006" s="13" t="s">
        <v>18</v>
      </c>
      <c r="N1006"/>
    </row>
    <row r="1007" spans="1:14" ht="24.75" customHeight="1">
      <c r="A1007" s="5">
        <v>1005</v>
      </c>
      <c r="B1007" s="5" t="s">
        <v>19</v>
      </c>
      <c r="C1007" s="5" t="str">
        <f>"李芬"</f>
        <v>李芬</v>
      </c>
      <c r="D1007" s="5" t="str">
        <f>"460003199907082645"</f>
        <v>460003199907082645</v>
      </c>
      <c r="E1007" s="5" t="s">
        <v>15</v>
      </c>
      <c r="F1007" s="5" t="str">
        <f>"073102021120"</f>
        <v>073102021120</v>
      </c>
      <c r="G1007" s="7">
        <v>0</v>
      </c>
      <c r="H1007" s="7">
        <f t="shared" si="70"/>
        <v>0</v>
      </c>
      <c r="I1007" s="7">
        <v>0</v>
      </c>
      <c r="J1007" s="7">
        <f t="shared" si="71"/>
        <v>0</v>
      </c>
      <c r="K1007" s="10">
        <f t="shared" si="72"/>
        <v>0</v>
      </c>
      <c r="L1007" s="7">
        <f t="shared" si="73"/>
        <v>509</v>
      </c>
      <c r="M1007" s="13" t="s">
        <v>18</v>
      </c>
      <c r="N1007"/>
    </row>
    <row r="1008" spans="1:14" ht="24.75" customHeight="1">
      <c r="A1008" s="5">
        <v>1006</v>
      </c>
      <c r="B1008" s="5" t="s">
        <v>19</v>
      </c>
      <c r="C1008" s="5" t="str">
        <f>"李冬岩"</f>
        <v>李冬岩</v>
      </c>
      <c r="D1008" s="5" t="str">
        <f>"460003199312200024"</f>
        <v>460003199312200024</v>
      </c>
      <c r="E1008" s="5" t="s">
        <v>15</v>
      </c>
      <c r="F1008" s="5" t="str">
        <f>"073102021121"</f>
        <v>073102021121</v>
      </c>
      <c r="G1008" s="7">
        <v>0</v>
      </c>
      <c r="H1008" s="7">
        <f t="shared" si="70"/>
        <v>0</v>
      </c>
      <c r="I1008" s="7">
        <v>0</v>
      </c>
      <c r="J1008" s="7">
        <f t="shared" si="71"/>
        <v>0</v>
      </c>
      <c r="K1008" s="10">
        <f t="shared" si="72"/>
        <v>0</v>
      </c>
      <c r="L1008" s="7">
        <f t="shared" si="73"/>
        <v>509</v>
      </c>
      <c r="M1008" s="13" t="s">
        <v>18</v>
      </c>
      <c r="N1008"/>
    </row>
    <row r="1009" spans="1:14" ht="24.75" customHeight="1">
      <c r="A1009" s="5">
        <v>1007</v>
      </c>
      <c r="B1009" s="5" t="s">
        <v>19</v>
      </c>
      <c r="C1009" s="5" t="str">
        <f>"吴统军"</f>
        <v>吴统军</v>
      </c>
      <c r="D1009" s="5" t="str">
        <f>"460003200003094251"</f>
        <v>460003200003094251</v>
      </c>
      <c r="E1009" s="5" t="s">
        <v>15</v>
      </c>
      <c r="F1009" s="5" t="str">
        <f>"073102021123"</f>
        <v>073102021123</v>
      </c>
      <c r="G1009" s="7">
        <v>0</v>
      </c>
      <c r="H1009" s="7">
        <f t="shared" si="70"/>
        <v>0</v>
      </c>
      <c r="I1009" s="7">
        <v>0</v>
      </c>
      <c r="J1009" s="7">
        <f t="shared" si="71"/>
        <v>0</v>
      </c>
      <c r="K1009" s="10">
        <f t="shared" si="72"/>
        <v>0</v>
      </c>
      <c r="L1009" s="7">
        <f t="shared" si="73"/>
        <v>509</v>
      </c>
      <c r="M1009" s="13" t="s">
        <v>18</v>
      </c>
      <c r="N1009"/>
    </row>
    <row r="1010" spans="1:14" ht="24.75" customHeight="1">
      <c r="A1010" s="5">
        <v>1008</v>
      </c>
      <c r="B1010" s="5" t="s">
        <v>19</v>
      </c>
      <c r="C1010" s="5" t="str">
        <f>"何建华"</f>
        <v>何建华</v>
      </c>
      <c r="D1010" s="5" t="str">
        <f>"460003199906015416"</f>
        <v>460003199906015416</v>
      </c>
      <c r="E1010" s="5" t="s">
        <v>15</v>
      </c>
      <c r="F1010" s="5" t="str">
        <f>"073102021126"</f>
        <v>073102021126</v>
      </c>
      <c r="G1010" s="7">
        <v>0</v>
      </c>
      <c r="H1010" s="7">
        <f t="shared" si="70"/>
        <v>0</v>
      </c>
      <c r="I1010" s="7">
        <v>0</v>
      </c>
      <c r="J1010" s="7">
        <f t="shared" si="71"/>
        <v>0</v>
      </c>
      <c r="K1010" s="10">
        <f t="shared" si="72"/>
        <v>0</v>
      </c>
      <c r="L1010" s="7">
        <f t="shared" si="73"/>
        <v>509</v>
      </c>
      <c r="M1010" s="13" t="s">
        <v>18</v>
      </c>
      <c r="N1010"/>
    </row>
    <row r="1011" spans="1:14" ht="24.75" customHeight="1">
      <c r="A1011" s="5">
        <v>1009</v>
      </c>
      <c r="B1011" s="5" t="s">
        <v>19</v>
      </c>
      <c r="C1011" s="5" t="str">
        <f>"李青丽"</f>
        <v>李青丽</v>
      </c>
      <c r="D1011" s="5" t="str">
        <f>"460003199909274683"</f>
        <v>460003199909274683</v>
      </c>
      <c r="E1011" s="5" t="s">
        <v>15</v>
      </c>
      <c r="F1011" s="5" t="str">
        <f>"073102021129"</f>
        <v>073102021129</v>
      </c>
      <c r="G1011" s="7">
        <v>0</v>
      </c>
      <c r="H1011" s="7">
        <f t="shared" si="70"/>
        <v>0</v>
      </c>
      <c r="I1011" s="7">
        <v>0</v>
      </c>
      <c r="J1011" s="7">
        <f t="shared" si="71"/>
        <v>0</v>
      </c>
      <c r="K1011" s="10">
        <f t="shared" si="72"/>
        <v>0</v>
      </c>
      <c r="L1011" s="7">
        <f t="shared" si="73"/>
        <v>509</v>
      </c>
      <c r="M1011" s="13" t="s">
        <v>18</v>
      </c>
      <c r="N1011"/>
    </row>
    <row r="1012" spans="1:14" ht="24.75" customHeight="1">
      <c r="A1012" s="5">
        <v>1010</v>
      </c>
      <c r="B1012" s="5" t="s">
        <v>19</v>
      </c>
      <c r="C1012" s="5" t="str">
        <f>"李正芳"</f>
        <v>李正芳</v>
      </c>
      <c r="D1012" s="5" t="str">
        <f>"460003199712036622"</f>
        <v>460003199712036622</v>
      </c>
      <c r="E1012" s="5" t="s">
        <v>15</v>
      </c>
      <c r="F1012" s="5" t="str">
        <f>"073102021130"</f>
        <v>073102021130</v>
      </c>
      <c r="G1012" s="7">
        <v>0</v>
      </c>
      <c r="H1012" s="7">
        <f t="shared" si="70"/>
        <v>0</v>
      </c>
      <c r="I1012" s="7">
        <v>0</v>
      </c>
      <c r="J1012" s="7">
        <f t="shared" si="71"/>
        <v>0</v>
      </c>
      <c r="K1012" s="10">
        <f t="shared" si="72"/>
        <v>0</v>
      </c>
      <c r="L1012" s="7">
        <f t="shared" si="73"/>
        <v>509</v>
      </c>
      <c r="M1012" s="13" t="s">
        <v>18</v>
      </c>
      <c r="N1012"/>
    </row>
    <row r="1013" spans="1:14" ht="24.75" customHeight="1">
      <c r="A1013" s="5">
        <v>1011</v>
      </c>
      <c r="B1013" s="5" t="s">
        <v>19</v>
      </c>
      <c r="C1013" s="5" t="str">
        <f>"陈镜成"</f>
        <v>陈镜成</v>
      </c>
      <c r="D1013" s="5" t="str">
        <f>"460004199606121416"</f>
        <v>460004199606121416</v>
      </c>
      <c r="E1013" s="5" t="s">
        <v>15</v>
      </c>
      <c r="F1013" s="5" t="str">
        <f>"073102021131"</f>
        <v>073102021131</v>
      </c>
      <c r="G1013" s="7">
        <v>0</v>
      </c>
      <c r="H1013" s="7">
        <f t="shared" si="70"/>
        <v>0</v>
      </c>
      <c r="I1013" s="7">
        <v>0</v>
      </c>
      <c r="J1013" s="7">
        <f t="shared" si="71"/>
        <v>0</v>
      </c>
      <c r="K1013" s="10">
        <f t="shared" si="72"/>
        <v>0</v>
      </c>
      <c r="L1013" s="7">
        <f t="shared" si="73"/>
        <v>509</v>
      </c>
      <c r="M1013" s="13" t="s">
        <v>18</v>
      </c>
      <c r="N1013"/>
    </row>
    <row r="1014" spans="1:14" ht="24.75" customHeight="1">
      <c r="A1014" s="5">
        <v>1012</v>
      </c>
      <c r="B1014" s="5" t="s">
        <v>19</v>
      </c>
      <c r="C1014" s="5" t="str">
        <f>"钟阳林"</f>
        <v>钟阳林</v>
      </c>
      <c r="D1014" s="5" t="str">
        <f>"460003199810280215"</f>
        <v>460003199810280215</v>
      </c>
      <c r="E1014" s="5" t="s">
        <v>15</v>
      </c>
      <c r="F1014" s="5" t="str">
        <f>"073102021132"</f>
        <v>073102021132</v>
      </c>
      <c r="G1014" s="7">
        <v>0</v>
      </c>
      <c r="H1014" s="7">
        <f t="shared" si="70"/>
        <v>0</v>
      </c>
      <c r="I1014" s="7">
        <v>0</v>
      </c>
      <c r="J1014" s="7">
        <f t="shared" si="71"/>
        <v>0</v>
      </c>
      <c r="K1014" s="10">
        <f t="shared" si="72"/>
        <v>0</v>
      </c>
      <c r="L1014" s="7">
        <f t="shared" si="73"/>
        <v>509</v>
      </c>
      <c r="M1014" s="13" t="s">
        <v>18</v>
      </c>
      <c r="N1014"/>
    </row>
    <row r="1015" spans="1:14" ht="24.75" customHeight="1">
      <c r="A1015" s="5">
        <v>1013</v>
      </c>
      <c r="B1015" s="5" t="s">
        <v>19</v>
      </c>
      <c r="C1015" s="5" t="str">
        <f>"杨蕊蕊"</f>
        <v>杨蕊蕊</v>
      </c>
      <c r="D1015" s="5" t="str">
        <f>"460034199809011223"</f>
        <v>460034199809011223</v>
      </c>
      <c r="E1015" s="5" t="s">
        <v>15</v>
      </c>
      <c r="F1015" s="5" t="str">
        <f>"073102021133"</f>
        <v>073102021133</v>
      </c>
      <c r="G1015" s="7">
        <v>0</v>
      </c>
      <c r="H1015" s="7">
        <f t="shared" si="70"/>
        <v>0</v>
      </c>
      <c r="I1015" s="7">
        <v>0</v>
      </c>
      <c r="J1015" s="7">
        <f t="shared" si="71"/>
        <v>0</v>
      </c>
      <c r="K1015" s="10">
        <f t="shared" si="72"/>
        <v>0</v>
      </c>
      <c r="L1015" s="7">
        <f t="shared" si="73"/>
        <v>509</v>
      </c>
      <c r="M1015" s="13" t="s">
        <v>18</v>
      </c>
      <c r="N1015"/>
    </row>
    <row r="1016" spans="1:14" ht="24.75" customHeight="1">
      <c r="A1016" s="5">
        <v>1014</v>
      </c>
      <c r="B1016" s="5" t="s">
        <v>19</v>
      </c>
      <c r="C1016" s="5" t="str">
        <f>"伍思盼"</f>
        <v>伍思盼</v>
      </c>
      <c r="D1016" s="5" t="str">
        <f>"460005199301140049"</f>
        <v>460005199301140049</v>
      </c>
      <c r="E1016" s="5" t="s">
        <v>15</v>
      </c>
      <c r="F1016" s="5" t="str">
        <f>"073102021134"</f>
        <v>073102021134</v>
      </c>
      <c r="G1016" s="7">
        <v>0</v>
      </c>
      <c r="H1016" s="7">
        <f t="shared" si="70"/>
        <v>0</v>
      </c>
      <c r="I1016" s="7">
        <v>0</v>
      </c>
      <c r="J1016" s="7">
        <f t="shared" si="71"/>
        <v>0</v>
      </c>
      <c r="K1016" s="10">
        <f t="shared" si="72"/>
        <v>0</v>
      </c>
      <c r="L1016" s="7">
        <f t="shared" si="73"/>
        <v>509</v>
      </c>
      <c r="M1016" s="13" t="s">
        <v>18</v>
      </c>
      <c r="N1016"/>
    </row>
    <row r="1017" spans="1:14" ht="24.75" customHeight="1">
      <c r="A1017" s="5">
        <v>1015</v>
      </c>
      <c r="B1017" s="5" t="s">
        <v>19</v>
      </c>
      <c r="C1017" s="5" t="str">
        <f>"吉涛"</f>
        <v>吉涛</v>
      </c>
      <c r="D1017" s="5" t="str">
        <f>"460033199508204578"</f>
        <v>460033199508204578</v>
      </c>
      <c r="E1017" s="5" t="s">
        <v>15</v>
      </c>
      <c r="F1017" s="5" t="str">
        <f>"073102021139"</f>
        <v>073102021139</v>
      </c>
      <c r="G1017" s="7">
        <v>0</v>
      </c>
      <c r="H1017" s="7">
        <f t="shared" si="70"/>
        <v>0</v>
      </c>
      <c r="I1017" s="7">
        <v>0</v>
      </c>
      <c r="J1017" s="7">
        <f t="shared" si="71"/>
        <v>0</v>
      </c>
      <c r="K1017" s="10">
        <f t="shared" si="72"/>
        <v>0</v>
      </c>
      <c r="L1017" s="7">
        <f t="shared" si="73"/>
        <v>509</v>
      </c>
      <c r="M1017" s="13" t="s">
        <v>18</v>
      </c>
      <c r="N1017"/>
    </row>
    <row r="1018" spans="1:14" ht="24.75" customHeight="1">
      <c r="A1018" s="5">
        <v>1016</v>
      </c>
      <c r="B1018" s="5" t="s">
        <v>19</v>
      </c>
      <c r="C1018" s="5" t="str">
        <f>"王道洲"</f>
        <v>王道洲</v>
      </c>
      <c r="D1018" s="5" t="str">
        <f>"460028199704210018"</f>
        <v>460028199704210018</v>
      </c>
      <c r="E1018" s="5" t="s">
        <v>15</v>
      </c>
      <c r="F1018" s="5" t="str">
        <f>"073102021140"</f>
        <v>073102021140</v>
      </c>
      <c r="G1018" s="7">
        <v>0</v>
      </c>
      <c r="H1018" s="7">
        <f t="shared" si="70"/>
        <v>0</v>
      </c>
      <c r="I1018" s="7">
        <v>0</v>
      </c>
      <c r="J1018" s="7">
        <f t="shared" si="71"/>
        <v>0</v>
      </c>
      <c r="K1018" s="10">
        <f t="shared" si="72"/>
        <v>0</v>
      </c>
      <c r="L1018" s="7">
        <f t="shared" si="73"/>
        <v>509</v>
      </c>
      <c r="M1018" s="13" t="s">
        <v>18</v>
      </c>
      <c r="N1018"/>
    </row>
    <row r="1019" spans="1:14" ht="24.75" customHeight="1">
      <c r="A1019" s="5">
        <v>1017</v>
      </c>
      <c r="B1019" s="5" t="s">
        <v>19</v>
      </c>
      <c r="C1019" s="5" t="str">
        <f>"许万丽"</f>
        <v>许万丽</v>
      </c>
      <c r="D1019" s="5" t="str">
        <f>"460003199502024228"</f>
        <v>460003199502024228</v>
      </c>
      <c r="E1019" s="5" t="s">
        <v>15</v>
      </c>
      <c r="F1019" s="5" t="str">
        <f>"073102021142"</f>
        <v>073102021142</v>
      </c>
      <c r="G1019" s="7">
        <v>0</v>
      </c>
      <c r="H1019" s="7">
        <f t="shared" si="70"/>
        <v>0</v>
      </c>
      <c r="I1019" s="7">
        <v>0</v>
      </c>
      <c r="J1019" s="7">
        <f t="shared" si="71"/>
        <v>0</v>
      </c>
      <c r="K1019" s="10">
        <f t="shared" si="72"/>
        <v>0</v>
      </c>
      <c r="L1019" s="7">
        <f t="shared" si="73"/>
        <v>509</v>
      </c>
      <c r="M1019" s="13" t="s">
        <v>18</v>
      </c>
      <c r="N1019"/>
    </row>
    <row r="1020" spans="1:14" ht="24.75" customHeight="1">
      <c r="A1020" s="5">
        <v>1018</v>
      </c>
      <c r="B1020" s="5" t="s">
        <v>19</v>
      </c>
      <c r="C1020" s="5" t="str">
        <f>"王菊"</f>
        <v>王菊</v>
      </c>
      <c r="D1020" s="5" t="str">
        <f>"460007199401215768"</f>
        <v>460007199401215768</v>
      </c>
      <c r="E1020" s="5" t="s">
        <v>15</v>
      </c>
      <c r="F1020" s="5" t="str">
        <f>"073102021202"</f>
        <v>073102021202</v>
      </c>
      <c r="G1020" s="7">
        <v>0</v>
      </c>
      <c r="H1020" s="7">
        <f t="shared" si="70"/>
        <v>0</v>
      </c>
      <c r="I1020" s="7">
        <v>0</v>
      </c>
      <c r="J1020" s="7">
        <f t="shared" si="71"/>
        <v>0</v>
      </c>
      <c r="K1020" s="10">
        <f t="shared" si="72"/>
        <v>0</v>
      </c>
      <c r="L1020" s="7">
        <f t="shared" si="73"/>
        <v>509</v>
      </c>
      <c r="M1020" s="13" t="s">
        <v>18</v>
      </c>
      <c r="N1020"/>
    </row>
    <row r="1021" spans="1:14" ht="24.75" customHeight="1">
      <c r="A1021" s="5">
        <v>1019</v>
      </c>
      <c r="B1021" s="5" t="s">
        <v>19</v>
      </c>
      <c r="C1021" s="5" t="str">
        <f>"吴月成"</f>
        <v>吴月成</v>
      </c>
      <c r="D1021" s="5" t="str">
        <f>"460003199605033047"</f>
        <v>460003199605033047</v>
      </c>
      <c r="E1021" s="5" t="s">
        <v>15</v>
      </c>
      <c r="F1021" s="5" t="str">
        <f>"073102021203"</f>
        <v>073102021203</v>
      </c>
      <c r="G1021" s="7">
        <v>0</v>
      </c>
      <c r="H1021" s="7">
        <f t="shared" si="70"/>
        <v>0</v>
      </c>
      <c r="I1021" s="7">
        <v>0</v>
      </c>
      <c r="J1021" s="7">
        <f t="shared" si="71"/>
        <v>0</v>
      </c>
      <c r="K1021" s="10">
        <f t="shared" si="72"/>
        <v>0</v>
      </c>
      <c r="L1021" s="7">
        <f t="shared" si="73"/>
        <v>509</v>
      </c>
      <c r="M1021" s="13" t="s">
        <v>18</v>
      </c>
      <c r="N1021"/>
    </row>
    <row r="1022" spans="1:14" ht="24.75" customHeight="1">
      <c r="A1022" s="5">
        <v>1020</v>
      </c>
      <c r="B1022" s="5" t="s">
        <v>19</v>
      </c>
      <c r="C1022" s="5" t="str">
        <f>"钟富琴"</f>
        <v>钟富琴</v>
      </c>
      <c r="D1022" s="5" t="str">
        <f>"460028199609090046"</f>
        <v>460028199609090046</v>
      </c>
      <c r="E1022" s="5" t="s">
        <v>15</v>
      </c>
      <c r="F1022" s="5" t="str">
        <f>"073102021208"</f>
        <v>073102021208</v>
      </c>
      <c r="G1022" s="7">
        <v>0</v>
      </c>
      <c r="H1022" s="7">
        <f t="shared" si="70"/>
        <v>0</v>
      </c>
      <c r="I1022" s="7">
        <v>0</v>
      </c>
      <c r="J1022" s="7">
        <f t="shared" si="71"/>
        <v>0</v>
      </c>
      <c r="K1022" s="10">
        <f t="shared" si="72"/>
        <v>0</v>
      </c>
      <c r="L1022" s="7">
        <f t="shared" si="73"/>
        <v>509</v>
      </c>
      <c r="M1022" s="13" t="s">
        <v>18</v>
      </c>
      <c r="N1022"/>
    </row>
    <row r="1023" spans="1:14" ht="24.75" customHeight="1">
      <c r="A1023" s="5">
        <v>1021</v>
      </c>
      <c r="B1023" s="5" t="s">
        <v>19</v>
      </c>
      <c r="C1023" s="5" t="str">
        <f>"王广怀"</f>
        <v>王广怀</v>
      </c>
      <c r="D1023" s="5" t="str">
        <f>"460003199508294210"</f>
        <v>460003199508294210</v>
      </c>
      <c r="E1023" s="5" t="s">
        <v>15</v>
      </c>
      <c r="F1023" s="5" t="str">
        <f>"073102021210"</f>
        <v>073102021210</v>
      </c>
      <c r="G1023" s="7">
        <v>0</v>
      </c>
      <c r="H1023" s="7">
        <f t="shared" si="70"/>
        <v>0</v>
      </c>
      <c r="I1023" s="7">
        <v>0</v>
      </c>
      <c r="J1023" s="7">
        <f t="shared" si="71"/>
        <v>0</v>
      </c>
      <c r="K1023" s="10">
        <f t="shared" si="72"/>
        <v>0</v>
      </c>
      <c r="L1023" s="7">
        <f t="shared" si="73"/>
        <v>509</v>
      </c>
      <c r="M1023" s="13" t="s">
        <v>18</v>
      </c>
      <c r="N1023"/>
    </row>
    <row r="1024" spans="1:14" ht="24.75" customHeight="1">
      <c r="A1024" s="5">
        <v>1022</v>
      </c>
      <c r="B1024" s="5" t="s">
        <v>19</v>
      </c>
      <c r="C1024" s="5" t="str">
        <f>"罗小朋"</f>
        <v>罗小朋</v>
      </c>
      <c r="D1024" s="5" t="str">
        <f>"460028199401143612"</f>
        <v>460028199401143612</v>
      </c>
      <c r="E1024" s="5" t="s">
        <v>15</v>
      </c>
      <c r="F1024" s="5" t="str">
        <f>"073102021211"</f>
        <v>073102021211</v>
      </c>
      <c r="G1024" s="7">
        <v>0</v>
      </c>
      <c r="H1024" s="7">
        <f t="shared" si="70"/>
        <v>0</v>
      </c>
      <c r="I1024" s="7">
        <v>0</v>
      </c>
      <c r="J1024" s="7">
        <f t="shared" si="71"/>
        <v>0</v>
      </c>
      <c r="K1024" s="10">
        <f t="shared" si="72"/>
        <v>0</v>
      </c>
      <c r="L1024" s="7">
        <f t="shared" si="73"/>
        <v>509</v>
      </c>
      <c r="M1024" s="13" t="s">
        <v>18</v>
      </c>
      <c r="N1024"/>
    </row>
    <row r="1025" spans="1:14" ht="24.75" customHeight="1">
      <c r="A1025" s="5">
        <v>1023</v>
      </c>
      <c r="B1025" s="5" t="s">
        <v>19</v>
      </c>
      <c r="C1025" s="5" t="str">
        <f>"黄一剑"</f>
        <v>黄一剑</v>
      </c>
      <c r="D1025" s="5" t="str">
        <f>"460033199512084556"</f>
        <v>460033199512084556</v>
      </c>
      <c r="E1025" s="5" t="s">
        <v>15</v>
      </c>
      <c r="F1025" s="5" t="str">
        <f>"073102021214"</f>
        <v>073102021214</v>
      </c>
      <c r="G1025" s="7">
        <v>0</v>
      </c>
      <c r="H1025" s="7">
        <f t="shared" si="70"/>
        <v>0</v>
      </c>
      <c r="I1025" s="7">
        <v>0</v>
      </c>
      <c r="J1025" s="7">
        <f t="shared" si="71"/>
        <v>0</v>
      </c>
      <c r="K1025" s="10">
        <f t="shared" si="72"/>
        <v>0</v>
      </c>
      <c r="L1025" s="7">
        <f t="shared" si="73"/>
        <v>509</v>
      </c>
      <c r="M1025" s="13" t="s">
        <v>18</v>
      </c>
      <c r="N1025"/>
    </row>
    <row r="1026" spans="1:14" ht="24.75" customHeight="1">
      <c r="A1026" s="5">
        <v>1024</v>
      </c>
      <c r="B1026" s="5" t="s">
        <v>19</v>
      </c>
      <c r="C1026" s="5" t="str">
        <f>"符美景"</f>
        <v>符美景</v>
      </c>
      <c r="D1026" s="5" t="str">
        <f>"460030199510021827"</f>
        <v>460030199510021827</v>
      </c>
      <c r="E1026" s="5" t="s">
        <v>15</v>
      </c>
      <c r="F1026" s="5" t="str">
        <f>"073102021217"</f>
        <v>073102021217</v>
      </c>
      <c r="G1026" s="7">
        <v>0</v>
      </c>
      <c r="H1026" s="7">
        <f t="shared" si="70"/>
        <v>0</v>
      </c>
      <c r="I1026" s="7">
        <v>0</v>
      </c>
      <c r="J1026" s="7">
        <f t="shared" si="71"/>
        <v>0</v>
      </c>
      <c r="K1026" s="10">
        <f t="shared" si="72"/>
        <v>0</v>
      </c>
      <c r="L1026" s="7">
        <f t="shared" si="73"/>
        <v>509</v>
      </c>
      <c r="M1026" s="13" t="s">
        <v>18</v>
      </c>
      <c r="N1026"/>
    </row>
    <row r="1027" spans="1:14" ht="24.75" customHeight="1">
      <c r="A1027" s="5">
        <v>1025</v>
      </c>
      <c r="B1027" s="5" t="s">
        <v>19</v>
      </c>
      <c r="C1027" s="5" t="str">
        <f>"周桂龄"</f>
        <v>周桂龄</v>
      </c>
      <c r="D1027" s="5" t="str">
        <f>"460003199508187220"</f>
        <v>460003199508187220</v>
      </c>
      <c r="E1027" s="5" t="s">
        <v>15</v>
      </c>
      <c r="F1027" s="5" t="str">
        <f>"073102021221"</f>
        <v>073102021221</v>
      </c>
      <c r="G1027" s="7">
        <v>0</v>
      </c>
      <c r="H1027" s="7">
        <f aca="true" t="shared" si="74" ref="H1027:H1090">G1027*0.5</f>
        <v>0</v>
      </c>
      <c r="I1027" s="7">
        <v>0</v>
      </c>
      <c r="J1027" s="7">
        <f aca="true" t="shared" si="75" ref="J1027:J1090">I1027*0.5</f>
        <v>0</v>
      </c>
      <c r="K1027" s="10">
        <f t="shared" si="72"/>
        <v>0</v>
      </c>
      <c r="L1027" s="7">
        <f t="shared" si="73"/>
        <v>509</v>
      </c>
      <c r="M1027" s="13" t="s">
        <v>18</v>
      </c>
      <c r="N1027"/>
    </row>
    <row r="1028" spans="1:14" ht="24.75" customHeight="1">
      <c r="A1028" s="5">
        <v>1026</v>
      </c>
      <c r="B1028" s="5" t="s">
        <v>19</v>
      </c>
      <c r="C1028" s="5" t="str">
        <f>"吴可斌"</f>
        <v>吴可斌</v>
      </c>
      <c r="D1028" s="5" t="str">
        <f>"460003199304140412"</f>
        <v>460003199304140412</v>
      </c>
      <c r="E1028" s="5" t="s">
        <v>15</v>
      </c>
      <c r="F1028" s="5" t="str">
        <f>"073102021222"</f>
        <v>073102021222</v>
      </c>
      <c r="G1028" s="7">
        <v>0</v>
      </c>
      <c r="H1028" s="7">
        <f t="shared" si="74"/>
        <v>0</v>
      </c>
      <c r="I1028" s="7">
        <v>0</v>
      </c>
      <c r="J1028" s="7">
        <f t="shared" si="75"/>
        <v>0</v>
      </c>
      <c r="K1028" s="10">
        <f t="shared" si="72"/>
        <v>0</v>
      </c>
      <c r="L1028" s="7">
        <f t="shared" si="73"/>
        <v>509</v>
      </c>
      <c r="M1028" s="13" t="s">
        <v>18</v>
      </c>
      <c r="N1028"/>
    </row>
    <row r="1029" spans="1:14" ht="24.75" customHeight="1">
      <c r="A1029" s="5">
        <v>1027</v>
      </c>
      <c r="B1029" s="5" t="s">
        <v>19</v>
      </c>
      <c r="C1029" s="5" t="str">
        <f>"郑宝月"</f>
        <v>郑宝月</v>
      </c>
      <c r="D1029" s="5" t="str">
        <f>"460003199604142444"</f>
        <v>460003199604142444</v>
      </c>
      <c r="E1029" s="5" t="s">
        <v>15</v>
      </c>
      <c r="F1029" s="5" t="str">
        <f>"073102021225"</f>
        <v>073102021225</v>
      </c>
      <c r="G1029" s="7">
        <v>0</v>
      </c>
      <c r="H1029" s="7">
        <f t="shared" si="74"/>
        <v>0</v>
      </c>
      <c r="I1029" s="7">
        <v>0</v>
      </c>
      <c r="J1029" s="7">
        <f t="shared" si="75"/>
        <v>0</v>
      </c>
      <c r="K1029" s="10">
        <f t="shared" si="72"/>
        <v>0</v>
      </c>
      <c r="L1029" s="7">
        <f t="shared" si="73"/>
        <v>509</v>
      </c>
      <c r="M1029" s="13" t="s">
        <v>18</v>
      </c>
      <c r="N1029"/>
    </row>
    <row r="1030" spans="1:14" ht="24.75" customHeight="1">
      <c r="A1030" s="5">
        <v>1028</v>
      </c>
      <c r="B1030" s="5" t="s">
        <v>19</v>
      </c>
      <c r="C1030" s="5" t="str">
        <f>"林梅"</f>
        <v>林梅</v>
      </c>
      <c r="D1030" s="5" t="str">
        <f>"460033199612173900"</f>
        <v>460033199612173900</v>
      </c>
      <c r="E1030" s="5" t="s">
        <v>15</v>
      </c>
      <c r="F1030" s="5" t="str">
        <f>"073102021228"</f>
        <v>073102021228</v>
      </c>
      <c r="G1030" s="7">
        <v>0</v>
      </c>
      <c r="H1030" s="7">
        <f t="shared" si="74"/>
        <v>0</v>
      </c>
      <c r="I1030" s="7">
        <v>0</v>
      </c>
      <c r="J1030" s="7">
        <f t="shared" si="75"/>
        <v>0</v>
      </c>
      <c r="K1030" s="10">
        <f t="shared" si="72"/>
        <v>0</v>
      </c>
      <c r="L1030" s="7">
        <f t="shared" si="73"/>
        <v>509</v>
      </c>
      <c r="M1030" s="13" t="s">
        <v>18</v>
      </c>
      <c r="N1030"/>
    </row>
    <row r="1031" spans="1:14" ht="24.75" customHeight="1">
      <c r="A1031" s="5">
        <v>1029</v>
      </c>
      <c r="B1031" s="5" t="s">
        <v>19</v>
      </c>
      <c r="C1031" s="5" t="str">
        <f>"高学星"</f>
        <v>高学星</v>
      </c>
      <c r="D1031" s="5" t="str">
        <f>"460035199509142121"</f>
        <v>460035199509142121</v>
      </c>
      <c r="E1031" s="5" t="s">
        <v>15</v>
      </c>
      <c r="F1031" s="5" t="str">
        <f>"073102021232"</f>
        <v>073102021232</v>
      </c>
      <c r="G1031" s="7">
        <v>0</v>
      </c>
      <c r="H1031" s="7">
        <f t="shared" si="74"/>
        <v>0</v>
      </c>
      <c r="I1031" s="7">
        <v>0</v>
      </c>
      <c r="J1031" s="7">
        <f t="shared" si="75"/>
        <v>0</v>
      </c>
      <c r="K1031" s="10">
        <f t="shared" si="72"/>
        <v>0</v>
      </c>
      <c r="L1031" s="7">
        <f t="shared" si="73"/>
        <v>509</v>
      </c>
      <c r="M1031" s="13" t="s">
        <v>18</v>
      </c>
      <c r="N1031"/>
    </row>
    <row r="1032" spans="1:14" ht="24.75" customHeight="1">
      <c r="A1032" s="5">
        <v>1030</v>
      </c>
      <c r="B1032" s="5" t="s">
        <v>19</v>
      </c>
      <c r="C1032" s="5" t="str">
        <f>"黎多茂"</f>
        <v>黎多茂</v>
      </c>
      <c r="D1032" s="5" t="str">
        <f>"460003199306153911"</f>
        <v>460003199306153911</v>
      </c>
      <c r="E1032" s="5" t="s">
        <v>15</v>
      </c>
      <c r="F1032" s="5" t="str">
        <f>"073102021234"</f>
        <v>073102021234</v>
      </c>
      <c r="G1032" s="7">
        <v>0</v>
      </c>
      <c r="H1032" s="7">
        <f t="shared" si="74"/>
        <v>0</v>
      </c>
      <c r="I1032" s="7">
        <v>0</v>
      </c>
      <c r="J1032" s="7">
        <f t="shared" si="75"/>
        <v>0</v>
      </c>
      <c r="K1032" s="10">
        <f t="shared" si="72"/>
        <v>0</v>
      </c>
      <c r="L1032" s="7">
        <f t="shared" si="73"/>
        <v>509</v>
      </c>
      <c r="M1032" s="13" t="s">
        <v>18</v>
      </c>
      <c r="N1032"/>
    </row>
    <row r="1033" spans="1:14" ht="24.75" customHeight="1">
      <c r="A1033" s="5">
        <v>1031</v>
      </c>
      <c r="B1033" s="5" t="s">
        <v>19</v>
      </c>
      <c r="C1033" s="5" t="str">
        <f>"郑小莉"</f>
        <v>郑小莉</v>
      </c>
      <c r="D1033" s="5" t="str">
        <f>"46000319941227782X"</f>
        <v>46000319941227782X</v>
      </c>
      <c r="E1033" s="5" t="s">
        <v>15</v>
      </c>
      <c r="F1033" s="5" t="str">
        <f>"073102021235"</f>
        <v>073102021235</v>
      </c>
      <c r="G1033" s="7">
        <v>0</v>
      </c>
      <c r="H1033" s="7">
        <f t="shared" si="74"/>
        <v>0</v>
      </c>
      <c r="I1033" s="7">
        <v>0</v>
      </c>
      <c r="J1033" s="7">
        <f t="shared" si="75"/>
        <v>0</v>
      </c>
      <c r="K1033" s="10">
        <f t="shared" si="72"/>
        <v>0</v>
      </c>
      <c r="L1033" s="7">
        <f t="shared" si="73"/>
        <v>509</v>
      </c>
      <c r="M1033" s="13" t="s">
        <v>18</v>
      </c>
      <c r="N1033"/>
    </row>
    <row r="1034" spans="1:14" ht="24.75" customHeight="1">
      <c r="A1034" s="5">
        <v>1032</v>
      </c>
      <c r="B1034" s="5" t="s">
        <v>19</v>
      </c>
      <c r="C1034" s="5" t="str">
        <f>"符泽梅"</f>
        <v>符泽梅</v>
      </c>
      <c r="D1034" s="5" t="str">
        <f>"460003199802176020"</f>
        <v>460003199802176020</v>
      </c>
      <c r="E1034" s="5" t="s">
        <v>15</v>
      </c>
      <c r="F1034" s="5" t="str">
        <f>"073102021238"</f>
        <v>073102021238</v>
      </c>
      <c r="G1034" s="7">
        <v>0</v>
      </c>
      <c r="H1034" s="7">
        <f t="shared" si="74"/>
        <v>0</v>
      </c>
      <c r="I1034" s="7">
        <v>0</v>
      </c>
      <c r="J1034" s="7">
        <f t="shared" si="75"/>
        <v>0</v>
      </c>
      <c r="K1034" s="10">
        <f t="shared" si="72"/>
        <v>0</v>
      </c>
      <c r="L1034" s="7">
        <f t="shared" si="73"/>
        <v>509</v>
      </c>
      <c r="M1034" s="13" t="s">
        <v>18</v>
      </c>
      <c r="N1034"/>
    </row>
    <row r="1035" spans="1:14" ht="24.75" customHeight="1">
      <c r="A1035" s="5">
        <v>1033</v>
      </c>
      <c r="B1035" s="5" t="s">
        <v>19</v>
      </c>
      <c r="C1035" s="5" t="str">
        <f>"麦向文"</f>
        <v>麦向文</v>
      </c>
      <c r="D1035" s="5" t="str">
        <f>"46900319911003031X"</f>
        <v>46900319911003031X</v>
      </c>
      <c r="E1035" s="5" t="s">
        <v>15</v>
      </c>
      <c r="F1035" s="5" t="str">
        <f>"073102021239"</f>
        <v>073102021239</v>
      </c>
      <c r="G1035" s="7">
        <v>0</v>
      </c>
      <c r="H1035" s="7">
        <f t="shared" si="74"/>
        <v>0</v>
      </c>
      <c r="I1035" s="7">
        <v>0</v>
      </c>
      <c r="J1035" s="7">
        <f t="shared" si="75"/>
        <v>0</v>
      </c>
      <c r="K1035" s="10">
        <f t="shared" si="72"/>
        <v>0</v>
      </c>
      <c r="L1035" s="7">
        <f t="shared" si="73"/>
        <v>509</v>
      </c>
      <c r="M1035" s="13" t="s">
        <v>18</v>
      </c>
      <c r="N1035"/>
    </row>
    <row r="1036" spans="1:14" ht="24.75" customHeight="1">
      <c r="A1036" s="5">
        <v>1034</v>
      </c>
      <c r="B1036" s="5" t="s">
        <v>19</v>
      </c>
      <c r="C1036" s="5" t="str">
        <f>"庞若"</f>
        <v>庞若</v>
      </c>
      <c r="D1036" s="5" t="str">
        <f>"460027199910192926"</f>
        <v>460027199910192926</v>
      </c>
      <c r="E1036" s="5" t="s">
        <v>15</v>
      </c>
      <c r="F1036" s="5" t="str">
        <f>"073102030102"</f>
        <v>073102030102</v>
      </c>
      <c r="G1036" s="7">
        <v>0</v>
      </c>
      <c r="H1036" s="7">
        <f t="shared" si="74"/>
        <v>0</v>
      </c>
      <c r="I1036" s="7">
        <v>0</v>
      </c>
      <c r="J1036" s="7">
        <f t="shared" si="75"/>
        <v>0</v>
      </c>
      <c r="K1036" s="10">
        <f aca="true" t="shared" si="76" ref="K1036:K1099">H1036+J1036</f>
        <v>0</v>
      </c>
      <c r="L1036" s="7">
        <f t="shared" si="73"/>
        <v>509</v>
      </c>
      <c r="M1036" s="13" t="s">
        <v>18</v>
      </c>
      <c r="N1036"/>
    </row>
    <row r="1037" spans="1:14" ht="24.75" customHeight="1">
      <c r="A1037" s="5">
        <v>1035</v>
      </c>
      <c r="B1037" s="5" t="s">
        <v>19</v>
      </c>
      <c r="C1037" s="5" t="str">
        <f>"文苑"</f>
        <v>文苑</v>
      </c>
      <c r="D1037" s="5" t="str">
        <f>"460007199801220427"</f>
        <v>460007199801220427</v>
      </c>
      <c r="E1037" s="5" t="s">
        <v>15</v>
      </c>
      <c r="F1037" s="5" t="str">
        <f>"073102030104"</f>
        <v>073102030104</v>
      </c>
      <c r="G1037" s="7">
        <v>0</v>
      </c>
      <c r="H1037" s="7">
        <f t="shared" si="74"/>
        <v>0</v>
      </c>
      <c r="I1037" s="7">
        <v>0</v>
      </c>
      <c r="J1037" s="7">
        <f t="shared" si="75"/>
        <v>0</v>
      </c>
      <c r="K1037" s="10">
        <f t="shared" si="76"/>
        <v>0</v>
      </c>
      <c r="L1037" s="7">
        <f t="shared" si="73"/>
        <v>509</v>
      </c>
      <c r="M1037" s="13" t="s">
        <v>18</v>
      </c>
      <c r="N1037"/>
    </row>
    <row r="1038" spans="1:14" ht="24.75" customHeight="1">
      <c r="A1038" s="5">
        <v>1036</v>
      </c>
      <c r="B1038" s="5" t="s">
        <v>19</v>
      </c>
      <c r="C1038" s="5" t="str">
        <f>"陈婷"</f>
        <v>陈婷</v>
      </c>
      <c r="D1038" s="5" t="str">
        <f>"460003199802231421"</f>
        <v>460003199802231421</v>
      </c>
      <c r="E1038" s="5" t="s">
        <v>15</v>
      </c>
      <c r="F1038" s="5" t="str">
        <f>"073102030107"</f>
        <v>073102030107</v>
      </c>
      <c r="G1038" s="7">
        <v>0</v>
      </c>
      <c r="H1038" s="7">
        <f t="shared" si="74"/>
        <v>0</v>
      </c>
      <c r="I1038" s="7">
        <v>0</v>
      </c>
      <c r="J1038" s="7">
        <f t="shared" si="75"/>
        <v>0</v>
      </c>
      <c r="K1038" s="10">
        <f t="shared" si="76"/>
        <v>0</v>
      </c>
      <c r="L1038" s="7">
        <f t="shared" si="73"/>
        <v>509</v>
      </c>
      <c r="M1038" s="13" t="s">
        <v>18</v>
      </c>
      <c r="N1038"/>
    </row>
    <row r="1039" spans="1:14" ht="24.75" customHeight="1">
      <c r="A1039" s="5">
        <v>1037</v>
      </c>
      <c r="B1039" s="5" t="s">
        <v>19</v>
      </c>
      <c r="C1039" s="5" t="str">
        <f>"唐传青"</f>
        <v>唐传青</v>
      </c>
      <c r="D1039" s="5" t="str">
        <f>"469007199501087642"</f>
        <v>469007199501087642</v>
      </c>
      <c r="E1039" s="5" t="s">
        <v>15</v>
      </c>
      <c r="F1039" s="5" t="str">
        <f>"073102030109"</f>
        <v>073102030109</v>
      </c>
      <c r="G1039" s="7">
        <v>0</v>
      </c>
      <c r="H1039" s="7">
        <f t="shared" si="74"/>
        <v>0</v>
      </c>
      <c r="I1039" s="7">
        <v>0</v>
      </c>
      <c r="J1039" s="7">
        <f t="shared" si="75"/>
        <v>0</v>
      </c>
      <c r="K1039" s="10">
        <f t="shared" si="76"/>
        <v>0</v>
      </c>
      <c r="L1039" s="7">
        <f t="shared" si="73"/>
        <v>509</v>
      </c>
      <c r="M1039" s="13" t="s">
        <v>18</v>
      </c>
      <c r="N1039"/>
    </row>
    <row r="1040" spans="1:14" ht="24.75" customHeight="1">
      <c r="A1040" s="5">
        <v>1038</v>
      </c>
      <c r="B1040" s="5" t="s">
        <v>19</v>
      </c>
      <c r="C1040" s="5" t="str">
        <f>"柯运丹"</f>
        <v>柯运丹</v>
      </c>
      <c r="D1040" s="5" t="str">
        <f>"46000319961228424X"</f>
        <v>46000319961228424X</v>
      </c>
      <c r="E1040" s="5" t="s">
        <v>15</v>
      </c>
      <c r="F1040" s="5" t="str">
        <f>"073102030113"</f>
        <v>073102030113</v>
      </c>
      <c r="G1040" s="7">
        <v>0</v>
      </c>
      <c r="H1040" s="7">
        <f t="shared" si="74"/>
        <v>0</v>
      </c>
      <c r="I1040" s="7">
        <v>0</v>
      </c>
      <c r="J1040" s="7">
        <f t="shared" si="75"/>
        <v>0</v>
      </c>
      <c r="K1040" s="10">
        <f t="shared" si="76"/>
        <v>0</v>
      </c>
      <c r="L1040" s="7">
        <f t="shared" si="73"/>
        <v>509</v>
      </c>
      <c r="M1040" s="13" t="s">
        <v>18</v>
      </c>
      <c r="N1040"/>
    </row>
    <row r="1041" spans="1:14" ht="24.75" customHeight="1">
      <c r="A1041" s="5">
        <v>1039</v>
      </c>
      <c r="B1041" s="5" t="s">
        <v>19</v>
      </c>
      <c r="C1041" s="5" t="str">
        <f>"吴妹"</f>
        <v>吴妹</v>
      </c>
      <c r="D1041" s="5" t="str">
        <f>"460003199504036628"</f>
        <v>460003199504036628</v>
      </c>
      <c r="E1041" s="5" t="s">
        <v>15</v>
      </c>
      <c r="F1041" s="5" t="str">
        <f>"073102030114"</f>
        <v>073102030114</v>
      </c>
      <c r="G1041" s="7">
        <v>0</v>
      </c>
      <c r="H1041" s="7">
        <f t="shared" si="74"/>
        <v>0</v>
      </c>
      <c r="I1041" s="7">
        <v>0</v>
      </c>
      <c r="J1041" s="7">
        <f t="shared" si="75"/>
        <v>0</v>
      </c>
      <c r="K1041" s="10">
        <f t="shared" si="76"/>
        <v>0</v>
      </c>
      <c r="L1041" s="7">
        <f t="shared" si="73"/>
        <v>509</v>
      </c>
      <c r="M1041" s="13" t="s">
        <v>18</v>
      </c>
      <c r="N1041"/>
    </row>
    <row r="1042" spans="1:14" ht="24.75" customHeight="1">
      <c r="A1042" s="5">
        <v>1040</v>
      </c>
      <c r="B1042" s="5" t="s">
        <v>19</v>
      </c>
      <c r="C1042" s="5" t="str">
        <f>"张珍妮"</f>
        <v>张珍妮</v>
      </c>
      <c r="D1042" s="5" t="str">
        <f>"460003199411028821"</f>
        <v>460003199411028821</v>
      </c>
      <c r="E1042" s="5" t="s">
        <v>15</v>
      </c>
      <c r="F1042" s="5" t="str">
        <f>"073102030116"</f>
        <v>073102030116</v>
      </c>
      <c r="G1042" s="7">
        <v>0</v>
      </c>
      <c r="H1042" s="7">
        <f t="shared" si="74"/>
        <v>0</v>
      </c>
      <c r="I1042" s="7">
        <v>0</v>
      </c>
      <c r="J1042" s="7">
        <f t="shared" si="75"/>
        <v>0</v>
      </c>
      <c r="K1042" s="10">
        <f t="shared" si="76"/>
        <v>0</v>
      </c>
      <c r="L1042" s="7">
        <f t="shared" si="73"/>
        <v>509</v>
      </c>
      <c r="M1042" s="13" t="s">
        <v>18</v>
      </c>
      <c r="N1042"/>
    </row>
    <row r="1043" spans="1:14" ht="24.75" customHeight="1">
      <c r="A1043" s="5">
        <v>1041</v>
      </c>
      <c r="B1043" s="5" t="s">
        <v>19</v>
      </c>
      <c r="C1043" s="5" t="str">
        <f>"唐统权"</f>
        <v>唐统权</v>
      </c>
      <c r="D1043" s="5" t="str">
        <f>"469007199711187617"</f>
        <v>469007199711187617</v>
      </c>
      <c r="E1043" s="5" t="s">
        <v>15</v>
      </c>
      <c r="F1043" s="5" t="str">
        <f>"073102030117"</f>
        <v>073102030117</v>
      </c>
      <c r="G1043" s="7">
        <v>0</v>
      </c>
      <c r="H1043" s="7">
        <f t="shared" si="74"/>
        <v>0</v>
      </c>
      <c r="I1043" s="7">
        <v>0</v>
      </c>
      <c r="J1043" s="7">
        <f t="shared" si="75"/>
        <v>0</v>
      </c>
      <c r="K1043" s="10">
        <f t="shared" si="76"/>
        <v>0</v>
      </c>
      <c r="L1043" s="7">
        <f t="shared" si="73"/>
        <v>509</v>
      </c>
      <c r="M1043" s="13" t="s">
        <v>18</v>
      </c>
      <c r="N1043"/>
    </row>
    <row r="1044" spans="1:14" ht="24.75" customHeight="1">
      <c r="A1044" s="5">
        <v>1042</v>
      </c>
      <c r="B1044" s="5" t="s">
        <v>19</v>
      </c>
      <c r="C1044" s="5" t="str">
        <f>"黎启明"</f>
        <v>黎启明</v>
      </c>
      <c r="D1044" s="5" t="str">
        <f>"460003199604023859"</f>
        <v>460003199604023859</v>
      </c>
      <c r="E1044" s="5" t="s">
        <v>15</v>
      </c>
      <c r="F1044" s="5" t="str">
        <f>"073102030122"</f>
        <v>073102030122</v>
      </c>
      <c r="G1044" s="7">
        <v>0</v>
      </c>
      <c r="H1044" s="7">
        <f t="shared" si="74"/>
        <v>0</v>
      </c>
      <c r="I1044" s="7">
        <v>0</v>
      </c>
      <c r="J1044" s="7">
        <f t="shared" si="75"/>
        <v>0</v>
      </c>
      <c r="K1044" s="10">
        <f t="shared" si="76"/>
        <v>0</v>
      </c>
      <c r="L1044" s="7">
        <f t="shared" si="73"/>
        <v>509</v>
      </c>
      <c r="M1044" s="13" t="s">
        <v>18</v>
      </c>
      <c r="N1044"/>
    </row>
    <row r="1045" spans="1:14" ht="24.75" customHeight="1">
      <c r="A1045" s="5">
        <v>1043</v>
      </c>
      <c r="B1045" s="5" t="s">
        <v>19</v>
      </c>
      <c r="C1045" s="5" t="str">
        <f>"陈正衡"</f>
        <v>陈正衡</v>
      </c>
      <c r="D1045" s="5" t="str">
        <f>"460102199410260919"</f>
        <v>460102199410260919</v>
      </c>
      <c r="E1045" s="5" t="s">
        <v>15</v>
      </c>
      <c r="F1045" s="5" t="str">
        <f>"073102030124"</f>
        <v>073102030124</v>
      </c>
      <c r="G1045" s="7">
        <v>0</v>
      </c>
      <c r="H1045" s="7">
        <f t="shared" si="74"/>
        <v>0</v>
      </c>
      <c r="I1045" s="7">
        <v>0</v>
      </c>
      <c r="J1045" s="7">
        <f t="shared" si="75"/>
        <v>0</v>
      </c>
      <c r="K1045" s="10">
        <f t="shared" si="76"/>
        <v>0</v>
      </c>
      <c r="L1045" s="7">
        <f t="shared" si="73"/>
        <v>509</v>
      </c>
      <c r="M1045" s="13" t="s">
        <v>18</v>
      </c>
      <c r="N1045"/>
    </row>
    <row r="1046" spans="1:14" ht="24.75" customHeight="1">
      <c r="A1046" s="5">
        <v>1044</v>
      </c>
      <c r="B1046" s="5" t="s">
        <v>19</v>
      </c>
      <c r="C1046" s="5" t="str">
        <f>"杨丽萍"</f>
        <v>杨丽萍</v>
      </c>
      <c r="D1046" s="5" t="str">
        <f>"460002199202133426"</f>
        <v>460002199202133426</v>
      </c>
      <c r="E1046" s="5" t="s">
        <v>15</v>
      </c>
      <c r="F1046" s="5" t="str">
        <f>"073102030127"</f>
        <v>073102030127</v>
      </c>
      <c r="G1046" s="7">
        <v>0</v>
      </c>
      <c r="H1046" s="7">
        <f t="shared" si="74"/>
        <v>0</v>
      </c>
      <c r="I1046" s="7">
        <v>0</v>
      </c>
      <c r="J1046" s="7">
        <f t="shared" si="75"/>
        <v>0</v>
      </c>
      <c r="K1046" s="10">
        <f t="shared" si="76"/>
        <v>0</v>
      </c>
      <c r="L1046" s="7">
        <f t="shared" si="73"/>
        <v>509</v>
      </c>
      <c r="M1046" s="13" t="s">
        <v>18</v>
      </c>
      <c r="N1046"/>
    </row>
    <row r="1047" spans="1:14" ht="24.75" customHeight="1">
      <c r="A1047" s="5">
        <v>1045</v>
      </c>
      <c r="B1047" s="5" t="s">
        <v>19</v>
      </c>
      <c r="C1047" s="5" t="str">
        <f>"张宇"</f>
        <v>张宇</v>
      </c>
      <c r="D1047" s="5" t="str">
        <f>"460003199401270219"</f>
        <v>460003199401270219</v>
      </c>
      <c r="E1047" s="5" t="s">
        <v>15</v>
      </c>
      <c r="F1047" s="5" t="str">
        <f>"073102030128"</f>
        <v>073102030128</v>
      </c>
      <c r="G1047" s="7">
        <v>0</v>
      </c>
      <c r="H1047" s="7">
        <f t="shared" si="74"/>
        <v>0</v>
      </c>
      <c r="I1047" s="7">
        <v>0</v>
      </c>
      <c r="J1047" s="7">
        <f t="shared" si="75"/>
        <v>0</v>
      </c>
      <c r="K1047" s="10">
        <f t="shared" si="76"/>
        <v>0</v>
      </c>
      <c r="L1047" s="7">
        <f t="shared" si="73"/>
        <v>509</v>
      </c>
      <c r="M1047" s="13" t="s">
        <v>18</v>
      </c>
      <c r="N1047"/>
    </row>
    <row r="1048" spans="1:14" ht="24.75" customHeight="1">
      <c r="A1048" s="5">
        <v>1046</v>
      </c>
      <c r="B1048" s="5" t="s">
        <v>19</v>
      </c>
      <c r="C1048" s="5" t="str">
        <f>"王莉"</f>
        <v>王莉</v>
      </c>
      <c r="D1048" s="5" t="str">
        <f>"460034199809153926"</f>
        <v>460034199809153926</v>
      </c>
      <c r="E1048" s="5" t="s">
        <v>15</v>
      </c>
      <c r="F1048" s="5" t="str">
        <f>"073102030134"</f>
        <v>073102030134</v>
      </c>
      <c r="G1048" s="7">
        <v>0</v>
      </c>
      <c r="H1048" s="7">
        <f t="shared" si="74"/>
        <v>0</v>
      </c>
      <c r="I1048" s="7">
        <v>0</v>
      </c>
      <c r="J1048" s="7">
        <f t="shared" si="75"/>
        <v>0</v>
      </c>
      <c r="K1048" s="10">
        <f t="shared" si="76"/>
        <v>0</v>
      </c>
      <c r="L1048" s="7">
        <f t="shared" si="73"/>
        <v>509</v>
      </c>
      <c r="M1048" s="13" t="s">
        <v>18</v>
      </c>
      <c r="N1048"/>
    </row>
    <row r="1049" spans="1:14" ht="24.75" customHeight="1">
      <c r="A1049" s="5">
        <v>1047</v>
      </c>
      <c r="B1049" s="5" t="s">
        <v>19</v>
      </c>
      <c r="C1049" s="5" t="str">
        <f>"李江"</f>
        <v>李江</v>
      </c>
      <c r="D1049" s="5" t="str">
        <f>"460028199007176416"</f>
        <v>460028199007176416</v>
      </c>
      <c r="E1049" s="5" t="s">
        <v>15</v>
      </c>
      <c r="F1049" s="5" t="str">
        <f>"073102030140"</f>
        <v>073102030140</v>
      </c>
      <c r="G1049" s="7">
        <v>0</v>
      </c>
      <c r="H1049" s="7">
        <f t="shared" si="74"/>
        <v>0</v>
      </c>
      <c r="I1049" s="7">
        <v>0</v>
      </c>
      <c r="J1049" s="7">
        <f t="shared" si="75"/>
        <v>0</v>
      </c>
      <c r="K1049" s="10">
        <f t="shared" si="76"/>
        <v>0</v>
      </c>
      <c r="L1049" s="7">
        <f aca="true" t="shared" si="77" ref="L1049:L1112">RANK(K1049,$K$281:$K$1299,0)</f>
        <v>509</v>
      </c>
      <c r="M1049" s="13" t="s">
        <v>18</v>
      </c>
      <c r="N1049"/>
    </row>
    <row r="1050" spans="1:14" ht="24.75" customHeight="1">
      <c r="A1050" s="5">
        <v>1048</v>
      </c>
      <c r="B1050" s="5" t="s">
        <v>19</v>
      </c>
      <c r="C1050" s="5" t="str">
        <f>"羊学姣"</f>
        <v>羊学姣</v>
      </c>
      <c r="D1050" s="5" t="str">
        <f>"460003199312123428"</f>
        <v>460003199312123428</v>
      </c>
      <c r="E1050" s="5" t="s">
        <v>15</v>
      </c>
      <c r="F1050" s="5" t="str">
        <f>"073102030141"</f>
        <v>073102030141</v>
      </c>
      <c r="G1050" s="7">
        <v>0</v>
      </c>
      <c r="H1050" s="7">
        <f t="shared" si="74"/>
        <v>0</v>
      </c>
      <c r="I1050" s="7">
        <v>0</v>
      </c>
      <c r="J1050" s="7">
        <f t="shared" si="75"/>
        <v>0</v>
      </c>
      <c r="K1050" s="10">
        <f t="shared" si="76"/>
        <v>0</v>
      </c>
      <c r="L1050" s="7">
        <f t="shared" si="77"/>
        <v>509</v>
      </c>
      <c r="M1050" s="13" t="s">
        <v>18</v>
      </c>
      <c r="N1050"/>
    </row>
    <row r="1051" spans="1:14" ht="24.75" customHeight="1">
      <c r="A1051" s="5">
        <v>1049</v>
      </c>
      <c r="B1051" s="5" t="s">
        <v>19</v>
      </c>
      <c r="C1051" s="5" t="str">
        <f>"李美珊"</f>
        <v>李美珊</v>
      </c>
      <c r="D1051" s="5" t="str">
        <f>"460003199905080427"</f>
        <v>460003199905080427</v>
      </c>
      <c r="E1051" s="5" t="s">
        <v>15</v>
      </c>
      <c r="F1051" s="5" t="str">
        <f>"073102030201"</f>
        <v>073102030201</v>
      </c>
      <c r="G1051" s="7">
        <v>0</v>
      </c>
      <c r="H1051" s="7">
        <f t="shared" si="74"/>
        <v>0</v>
      </c>
      <c r="I1051" s="7">
        <v>0</v>
      </c>
      <c r="J1051" s="7">
        <f t="shared" si="75"/>
        <v>0</v>
      </c>
      <c r="K1051" s="10">
        <f t="shared" si="76"/>
        <v>0</v>
      </c>
      <c r="L1051" s="7">
        <f t="shared" si="77"/>
        <v>509</v>
      </c>
      <c r="M1051" s="13" t="s">
        <v>18</v>
      </c>
      <c r="N1051"/>
    </row>
    <row r="1052" spans="1:14" ht="24.75" customHeight="1">
      <c r="A1052" s="5">
        <v>1050</v>
      </c>
      <c r="B1052" s="5" t="s">
        <v>19</v>
      </c>
      <c r="C1052" s="5" t="str">
        <f>"谢晋娟"</f>
        <v>谢晋娟</v>
      </c>
      <c r="D1052" s="5" t="str">
        <f>"46000319980611242X"</f>
        <v>46000319980611242X</v>
      </c>
      <c r="E1052" s="5" t="s">
        <v>15</v>
      </c>
      <c r="F1052" s="5" t="str">
        <f>"073102030203"</f>
        <v>073102030203</v>
      </c>
      <c r="G1052" s="7">
        <v>0</v>
      </c>
      <c r="H1052" s="7">
        <f t="shared" si="74"/>
        <v>0</v>
      </c>
      <c r="I1052" s="7">
        <v>0</v>
      </c>
      <c r="J1052" s="7">
        <f t="shared" si="75"/>
        <v>0</v>
      </c>
      <c r="K1052" s="10">
        <f t="shared" si="76"/>
        <v>0</v>
      </c>
      <c r="L1052" s="7">
        <f t="shared" si="77"/>
        <v>509</v>
      </c>
      <c r="M1052" s="13" t="s">
        <v>18</v>
      </c>
      <c r="N1052"/>
    </row>
    <row r="1053" spans="1:14" ht="24.75" customHeight="1">
      <c r="A1053" s="5">
        <v>1051</v>
      </c>
      <c r="B1053" s="5" t="s">
        <v>19</v>
      </c>
      <c r="C1053" s="5" t="str">
        <f>"林亚少"</f>
        <v>林亚少</v>
      </c>
      <c r="D1053" s="5" t="str">
        <f>"460034199810251224"</f>
        <v>460034199810251224</v>
      </c>
      <c r="E1053" s="5" t="s">
        <v>15</v>
      </c>
      <c r="F1053" s="5" t="str">
        <f>"073102030204"</f>
        <v>073102030204</v>
      </c>
      <c r="G1053" s="7">
        <v>0</v>
      </c>
      <c r="H1053" s="7">
        <f t="shared" si="74"/>
        <v>0</v>
      </c>
      <c r="I1053" s="7">
        <v>0</v>
      </c>
      <c r="J1053" s="7">
        <f t="shared" si="75"/>
        <v>0</v>
      </c>
      <c r="K1053" s="10">
        <f t="shared" si="76"/>
        <v>0</v>
      </c>
      <c r="L1053" s="7">
        <f t="shared" si="77"/>
        <v>509</v>
      </c>
      <c r="M1053" s="13" t="s">
        <v>18</v>
      </c>
      <c r="N1053"/>
    </row>
    <row r="1054" spans="1:14" ht="24.75" customHeight="1">
      <c r="A1054" s="5">
        <v>1052</v>
      </c>
      <c r="B1054" s="5" t="s">
        <v>19</v>
      </c>
      <c r="C1054" s="5" t="str">
        <f>"吴茂李"</f>
        <v>吴茂李</v>
      </c>
      <c r="D1054" s="5" t="str">
        <f>"460003199306076020"</f>
        <v>460003199306076020</v>
      </c>
      <c r="E1054" s="5" t="s">
        <v>15</v>
      </c>
      <c r="F1054" s="5" t="str">
        <f>"073102030209"</f>
        <v>073102030209</v>
      </c>
      <c r="G1054" s="7">
        <v>0</v>
      </c>
      <c r="H1054" s="7">
        <f t="shared" si="74"/>
        <v>0</v>
      </c>
      <c r="I1054" s="7">
        <v>0</v>
      </c>
      <c r="J1054" s="7">
        <f t="shared" si="75"/>
        <v>0</v>
      </c>
      <c r="K1054" s="10">
        <f t="shared" si="76"/>
        <v>0</v>
      </c>
      <c r="L1054" s="7">
        <f t="shared" si="77"/>
        <v>509</v>
      </c>
      <c r="M1054" s="13" t="s">
        <v>18</v>
      </c>
      <c r="N1054"/>
    </row>
    <row r="1055" spans="1:14" ht="24.75" customHeight="1">
      <c r="A1055" s="5">
        <v>1053</v>
      </c>
      <c r="B1055" s="5" t="s">
        <v>19</v>
      </c>
      <c r="C1055" s="5" t="str">
        <f>"林宏晶"</f>
        <v>林宏晶</v>
      </c>
      <c r="D1055" s="5" t="str">
        <f>"460007199112010010"</f>
        <v>460007199112010010</v>
      </c>
      <c r="E1055" s="5" t="s">
        <v>15</v>
      </c>
      <c r="F1055" s="5" t="str">
        <f>"073102030212"</f>
        <v>073102030212</v>
      </c>
      <c r="G1055" s="7">
        <v>0</v>
      </c>
      <c r="H1055" s="7">
        <f t="shared" si="74"/>
        <v>0</v>
      </c>
      <c r="I1055" s="7">
        <v>0</v>
      </c>
      <c r="J1055" s="7">
        <f t="shared" si="75"/>
        <v>0</v>
      </c>
      <c r="K1055" s="10">
        <f t="shared" si="76"/>
        <v>0</v>
      </c>
      <c r="L1055" s="7">
        <f t="shared" si="77"/>
        <v>509</v>
      </c>
      <c r="M1055" s="13" t="s">
        <v>18</v>
      </c>
      <c r="N1055"/>
    </row>
    <row r="1056" spans="1:14" ht="24.75" customHeight="1">
      <c r="A1056" s="5">
        <v>1054</v>
      </c>
      <c r="B1056" s="5" t="s">
        <v>19</v>
      </c>
      <c r="C1056" s="5" t="str">
        <f>"陈春叶"</f>
        <v>陈春叶</v>
      </c>
      <c r="D1056" s="5" t="str">
        <f>"460028199504273620"</f>
        <v>460028199504273620</v>
      </c>
      <c r="E1056" s="5" t="s">
        <v>15</v>
      </c>
      <c r="F1056" s="5" t="str">
        <f>"073102030215"</f>
        <v>073102030215</v>
      </c>
      <c r="G1056" s="7">
        <v>0</v>
      </c>
      <c r="H1056" s="7">
        <f t="shared" si="74"/>
        <v>0</v>
      </c>
      <c r="I1056" s="7">
        <v>0</v>
      </c>
      <c r="J1056" s="7">
        <f t="shared" si="75"/>
        <v>0</v>
      </c>
      <c r="K1056" s="10">
        <f t="shared" si="76"/>
        <v>0</v>
      </c>
      <c r="L1056" s="7">
        <f t="shared" si="77"/>
        <v>509</v>
      </c>
      <c r="M1056" s="13" t="s">
        <v>18</v>
      </c>
      <c r="N1056"/>
    </row>
    <row r="1057" spans="1:14" ht="24.75" customHeight="1">
      <c r="A1057" s="5">
        <v>1055</v>
      </c>
      <c r="B1057" s="5" t="s">
        <v>19</v>
      </c>
      <c r="C1057" s="5" t="str">
        <f>"曹文静"</f>
        <v>曹文静</v>
      </c>
      <c r="D1057" s="5" t="str">
        <f>"460005199410260744"</f>
        <v>460005199410260744</v>
      </c>
      <c r="E1057" s="5" t="s">
        <v>15</v>
      </c>
      <c r="F1057" s="5" t="str">
        <f>"073102030216"</f>
        <v>073102030216</v>
      </c>
      <c r="G1057" s="7">
        <v>0</v>
      </c>
      <c r="H1057" s="7">
        <f t="shared" si="74"/>
        <v>0</v>
      </c>
      <c r="I1057" s="7">
        <v>0</v>
      </c>
      <c r="J1057" s="7">
        <f t="shared" si="75"/>
        <v>0</v>
      </c>
      <c r="K1057" s="10">
        <f t="shared" si="76"/>
        <v>0</v>
      </c>
      <c r="L1057" s="7">
        <f t="shared" si="77"/>
        <v>509</v>
      </c>
      <c r="M1057" s="13" t="s">
        <v>18</v>
      </c>
      <c r="N1057"/>
    </row>
    <row r="1058" spans="1:14" ht="24.75" customHeight="1">
      <c r="A1058" s="5">
        <v>1056</v>
      </c>
      <c r="B1058" s="5" t="s">
        <v>19</v>
      </c>
      <c r="C1058" s="5" t="str">
        <f>"甘江瑶"</f>
        <v>甘江瑶</v>
      </c>
      <c r="D1058" s="5" t="str">
        <f>"460003199411070413"</f>
        <v>460003199411070413</v>
      </c>
      <c r="E1058" s="5" t="s">
        <v>15</v>
      </c>
      <c r="F1058" s="5" t="str">
        <f>"073102030217"</f>
        <v>073102030217</v>
      </c>
      <c r="G1058" s="7">
        <v>0</v>
      </c>
      <c r="H1058" s="7">
        <f t="shared" si="74"/>
        <v>0</v>
      </c>
      <c r="I1058" s="7">
        <v>0</v>
      </c>
      <c r="J1058" s="7">
        <f t="shared" si="75"/>
        <v>0</v>
      </c>
      <c r="K1058" s="10">
        <f t="shared" si="76"/>
        <v>0</v>
      </c>
      <c r="L1058" s="7">
        <f t="shared" si="77"/>
        <v>509</v>
      </c>
      <c r="M1058" s="13" t="s">
        <v>18</v>
      </c>
      <c r="N1058"/>
    </row>
    <row r="1059" spans="1:14" ht="24.75" customHeight="1">
      <c r="A1059" s="5">
        <v>1057</v>
      </c>
      <c r="B1059" s="5" t="s">
        <v>19</v>
      </c>
      <c r="C1059" s="5" t="str">
        <f>"李成芳"</f>
        <v>李成芳</v>
      </c>
      <c r="D1059" s="5" t="str">
        <f>"460003199307142210"</f>
        <v>460003199307142210</v>
      </c>
      <c r="E1059" s="5" t="s">
        <v>15</v>
      </c>
      <c r="F1059" s="5" t="str">
        <f>"073102030218"</f>
        <v>073102030218</v>
      </c>
      <c r="G1059" s="7">
        <v>0</v>
      </c>
      <c r="H1059" s="7">
        <f t="shared" si="74"/>
        <v>0</v>
      </c>
      <c r="I1059" s="7">
        <v>0</v>
      </c>
      <c r="J1059" s="7">
        <f t="shared" si="75"/>
        <v>0</v>
      </c>
      <c r="K1059" s="10">
        <f t="shared" si="76"/>
        <v>0</v>
      </c>
      <c r="L1059" s="7">
        <f t="shared" si="77"/>
        <v>509</v>
      </c>
      <c r="M1059" s="13" t="s">
        <v>18</v>
      </c>
      <c r="N1059"/>
    </row>
    <row r="1060" spans="1:14" ht="24.75" customHeight="1">
      <c r="A1060" s="5">
        <v>1058</v>
      </c>
      <c r="B1060" s="5" t="s">
        <v>19</v>
      </c>
      <c r="C1060" s="5" t="str">
        <f>"何琪"</f>
        <v>何琪</v>
      </c>
      <c r="D1060" s="5" t="str">
        <f>"460028199703150826"</f>
        <v>460028199703150826</v>
      </c>
      <c r="E1060" s="5" t="s">
        <v>15</v>
      </c>
      <c r="F1060" s="5" t="str">
        <f>"073102030220"</f>
        <v>073102030220</v>
      </c>
      <c r="G1060" s="7">
        <v>0</v>
      </c>
      <c r="H1060" s="7">
        <f t="shared" si="74"/>
        <v>0</v>
      </c>
      <c r="I1060" s="7">
        <v>0</v>
      </c>
      <c r="J1060" s="7">
        <f t="shared" si="75"/>
        <v>0</v>
      </c>
      <c r="K1060" s="10">
        <f t="shared" si="76"/>
        <v>0</v>
      </c>
      <c r="L1060" s="7">
        <f t="shared" si="77"/>
        <v>509</v>
      </c>
      <c r="M1060" s="13" t="s">
        <v>18</v>
      </c>
      <c r="N1060"/>
    </row>
    <row r="1061" spans="1:14" ht="24.75" customHeight="1">
      <c r="A1061" s="5">
        <v>1059</v>
      </c>
      <c r="B1061" s="5" t="s">
        <v>19</v>
      </c>
      <c r="C1061" s="5" t="str">
        <f>"招雨希"</f>
        <v>招雨希</v>
      </c>
      <c r="D1061" s="5" t="str">
        <f>"460007199911050043"</f>
        <v>460007199911050043</v>
      </c>
      <c r="E1061" s="5" t="s">
        <v>15</v>
      </c>
      <c r="F1061" s="5" t="str">
        <f>"073102030221"</f>
        <v>073102030221</v>
      </c>
      <c r="G1061" s="7">
        <v>0</v>
      </c>
      <c r="H1061" s="7">
        <f t="shared" si="74"/>
        <v>0</v>
      </c>
      <c r="I1061" s="7">
        <v>0</v>
      </c>
      <c r="J1061" s="7">
        <f t="shared" si="75"/>
        <v>0</v>
      </c>
      <c r="K1061" s="10">
        <f t="shared" si="76"/>
        <v>0</v>
      </c>
      <c r="L1061" s="7">
        <f t="shared" si="77"/>
        <v>509</v>
      </c>
      <c r="M1061" s="13" t="s">
        <v>18</v>
      </c>
      <c r="N1061"/>
    </row>
    <row r="1062" spans="1:14" ht="24.75" customHeight="1">
      <c r="A1062" s="5">
        <v>1060</v>
      </c>
      <c r="B1062" s="5" t="s">
        <v>19</v>
      </c>
      <c r="C1062" s="5" t="str">
        <f>"王锦颖"</f>
        <v>王锦颖</v>
      </c>
      <c r="D1062" s="5" t="str">
        <f>"460027199812232015"</f>
        <v>460027199812232015</v>
      </c>
      <c r="E1062" s="5" t="s">
        <v>15</v>
      </c>
      <c r="F1062" s="5" t="str">
        <f>"073102030223"</f>
        <v>073102030223</v>
      </c>
      <c r="G1062" s="7">
        <v>0</v>
      </c>
      <c r="H1062" s="7">
        <f t="shared" si="74"/>
        <v>0</v>
      </c>
      <c r="I1062" s="7">
        <v>0</v>
      </c>
      <c r="J1062" s="7">
        <f t="shared" si="75"/>
        <v>0</v>
      </c>
      <c r="K1062" s="10">
        <f t="shared" si="76"/>
        <v>0</v>
      </c>
      <c r="L1062" s="7">
        <f t="shared" si="77"/>
        <v>509</v>
      </c>
      <c r="M1062" s="13" t="s">
        <v>18</v>
      </c>
      <c r="N1062"/>
    </row>
    <row r="1063" spans="1:14" ht="24.75" customHeight="1">
      <c r="A1063" s="5">
        <v>1061</v>
      </c>
      <c r="B1063" s="5" t="s">
        <v>19</v>
      </c>
      <c r="C1063" s="5" t="str">
        <f>"许梅"</f>
        <v>许梅</v>
      </c>
      <c r="D1063" s="5" t="str">
        <f>"460033199611020021"</f>
        <v>460033199611020021</v>
      </c>
      <c r="E1063" s="5" t="s">
        <v>15</v>
      </c>
      <c r="F1063" s="5" t="str">
        <f>"073102030225"</f>
        <v>073102030225</v>
      </c>
      <c r="G1063" s="7">
        <v>0</v>
      </c>
      <c r="H1063" s="7">
        <f t="shared" si="74"/>
        <v>0</v>
      </c>
      <c r="I1063" s="7">
        <v>0</v>
      </c>
      <c r="J1063" s="7">
        <f t="shared" si="75"/>
        <v>0</v>
      </c>
      <c r="K1063" s="10">
        <f t="shared" si="76"/>
        <v>0</v>
      </c>
      <c r="L1063" s="7">
        <f t="shared" si="77"/>
        <v>509</v>
      </c>
      <c r="M1063" s="13" t="s">
        <v>18</v>
      </c>
      <c r="N1063"/>
    </row>
    <row r="1064" spans="1:14" ht="24.75" customHeight="1">
      <c r="A1064" s="5">
        <v>1062</v>
      </c>
      <c r="B1064" s="5" t="s">
        <v>19</v>
      </c>
      <c r="C1064" s="5" t="str">
        <f>"陈开昌"</f>
        <v>陈开昌</v>
      </c>
      <c r="D1064" s="5" t="str">
        <f>"460003199507203014"</f>
        <v>460003199507203014</v>
      </c>
      <c r="E1064" s="5" t="s">
        <v>15</v>
      </c>
      <c r="F1064" s="5" t="str">
        <f>"073102030226"</f>
        <v>073102030226</v>
      </c>
      <c r="G1064" s="7">
        <v>0</v>
      </c>
      <c r="H1064" s="7">
        <f t="shared" si="74"/>
        <v>0</v>
      </c>
      <c r="I1064" s="7">
        <v>0</v>
      </c>
      <c r="J1064" s="7">
        <f t="shared" si="75"/>
        <v>0</v>
      </c>
      <c r="K1064" s="10">
        <f t="shared" si="76"/>
        <v>0</v>
      </c>
      <c r="L1064" s="7">
        <f t="shared" si="77"/>
        <v>509</v>
      </c>
      <c r="M1064" s="13" t="s">
        <v>18</v>
      </c>
      <c r="N1064"/>
    </row>
    <row r="1065" spans="1:14" ht="24.75" customHeight="1">
      <c r="A1065" s="5">
        <v>1063</v>
      </c>
      <c r="B1065" s="5" t="s">
        <v>19</v>
      </c>
      <c r="C1065" s="5" t="str">
        <f>"曾子恒"</f>
        <v>曾子恒</v>
      </c>
      <c r="D1065" s="5" t="str">
        <f>"469003199801310310"</f>
        <v>469003199801310310</v>
      </c>
      <c r="E1065" s="5" t="s">
        <v>15</v>
      </c>
      <c r="F1065" s="5" t="str">
        <f>"073102030227"</f>
        <v>073102030227</v>
      </c>
      <c r="G1065" s="7">
        <v>0</v>
      </c>
      <c r="H1065" s="7">
        <f t="shared" si="74"/>
        <v>0</v>
      </c>
      <c r="I1065" s="7">
        <v>0</v>
      </c>
      <c r="J1065" s="7">
        <f t="shared" si="75"/>
        <v>0</v>
      </c>
      <c r="K1065" s="10">
        <f t="shared" si="76"/>
        <v>0</v>
      </c>
      <c r="L1065" s="7">
        <f t="shared" si="77"/>
        <v>509</v>
      </c>
      <c r="M1065" s="13" t="s">
        <v>18</v>
      </c>
      <c r="N1065"/>
    </row>
    <row r="1066" spans="1:14" ht="24.75" customHeight="1">
      <c r="A1066" s="5">
        <v>1064</v>
      </c>
      <c r="B1066" s="5" t="s">
        <v>19</v>
      </c>
      <c r="C1066" s="5" t="str">
        <f>"李影"</f>
        <v>李影</v>
      </c>
      <c r="D1066" s="5" t="str">
        <f>"460027199707182984"</f>
        <v>460027199707182984</v>
      </c>
      <c r="E1066" s="5" t="s">
        <v>15</v>
      </c>
      <c r="F1066" s="5" t="str">
        <f>"073102030229"</f>
        <v>073102030229</v>
      </c>
      <c r="G1066" s="7">
        <v>0</v>
      </c>
      <c r="H1066" s="7">
        <f t="shared" si="74"/>
        <v>0</v>
      </c>
      <c r="I1066" s="7">
        <v>0</v>
      </c>
      <c r="J1066" s="7">
        <f t="shared" si="75"/>
        <v>0</v>
      </c>
      <c r="K1066" s="10">
        <f t="shared" si="76"/>
        <v>0</v>
      </c>
      <c r="L1066" s="7">
        <f t="shared" si="77"/>
        <v>509</v>
      </c>
      <c r="M1066" s="13" t="s">
        <v>18</v>
      </c>
      <c r="N1066"/>
    </row>
    <row r="1067" spans="1:14" ht="24.75" customHeight="1">
      <c r="A1067" s="5">
        <v>1065</v>
      </c>
      <c r="B1067" s="5" t="s">
        <v>19</v>
      </c>
      <c r="C1067" s="5" t="str">
        <f>"符梦云"</f>
        <v>符梦云</v>
      </c>
      <c r="D1067" s="5" t="str">
        <f>"460007199809220026"</f>
        <v>460007199809220026</v>
      </c>
      <c r="E1067" s="5" t="s">
        <v>15</v>
      </c>
      <c r="F1067" s="5" t="str">
        <f>"073102030231"</f>
        <v>073102030231</v>
      </c>
      <c r="G1067" s="7">
        <v>0</v>
      </c>
      <c r="H1067" s="7">
        <f t="shared" si="74"/>
        <v>0</v>
      </c>
      <c r="I1067" s="7">
        <v>0</v>
      </c>
      <c r="J1067" s="7">
        <f t="shared" si="75"/>
        <v>0</v>
      </c>
      <c r="K1067" s="10">
        <f t="shared" si="76"/>
        <v>0</v>
      </c>
      <c r="L1067" s="7">
        <f t="shared" si="77"/>
        <v>509</v>
      </c>
      <c r="M1067" s="13" t="s">
        <v>18</v>
      </c>
      <c r="N1067"/>
    </row>
    <row r="1068" spans="1:14" ht="24.75" customHeight="1">
      <c r="A1068" s="5">
        <v>1066</v>
      </c>
      <c r="B1068" s="5" t="s">
        <v>19</v>
      </c>
      <c r="C1068" s="5" t="str">
        <f>"王立慧"</f>
        <v>王立慧</v>
      </c>
      <c r="D1068" s="5" t="str">
        <f>"460003199407220618"</f>
        <v>460003199407220618</v>
      </c>
      <c r="E1068" s="5" t="s">
        <v>15</v>
      </c>
      <c r="F1068" s="5" t="str">
        <f>"073102030234"</f>
        <v>073102030234</v>
      </c>
      <c r="G1068" s="7">
        <v>0</v>
      </c>
      <c r="H1068" s="7">
        <f t="shared" si="74"/>
        <v>0</v>
      </c>
      <c r="I1068" s="7">
        <v>0</v>
      </c>
      <c r="J1068" s="7">
        <f t="shared" si="75"/>
        <v>0</v>
      </c>
      <c r="K1068" s="10">
        <f t="shared" si="76"/>
        <v>0</v>
      </c>
      <c r="L1068" s="7">
        <f t="shared" si="77"/>
        <v>509</v>
      </c>
      <c r="M1068" s="13" t="s">
        <v>18</v>
      </c>
      <c r="N1068"/>
    </row>
    <row r="1069" spans="1:14" ht="24.75" customHeight="1">
      <c r="A1069" s="5">
        <v>1067</v>
      </c>
      <c r="B1069" s="5" t="s">
        <v>19</v>
      </c>
      <c r="C1069" s="5" t="str">
        <f>"钟丽丽"</f>
        <v>钟丽丽</v>
      </c>
      <c r="D1069" s="5" t="str">
        <f>"460003199805227823"</f>
        <v>460003199805227823</v>
      </c>
      <c r="E1069" s="5" t="s">
        <v>15</v>
      </c>
      <c r="F1069" s="5" t="str">
        <f>"073102030236"</f>
        <v>073102030236</v>
      </c>
      <c r="G1069" s="7">
        <v>0</v>
      </c>
      <c r="H1069" s="7">
        <f t="shared" si="74"/>
        <v>0</v>
      </c>
      <c r="I1069" s="7">
        <v>0</v>
      </c>
      <c r="J1069" s="7">
        <f t="shared" si="75"/>
        <v>0</v>
      </c>
      <c r="K1069" s="10">
        <f t="shared" si="76"/>
        <v>0</v>
      </c>
      <c r="L1069" s="7">
        <f t="shared" si="77"/>
        <v>509</v>
      </c>
      <c r="M1069" s="13" t="s">
        <v>18</v>
      </c>
      <c r="N1069"/>
    </row>
    <row r="1070" spans="1:14" ht="24.75" customHeight="1">
      <c r="A1070" s="5">
        <v>1068</v>
      </c>
      <c r="B1070" s="5" t="s">
        <v>19</v>
      </c>
      <c r="C1070" s="5" t="str">
        <f>"梁萁芬"</f>
        <v>梁萁芬</v>
      </c>
      <c r="D1070" s="5" t="str">
        <f>"460001199905241523"</f>
        <v>460001199905241523</v>
      </c>
      <c r="E1070" s="5" t="s">
        <v>15</v>
      </c>
      <c r="F1070" s="5" t="str">
        <f>"073102030237"</f>
        <v>073102030237</v>
      </c>
      <c r="G1070" s="7">
        <v>0</v>
      </c>
      <c r="H1070" s="7">
        <f t="shared" si="74"/>
        <v>0</v>
      </c>
      <c r="I1070" s="7">
        <v>0</v>
      </c>
      <c r="J1070" s="7">
        <f t="shared" si="75"/>
        <v>0</v>
      </c>
      <c r="K1070" s="10">
        <f t="shared" si="76"/>
        <v>0</v>
      </c>
      <c r="L1070" s="7">
        <f t="shared" si="77"/>
        <v>509</v>
      </c>
      <c r="M1070" s="13" t="s">
        <v>18</v>
      </c>
      <c r="N1070"/>
    </row>
    <row r="1071" spans="1:14" ht="24.75" customHeight="1">
      <c r="A1071" s="5">
        <v>1069</v>
      </c>
      <c r="B1071" s="5" t="s">
        <v>19</v>
      </c>
      <c r="C1071" s="5" t="str">
        <f>"曾进秋"</f>
        <v>曾进秋</v>
      </c>
      <c r="D1071" s="5" t="str">
        <f>"460030199305193048"</f>
        <v>460030199305193048</v>
      </c>
      <c r="E1071" s="5" t="s">
        <v>15</v>
      </c>
      <c r="F1071" s="5" t="str">
        <f>"073102030238"</f>
        <v>073102030238</v>
      </c>
      <c r="G1071" s="7">
        <v>0</v>
      </c>
      <c r="H1071" s="7">
        <f t="shared" si="74"/>
        <v>0</v>
      </c>
      <c r="I1071" s="7">
        <v>0</v>
      </c>
      <c r="J1071" s="7">
        <f t="shared" si="75"/>
        <v>0</v>
      </c>
      <c r="K1071" s="10">
        <f t="shared" si="76"/>
        <v>0</v>
      </c>
      <c r="L1071" s="7">
        <f t="shared" si="77"/>
        <v>509</v>
      </c>
      <c r="M1071" s="13" t="s">
        <v>18</v>
      </c>
      <c r="N1071"/>
    </row>
    <row r="1072" spans="1:14" ht="24.75" customHeight="1">
      <c r="A1072" s="5">
        <v>1070</v>
      </c>
      <c r="B1072" s="5" t="s">
        <v>19</v>
      </c>
      <c r="C1072" s="5" t="str">
        <f>"王东丽"</f>
        <v>王东丽</v>
      </c>
      <c r="D1072" s="5" t="str">
        <f>"460033199711043888"</f>
        <v>460033199711043888</v>
      </c>
      <c r="E1072" s="5" t="s">
        <v>15</v>
      </c>
      <c r="F1072" s="5" t="str">
        <f>"073102030241"</f>
        <v>073102030241</v>
      </c>
      <c r="G1072" s="7">
        <v>0</v>
      </c>
      <c r="H1072" s="7">
        <f t="shared" si="74"/>
        <v>0</v>
      </c>
      <c r="I1072" s="7">
        <v>0</v>
      </c>
      <c r="J1072" s="7">
        <f t="shared" si="75"/>
        <v>0</v>
      </c>
      <c r="K1072" s="10">
        <f t="shared" si="76"/>
        <v>0</v>
      </c>
      <c r="L1072" s="7">
        <f t="shared" si="77"/>
        <v>509</v>
      </c>
      <c r="M1072" s="13" t="s">
        <v>18</v>
      </c>
      <c r="N1072"/>
    </row>
    <row r="1073" spans="1:14" ht="24.75" customHeight="1">
      <c r="A1073" s="5">
        <v>1071</v>
      </c>
      <c r="B1073" s="5" t="s">
        <v>19</v>
      </c>
      <c r="C1073" s="5" t="str">
        <f>"薛佳琳"</f>
        <v>薛佳琳</v>
      </c>
      <c r="D1073" s="5" t="str">
        <f>"469003199609075621"</f>
        <v>469003199609075621</v>
      </c>
      <c r="E1073" s="5" t="s">
        <v>15</v>
      </c>
      <c r="F1073" s="5" t="str">
        <f>"073102030242"</f>
        <v>073102030242</v>
      </c>
      <c r="G1073" s="7">
        <v>0</v>
      </c>
      <c r="H1073" s="7">
        <f t="shared" si="74"/>
        <v>0</v>
      </c>
      <c r="I1073" s="7">
        <v>0</v>
      </c>
      <c r="J1073" s="7">
        <f t="shared" si="75"/>
        <v>0</v>
      </c>
      <c r="K1073" s="10">
        <f t="shared" si="76"/>
        <v>0</v>
      </c>
      <c r="L1073" s="7">
        <f t="shared" si="77"/>
        <v>509</v>
      </c>
      <c r="M1073" s="13" t="s">
        <v>18</v>
      </c>
      <c r="N1073"/>
    </row>
    <row r="1074" spans="1:14" ht="24.75" customHeight="1">
      <c r="A1074" s="5">
        <v>1072</v>
      </c>
      <c r="B1074" s="5" t="s">
        <v>19</v>
      </c>
      <c r="C1074" s="5" t="str">
        <f>"林嫣嫣"</f>
        <v>林嫣嫣</v>
      </c>
      <c r="D1074" s="5" t="str">
        <f>"46003419960305472X"</f>
        <v>46003419960305472X</v>
      </c>
      <c r="E1074" s="5" t="s">
        <v>15</v>
      </c>
      <c r="F1074" s="5" t="str">
        <f>"073102030302"</f>
        <v>073102030302</v>
      </c>
      <c r="G1074" s="7">
        <v>0</v>
      </c>
      <c r="H1074" s="7">
        <f t="shared" si="74"/>
        <v>0</v>
      </c>
      <c r="I1074" s="7">
        <v>0</v>
      </c>
      <c r="J1074" s="7">
        <f t="shared" si="75"/>
        <v>0</v>
      </c>
      <c r="K1074" s="10">
        <f t="shared" si="76"/>
        <v>0</v>
      </c>
      <c r="L1074" s="7">
        <f t="shared" si="77"/>
        <v>509</v>
      </c>
      <c r="M1074" s="13" t="s">
        <v>18</v>
      </c>
      <c r="N1074"/>
    </row>
    <row r="1075" spans="1:14" ht="24.75" customHeight="1">
      <c r="A1075" s="5">
        <v>1073</v>
      </c>
      <c r="B1075" s="5" t="s">
        <v>19</v>
      </c>
      <c r="C1075" s="5" t="str">
        <f>"王伟"</f>
        <v>王伟</v>
      </c>
      <c r="D1075" s="5" t="str">
        <f>"460030199502100015"</f>
        <v>460030199502100015</v>
      </c>
      <c r="E1075" s="5" t="s">
        <v>15</v>
      </c>
      <c r="F1075" s="5" t="str">
        <f>"073102030304"</f>
        <v>073102030304</v>
      </c>
      <c r="G1075" s="7">
        <v>0</v>
      </c>
      <c r="H1075" s="7">
        <f t="shared" si="74"/>
        <v>0</v>
      </c>
      <c r="I1075" s="7">
        <v>0</v>
      </c>
      <c r="J1075" s="7">
        <f t="shared" si="75"/>
        <v>0</v>
      </c>
      <c r="K1075" s="10">
        <f t="shared" si="76"/>
        <v>0</v>
      </c>
      <c r="L1075" s="7">
        <f t="shared" si="77"/>
        <v>509</v>
      </c>
      <c r="M1075" s="13" t="s">
        <v>18</v>
      </c>
      <c r="N1075"/>
    </row>
    <row r="1076" spans="1:14" ht="24.75" customHeight="1">
      <c r="A1076" s="5">
        <v>1074</v>
      </c>
      <c r="B1076" s="5" t="s">
        <v>19</v>
      </c>
      <c r="C1076" s="5" t="str">
        <f>"陈善亮"</f>
        <v>陈善亮</v>
      </c>
      <c r="D1076" s="5" t="str">
        <f>"469003199702086720"</f>
        <v>469003199702086720</v>
      </c>
      <c r="E1076" s="5" t="s">
        <v>15</v>
      </c>
      <c r="F1076" s="5" t="str">
        <f>"073102030306"</f>
        <v>073102030306</v>
      </c>
      <c r="G1076" s="7">
        <v>0</v>
      </c>
      <c r="H1076" s="7">
        <f t="shared" si="74"/>
        <v>0</v>
      </c>
      <c r="I1076" s="7">
        <v>0</v>
      </c>
      <c r="J1076" s="7">
        <f t="shared" si="75"/>
        <v>0</v>
      </c>
      <c r="K1076" s="10">
        <f t="shared" si="76"/>
        <v>0</v>
      </c>
      <c r="L1076" s="7">
        <f t="shared" si="77"/>
        <v>509</v>
      </c>
      <c r="M1076" s="13" t="s">
        <v>18</v>
      </c>
      <c r="N1076"/>
    </row>
    <row r="1077" spans="1:14" ht="24.75" customHeight="1">
      <c r="A1077" s="5">
        <v>1075</v>
      </c>
      <c r="B1077" s="5" t="s">
        <v>19</v>
      </c>
      <c r="C1077" s="5" t="str">
        <f>"郭文慧 "</f>
        <v>郭文慧 </v>
      </c>
      <c r="D1077" s="5" t="str">
        <f>"46002819980608282X"</f>
        <v>46002819980608282X</v>
      </c>
      <c r="E1077" s="5" t="s">
        <v>15</v>
      </c>
      <c r="F1077" s="5" t="str">
        <f>"073102030307"</f>
        <v>073102030307</v>
      </c>
      <c r="G1077" s="7">
        <v>0</v>
      </c>
      <c r="H1077" s="7">
        <f t="shared" si="74"/>
        <v>0</v>
      </c>
      <c r="I1077" s="7">
        <v>0</v>
      </c>
      <c r="J1077" s="7">
        <f t="shared" si="75"/>
        <v>0</v>
      </c>
      <c r="K1077" s="10">
        <f t="shared" si="76"/>
        <v>0</v>
      </c>
      <c r="L1077" s="7">
        <f t="shared" si="77"/>
        <v>509</v>
      </c>
      <c r="M1077" s="13" t="s">
        <v>18</v>
      </c>
      <c r="N1077"/>
    </row>
    <row r="1078" spans="1:14" ht="24.75" customHeight="1">
      <c r="A1078" s="5">
        <v>1076</v>
      </c>
      <c r="B1078" s="5" t="s">
        <v>19</v>
      </c>
      <c r="C1078" s="5" t="str">
        <f>"黄瑾"</f>
        <v>黄瑾</v>
      </c>
      <c r="D1078" s="5" t="str">
        <f>"460001199408310727"</f>
        <v>460001199408310727</v>
      </c>
      <c r="E1078" s="5" t="s">
        <v>15</v>
      </c>
      <c r="F1078" s="5" t="str">
        <f>"073102030314"</f>
        <v>073102030314</v>
      </c>
      <c r="G1078" s="7">
        <v>0</v>
      </c>
      <c r="H1078" s="7">
        <f t="shared" si="74"/>
        <v>0</v>
      </c>
      <c r="I1078" s="7">
        <v>0</v>
      </c>
      <c r="J1078" s="7">
        <f t="shared" si="75"/>
        <v>0</v>
      </c>
      <c r="K1078" s="10">
        <f t="shared" si="76"/>
        <v>0</v>
      </c>
      <c r="L1078" s="7">
        <f t="shared" si="77"/>
        <v>509</v>
      </c>
      <c r="M1078" s="13" t="s">
        <v>18</v>
      </c>
      <c r="N1078"/>
    </row>
    <row r="1079" spans="1:14" ht="24.75" customHeight="1">
      <c r="A1079" s="5">
        <v>1077</v>
      </c>
      <c r="B1079" s="5" t="s">
        <v>19</v>
      </c>
      <c r="C1079" s="5" t="str">
        <f>"吴金代"</f>
        <v>吴金代</v>
      </c>
      <c r="D1079" s="5" t="str">
        <f>"460003199212184645"</f>
        <v>460003199212184645</v>
      </c>
      <c r="E1079" s="5" t="s">
        <v>15</v>
      </c>
      <c r="F1079" s="5" t="str">
        <f>"073102030316"</f>
        <v>073102030316</v>
      </c>
      <c r="G1079" s="7">
        <v>0</v>
      </c>
      <c r="H1079" s="7">
        <f t="shared" si="74"/>
        <v>0</v>
      </c>
      <c r="I1079" s="7">
        <v>0</v>
      </c>
      <c r="J1079" s="7">
        <f t="shared" si="75"/>
        <v>0</v>
      </c>
      <c r="K1079" s="10">
        <f t="shared" si="76"/>
        <v>0</v>
      </c>
      <c r="L1079" s="7">
        <f t="shared" si="77"/>
        <v>509</v>
      </c>
      <c r="M1079" s="13" t="s">
        <v>18</v>
      </c>
      <c r="N1079"/>
    </row>
    <row r="1080" spans="1:14" ht="24.75" customHeight="1">
      <c r="A1080" s="5">
        <v>1078</v>
      </c>
      <c r="B1080" s="5" t="s">
        <v>19</v>
      </c>
      <c r="C1080" s="5" t="str">
        <f>"唐禾"</f>
        <v>唐禾</v>
      </c>
      <c r="D1080" s="5" t="str">
        <f>"460102199709291242"</f>
        <v>460102199709291242</v>
      </c>
      <c r="E1080" s="5" t="s">
        <v>15</v>
      </c>
      <c r="F1080" s="5" t="str">
        <f>"073102030319"</f>
        <v>073102030319</v>
      </c>
      <c r="G1080" s="7">
        <v>0</v>
      </c>
      <c r="H1080" s="7">
        <f t="shared" si="74"/>
        <v>0</v>
      </c>
      <c r="I1080" s="7">
        <v>0</v>
      </c>
      <c r="J1080" s="7">
        <f t="shared" si="75"/>
        <v>0</v>
      </c>
      <c r="K1080" s="10">
        <f t="shared" si="76"/>
        <v>0</v>
      </c>
      <c r="L1080" s="7">
        <f t="shared" si="77"/>
        <v>509</v>
      </c>
      <c r="M1080" s="13" t="s">
        <v>18</v>
      </c>
      <c r="N1080"/>
    </row>
    <row r="1081" spans="1:14" ht="24.75" customHeight="1">
      <c r="A1081" s="5">
        <v>1079</v>
      </c>
      <c r="B1081" s="5" t="s">
        <v>19</v>
      </c>
      <c r="C1081" s="5" t="str">
        <f>"郑玉梅"</f>
        <v>郑玉梅</v>
      </c>
      <c r="D1081" s="5" t="str">
        <f>"469003199310038420"</f>
        <v>469003199310038420</v>
      </c>
      <c r="E1081" s="5" t="s">
        <v>15</v>
      </c>
      <c r="F1081" s="5" t="str">
        <f>"073102030320"</f>
        <v>073102030320</v>
      </c>
      <c r="G1081" s="7">
        <v>0</v>
      </c>
      <c r="H1081" s="7">
        <f t="shared" si="74"/>
        <v>0</v>
      </c>
      <c r="I1081" s="7">
        <v>0</v>
      </c>
      <c r="J1081" s="7">
        <f t="shared" si="75"/>
        <v>0</v>
      </c>
      <c r="K1081" s="10">
        <f t="shared" si="76"/>
        <v>0</v>
      </c>
      <c r="L1081" s="7">
        <f t="shared" si="77"/>
        <v>509</v>
      </c>
      <c r="M1081" s="13" t="s">
        <v>18</v>
      </c>
      <c r="N1081"/>
    </row>
    <row r="1082" spans="1:14" ht="24.75" customHeight="1">
      <c r="A1082" s="5">
        <v>1080</v>
      </c>
      <c r="B1082" s="5" t="s">
        <v>19</v>
      </c>
      <c r="C1082" s="5" t="str">
        <f>"庞晴晴"</f>
        <v>庞晴晴</v>
      </c>
      <c r="D1082" s="5" t="str">
        <f>"460003199911150428"</f>
        <v>460003199911150428</v>
      </c>
      <c r="E1082" s="5" t="s">
        <v>15</v>
      </c>
      <c r="F1082" s="5" t="str">
        <f>"073102030321"</f>
        <v>073102030321</v>
      </c>
      <c r="G1082" s="7">
        <v>0</v>
      </c>
      <c r="H1082" s="7">
        <f t="shared" si="74"/>
        <v>0</v>
      </c>
      <c r="I1082" s="7">
        <v>0</v>
      </c>
      <c r="J1082" s="7">
        <f t="shared" si="75"/>
        <v>0</v>
      </c>
      <c r="K1082" s="10">
        <f t="shared" si="76"/>
        <v>0</v>
      </c>
      <c r="L1082" s="7">
        <f t="shared" si="77"/>
        <v>509</v>
      </c>
      <c r="M1082" s="13" t="s">
        <v>18</v>
      </c>
      <c r="N1082"/>
    </row>
    <row r="1083" spans="1:14" ht="24.75" customHeight="1">
      <c r="A1083" s="5">
        <v>1081</v>
      </c>
      <c r="B1083" s="5" t="s">
        <v>19</v>
      </c>
      <c r="C1083" s="5" t="str">
        <f>"李美坚"</f>
        <v>李美坚</v>
      </c>
      <c r="D1083" s="5" t="str">
        <f>"460003199509042242"</f>
        <v>460003199509042242</v>
      </c>
      <c r="E1083" s="5" t="s">
        <v>15</v>
      </c>
      <c r="F1083" s="5" t="str">
        <f>"073102030326"</f>
        <v>073102030326</v>
      </c>
      <c r="G1083" s="7">
        <v>0</v>
      </c>
      <c r="H1083" s="7">
        <f t="shared" si="74"/>
        <v>0</v>
      </c>
      <c r="I1083" s="7">
        <v>0</v>
      </c>
      <c r="J1083" s="7">
        <f t="shared" si="75"/>
        <v>0</v>
      </c>
      <c r="K1083" s="10">
        <f t="shared" si="76"/>
        <v>0</v>
      </c>
      <c r="L1083" s="7">
        <f t="shared" si="77"/>
        <v>509</v>
      </c>
      <c r="M1083" s="13" t="s">
        <v>18</v>
      </c>
      <c r="N1083"/>
    </row>
    <row r="1084" spans="1:14" ht="24.75" customHeight="1">
      <c r="A1084" s="5">
        <v>1082</v>
      </c>
      <c r="B1084" s="5" t="s">
        <v>19</v>
      </c>
      <c r="C1084" s="5" t="str">
        <f>"王馨"</f>
        <v>王馨</v>
      </c>
      <c r="D1084" s="5" t="str">
        <f>"460003199907245221"</f>
        <v>460003199907245221</v>
      </c>
      <c r="E1084" s="5" t="s">
        <v>15</v>
      </c>
      <c r="F1084" s="5" t="str">
        <f>"073102030329"</f>
        <v>073102030329</v>
      </c>
      <c r="G1084" s="7">
        <v>0</v>
      </c>
      <c r="H1084" s="7">
        <f t="shared" si="74"/>
        <v>0</v>
      </c>
      <c r="I1084" s="7">
        <v>0</v>
      </c>
      <c r="J1084" s="7">
        <f t="shared" si="75"/>
        <v>0</v>
      </c>
      <c r="K1084" s="10">
        <f t="shared" si="76"/>
        <v>0</v>
      </c>
      <c r="L1084" s="7">
        <f t="shared" si="77"/>
        <v>509</v>
      </c>
      <c r="M1084" s="13" t="s">
        <v>18</v>
      </c>
      <c r="N1084"/>
    </row>
    <row r="1085" spans="1:14" ht="24.75" customHeight="1">
      <c r="A1085" s="5">
        <v>1083</v>
      </c>
      <c r="B1085" s="5" t="s">
        <v>19</v>
      </c>
      <c r="C1085" s="5" t="str">
        <f>"赵学伟"</f>
        <v>赵学伟</v>
      </c>
      <c r="D1085" s="5" t="str">
        <f>"46000319940317401X"</f>
        <v>46000319940317401X</v>
      </c>
      <c r="E1085" s="5" t="s">
        <v>15</v>
      </c>
      <c r="F1085" s="5" t="str">
        <f>"073102030332"</f>
        <v>073102030332</v>
      </c>
      <c r="G1085" s="7">
        <v>0</v>
      </c>
      <c r="H1085" s="7">
        <f t="shared" si="74"/>
        <v>0</v>
      </c>
      <c r="I1085" s="7">
        <v>0</v>
      </c>
      <c r="J1085" s="7">
        <f t="shared" si="75"/>
        <v>0</v>
      </c>
      <c r="K1085" s="10">
        <f t="shared" si="76"/>
        <v>0</v>
      </c>
      <c r="L1085" s="7">
        <f t="shared" si="77"/>
        <v>509</v>
      </c>
      <c r="M1085" s="13" t="s">
        <v>18</v>
      </c>
      <c r="N1085"/>
    </row>
    <row r="1086" spans="1:14" ht="24.75" customHeight="1">
      <c r="A1086" s="5">
        <v>1084</v>
      </c>
      <c r="B1086" s="5" t="s">
        <v>19</v>
      </c>
      <c r="C1086" s="5" t="str">
        <f>"王和辉"</f>
        <v>王和辉</v>
      </c>
      <c r="D1086" s="5" t="str">
        <f>"460003199510020016"</f>
        <v>460003199510020016</v>
      </c>
      <c r="E1086" s="5" t="s">
        <v>15</v>
      </c>
      <c r="F1086" s="5" t="str">
        <f>"073102030336"</f>
        <v>073102030336</v>
      </c>
      <c r="G1086" s="7">
        <v>0</v>
      </c>
      <c r="H1086" s="7">
        <f t="shared" si="74"/>
        <v>0</v>
      </c>
      <c r="I1086" s="7">
        <v>0</v>
      </c>
      <c r="J1086" s="7">
        <f t="shared" si="75"/>
        <v>0</v>
      </c>
      <c r="K1086" s="10">
        <f t="shared" si="76"/>
        <v>0</v>
      </c>
      <c r="L1086" s="7">
        <f t="shared" si="77"/>
        <v>509</v>
      </c>
      <c r="M1086" s="13" t="s">
        <v>18</v>
      </c>
      <c r="N1086"/>
    </row>
    <row r="1087" spans="1:14" ht="24.75" customHeight="1">
      <c r="A1087" s="5">
        <v>1085</v>
      </c>
      <c r="B1087" s="5" t="s">
        <v>19</v>
      </c>
      <c r="C1087" s="5" t="str">
        <f>"王明贤"</f>
        <v>王明贤</v>
      </c>
      <c r="D1087" s="5" t="str">
        <f>"460003199308080058"</f>
        <v>460003199308080058</v>
      </c>
      <c r="E1087" s="5" t="s">
        <v>15</v>
      </c>
      <c r="F1087" s="5" t="str">
        <f>"073102030337"</f>
        <v>073102030337</v>
      </c>
      <c r="G1087" s="7">
        <v>0</v>
      </c>
      <c r="H1087" s="7">
        <f t="shared" si="74"/>
        <v>0</v>
      </c>
      <c r="I1087" s="7">
        <v>0</v>
      </c>
      <c r="J1087" s="7">
        <f t="shared" si="75"/>
        <v>0</v>
      </c>
      <c r="K1087" s="10">
        <f t="shared" si="76"/>
        <v>0</v>
      </c>
      <c r="L1087" s="7">
        <f t="shared" si="77"/>
        <v>509</v>
      </c>
      <c r="M1087" s="13" t="s">
        <v>18</v>
      </c>
      <c r="N1087"/>
    </row>
    <row r="1088" spans="1:14" ht="24.75" customHeight="1">
      <c r="A1088" s="5">
        <v>1086</v>
      </c>
      <c r="B1088" s="5" t="s">
        <v>19</v>
      </c>
      <c r="C1088" s="5" t="str">
        <f>"符春乾"</f>
        <v>符春乾</v>
      </c>
      <c r="D1088" s="5" t="str">
        <f>"460003199610024225"</f>
        <v>460003199610024225</v>
      </c>
      <c r="E1088" s="5" t="s">
        <v>15</v>
      </c>
      <c r="F1088" s="5" t="str">
        <f>"073102030338"</f>
        <v>073102030338</v>
      </c>
      <c r="G1088" s="7">
        <v>0</v>
      </c>
      <c r="H1088" s="7">
        <f t="shared" si="74"/>
        <v>0</v>
      </c>
      <c r="I1088" s="7">
        <v>0</v>
      </c>
      <c r="J1088" s="7">
        <f t="shared" si="75"/>
        <v>0</v>
      </c>
      <c r="K1088" s="10">
        <f t="shared" si="76"/>
        <v>0</v>
      </c>
      <c r="L1088" s="7">
        <f t="shared" si="77"/>
        <v>509</v>
      </c>
      <c r="M1088" s="13" t="s">
        <v>18</v>
      </c>
      <c r="N1088"/>
    </row>
    <row r="1089" spans="1:14" ht="24.75" customHeight="1">
      <c r="A1089" s="5">
        <v>1087</v>
      </c>
      <c r="B1089" s="5" t="s">
        <v>19</v>
      </c>
      <c r="C1089" s="5" t="str">
        <f>"李莉芬"</f>
        <v>李莉芬</v>
      </c>
      <c r="D1089" s="5" t="str">
        <f>"460003199304064827"</f>
        <v>460003199304064827</v>
      </c>
      <c r="E1089" s="5" t="s">
        <v>15</v>
      </c>
      <c r="F1089" s="5" t="str">
        <f>"073102030339"</f>
        <v>073102030339</v>
      </c>
      <c r="G1089" s="7">
        <v>0</v>
      </c>
      <c r="H1089" s="7">
        <f t="shared" si="74"/>
        <v>0</v>
      </c>
      <c r="I1089" s="7">
        <v>0</v>
      </c>
      <c r="J1089" s="7">
        <f t="shared" si="75"/>
        <v>0</v>
      </c>
      <c r="K1089" s="10">
        <f t="shared" si="76"/>
        <v>0</v>
      </c>
      <c r="L1089" s="7">
        <f t="shared" si="77"/>
        <v>509</v>
      </c>
      <c r="M1089" s="13" t="s">
        <v>18</v>
      </c>
      <c r="N1089"/>
    </row>
    <row r="1090" spans="1:14" ht="24.75" customHeight="1">
      <c r="A1090" s="5">
        <v>1088</v>
      </c>
      <c r="B1090" s="5" t="s">
        <v>19</v>
      </c>
      <c r="C1090" s="5" t="str">
        <f>"林高鑫"</f>
        <v>林高鑫</v>
      </c>
      <c r="D1090" s="5" t="str">
        <f>"460036199407070434"</f>
        <v>460036199407070434</v>
      </c>
      <c r="E1090" s="5" t="s">
        <v>15</v>
      </c>
      <c r="F1090" s="5" t="str">
        <f>"073102030401"</f>
        <v>073102030401</v>
      </c>
      <c r="G1090" s="7">
        <v>0</v>
      </c>
      <c r="H1090" s="7">
        <f t="shared" si="74"/>
        <v>0</v>
      </c>
      <c r="I1090" s="7">
        <v>0</v>
      </c>
      <c r="J1090" s="7">
        <f t="shared" si="75"/>
        <v>0</v>
      </c>
      <c r="K1090" s="10">
        <f t="shared" si="76"/>
        <v>0</v>
      </c>
      <c r="L1090" s="7">
        <f t="shared" si="77"/>
        <v>509</v>
      </c>
      <c r="M1090" s="13" t="s">
        <v>18</v>
      </c>
      <c r="N1090"/>
    </row>
    <row r="1091" spans="1:14" ht="24.75" customHeight="1">
      <c r="A1091" s="5">
        <v>1089</v>
      </c>
      <c r="B1091" s="5" t="s">
        <v>19</v>
      </c>
      <c r="C1091" s="5" t="str">
        <f>"符爱兰"</f>
        <v>符爱兰</v>
      </c>
      <c r="D1091" s="5" t="str">
        <f>"469003199410142428"</f>
        <v>469003199410142428</v>
      </c>
      <c r="E1091" s="5" t="s">
        <v>15</v>
      </c>
      <c r="F1091" s="5" t="str">
        <f>"073102030402"</f>
        <v>073102030402</v>
      </c>
      <c r="G1091" s="7">
        <v>0</v>
      </c>
      <c r="H1091" s="7">
        <f aca="true" t="shared" si="78" ref="H1091:H1154">G1091*0.5</f>
        <v>0</v>
      </c>
      <c r="I1091" s="7">
        <v>0</v>
      </c>
      <c r="J1091" s="7">
        <f aca="true" t="shared" si="79" ref="J1091:J1154">I1091*0.5</f>
        <v>0</v>
      </c>
      <c r="K1091" s="10">
        <f t="shared" si="76"/>
        <v>0</v>
      </c>
      <c r="L1091" s="7">
        <f t="shared" si="77"/>
        <v>509</v>
      </c>
      <c r="M1091" s="13" t="s">
        <v>18</v>
      </c>
      <c r="N1091"/>
    </row>
    <row r="1092" spans="1:14" ht="24.75" customHeight="1">
      <c r="A1092" s="5">
        <v>1090</v>
      </c>
      <c r="B1092" s="5" t="s">
        <v>19</v>
      </c>
      <c r="C1092" s="5" t="str">
        <f>"陆慧丽"</f>
        <v>陆慧丽</v>
      </c>
      <c r="D1092" s="5" t="str">
        <f>"452126199008201241"</f>
        <v>452126199008201241</v>
      </c>
      <c r="E1092" s="5" t="s">
        <v>15</v>
      </c>
      <c r="F1092" s="5" t="str">
        <f>"073102030405"</f>
        <v>073102030405</v>
      </c>
      <c r="G1092" s="7">
        <v>0</v>
      </c>
      <c r="H1092" s="7">
        <f t="shared" si="78"/>
        <v>0</v>
      </c>
      <c r="I1092" s="7">
        <v>0</v>
      </c>
      <c r="J1092" s="7">
        <f t="shared" si="79"/>
        <v>0</v>
      </c>
      <c r="K1092" s="10">
        <f t="shared" si="76"/>
        <v>0</v>
      </c>
      <c r="L1092" s="7">
        <f t="shared" si="77"/>
        <v>509</v>
      </c>
      <c r="M1092" s="13" t="s">
        <v>18</v>
      </c>
      <c r="N1092"/>
    </row>
    <row r="1093" spans="1:14" ht="24.75" customHeight="1">
      <c r="A1093" s="5">
        <v>1091</v>
      </c>
      <c r="B1093" s="5" t="s">
        <v>19</v>
      </c>
      <c r="C1093" s="5" t="str">
        <f>"唐俊苑"</f>
        <v>唐俊苑</v>
      </c>
      <c r="D1093" s="5" t="str">
        <f>"460003199901230424"</f>
        <v>460003199901230424</v>
      </c>
      <c r="E1093" s="5" t="s">
        <v>15</v>
      </c>
      <c r="F1093" s="5" t="str">
        <f>"073102030409"</f>
        <v>073102030409</v>
      </c>
      <c r="G1093" s="7">
        <v>0</v>
      </c>
      <c r="H1093" s="7">
        <f t="shared" si="78"/>
        <v>0</v>
      </c>
      <c r="I1093" s="7">
        <v>0</v>
      </c>
      <c r="J1093" s="7">
        <f t="shared" si="79"/>
        <v>0</v>
      </c>
      <c r="K1093" s="10">
        <f t="shared" si="76"/>
        <v>0</v>
      </c>
      <c r="L1093" s="7">
        <f t="shared" si="77"/>
        <v>509</v>
      </c>
      <c r="M1093" s="13" t="s">
        <v>18</v>
      </c>
      <c r="N1093"/>
    </row>
    <row r="1094" spans="1:14" ht="24.75" customHeight="1">
      <c r="A1094" s="5">
        <v>1092</v>
      </c>
      <c r="B1094" s="5" t="s">
        <v>19</v>
      </c>
      <c r="C1094" s="5" t="str">
        <f>"刘宇"</f>
        <v>刘宇</v>
      </c>
      <c r="D1094" s="5" t="str">
        <f>"140203199904112016"</f>
        <v>140203199904112016</v>
      </c>
      <c r="E1094" s="5" t="s">
        <v>15</v>
      </c>
      <c r="F1094" s="5" t="str">
        <f>"073102030410"</f>
        <v>073102030410</v>
      </c>
      <c r="G1094" s="7">
        <v>0</v>
      </c>
      <c r="H1094" s="7">
        <f t="shared" si="78"/>
        <v>0</v>
      </c>
      <c r="I1094" s="7">
        <v>0</v>
      </c>
      <c r="J1094" s="7">
        <f t="shared" si="79"/>
        <v>0</v>
      </c>
      <c r="K1094" s="10">
        <f t="shared" si="76"/>
        <v>0</v>
      </c>
      <c r="L1094" s="7">
        <f t="shared" si="77"/>
        <v>509</v>
      </c>
      <c r="M1094" s="13" t="s">
        <v>18</v>
      </c>
      <c r="N1094"/>
    </row>
    <row r="1095" spans="1:14" ht="24.75" customHeight="1">
      <c r="A1095" s="5">
        <v>1093</v>
      </c>
      <c r="B1095" s="5" t="s">
        <v>19</v>
      </c>
      <c r="C1095" s="5" t="str">
        <f>"杨培城"</f>
        <v>杨培城</v>
      </c>
      <c r="D1095" s="5" t="str">
        <f>"460030199611130010"</f>
        <v>460030199611130010</v>
      </c>
      <c r="E1095" s="5" t="s">
        <v>15</v>
      </c>
      <c r="F1095" s="5" t="str">
        <f>"073102030411"</f>
        <v>073102030411</v>
      </c>
      <c r="G1095" s="7">
        <v>0</v>
      </c>
      <c r="H1095" s="7">
        <f t="shared" si="78"/>
        <v>0</v>
      </c>
      <c r="I1095" s="7">
        <v>0</v>
      </c>
      <c r="J1095" s="7">
        <f t="shared" si="79"/>
        <v>0</v>
      </c>
      <c r="K1095" s="10">
        <f t="shared" si="76"/>
        <v>0</v>
      </c>
      <c r="L1095" s="7">
        <f t="shared" si="77"/>
        <v>509</v>
      </c>
      <c r="M1095" s="13" t="s">
        <v>18</v>
      </c>
      <c r="N1095"/>
    </row>
    <row r="1096" spans="1:14" ht="24.75" customHeight="1">
      <c r="A1096" s="5">
        <v>1094</v>
      </c>
      <c r="B1096" s="5" t="s">
        <v>19</v>
      </c>
      <c r="C1096" s="5" t="str">
        <f>"林传诗"</f>
        <v>林传诗</v>
      </c>
      <c r="D1096" s="5" t="str">
        <f>"460028199610210412"</f>
        <v>460028199610210412</v>
      </c>
      <c r="E1096" s="5" t="s">
        <v>15</v>
      </c>
      <c r="F1096" s="5" t="str">
        <f>"073102030414"</f>
        <v>073102030414</v>
      </c>
      <c r="G1096" s="7">
        <v>0</v>
      </c>
      <c r="H1096" s="7">
        <f t="shared" si="78"/>
        <v>0</v>
      </c>
      <c r="I1096" s="7">
        <v>0</v>
      </c>
      <c r="J1096" s="7">
        <f t="shared" si="79"/>
        <v>0</v>
      </c>
      <c r="K1096" s="10">
        <f t="shared" si="76"/>
        <v>0</v>
      </c>
      <c r="L1096" s="7">
        <f t="shared" si="77"/>
        <v>509</v>
      </c>
      <c r="M1096" s="13" t="s">
        <v>18</v>
      </c>
      <c r="N1096"/>
    </row>
    <row r="1097" spans="1:14" ht="24.75" customHeight="1">
      <c r="A1097" s="5">
        <v>1095</v>
      </c>
      <c r="B1097" s="5" t="s">
        <v>19</v>
      </c>
      <c r="C1097" s="5" t="str">
        <f>"叶翠林"</f>
        <v>叶翠林</v>
      </c>
      <c r="D1097" s="5" t="str">
        <f>"460003199108024668"</f>
        <v>460003199108024668</v>
      </c>
      <c r="E1097" s="5" t="s">
        <v>15</v>
      </c>
      <c r="F1097" s="5" t="str">
        <f>"073102030415"</f>
        <v>073102030415</v>
      </c>
      <c r="G1097" s="7">
        <v>0</v>
      </c>
      <c r="H1097" s="7">
        <f t="shared" si="78"/>
        <v>0</v>
      </c>
      <c r="I1097" s="7">
        <v>0</v>
      </c>
      <c r="J1097" s="7">
        <f t="shared" si="79"/>
        <v>0</v>
      </c>
      <c r="K1097" s="10">
        <f t="shared" si="76"/>
        <v>0</v>
      </c>
      <c r="L1097" s="7">
        <f t="shared" si="77"/>
        <v>509</v>
      </c>
      <c r="M1097" s="13" t="s">
        <v>18</v>
      </c>
      <c r="N1097"/>
    </row>
    <row r="1098" spans="1:14" ht="24.75" customHeight="1">
      <c r="A1098" s="5">
        <v>1096</v>
      </c>
      <c r="B1098" s="5" t="s">
        <v>19</v>
      </c>
      <c r="C1098" s="5" t="str">
        <f>"王诒弘"</f>
        <v>王诒弘</v>
      </c>
      <c r="D1098" s="5" t="str">
        <f>"460004199407070038"</f>
        <v>460004199407070038</v>
      </c>
      <c r="E1098" s="5" t="s">
        <v>15</v>
      </c>
      <c r="F1098" s="5" t="str">
        <f>"073102030418"</f>
        <v>073102030418</v>
      </c>
      <c r="G1098" s="7">
        <v>0</v>
      </c>
      <c r="H1098" s="7">
        <f t="shared" si="78"/>
        <v>0</v>
      </c>
      <c r="I1098" s="7">
        <v>0</v>
      </c>
      <c r="J1098" s="7">
        <f t="shared" si="79"/>
        <v>0</v>
      </c>
      <c r="K1098" s="10">
        <f t="shared" si="76"/>
        <v>0</v>
      </c>
      <c r="L1098" s="7">
        <f t="shared" si="77"/>
        <v>509</v>
      </c>
      <c r="M1098" s="13" t="s">
        <v>18</v>
      </c>
      <c r="N1098"/>
    </row>
    <row r="1099" spans="1:14" ht="24.75" customHeight="1">
      <c r="A1099" s="5">
        <v>1097</v>
      </c>
      <c r="B1099" s="5" t="s">
        <v>19</v>
      </c>
      <c r="C1099" s="5" t="str">
        <f>"羊永爵"</f>
        <v>羊永爵</v>
      </c>
      <c r="D1099" s="5" t="str">
        <f>"460003199810012050"</f>
        <v>460003199810012050</v>
      </c>
      <c r="E1099" s="5" t="s">
        <v>15</v>
      </c>
      <c r="F1099" s="5" t="str">
        <f>"073102030420"</f>
        <v>073102030420</v>
      </c>
      <c r="G1099" s="7">
        <v>0</v>
      </c>
      <c r="H1099" s="7">
        <f t="shared" si="78"/>
        <v>0</v>
      </c>
      <c r="I1099" s="7">
        <v>0</v>
      </c>
      <c r="J1099" s="7">
        <f t="shared" si="79"/>
        <v>0</v>
      </c>
      <c r="K1099" s="10">
        <f t="shared" si="76"/>
        <v>0</v>
      </c>
      <c r="L1099" s="7">
        <f t="shared" si="77"/>
        <v>509</v>
      </c>
      <c r="M1099" s="13" t="s">
        <v>18</v>
      </c>
      <c r="N1099"/>
    </row>
    <row r="1100" spans="1:14" ht="24.75" customHeight="1">
      <c r="A1100" s="5">
        <v>1098</v>
      </c>
      <c r="B1100" s="5" t="s">
        <v>19</v>
      </c>
      <c r="C1100" s="5" t="str">
        <f>"梁湘菲"</f>
        <v>梁湘菲</v>
      </c>
      <c r="D1100" s="5" t="str">
        <f>"460003199412220225"</f>
        <v>460003199412220225</v>
      </c>
      <c r="E1100" s="5" t="s">
        <v>15</v>
      </c>
      <c r="F1100" s="5" t="str">
        <f>"073102030423"</f>
        <v>073102030423</v>
      </c>
      <c r="G1100" s="7">
        <v>0</v>
      </c>
      <c r="H1100" s="7">
        <f t="shared" si="78"/>
        <v>0</v>
      </c>
      <c r="I1100" s="7">
        <v>0</v>
      </c>
      <c r="J1100" s="7">
        <f t="shared" si="79"/>
        <v>0</v>
      </c>
      <c r="K1100" s="10">
        <f aca="true" t="shared" si="80" ref="K1100:K1163">H1100+J1100</f>
        <v>0</v>
      </c>
      <c r="L1100" s="7">
        <f t="shared" si="77"/>
        <v>509</v>
      </c>
      <c r="M1100" s="13" t="s">
        <v>18</v>
      </c>
      <c r="N1100"/>
    </row>
    <row r="1101" spans="1:14" ht="24.75" customHeight="1">
      <c r="A1101" s="5">
        <v>1099</v>
      </c>
      <c r="B1101" s="5" t="s">
        <v>19</v>
      </c>
      <c r="C1101" s="5" t="str">
        <f>"陆嘉怡"</f>
        <v>陆嘉怡</v>
      </c>
      <c r="D1101" s="5" t="str">
        <f>"460002199709265428"</f>
        <v>460002199709265428</v>
      </c>
      <c r="E1101" s="5" t="s">
        <v>15</v>
      </c>
      <c r="F1101" s="5" t="str">
        <f>"073102030424"</f>
        <v>073102030424</v>
      </c>
      <c r="G1101" s="7">
        <v>0</v>
      </c>
      <c r="H1101" s="7">
        <f t="shared" si="78"/>
        <v>0</v>
      </c>
      <c r="I1101" s="7">
        <v>0</v>
      </c>
      <c r="J1101" s="7">
        <f t="shared" si="79"/>
        <v>0</v>
      </c>
      <c r="K1101" s="10">
        <f t="shared" si="80"/>
        <v>0</v>
      </c>
      <c r="L1101" s="7">
        <f t="shared" si="77"/>
        <v>509</v>
      </c>
      <c r="M1101" s="13" t="s">
        <v>18</v>
      </c>
      <c r="N1101"/>
    </row>
    <row r="1102" spans="1:14" ht="24.75" customHeight="1">
      <c r="A1102" s="5">
        <v>1100</v>
      </c>
      <c r="B1102" s="5" t="s">
        <v>19</v>
      </c>
      <c r="C1102" s="5" t="str">
        <f>"娄明强"</f>
        <v>娄明强</v>
      </c>
      <c r="D1102" s="5" t="str">
        <f>"460102199504271811"</f>
        <v>460102199504271811</v>
      </c>
      <c r="E1102" s="5" t="s">
        <v>15</v>
      </c>
      <c r="F1102" s="5" t="str">
        <f>"073102030425"</f>
        <v>073102030425</v>
      </c>
      <c r="G1102" s="7">
        <v>0</v>
      </c>
      <c r="H1102" s="7">
        <f t="shared" si="78"/>
        <v>0</v>
      </c>
      <c r="I1102" s="7">
        <v>0</v>
      </c>
      <c r="J1102" s="7">
        <f t="shared" si="79"/>
        <v>0</v>
      </c>
      <c r="K1102" s="10">
        <f t="shared" si="80"/>
        <v>0</v>
      </c>
      <c r="L1102" s="7">
        <f t="shared" si="77"/>
        <v>509</v>
      </c>
      <c r="M1102" s="13" t="s">
        <v>18</v>
      </c>
      <c r="N1102"/>
    </row>
    <row r="1103" spans="1:14" ht="24.75" customHeight="1">
      <c r="A1103" s="5">
        <v>1101</v>
      </c>
      <c r="B1103" s="5" t="s">
        <v>19</v>
      </c>
      <c r="C1103" s="5" t="str">
        <f>"李秀丽"</f>
        <v>李秀丽</v>
      </c>
      <c r="D1103" s="5" t="str">
        <f>"460003199712103960"</f>
        <v>460003199712103960</v>
      </c>
      <c r="E1103" s="5" t="s">
        <v>15</v>
      </c>
      <c r="F1103" s="5" t="str">
        <f>"073102030426"</f>
        <v>073102030426</v>
      </c>
      <c r="G1103" s="7">
        <v>0</v>
      </c>
      <c r="H1103" s="7">
        <f t="shared" si="78"/>
        <v>0</v>
      </c>
      <c r="I1103" s="7">
        <v>0</v>
      </c>
      <c r="J1103" s="7">
        <f t="shared" si="79"/>
        <v>0</v>
      </c>
      <c r="K1103" s="10">
        <f t="shared" si="80"/>
        <v>0</v>
      </c>
      <c r="L1103" s="7">
        <f t="shared" si="77"/>
        <v>509</v>
      </c>
      <c r="M1103" s="13" t="s">
        <v>18</v>
      </c>
      <c r="N1103"/>
    </row>
    <row r="1104" spans="1:14" ht="24.75" customHeight="1">
      <c r="A1104" s="5">
        <v>1102</v>
      </c>
      <c r="B1104" s="5" t="s">
        <v>19</v>
      </c>
      <c r="C1104" s="5" t="str">
        <f>"符倩翠"</f>
        <v>符倩翠</v>
      </c>
      <c r="D1104" s="5" t="str">
        <f>"460005199704173224"</f>
        <v>460005199704173224</v>
      </c>
      <c r="E1104" s="5" t="s">
        <v>15</v>
      </c>
      <c r="F1104" s="5" t="str">
        <f>"073102030427"</f>
        <v>073102030427</v>
      </c>
      <c r="G1104" s="7">
        <v>0</v>
      </c>
      <c r="H1104" s="7">
        <f t="shared" si="78"/>
        <v>0</v>
      </c>
      <c r="I1104" s="7">
        <v>0</v>
      </c>
      <c r="J1104" s="7">
        <f t="shared" si="79"/>
        <v>0</v>
      </c>
      <c r="K1104" s="10">
        <f t="shared" si="80"/>
        <v>0</v>
      </c>
      <c r="L1104" s="7">
        <f t="shared" si="77"/>
        <v>509</v>
      </c>
      <c r="M1104" s="13" t="s">
        <v>18</v>
      </c>
      <c r="N1104"/>
    </row>
    <row r="1105" spans="1:14" ht="24.75" customHeight="1">
      <c r="A1105" s="5">
        <v>1103</v>
      </c>
      <c r="B1105" s="5" t="s">
        <v>19</v>
      </c>
      <c r="C1105" s="5" t="str">
        <f>"吴玉莹"</f>
        <v>吴玉莹</v>
      </c>
      <c r="D1105" s="5" t="str">
        <f>"460003199709045827"</f>
        <v>460003199709045827</v>
      </c>
      <c r="E1105" s="5" t="s">
        <v>15</v>
      </c>
      <c r="F1105" s="5" t="str">
        <f>"073102030428"</f>
        <v>073102030428</v>
      </c>
      <c r="G1105" s="7">
        <v>0</v>
      </c>
      <c r="H1105" s="7">
        <f t="shared" si="78"/>
        <v>0</v>
      </c>
      <c r="I1105" s="7">
        <v>0</v>
      </c>
      <c r="J1105" s="7">
        <f t="shared" si="79"/>
        <v>0</v>
      </c>
      <c r="K1105" s="10">
        <f t="shared" si="80"/>
        <v>0</v>
      </c>
      <c r="L1105" s="7">
        <f t="shared" si="77"/>
        <v>509</v>
      </c>
      <c r="M1105" s="13" t="s">
        <v>18</v>
      </c>
      <c r="N1105"/>
    </row>
    <row r="1106" spans="1:14" ht="24.75" customHeight="1">
      <c r="A1106" s="5">
        <v>1104</v>
      </c>
      <c r="B1106" s="5" t="s">
        <v>19</v>
      </c>
      <c r="C1106" s="5" t="str">
        <f>"李颖"</f>
        <v>李颖</v>
      </c>
      <c r="D1106" s="5" t="str">
        <f>"460003199707117022"</f>
        <v>460003199707117022</v>
      </c>
      <c r="E1106" s="5" t="s">
        <v>15</v>
      </c>
      <c r="F1106" s="5" t="str">
        <f>"073102030429"</f>
        <v>073102030429</v>
      </c>
      <c r="G1106" s="7">
        <v>0</v>
      </c>
      <c r="H1106" s="7">
        <f t="shared" si="78"/>
        <v>0</v>
      </c>
      <c r="I1106" s="7">
        <v>0</v>
      </c>
      <c r="J1106" s="7">
        <f t="shared" si="79"/>
        <v>0</v>
      </c>
      <c r="K1106" s="10">
        <f t="shared" si="80"/>
        <v>0</v>
      </c>
      <c r="L1106" s="7">
        <f t="shared" si="77"/>
        <v>509</v>
      </c>
      <c r="M1106" s="13" t="s">
        <v>18</v>
      </c>
      <c r="N1106"/>
    </row>
    <row r="1107" spans="1:14" ht="24.75" customHeight="1">
      <c r="A1107" s="5">
        <v>1105</v>
      </c>
      <c r="B1107" s="5" t="s">
        <v>19</v>
      </c>
      <c r="C1107" s="5" t="str">
        <f>"苏伟静"</f>
        <v>苏伟静</v>
      </c>
      <c r="D1107" s="5" t="str">
        <f>"460006199611121624"</f>
        <v>460006199611121624</v>
      </c>
      <c r="E1107" s="5" t="s">
        <v>15</v>
      </c>
      <c r="F1107" s="5" t="str">
        <f>"073102030431"</f>
        <v>073102030431</v>
      </c>
      <c r="G1107" s="7">
        <v>0</v>
      </c>
      <c r="H1107" s="7">
        <f t="shared" si="78"/>
        <v>0</v>
      </c>
      <c r="I1107" s="7">
        <v>0</v>
      </c>
      <c r="J1107" s="7">
        <f t="shared" si="79"/>
        <v>0</v>
      </c>
      <c r="K1107" s="10">
        <f t="shared" si="80"/>
        <v>0</v>
      </c>
      <c r="L1107" s="7">
        <f t="shared" si="77"/>
        <v>509</v>
      </c>
      <c r="M1107" s="13" t="s">
        <v>18</v>
      </c>
      <c r="N1107"/>
    </row>
    <row r="1108" spans="1:14" ht="24.75" customHeight="1">
      <c r="A1108" s="5">
        <v>1106</v>
      </c>
      <c r="B1108" s="5" t="s">
        <v>19</v>
      </c>
      <c r="C1108" s="5" t="str">
        <f>"吴秋美"</f>
        <v>吴秋美</v>
      </c>
      <c r="D1108" s="5" t="str">
        <f>"46000319960926722X"</f>
        <v>46000319960926722X</v>
      </c>
      <c r="E1108" s="5" t="s">
        <v>15</v>
      </c>
      <c r="F1108" s="5" t="str">
        <f>"073102030433"</f>
        <v>073102030433</v>
      </c>
      <c r="G1108" s="7">
        <v>0</v>
      </c>
      <c r="H1108" s="7">
        <f t="shared" si="78"/>
        <v>0</v>
      </c>
      <c r="I1108" s="7">
        <v>0</v>
      </c>
      <c r="J1108" s="7">
        <f t="shared" si="79"/>
        <v>0</v>
      </c>
      <c r="K1108" s="10">
        <f t="shared" si="80"/>
        <v>0</v>
      </c>
      <c r="L1108" s="7">
        <f t="shared" si="77"/>
        <v>509</v>
      </c>
      <c r="M1108" s="13" t="s">
        <v>18</v>
      </c>
      <c r="N1108"/>
    </row>
    <row r="1109" spans="1:14" ht="24.75" customHeight="1">
      <c r="A1109" s="5">
        <v>1107</v>
      </c>
      <c r="B1109" s="5" t="s">
        <v>19</v>
      </c>
      <c r="C1109" s="5" t="str">
        <f>"卢叶君"</f>
        <v>卢叶君</v>
      </c>
      <c r="D1109" s="5" t="str">
        <f>"460003199203210047"</f>
        <v>460003199203210047</v>
      </c>
      <c r="E1109" s="5" t="s">
        <v>15</v>
      </c>
      <c r="F1109" s="5" t="str">
        <f>"073102030434"</f>
        <v>073102030434</v>
      </c>
      <c r="G1109" s="7">
        <v>0</v>
      </c>
      <c r="H1109" s="7">
        <f t="shared" si="78"/>
        <v>0</v>
      </c>
      <c r="I1109" s="7">
        <v>0</v>
      </c>
      <c r="J1109" s="7">
        <f t="shared" si="79"/>
        <v>0</v>
      </c>
      <c r="K1109" s="10">
        <f t="shared" si="80"/>
        <v>0</v>
      </c>
      <c r="L1109" s="7">
        <f t="shared" si="77"/>
        <v>509</v>
      </c>
      <c r="M1109" s="13" t="s">
        <v>18</v>
      </c>
      <c r="N1109"/>
    </row>
    <row r="1110" spans="1:14" ht="24.75" customHeight="1">
      <c r="A1110" s="5">
        <v>1108</v>
      </c>
      <c r="B1110" s="5" t="s">
        <v>19</v>
      </c>
      <c r="C1110" s="5" t="str">
        <f>"林正妹"</f>
        <v>林正妹</v>
      </c>
      <c r="D1110" s="5" t="str">
        <f>"460003199605037427"</f>
        <v>460003199605037427</v>
      </c>
      <c r="E1110" s="5" t="s">
        <v>15</v>
      </c>
      <c r="F1110" s="5" t="str">
        <f>"073102030435"</f>
        <v>073102030435</v>
      </c>
      <c r="G1110" s="7">
        <v>0</v>
      </c>
      <c r="H1110" s="7">
        <f t="shared" si="78"/>
        <v>0</v>
      </c>
      <c r="I1110" s="7">
        <v>0</v>
      </c>
      <c r="J1110" s="7">
        <f t="shared" si="79"/>
        <v>0</v>
      </c>
      <c r="K1110" s="10">
        <f t="shared" si="80"/>
        <v>0</v>
      </c>
      <c r="L1110" s="7">
        <f t="shared" si="77"/>
        <v>509</v>
      </c>
      <c r="M1110" s="13" t="s">
        <v>18</v>
      </c>
      <c r="N1110"/>
    </row>
    <row r="1111" spans="1:14" ht="24.75" customHeight="1">
      <c r="A1111" s="5">
        <v>1109</v>
      </c>
      <c r="B1111" s="5" t="s">
        <v>19</v>
      </c>
      <c r="C1111" s="5" t="str">
        <f>"潘晓"</f>
        <v>潘晓</v>
      </c>
      <c r="D1111" s="5" t="str">
        <f>"46010219910228242X"</f>
        <v>46010219910228242X</v>
      </c>
      <c r="E1111" s="5" t="s">
        <v>15</v>
      </c>
      <c r="F1111" s="5" t="str">
        <f>"073102030437"</f>
        <v>073102030437</v>
      </c>
      <c r="G1111" s="7">
        <v>0</v>
      </c>
      <c r="H1111" s="7">
        <f t="shared" si="78"/>
        <v>0</v>
      </c>
      <c r="I1111" s="7">
        <v>0</v>
      </c>
      <c r="J1111" s="7">
        <f t="shared" si="79"/>
        <v>0</v>
      </c>
      <c r="K1111" s="10">
        <f t="shared" si="80"/>
        <v>0</v>
      </c>
      <c r="L1111" s="7">
        <f t="shared" si="77"/>
        <v>509</v>
      </c>
      <c r="M1111" s="13" t="s">
        <v>18</v>
      </c>
      <c r="N1111"/>
    </row>
    <row r="1112" spans="1:14" ht="24.75" customHeight="1">
      <c r="A1112" s="5">
        <v>1110</v>
      </c>
      <c r="B1112" s="5" t="s">
        <v>19</v>
      </c>
      <c r="C1112" s="5" t="str">
        <f>"卢美珠"</f>
        <v>卢美珠</v>
      </c>
      <c r="D1112" s="5" t="str">
        <f>"46900319961012462X"</f>
        <v>46900319961012462X</v>
      </c>
      <c r="E1112" s="5" t="s">
        <v>15</v>
      </c>
      <c r="F1112" s="5" t="str">
        <f>"073102030438"</f>
        <v>073102030438</v>
      </c>
      <c r="G1112" s="7">
        <v>0</v>
      </c>
      <c r="H1112" s="7">
        <f t="shared" si="78"/>
        <v>0</v>
      </c>
      <c r="I1112" s="7">
        <v>0</v>
      </c>
      <c r="J1112" s="7">
        <f t="shared" si="79"/>
        <v>0</v>
      </c>
      <c r="K1112" s="10">
        <f t="shared" si="80"/>
        <v>0</v>
      </c>
      <c r="L1112" s="7">
        <f t="shared" si="77"/>
        <v>509</v>
      </c>
      <c r="M1112" s="13" t="s">
        <v>18</v>
      </c>
      <c r="N1112"/>
    </row>
    <row r="1113" spans="1:14" ht="24.75" customHeight="1">
      <c r="A1113" s="5">
        <v>1111</v>
      </c>
      <c r="B1113" s="5" t="s">
        <v>19</v>
      </c>
      <c r="C1113" s="5" t="str">
        <f>"林家雄"</f>
        <v>林家雄</v>
      </c>
      <c r="D1113" s="5" t="str">
        <f>"469024199201105614"</f>
        <v>469024199201105614</v>
      </c>
      <c r="E1113" s="5" t="s">
        <v>15</v>
      </c>
      <c r="F1113" s="5" t="str">
        <f>"073102030440"</f>
        <v>073102030440</v>
      </c>
      <c r="G1113" s="7">
        <v>0</v>
      </c>
      <c r="H1113" s="7">
        <f t="shared" si="78"/>
        <v>0</v>
      </c>
      <c r="I1113" s="7">
        <v>0</v>
      </c>
      <c r="J1113" s="7">
        <f t="shared" si="79"/>
        <v>0</v>
      </c>
      <c r="K1113" s="10">
        <f t="shared" si="80"/>
        <v>0</v>
      </c>
      <c r="L1113" s="7">
        <f aca="true" t="shared" si="81" ref="L1113:L1176">RANK(K1113,$K$281:$K$1299,0)</f>
        <v>509</v>
      </c>
      <c r="M1113" s="13" t="s">
        <v>18</v>
      </c>
      <c r="N1113"/>
    </row>
    <row r="1114" spans="1:14" ht="24.75" customHeight="1">
      <c r="A1114" s="5">
        <v>1112</v>
      </c>
      <c r="B1114" s="5" t="s">
        <v>19</v>
      </c>
      <c r="C1114" s="5" t="str">
        <f>"李丹丹"</f>
        <v>李丹丹</v>
      </c>
      <c r="D1114" s="5" t="str">
        <f>"460007199012029267"</f>
        <v>460007199012029267</v>
      </c>
      <c r="E1114" s="5" t="s">
        <v>15</v>
      </c>
      <c r="F1114" s="5" t="str">
        <f>"073102030441"</f>
        <v>073102030441</v>
      </c>
      <c r="G1114" s="7">
        <v>0</v>
      </c>
      <c r="H1114" s="7">
        <f t="shared" si="78"/>
        <v>0</v>
      </c>
      <c r="I1114" s="7">
        <v>0</v>
      </c>
      <c r="J1114" s="7">
        <f t="shared" si="79"/>
        <v>0</v>
      </c>
      <c r="K1114" s="10">
        <f t="shared" si="80"/>
        <v>0</v>
      </c>
      <c r="L1114" s="7">
        <f t="shared" si="81"/>
        <v>509</v>
      </c>
      <c r="M1114" s="13" t="s">
        <v>18</v>
      </c>
      <c r="N1114"/>
    </row>
    <row r="1115" spans="1:14" ht="24.75" customHeight="1">
      <c r="A1115" s="5">
        <v>1113</v>
      </c>
      <c r="B1115" s="5" t="s">
        <v>19</v>
      </c>
      <c r="C1115" s="5" t="str">
        <f>"孙丽"</f>
        <v>孙丽</v>
      </c>
      <c r="D1115" s="5" t="str">
        <f>"460003199611204420"</f>
        <v>460003199611204420</v>
      </c>
      <c r="E1115" s="5" t="s">
        <v>15</v>
      </c>
      <c r="F1115" s="5" t="str">
        <f>"073102030442"</f>
        <v>073102030442</v>
      </c>
      <c r="G1115" s="7">
        <v>0</v>
      </c>
      <c r="H1115" s="7">
        <f t="shared" si="78"/>
        <v>0</v>
      </c>
      <c r="I1115" s="7">
        <v>0</v>
      </c>
      <c r="J1115" s="7">
        <f t="shared" si="79"/>
        <v>0</v>
      </c>
      <c r="K1115" s="10">
        <f t="shared" si="80"/>
        <v>0</v>
      </c>
      <c r="L1115" s="7">
        <f t="shared" si="81"/>
        <v>509</v>
      </c>
      <c r="M1115" s="13" t="s">
        <v>18</v>
      </c>
      <c r="N1115"/>
    </row>
    <row r="1116" spans="1:14" ht="24.75" customHeight="1">
      <c r="A1116" s="5">
        <v>1114</v>
      </c>
      <c r="B1116" s="5" t="s">
        <v>19</v>
      </c>
      <c r="C1116" s="5" t="str">
        <f>"刘棋盛"</f>
        <v>刘棋盛</v>
      </c>
      <c r="D1116" s="5" t="str">
        <f>"460028199804266019"</f>
        <v>460028199804266019</v>
      </c>
      <c r="E1116" s="5" t="s">
        <v>15</v>
      </c>
      <c r="F1116" s="5" t="str">
        <f>"073102030501"</f>
        <v>073102030501</v>
      </c>
      <c r="G1116" s="7">
        <v>0</v>
      </c>
      <c r="H1116" s="7">
        <f t="shared" si="78"/>
        <v>0</v>
      </c>
      <c r="I1116" s="7">
        <v>0</v>
      </c>
      <c r="J1116" s="7">
        <f t="shared" si="79"/>
        <v>0</v>
      </c>
      <c r="K1116" s="10">
        <f t="shared" si="80"/>
        <v>0</v>
      </c>
      <c r="L1116" s="7">
        <f t="shared" si="81"/>
        <v>509</v>
      </c>
      <c r="M1116" s="13" t="s">
        <v>18</v>
      </c>
      <c r="N1116"/>
    </row>
    <row r="1117" spans="1:14" ht="24.75" customHeight="1">
      <c r="A1117" s="5">
        <v>1115</v>
      </c>
      <c r="B1117" s="5" t="s">
        <v>19</v>
      </c>
      <c r="C1117" s="5" t="str">
        <f>"华国武"</f>
        <v>华国武</v>
      </c>
      <c r="D1117" s="5" t="str">
        <f>"460003199307261615"</f>
        <v>460003199307261615</v>
      </c>
      <c r="E1117" s="5" t="s">
        <v>15</v>
      </c>
      <c r="F1117" s="5" t="str">
        <f>"073102030503"</f>
        <v>073102030503</v>
      </c>
      <c r="G1117" s="7">
        <v>0</v>
      </c>
      <c r="H1117" s="7">
        <f t="shared" si="78"/>
        <v>0</v>
      </c>
      <c r="I1117" s="7">
        <v>0</v>
      </c>
      <c r="J1117" s="7">
        <f t="shared" si="79"/>
        <v>0</v>
      </c>
      <c r="K1117" s="10">
        <f t="shared" si="80"/>
        <v>0</v>
      </c>
      <c r="L1117" s="7">
        <f t="shared" si="81"/>
        <v>509</v>
      </c>
      <c r="M1117" s="13" t="s">
        <v>18</v>
      </c>
      <c r="N1117"/>
    </row>
    <row r="1118" spans="1:14" ht="24.75" customHeight="1">
      <c r="A1118" s="5">
        <v>1116</v>
      </c>
      <c r="B1118" s="5" t="s">
        <v>19</v>
      </c>
      <c r="C1118" s="5" t="str">
        <f>"许小慧"</f>
        <v>许小慧</v>
      </c>
      <c r="D1118" s="5" t="str">
        <f>"460003199507230223"</f>
        <v>460003199507230223</v>
      </c>
      <c r="E1118" s="5" t="s">
        <v>15</v>
      </c>
      <c r="F1118" s="5" t="str">
        <f>"073102030504"</f>
        <v>073102030504</v>
      </c>
      <c r="G1118" s="7">
        <v>0</v>
      </c>
      <c r="H1118" s="7">
        <f t="shared" si="78"/>
        <v>0</v>
      </c>
      <c r="I1118" s="7">
        <v>0</v>
      </c>
      <c r="J1118" s="7">
        <f t="shared" si="79"/>
        <v>0</v>
      </c>
      <c r="K1118" s="10">
        <f t="shared" si="80"/>
        <v>0</v>
      </c>
      <c r="L1118" s="7">
        <f t="shared" si="81"/>
        <v>509</v>
      </c>
      <c r="M1118" s="13" t="s">
        <v>18</v>
      </c>
      <c r="N1118"/>
    </row>
    <row r="1119" spans="1:14" ht="24.75" customHeight="1">
      <c r="A1119" s="5">
        <v>1117</v>
      </c>
      <c r="B1119" s="5" t="s">
        <v>19</v>
      </c>
      <c r="C1119" s="5" t="str">
        <f>"谢继翠"</f>
        <v>谢继翠</v>
      </c>
      <c r="D1119" s="5" t="str">
        <f>"460003199511214824"</f>
        <v>460003199511214824</v>
      </c>
      <c r="E1119" s="5" t="s">
        <v>15</v>
      </c>
      <c r="F1119" s="5" t="str">
        <f>"073102030505"</f>
        <v>073102030505</v>
      </c>
      <c r="G1119" s="7">
        <v>0</v>
      </c>
      <c r="H1119" s="7">
        <f t="shared" si="78"/>
        <v>0</v>
      </c>
      <c r="I1119" s="7">
        <v>0</v>
      </c>
      <c r="J1119" s="7">
        <f t="shared" si="79"/>
        <v>0</v>
      </c>
      <c r="K1119" s="10">
        <f t="shared" si="80"/>
        <v>0</v>
      </c>
      <c r="L1119" s="7">
        <f t="shared" si="81"/>
        <v>509</v>
      </c>
      <c r="M1119" s="13" t="s">
        <v>18</v>
      </c>
      <c r="N1119"/>
    </row>
    <row r="1120" spans="1:14" ht="24.75" customHeight="1">
      <c r="A1120" s="5">
        <v>1118</v>
      </c>
      <c r="B1120" s="5" t="s">
        <v>19</v>
      </c>
      <c r="C1120" s="5" t="str">
        <f>"李飘"</f>
        <v>李飘</v>
      </c>
      <c r="D1120" s="5" t="str">
        <f>"460034199903241527"</f>
        <v>460034199903241527</v>
      </c>
      <c r="E1120" s="5" t="s">
        <v>15</v>
      </c>
      <c r="F1120" s="5" t="str">
        <f>"073102030507"</f>
        <v>073102030507</v>
      </c>
      <c r="G1120" s="7">
        <v>0</v>
      </c>
      <c r="H1120" s="7">
        <f t="shared" si="78"/>
        <v>0</v>
      </c>
      <c r="I1120" s="7">
        <v>0</v>
      </c>
      <c r="J1120" s="7">
        <f t="shared" si="79"/>
        <v>0</v>
      </c>
      <c r="K1120" s="10">
        <f t="shared" si="80"/>
        <v>0</v>
      </c>
      <c r="L1120" s="7">
        <f t="shared" si="81"/>
        <v>509</v>
      </c>
      <c r="M1120" s="13" t="s">
        <v>18</v>
      </c>
      <c r="N1120"/>
    </row>
    <row r="1121" spans="1:14" ht="24.75" customHeight="1">
      <c r="A1121" s="5">
        <v>1119</v>
      </c>
      <c r="B1121" s="5" t="s">
        <v>19</v>
      </c>
      <c r="C1121" s="5" t="str">
        <f>"张发辉"</f>
        <v>张发辉</v>
      </c>
      <c r="D1121" s="5" t="str">
        <f>"460003199803182238"</f>
        <v>460003199803182238</v>
      </c>
      <c r="E1121" s="5" t="s">
        <v>15</v>
      </c>
      <c r="F1121" s="5" t="str">
        <f>"073102030509"</f>
        <v>073102030509</v>
      </c>
      <c r="G1121" s="7">
        <v>0</v>
      </c>
      <c r="H1121" s="7">
        <f t="shared" si="78"/>
        <v>0</v>
      </c>
      <c r="I1121" s="7">
        <v>0</v>
      </c>
      <c r="J1121" s="7">
        <f t="shared" si="79"/>
        <v>0</v>
      </c>
      <c r="K1121" s="10">
        <f t="shared" si="80"/>
        <v>0</v>
      </c>
      <c r="L1121" s="7">
        <f t="shared" si="81"/>
        <v>509</v>
      </c>
      <c r="M1121" s="13" t="s">
        <v>18</v>
      </c>
      <c r="N1121"/>
    </row>
    <row r="1122" spans="1:14" ht="24.75" customHeight="1">
      <c r="A1122" s="5">
        <v>1120</v>
      </c>
      <c r="B1122" s="5" t="s">
        <v>19</v>
      </c>
      <c r="C1122" s="5" t="str">
        <f>"何也"</f>
        <v>何也</v>
      </c>
      <c r="D1122" s="5" t="str">
        <f>"430921199610167927"</f>
        <v>430921199610167927</v>
      </c>
      <c r="E1122" s="5" t="s">
        <v>15</v>
      </c>
      <c r="F1122" s="5" t="str">
        <f>"073102030513"</f>
        <v>073102030513</v>
      </c>
      <c r="G1122" s="7">
        <v>0</v>
      </c>
      <c r="H1122" s="7">
        <f t="shared" si="78"/>
        <v>0</v>
      </c>
      <c r="I1122" s="7">
        <v>0</v>
      </c>
      <c r="J1122" s="7">
        <f t="shared" si="79"/>
        <v>0</v>
      </c>
      <c r="K1122" s="10">
        <f t="shared" si="80"/>
        <v>0</v>
      </c>
      <c r="L1122" s="7">
        <f t="shared" si="81"/>
        <v>509</v>
      </c>
      <c r="M1122" s="13" t="s">
        <v>18</v>
      </c>
      <c r="N1122"/>
    </row>
    <row r="1123" spans="1:14" ht="24.75" customHeight="1">
      <c r="A1123" s="5">
        <v>1121</v>
      </c>
      <c r="B1123" s="5" t="s">
        <v>19</v>
      </c>
      <c r="C1123" s="5" t="str">
        <f>"李秀桂"</f>
        <v>李秀桂</v>
      </c>
      <c r="D1123" s="5" t="str">
        <f>"469003199308117322"</f>
        <v>469003199308117322</v>
      </c>
      <c r="E1123" s="5" t="s">
        <v>15</v>
      </c>
      <c r="F1123" s="5" t="str">
        <f>"073102030514"</f>
        <v>073102030514</v>
      </c>
      <c r="G1123" s="7">
        <v>0</v>
      </c>
      <c r="H1123" s="7">
        <f t="shared" si="78"/>
        <v>0</v>
      </c>
      <c r="I1123" s="7">
        <v>0</v>
      </c>
      <c r="J1123" s="7">
        <f t="shared" si="79"/>
        <v>0</v>
      </c>
      <c r="K1123" s="10">
        <f t="shared" si="80"/>
        <v>0</v>
      </c>
      <c r="L1123" s="7">
        <f t="shared" si="81"/>
        <v>509</v>
      </c>
      <c r="M1123" s="13" t="s">
        <v>18</v>
      </c>
      <c r="N1123"/>
    </row>
    <row r="1124" spans="1:14" ht="24.75" customHeight="1">
      <c r="A1124" s="5">
        <v>1122</v>
      </c>
      <c r="B1124" s="5" t="s">
        <v>19</v>
      </c>
      <c r="C1124" s="5" t="str">
        <f>"王惠敏"</f>
        <v>王惠敏</v>
      </c>
      <c r="D1124" s="5" t="str">
        <f>"460036199601310024"</f>
        <v>460036199601310024</v>
      </c>
      <c r="E1124" s="5" t="s">
        <v>15</v>
      </c>
      <c r="F1124" s="5" t="str">
        <f>"073102030516"</f>
        <v>073102030516</v>
      </c>
      <c r="G1124" s="7">
        <v>0</v>
      </c>
      <c r="H1124" s="7">
        <f t="shared" si="78"/>
        <v>0</v>
      </c>
      <c r="I1124" s="7">
        <v>0</v>
      </c>
      <c r="J1124" s="7">
        <f t="shared" si="79"/>
        <v>0</v>
      </c>
      <c r="K1124" s="10">
        <f t="shared" si="80"/>
        <v>0</v>
      </c>
      <c r="L1124" s="7">
        <f t="shared" si="81"/>
        <v>509</v>
      </c>
      <c r="M1124" s="13" t="s">
        <v>18</v>
      </c>
      <c r="N1124"/>
    </row>
    <row r="1125" spans="1:14" ht="24.75" customHeight="1">
      <c r="A1125" s="5">
        <v>1123</v>
      </c>
      <c r="B1125" s="5" t="s">
        <v>19</v>
      </c>
      <c r="C1125" s="5" t="str">
        <f>"许律弟"</f>
        <v>许律弟</v>
      </c>
      <c r="D1125" s="5" t="str">
        <f>"460028199803051622"</f>
        <v>460028199803051622</v>
      </c>
      <c r="E1125" s="5" t="s">
        <v>15</v>
      </c>
      <c r="F1125" s="5" t="str">
        <f>"073102030517"</f>
        <v>073102030517</v>
      </c>
      <c r="G1125" s="7">
        <v>0</v>
      </c>
      <c r="H1125" s="7">
        <f t="shared" si="78"/>
        <v>0</v>
      </c>
      <c r="I1125" s="7">
        <v>0</v>
      </c>
      <c r="J1125" s="7">
        <f t="shared" si="79"/>
        <v>0</v>
      </c>
      <c r="K1125" s="10">
        <f t="shared" si="80"/>
        <v>0</v>
      </c>
      <c r="L1125" s="7">
        <f t="shared" si="81"/>
        <v>509</v>
      </c>
      <c r="M1125" s="13" t="s">
        <v>18</v>
      </c>
      <c r="N1125"/>
    </row>
    <row r="1126" spans="1:14" ht="24.75" customHeight="1">
      <c r="A1126" s="5">
        <v>1124</v>
      </c>
      <c r="B1126" s="5" t="s">
        <v>19</v>
      </c>
      <c r="C1126" s="5" t="str">
        <f>"吴六凤"</f>
        <v>吴六凤</v>
      </c>
      <c r="D1126" s="5" t="str">
        <f>"469003199509292426"</f>
        <v>469003199509292426</v>
      </c>
      <c r="E1126" s="5" t="s">
        <v>15</v>
      </c>
      <c r="F1126" s="5" t="str">
        <f>"073102030518"</f>
        <v>073102030518</v>
      </c>
      <c r="G1126" s="7">
        <v>0</v>
      </c>
      <c r="H1126" s="7">
        <f t="shared" si="78"/>
        <v>0</v>
      </c>
      <c r="I1126" s="7">
        <v>0</v>
      </c>
      <c r="J1126" s="7">
        <f t="shared" si="79"/>
        <v>0</v>
      </c>
      <c r="K1126" s="10">
        <f t="shared" si="80"/>
        <v>0</v>
      </c>
      <c r="L1126" s="7">
        <f t="shared" si="81"/>
        <v>509</v>
      </c>
      <c r="M1126" s="13" t="s">
        <v>18</v>
      </c>
      <c r="N1126"/>
    </row>
    <row r="1127" spans="1:14" ht="24.75" customHeight="1">
      <c r="A1127" s="5">
        <v>1125</v>
      </c>
      <c r="B1127" s="5" t="s">
        <v>19</v>
      </c>
      <c r="C1127" s="5" t="str">
        <f>"何石佳"</f>
        <v>何石佳</v>
      </c>
      <c r="D1127" s="5" t="str">
        <f>"460033199402225071"</f>
        <v>460033199402225071</v>
      </c>
      <c r="E1127" s="5" t="s">
        <v>15</v>
      </c>
      <c r="F1127" s="5" t="str">
        <f>"073102030523"</f>
        <v>073102030523</v>
      </c>
      <c r="G1127" s="7">
        <v>0</v>
      </c>
      <c r="H1127" s="7">
        <f t="shared" si="78"/>
        <v>0</v>
      </c>
      <c r="I1127" s="7">
        <v>0</v>
      </c>
      <c r="J1127" s="7">
        <f t="shared" si="79"/>
        <v>0</v>
      </c>
      <c r="K1127" s="10">
        <f t="shared" si="80"/>
        <v>0</v>
      </c>
      <c r="L1127" s="7">
        <f t="shared" si="81"/>
        <v>509</v>
      </c>
      <c r="M1127" s="13" t="s">
        <v>18</v>
      </c>
      <c r="N1127"/>
    </row>
    <row r="1128" spans="1:14" ht="24.75" customHeight="1">
      <c r="A1128" s="5">
        <v>1126</v>
      </c>
      <c r="B1128" s="5" t="s">
        <v>19</v>
      </c>
      <c r="C1128" s="5" t="str">
        <f>"黄祉家"</f>
        <v>黄祉家</v>
      </c>
      <c r="D1128" s="5" t="str">
        <f>"460003199805122837"</f>
        <v>460003199805122837</v>
      </c>
      <c r="E1128" s="5" t="s">
        <v>15</v>
      </c>
      <c r="F1128" s="5" t="str">
        <f>"073102030524"</f>
        <v>073102030524</v>
      </c>
      <c r="G1128" s="7">
        <v>0</v>
      </c>
      <c r="H1128" s="7">
        <f t="shared" si="78"/>
        <v>0</v>
      </c>
      <c r="I1128" s="7">
        <v>0</v>
      </c>
      <c r="J1128" s="7">
        <f t="shared" si="79"/>
        <v>0</v>
      </c>
      <c r="K1128" s="10">
        <f t="shared" si="80"/>
        <v>0</v>
      </c>
      <c r="L1128" s="7">
        <f t="shared" si="81"/>
        <v>509</v>
      </c>
      <c r="M1128" s="13" t="s">
        <v>18</v>
      </c>
      <c r="N1128"/>
    </row>
    <row r="1129" spans="1:14" ht="24.75" customHeight="1">
      <c r="A1129" s="5">
        <v>1127</v>
      </c>
      <c r="B1129" s="5" t="s">
        <v>19</v>
      </c>
      <c r="C1129" s="5" t="str">
        <f>"庞梅梅"</f>
        <v>庞梅梅</v>
      </c>
      <c r="D1129" s="5" t="str">
        <f>"460006199007030427"</f>
        <v>460006199007030427</v>
      </c>
      <c r="E1129" s="5" t="s">
        <v>15</v>
      </c>
      <c r="F1129" s="5" t="str">
        <f>"073102030525"</f>
        <v>073102030525</v>
      </c>
      <c r="G1129" s="7">
        <v>0</v>
      </c>
      <c r="H1129" s="7">
        <f t="shared" si="78"/>
        <v>0</v>
      </c>
      <c r="I1129" s="7">
        <v>0</v>
      </c>
      <c r="J1129" s="7">
        <f t="shared" si="79"/>
        <v>0</v>
      </c>
      <c r="K1129" s="10">
        <f t="shared" si="80"/>
        <v>0</v>
      </c>
      <c r="L1129" s="7">
        <f t="shared" si="81"/>
        <v>509</v>
      </c>
      <c r="M1129" s="13" t="s">
        <v>18</v>
      </c>
      <c r="N1129"/>
    </row>
    <row r="1130" spans="1:14" ht="24.75" customHeight="1">
      <c r="A1130" s="5">
        <v>1128</v>
      </c>
      <c r="B1130" s="5" t="s">
        <v>19</v>
      </c>
      <c r="C1130" s="5" t="str">
        <f>"何明"</f>
        <v>何明</v>
      </c>
      <c r="D1130" s="5" t="str">
        <f>"460034199211220012"</f>
        <v>460034199211220012</v>
      </c>
      <c r="E1130" s="5" t="s">
        <v>16</v>
      </c>
      <c r="F1130" s="5" t="str">
        <f>"073102030527"</f>
        <v>073102030527</v>
      </c>
      <c r="G1130" s="7">
        <v>0</v>
      </c>
      <c r="H1130" s="7">
        <f t="shared" si="78"/>
        <v>0</v>
      </c>
      <c r="I1130" s="7">
        <v>0</v>
      </c>
      <c r="J1130" s="7">
        <f t="shared" si="79"/>
        <v>0</v>
      </c>
      <c r="K1130" s="10">
        <f t="shared" si="80"/>
        <v>0</v>
      </c>
      <c r="L1130" s="7">
        <f t="shared" si="81"/>
        <v>509</v>
      </c>
      <c r="M1130" s="13" t="s">
        <v>18</v>
      </c>
      <c r="N1130"/>
    </row>
    <row r="1131" spans="1:14" ht="24.75" customHeight="1">
      <c r="A1131" s="5">
        <v>1129</v>
      </c>
      <c r="B1131" s="5" t="s">
        <v>19</v>
      </c>
      <c r="C1131" s="5" t="str">
        <f>"段小玉"</f>
        <v>段小玉</v>
      </c>
      <c r="D1131" s="5" t="str">
        <f>"342426199012270021"</f>
        <v>342426199012270021</v>
      </c>
      <c r="E1131" s="5" t="s">
        <v>15</v>
      </c>
      <c r="F1131" s="5" t="str">
        <f>"073102030529"</f>
        <v>073102030529</v>
      </c>
      <c r="G1131" s="7">
        <v>0</v>
      </c>
      <c r="H1131" s="7">
        <f t="shared" si="78"/>
        <v>0</v>
      </c>
      <c r="I1131" s="7">
        <v>0</v>
      </c>
      <c r="J1131" s="7">
        <f t="shared" si="79"/>
        <v>0</v>
      </c>
      <c r="K1131" s="10">
        <f t="shared" si="80"/>
        <v>0</v>
      </c>
      <c r="L1131" s="7">
        <f t="shared" si="81"/>
        <v>509</v>
      </c>
      <c r="M1131" s="13" t="s">
        <v>18</v>
      </c>
      <c r="N1131"/>
    </row>
    <row r="1132" spans="1:14" ht="24.75" customHeight="1">
      <c r="A1132" s="5">
        <v>1130</v>
      </c>
      <c r="B1132" s="5" t="s">
        <v>19</v>
      </c>
      <c r="C1132" s="5" t="str">
        <f>"王冠彪"</f>
        <v>王冠彪</v>
      </c>
      <c r="D1132" s="5" t="str">
        <f>"460102199408311537"</f>
        <v>460102199408311537</v>
      </c>
      <c r="E1132" s="5" t="s">
        <v>15</v>
      </c>
      <c r="F1132" s="5" t="str">
        <f>"073102030531"</f>
        <v>073102030531</v>
      </c>
      <c r="G1132" s="7">
        <v>0</v>
      </c>
      <c r="H1132" s="7">
        <f t="shared" si="78"/>
        <v>0</v>
      </c>
      <c r="I1132" s="7">
        <v>0</v>
      </c>
      <c r="J1132" s="7">
        <f t="shared" si="79"/>
        <v>0</v>
      </c>
      <c r="K1132" s="10">
        <f t="shared" si="80"/>
        <v>0</v>
      </c>
      <c r="L1132" s="7">
        <f t="shared" si="81"/>
        <v>509</v>
      </c>
      <c r="M1132" s="13" t="s">
        <v>18</v>
      </c>
      <c r="N1132"/>
    </row>
    <row r="1133" spans="1:14" ht="24.75" customHeight="1">
      <c r="A1133" s="5">
        <v>1131</v>
      </c>
      <c r="B1133" s="5" t="s">
        <v>19</v>
      </c>
      <c r="C1133" s="5" t="str">
        <f>"谢锋"</f>
        <v>谢锋</v>
      </c>
      <c r="D1133" s="5" t="str">
        <f>"460003199308032638"</f>
        <v>460003199308032638</v>
      </c>
      <c r="E1133" s="5" t="s">
        <v>15</v>
      </c>
      <c r="F1133" s="5" t="str">
        <f>"073102030532"</f>
        <v>073102030532</v>
      </c>
      <c r="G1133" s="7">
        <v>0</v>
      </c>
      <c r="H1133" s="7">
        <f t="shared" si="78"/>
        <v>0</v>
      </c>
      <c r="I1133" s="7">
        <v>0</v>
      </c>
      <c r="J1133" s="7">
        <f t="shared" si="79"/>
        <v>0</v>
      </c>
      <c r="K1133" s="10">
        <f t="shared" si="80"/>
        <v>0</v>
      </c>
      <c r="L1133" s="7">
        <f t="shared" si="81"/>
        <v>509</v>
      </c>
      <c r="M1133" s="13" t="s">
        <v>18</v>
      </c>
      <c r="N1133"/>
    </row>
    <row r="1134" spans="1:14" ht="24.75" customHeight="1">
      <c r="A1134" s="5">
        <v>1132</v>
      </c>
      <c r="B1134" s="5" t="s">
        <v>19</v>
      </c>
      <c r="C1134" s="5" t="str">
        <f>"唐全方"</f>
        <v>唐全方</v>
      </c>
      <c r="D1134" s="5" t="str">
        <f>"46030019920114061X"</f>
        <v>46030019920114061X</v>
      </c>
      <c r="E1134" s="5" t="s">
        <v>15</v>
      </c>
      <c r="F1134" s="5" t="str">
        <f>"073102030533"</f>
        <v>073102030533</v>
      </c>
      <c r="G1134" s="7">
        <v>0</v>
      </c>
      <c r="H1134" s="7">
        <f t="shared" si="78"/>
        <v>0</v>
      </c>
      <c r="I1134" s="7">
        <v>0</v>
      </c>
      <c r="J1134" s="7">
        <f t="shared" si="79"/>
        <v>0</v>
      </c>
      <c r="K1134" s="10">
        <f t="shared" si="80"/>
        <v>0</v>
      </c>
      <c r="L1134" s="7">
        <f t="shared" si="81"/>
        <v>509</v>
      </c>
      <c r="M1134" s="13" t="s">
        <v>18</v>
      </c>
      <c r="N1134"/>
    </row>
    <row r="1135" spans="1:14" ht="24.75" customHeight="1">
      <c r="A1135" s="5">
        <v>1133</v>
      </c>
      <c r="B1135" s="5" t="s">
        <v>19</v>
      </c>
      <c r="C1135" s="5" t="str">
        <f>"陈彩丽"</f>
        <v>陈彩丽</v>
      </c>
      <c r="D1135" s="5" t="str">
        <f>"460003199511053223"</f>
        <v>460003199511053223</v>
      </c>
      <c r="E1135" s="5" t="s">
        <v>15</v>
      </c>
      <c r="F1135" s="5" t="str">
        <f>"073102030534"</f>
        <v>073102030534</v>
      </c>
      <c r="G1135" s="7">
        <v>0</v>
      </c>
      <c r="H1135" s="7">
        <f t="shared" si="78"/>
        <v>0</v>
      </c>
      <c r="I1135" s="7">
        <v>0</v>
      </c>
      <c r="J1135" s="7">
        <f t="shared" si="79"/>
        <v>0</v>
      </c>
      <c r="K1135" s="10">
        <f t="shared" si="80"/>
        <v>0</v>
      </c>
      <c r="L1135" s="7">
        <f t="shared" si="81"/>
        <v>509</v>
      </c>
      <c r="M1135" s="13" t="s">
        <v>18</v>
      </c>
      <c r="N1135"/>
    </row>
    <row r="1136" spans="1:14" ht="24.75" customHeight="1">
      <c r="A1136" s="5">
        <v>1134</v>
      </c>
      <c r="B1136" s="5" t="s">
        <v>19</v>
      </c>
      <c r="C1136" s="5" t="str">
        <f>"符小利"</f>
        <v>符小利</v>
      </c>
      <c r="D1136" s="5" t="str">
        <f>"460027199910125926"</f>
        <v>460027199910125926</v>
      </c>
      <c r="E1136" s="5" t="s">
        <v>15</v>
      </c>
      <c r="F1136" s="5" t="str">
        <f>"073102030535"</f>
        <v>073102030535</v>
      </c>
      <c r="G1136" s="7">
        <v>0</v>
      </c>
      <c r="H1136" s="7">
        <f t="shared" si="78"/>
        <v>0</v>
      </c>
      <c r="I1136" s="7">
        <v>0</v>
      </c>
      <c r="J1136" s="7">
        <f t="shared" si="79"/>
        <v>0</v>
      </c>
      <c r="K1136" s="10">
        <f t="shared" si="80"/>
        <v>0</v>
      </c>
      <c r="L1136" s="7">
        <f t="shared" si="81"/>
        <v>509</v>
      </c>
      <c r="M1136" s="13" t="s">
        <v>18</v>
      </c>
      <c r="N1136"/>
    </row>
    <row r="1137" spans="1:14" ht="24.75" customHeight="1">
      <c r="A1137" s="5">
        <v>1135</v>
      </c>
      <c r="B1137" s="5" t="s">
        <v>19</v>
      </c>
      <c r="C1137" s="5" t="str">
        <f>"王初乾"</f>
        <v>王初乾</v>
      </c>
      <c r="D1137" s="5" t="str">
        <f>"469003199508215621"</f>
        <v>469003199508215621</v>
      </c>
      <c r="E1137" s="5" t="s">
        <v>15</v>
      </c>
      <c r="F1137" s="5" t="str">
        <f>"073102030536"</f>
        <v>073102030536</v>
      </c>
      <c r="G1137" s="7">
        <v>0</v>
      </c>
      <c r="H1137" s="7">
        <f t="shared" si="78"/>
        <v>0</v>
      </c>
      <c r="I1137" s="7">
        <v>0</v>
      </c>
      <c r="J1137" s="7">
        <f t="shared" si="79"/>
        <v>0</v>
      </c>
      <c r="K1137" s="10">
        <f t="shared" si="80"/>
        <v>0</v>
      </c>
      <c r="L1137" s="7">
        <f t="shared" si="81"/>
        <v>509</v>
      </c>
      <c r="M1137" s="13" t="s">
        <v>18</v>
      </c>
      <c r="N1137"/>
    </row>
    <row r="1138" spans="1:14" ht="24.75" customHeight="1">
      <c r="A1138" s="5">
        <v>1136</v>
      </c>
      <c r="B1138" s="5" t="s">
        <v>19</v>
      </c>
      <c r="C1138" s="5" t="str">
        <f>"陈秋萍"</f>
        <v>陈秋萍</v>
      </c>
      <c r="D1138" s="5" t="str">
        <f>"460003199708170044"</f>
        <v>460003199708170044</v>
      </c>
      <c r="E1138" s="5" t="s">
        <v>15</v>
      </c>
      <c r="F1138" s="5" t="str">
        <f>"073102030537"</f>
        <v>073102030537</v>
      </c>
      <c r="G1138" s="7">
        <v>0</v>
      </c>
      <c r="H1138" s="7">
        <f t="shared" si="78"/>
        <v>0</v>
      </c>
      <c r="I1138" s="7">
        <v>0</v>
      </c>
      <c r="J1138" s="7">
        <f t="shared" si="79"/>
        <v>0</v>
      </c>
      <c r="K1138" s="10">
        <f t="shared" si="80"/>
        <v>0</v>
      </c>
      <c r="L1138" s="7">
        <f t="shared" si="81"/>
        <v>509</v>
      </c>
      <c r="M1138" s="13" t="s">
        <v>18</v>
      </c>
      <c r="N1138"/>
    </row>
    <row r="1139" spans="1:14" ht="24.75" customHeight="1">
      <c r="A1139" s="5">
        <v>1137</v>
      </c>
      <c r="B1139" s="5" t="s">
        <v>19</v>
      </c>
      <c r="C1139" s="5" t="str">
        <f>"姚虹"</f>
        <v>姚虹</v>
      </c>
      <c r="D1139" s="5" t="str">
        <f>"460002200103270527"</f>
        <v>460002200103270527</v>
      </c>
      <c r="E1139" s="5" t="s">
        <v>15</v>
      </c>
      <c r="F1139" s="5" t="str">
        <f>"073102030538"</f>
        <v>073102030538</v>
      </c>
      <c r="G1139" s="7">
        <v>0</v>
      </c>
      <c r="H1139" s="7">
        <f t="shared" si="78"/>
        <v>0</v>
      </c>
      <c r="I1139" s="7">
        <v>0</v>
      </c>
      <c r="J1139" s="7">
        <f t="shared" si="79"/>
        <v>0</v>
      </c>
      <c r="K1139" s="10">
        <f t="shared" si="80"/>
        <v>0</v>
      </c>
      <c r="L1139" s="7">
        <f t="shared" si="81"/>
        <v>509</v>
      </c>
      <c r="M1139" s="13" t="s">
        <v>18</v>
      </c>
      <c r="N1139"/>
    </row>
    <row r="1140" spans="1:14" ht="24.75" customHeight="1">
      <c r="A1140" s="5">
        <v>1138</v>
      </c>
      <c r="B1140" s="5" t="s">
        <v>19</v>
      </c>
      <c r="C1140" s="5" t="str">
        <f>"卢丹妹"</f>
        <v>卢丹妹</v>
      </c>
      <c r="D1140" s="5" t="str">
        <f>"460003199310076648"</f>
        <v>460003199310076648</v>
      </c>
      <c r="E1140" s="5" t="s">
        <v>15</v>
      </c>
      <c r="F1140" s="5" t="str">
        <f>"073102030539"</f>
        <v>073102030539</v>
      </c>
      <c r="G1140" s="7">
        <v>0</v>
      </c>
      <c r="H1140" s="7">
        <f t="shared" si="78"/>
        <v>0</v>
      </c>
      <c r="I1140" s="7">
        <v>0</v>
      </c>
      <c r="J1140" s="7">
        <f t="shared" si="79"/>
        <v>0</v>
      </c>
      <c r="K1140" s="10">
        <f t="shared" si="80"/>
        <v>0</v>
      </c>
      <c r="L1140" s="7">
        <f t="shared" si="81"/>
        <v>509</v>
      </c>
      <c r="M1140" s="13" t="s">
        <v>18</v>
      </c>
      <c r="N1140"/>
    </row>
    <row r="1141" spans="1:14" ht="24.75" customHeight="1">
      <c r="A1141" s="5">
        <v>1139</v>
      </c>
      <c r="B1141" s="5" t="s">
        <v>19</v>
      </c>
      <c r="C1141" s="5" t="str">
        <f>"张春科"</f>
        <v>张春科</v>
      </c>
      <c r="D1141" s="5" t="str">
        <f>"460033199407133264"</f>
        <v>460033199407133264</v>
      </c>
      <c r="E1141" s="5" t="s">
        <v>15</v>
      </c>
      <c r="F1141" s="5" t="str">
        <f>"073102030540"</f>
        <v>073102030540</v>
      </c>
      <c r="G1141" s="7">
        <v>0</v>
      </c>
      <c r="H1141" s="7">
        <f t="shared" si="78"/>
        <v>0</v>
      </c>
      <c r="I1141" s="7">
        <v>0</v>
      </c>
      <c r="J1141" s="7">
        <f t="shared" si="79"/>
        <v>0</v>
      </c>
      <c r="K1141" s="10">
        <f t="shared" si="80"/>
        <v>0</v>
      </c>
      <c r="L1141" s="7">
        <f t="shared" si="81"/>
        <v>509</v>
      </c>
      <c r="M1141" s="13" t="s">
        <v>18</v>
      </c>
      <c r="N1141"/>
    </row>
    <row r="1142" spans="1:14" ht="24.75" customHeight="1">
      <c r="A1142" s="5">
        <v>1140</v>
      </c>
      <c r="B1142" s="5" t="s">
        <v>19</v>
      </c>
      <c r="C1142" s="5" t="str">
        <f>"陈晓虹"</f>
        <v>陈晓虹</v>
      </c>
      <c r="D1142" s="5" t="str">
        <f>"460005199805084124"</f>
        <v>460005199805084124</v>
      </c>
      <c r="E1142" s="5" t="s">
        <v>15</v>
      </c>
      <c r="F1142" s="5" t="str">
        <f>"073102030541"</f>
        <v>073102030541</v>
      </c>
      <c r="G1142" s="7">
        <v>0</v>
      </c>
      <c r="H1142" s="7">
        <f t="shared" si="78"/>
        <v>0</v>
      </c>
      <c r="I1142" s="7">
        <v>0</v>
      </c>
      <c r="J1142" s="7">
        <f t="shared" si="79"/>
        <v>0</v>
      </c>
      <c r="K1142" s="10">
        <f t="shared" si="80"/>
        <v>0</v>
      </c>
      <c r="L1142" s="7">
        <f t="shared" si="81"/>
        <v>509</v>
      </c>
      <c r="M1142" s="13" t="s">
        <v>18</v>
      </c>
      <c r="N1142"/>
    </row>
    <row r="1143" spans="1:14" ht="24.75" customHeight="1">
      <c r="A1143" s="5">
        <v>1141</v>
      </c>
      <c r="B1143" s="5" t="s">
        <v>19</v>
      </c>
      <c r="C1143" s="5" t="str">
        <f>"陈琼林"</f>
        <v>陈琼林</v>
      </c>
      <c r="D1143" s="5" t="str">
        <f>"460033199608103889"</f>
        <v>460033199608103889</v>
      </c>
      <c r="E1143" s="5" t="s">
        <v>15</v>
      </c>
      <c r="F1143" s="5" t="str">
        <f>"073102030601"</f>
        <v>073102030601</v>
      </c>
      <c r="G1143" s="7">
        <v>0</v>
      </c>
      <c r="H1143" s="7">
        <f t="shared" si="78"/>
        <v>0</v>
      </c>
      <c r="I1143" s="7">
        <v>0</v>
      </c>
      <c r="J1143" s="7">
        <f t="shared" si="79"/>
        <v>0</v>
      </c>
      <c r="K1143" s="10">
        <f t="shared" si="80"/>
        <v>0</v>
      </c>
      <c r="L1143" s="7">
        <f t="shared" si="81"/>
        <v>509</v>
      </c>
      <c r="M1143" s="13" t="s">
        <v>18</v>
      </c>
      <c r="N1143"/>
    </row>
    <row r="1144" spans="1:14" ht="24.75" customHeight="1">
      <c r="A1144" s="5">
        <v>1142</v>
      </c>
      <c r="B1144" s="5" t="s">
        <v>19</v>
      </c>
      <c r="C1144" s="5" t="str">
        <f>"方晓梅"</f>
        <v>方晓梅</v>
      </c>
      <c r="D1144" s="5" t="str">
        <f>"460007199806273624"</f>
        <v>460007199806273624</v>
      </c>
      <c r="E1144" s="5" t="s">
        <v>15</v>
      </c>
      <c r="F1144" s="5" t="str">
        <f>"073102030606"</f>
        <v>073102030606</v>
      </c>
      <c r="G1144" s="7">
        <v>0</v>
      </c>
      <c r="H1144" s="7">
        <f t="shared" si="78"/>
        <v>0</v>
      </c>
      <c r="I1144" s="7">
        <v>0</v>
      </c>
      <c r="J1144" s="7">
        <f t="shared" si="79"/>
        <v>0</v>
      </c>
      <c r="K1144" s="10">
        <f t="shared" si="80"/>
        <v>0</v>
      </c>
      <c r="L1144" s="7">
        <f t="shared" si="81"/>
        <v>509</v>
      </c>
      <c r="M1144" s="13" t="s">
        <v>18</v>
      </c>
      <c r="N1144"/>
    </row>
    <row r="1145" spans="1:14" ht="24.75" customHeight="1">
      <c r="A1145" s="5">
        <v>1143</v>
      </c>
      <c r="B1145" s="5" t="s">
        <v>19</v>
      </c>
      <c r="C1145" s="5" t="str">
        <f>"王彩玲"</f>
        <v>王彩玲</v>
      </c>
      <c r="D1145" s="5" t="str">
        <f>"460003199505073068"</f>
        <v>460003199505073068</v>
      </c>
      <c r="E1145" s="5" t="s">
        <v>15</v>
      </c>
      <c r="F1145" s="5" t="str">
        <f>"073102030608"</f>
        <v>073102030608</v>
      </c>
      <c r="G1145" s="7">
        <v>0</v>
      </c>
      <c r="H1145" s="7">
        <f t="shared" si="78"/>
        <v>0</v>
      </c>
      <c r="I1145" s="7">
        <v>0</v>
      </c>
      <c r="J1145" s="7">
        <f t="shared" si="79"/>
        <v>0</v>
      </c>
      <c r="K1145" s="10">
        <f t="shared" si="80"/>
        <v>0</v>
      </c>
      <c r="L1145" s="7">
        <f t="shared" si="81"/>
        <v>509</v>
      </c>
      <c r="M1145" s="13" t="s">
        <v>18</v>
      </c>
      <c r="N1145"/>
    </row>
    <row r="1146" spans="1:14" ht="24.75" customHeight="1">
      <c r="A1146" s="5">
        <v>1144</v>
      </c>
      <c r="B1146" s="5" t="s">
        <v>19</v>
      </c>
      <c r="C1146" s="5" t="str">
        <f>"陈小倩"</f>
        <v>陈小倩</v>
      </c>
      <c r="D1146" s="5" t="str">
        <f>"46002819910117322X"</f>
        <v>46002819910117322X</v>
      </c>
      <c r="E1146" s="5" t="s">
        <v>15</v>
      </c>
      <c r="F1146" s="5" t="str">
        <f>"073102030609"</f>
        <v>073102030609</v>
      </c>
      <c r="G1146" s="7">
        <v>0</v>
      </c>
      <c r="H1146" s="7">
        <f t="shared" si="78"/>
        <v>0</v>
      </c>
      <c r="I1146" s="7">
        <v>0</v>
      </c>
      <c r="J1146" s="7">
        <f t="shared" si="79"/>
        <v>0</v>
      </c>
      <c r="K1146" s="10">
        <f t="shared" si="80"/>
        <v>0</v>
      </c>
      <c r="L1146" s="7">
        <f t="shared" si="81"/>
        <v>509</v>
      </c>
      <c r="M1146" s="13" t="s">
        <v>18</v>
      </c>
      <c r="N1146"/>
    </row>
    <row r="1147" spans="1:14" ht="24.75" customHeight="1">
      <c r="A1147" s="5">
        <v>1145</v>
      </c>
      <c r="B1147" s="5" t="s">
        <v>19</v>
      </c>
      <c r="C1147" s="5" t="str">
        <f>"郑进让"</f>
        <v>郑进让</v>
      </c>
      <c r="D1147" s="5" t="str">
        <f>"460003199607302212"</f>
        <v>460003199607302212</v>
      </c>
      <c r="E1147" s="5" t="s">
        <v>15</v>
      </c>
      <c r="F1147" s="5" t="str">
        <f>"073102030611"</f>
        <v>073102030611</v>
      </c>
      <c r="G1147" s="7">
        <v>0</v>
      </c>
      <c r="H1147" s="7">
        <f t="shared" si="78"/>
        <v>0</v>
      </c>
      <c r="I1147" s="7">
        <v>0</v>
      </c>
      <c r="J1147" s="7">
        <f t="shared" si="79"/>
        <v>0</v>
      </c>
      <c r="K1147" s="10">
        <f t="shared" si="80"/>
        <v>0</v>
      </c>
      <c r="L1147" s="7">
        <f t="shared" si="81"/>
        <v>509</v>
      </c>
      <c r="M1147" s="13" t="s">
        <v>18</v>
      </c>
      <c r="N1147"/>
    </row>
    <row r="1148" spans="1:14" ht="24.75" customHeight="1">
      <c r="A1148" s="5">
        <v>1146</v>
      </c>
      <c r="B1148" s="5" t="s">
        <v>19</v>
      </c>
      <c r="C1148" s="5" t="str">
        <f>"梁珈源"</f>
        <v>梁珈源</v>
      </c>
      <c r="D1148" s="5" t="str">
        <f>"460004199702220676"</f>
        <v>460004199702220676</v>
      </c>
      <c r="E1148" s="5" t="s">
        <v>15</v>
      </c>
      <c r="F1148" s="5" t="str">
        <f>"073102030612"</f>
        <v>073102030612</v>
      </c>
      <c r="G1148" s="7">
        <v>0</v>
      </c>
      <c r="H1148" s="7">
        <f t="shared" si="78"/>
        <v>0</v>
      </c>
      <c r="I1148" s="7">
        <v>0</v>
      </c>
      <c r="J1148" s="7">
        <f t="shared" si="79"/>
        <v>0</v>
      </c>
      <c r="K1148" s="10">
        <f t="shared" si="80"/>
        <v>0</v>
      </c>
      <c r="L1148" s="7">
        <f t="shared" si="81"/>
        <v>509</v>
      </c>
      <c r="M1148" s="13" t="s">
        <v>18</v>
      </c>
      <c r="N1148"/>
    </row>
    <row r="1149" spans="1:14" ht="24.75" customHeight="1">
      <c r="A1149" s="5">
        <v>1147</v>
      </c>
      <c r="B1149" s="5" t="s">
        <v>19</v>
      </c>
      <c r="C1149" s="5" t="str">
        <f>"谢子晴"</f>
        <v>谢子晴</v>
      </c>
      <c r="D1149" s="5" t="str">
        <f>"460003199812117227"</f>
        <v>460003199812117227</v>
      </c>
      <c r="E1149" s="5" t="s">
        <v>15</v>
      </c>
      <c r="F1149" s="5" t="str">
        <f>"073102030615"</f>
        <v>073102030615</v>
      </c>
      <c r="G1149" s="7">
        <v>0</v>
      </c>
      <c r="H1149" s="7">
        <f t="shared" si="78"/>
        <v>0</v>
      </c>
      <c r="I1149" s="7">
        <v>0</v>
      </c>
      <c r="J1149" s="7">
        <f t="shared" si="79"/>
        <v>0</v>
      </c>
      <c r="K1149" s="10">
        <f t="shared" si="80"/>
        <v>0</v>
      </c>
      <c r="L1149" s="7">
        <f t="shared" si="81"/>
        <v>509</v>
      </c>
      <c r="M1149" s="13" t="s">
        <v>18</v>
      </c>
      <c r="N1149"/>
    </row>
    <row r="1150" spans="1:14" ht="24.75" customHeight="1">
      <c r="A1150" s="5">
        <v>1148</v>
      </c>
      <c r="B1150" s="5" t="s">
        <v>19</v>
      </c>
      <c r="C1150" s="5" t="str">
        <f>"王浩萤"</f>
        <v>王浩萤</v>
      </c>
      <c r="D1150" s="5" t="str">
        <f>"460003199707034622"</f>
        <v>460003199707034622</v>
      </c>
      <c r="E1150" s="5" t="s">
        <v>15</v>
      </c>
      <c r="F1150" s="5" t="str">
        <f>"073102030617"</f>
        <v>073102030617</v>
      </c>
      <c r="G1150" s="7">
        <v>0</v>
      </c>
      <c r="H1150" s="7">
        <f t="shared" si="78"/>
        <v>0</v>
      </c>
      <c r="I1150" s="7">
        <v>0</v>
      </c>
      <c r="J1150" s="7">
        <f t="shared" si="79"/>
        <v>0</v>
      </c>
      <c r="K1150" s="10">
        <f t="shared" si="80"/>
        <v>0</v>
      </c>
      <c r="L1150" s="7">
        <f t="shared" si="81"/>
        <v>509</v>
      </c>
      <c r="M1150" s="13" t="s">
        <v>18</v>
      </c>
      <c r="N1150"/>
    </row>
    <row r="1151" spans="1:14" ht="24.75" customHeight="1">
      <c r="A1151" s="5">
        <v>1149</v>
      </c>
      <c r="B1151" s="5" t="s">
        <v>19</v>
      </c>
      <c r="C1151" s="5" t="str">
        <f>"曾之帆"</f>
        <v>曾之帆</v>
      </c>
      <c r="D1151" s="5" t="str">
        <f>"460103199710120623"</f>
        <v>460103199710120623</v>
      </c>
      <c r="E1151" s="5" t="s">
        <v>15</v>
      </c>
      <c r="F1151" s="5" t="str">
        <f>"073102030618"</f>
        <v>073102030618</v>
      </c>
      <c r="G1151" s="7">
        <v>0</v>
      </c>
      <c r="H1151" s="7">
        <f t="shared" si="78"/>
        <v>0</v>
      </c>
      <c r="I1151" s="7">
        <v>0</v>
      </c>
      <c r="J1151" s="7">
        <f t="shared" si="79"/>
        <v>0</v>
      </c>
      <c r="K1151" s="10">
        <f t="shared" si="80"/>
        <v>0</v>
      </c>
      <c r="L1151" s="7">
        <f t="shared" si="81"/>
        <v>509</v>
      </c>
      <c r="M1151" s="13" t="s">
        <v>18</v>
      </c>
      <c r="N1151"/>
    </row>
    <row r="1152" spans="1:14" ht="24.75" customHeight="1">
      <c r="A1152" s="5">
        <v>1150</v>
      </c>
      <c r="B1152" s="5" t="s">
        <v>19</v>
      </c>
      <c r="C1152" s="5" t="str">
        <f>"周振华"</f>
        <v>周振华</v>
      </c>
      <c r="D1152" s="5" t="str">
        <f>"460030199910252157"</f>
        <v>460030199910252157</v>
      </c>
      <c r="E1152" s="5" t="s">
        <v>15</v>
      </c>
      <c r="F1152" s="5" t="str">
        <f>"073102030620"</f>
        <v>073102030620</v>
      </c>
      <c r="G1152" s="7">
        <v>0</v>
      </c>
      <c r="H1152" s="7">
        <f t="shared" si="78"/>
        <v>0</v>
      </c>
      <c r="I1152" s="7">
        <v>0</v>
      </c>
      <c r="J1152" s="7">
        <f t="shared" si="79"/>
        <v>0</v>
      </c>
      <c r="K1152" s="10">
        <f t="shared" si="80"/>
        <v>0</v>
      </c>
      <c r="L1152" s="7">
        <f t="shared" si="81"/>
        <v>509</v>
      </c>
      <c r="M1152" s="13" t="s">
        <v>18</v>
      </c>
      <c r="N1152"/>
    </row>
    <row r="1153" spans="1:14" ht="24.75" customHeight="1">
      <c r="A1153" s="5">
        <v>1151</v>
      </c>
      <c r="B1153" s="5" t="s">
        <v>19</v>
      </c>
      <c r="C1153" s="5" t="str">
        <f>"郑石妹"</f>
        <v>郑石妹</v>
      </c>
      <c r="D1153" s="5" t="str">
        <f>"460003199810052466"</f>
        <v>460003199810052466</v>
      </c>
      <c r="E1153" s="5" t="s">
        <v>15</v>
      </c>
      <c r="F1153" s="5" t="str">
        <f>"073102030626"</f>
        <v>073102030626</v>
      </c>
      <c r="G1153" s="7">
        <v>0</v>
      </c>
      <c r="H1153" s="7">
        <f t="shared" si="78"/>
        <v>0</v>
      </c>
      <c r="I1153" s="7">
        <v>0</v>
      </c>
      <c r="J1153" s="7">
        <f t="shared" si="79"/>
        <v>0</v>
      </c>
      <c r="K1153" s="10">
        <f t="shared" si="80"/>
        <v>0</v>
      </c>
      <c r="L1153" s="7">
        <f t="shared" si="81"/>
        <v>509</v>
      </c>
      <c r="M1153" s="13" t="s">
        <v>18</v>
      </c>
      <c r="N1153"/>
    </row>
    <row r="1154" spans="1:14" ht="24.75" customHeight="1">
      <c r="A1154" s="5">
        <v>1152</v>
      </c>
      <c r="B1154" s="5" t="s">
        <v>19</v>
      </c>
      <c r="C1154" s="5" t="str">
        <f>"李蓉"</f>
        <v>李蓉</v>
      </c>
      <c r="D1154" s="5" t="str">
        <f>"460003199505100249"</f>
        <v>460003199505100249</v>
      </c>
      <c r="E1154" s="5" t="s">
        <v>15</v>
      </c>
      <c r="F1154" s="5" t="str">
        <f>"073102030627"</f>
        <v>073102030627</v>
      </c>
      <c r="G1154" s="7">
        <v>0</v>
      </c>
      <c r="H1154" s="7">
        <f t="shared" si="78"/>
        <v>0</v>
      </c>
      <c r="I1154" s="7">
        <v>0</v>
      </c>
      <c r="J1154" s="7">
        <f t="shared" si="79"/>
        <v>0</v>
      </c>
      <c r="K1154" s="10">
        <f t="shared" si="80"/>
        <v>0</v>
      </c>
      <c r="L1154" s="7">
        <f t="shared" si="81"/>
        <v>509</v>
      </c>
      <c r="M1154" s="13" t="s">
        <v>18</v>
      </c>
      <c r="N1154"/>
    </row>
    <row r="1155" spans="1:14" ht="24.75" customHeight="1">
      <c r="A1155" s="5">
        <v>1153</v>
      </c>
      <c r="B1155" s="5" t="s">
        <v>19</v>
      </c>
      <c r="C1155" s="5" t="str">
        <f>"蓝娇闪"</f>
        <v>蓝娇闪</v>
      </c>
      <c r="D1155" s="5" t="str">
        <f>"460034199202033020"</f>
        <v>460034199202033020</v>
      </c>
      <c r="E1155" s="5" t="s">
        <v>15</v>
      </c>
      <c r="F1155" s="5" t="str">
        <f>"073102030632"</f>
        <v>073102030632</v>
      </c>
      <c r="G1155" s="7">
        <v>0</v>
      </c>
      <c r="H1155" s="7">
        <f aca="true" t="shared" si="82" ref="H1155:H1218">G1155*0.5</f>
        <v>0</v>
      </c>
      <c r="I1155" s="7">
        <v>0</v>
      </c>
      <c r="J1155" s="7">
        <f aca="true" t="shared" si="83" ref="J1155:J1218">I1155*0.5</f>
        <v>0</v>
      </c>
      <c r="K1155" s="10">
        <f t="shared" si="80"/>
        <v>0</v>
      </c>
      <c r="L1155" s="7">
        <f t="shared" si="81"/>
        <v>509</v>
      </c>
      <c r="M1155" s="13" t="s">
        <v>18</v>
      </c>
      <c r="N1155"/>
    </row>
    <row r="1156" spans="1:14" ht="24.75" customHeight="1">
      <c r="A1156" s="5">
        <v>1154</v>
      </c>
      <c r="B1156" s="5" t="s">
        <v>19</v>
      </c>
      <c r="C1156" s="5" t="str">
        <f>"蔡兴壮"</f>
        <v>蔡兴壮</v>
      </c>
      <c r="D1156" s="5" t="str">
        <f>"460027199110260011"</f>
        <v>460027199110260011</v>
      </c>
      <c r="E1156" s="5" t="s">
        <v>15</v>
      </c>
      <c r="F1156" s="5" t="str">
        <f>"073102030634"</f>
        <v>073102030634</v>
      </c>
      <c r="G1156" s="7">
        <v>0</v>
      </c>
      <c r="H1156" s="7">
        <f t="shared" si="82"/>
        <v>0</v>
      </c>
      <c r="I1156" s="7">
        <v>0</v>
      </c>
      <c r="J1156" s="7">
        <f t="shared" si="83"/>
        <v>0</v>
      </c>
      <c r="K1156" s="10">
        <f t="shared" si="80"/>
        <v>0</v>
      </c>
      <c r="L1156" s="7">
        <f t="shared" si="81"/>
        <v>509</v>
      </c>
      <c r="M1156" s="13" t="s">
        <v>18</v>
      </c>
      <c r="N1156"/>
    </row>
    <row r="1157" spans="1:14" ht="24.75" customHeight="1">
      <c r="A1157" s="5">
        <v>1155</v>
      </c>
      <c r="B1157" s="5" t="s">
        <v>19</v>
      </c>
      <c r="C1157" s="5" t="str">
        <f>"刘嘉仪"</f>
        <v>刘嘉仪</v>
      </c>
      <c r="D1157" s="5" t="str">
        <f>"460007199705100820"</f>
        <v>460007199705100820</v>
      </c>
      <c r="E1157" s="5" t="s">
        <v>15</v>
      </c>
      <c r="F1157" s="5" t="str">
        <f>"073102030635"</f>
        <v>073102030635</v>
      </c>
      <c r="G1157" s="7">
        <v>0</v>
      </c>
      <c r="H1157" s="7">
        <f t="shared" si="82"/>
        <v>0</v>
      </c>
      <c r="I1157" s="7">
        <v>0</v>
      </c>
      <c r="J1157" s="7">
        <f t="shared" si="83"/>
        <v>0</v>
      </c>
      <c r="K1157" s="10">
        <f t="shared" si="80"/>
        <v>0</v>
      </c>
      <c r="L1157" s="7">
        <f t="shared" si="81"/>
        <v>509</v>
      </c>
      <c r="M1157" s="13" t="s">
        <v>18</v>
      </c>
      <c r="N1157"/>
    </row>
    <row r="1158" spans="1:14" ht="24.75" customHeight="1">
      <c r="A1158" s="5">
        <v>1156</v>
      </c>
      <c r="B1158" s="5" t="s">
        <v>19</v>
      </c>
      <c r="C1158" s="5" t="str">
        <f>"黄泽梅"</f>
        <v>黄泽梅</v>
      </c>
      <c r="D1158" s="5" t="str">
        <f>"469003199606133224"</f>
        <v>469003199606133224</v>
      </c>
      <c r="E1158" s="5" t="s">
        <v>15</v>
      </c>
      <c r="F1158" s="5" t="str">
        <f>"073102030636"</f>
        <v>073102030636</v>
      </c>
      <c r="G1158" s="7">
        <v>0</v>
      </c>
      <c r="H1158" s="7">
        <f t="shared" si="82"/>
        <v>0</v>
      </c>
      <c r="I1158" s="7">
        <v>0</v>
      </c>
      <c r="J1158" s="7">
        <f t="shared" si="83"/>
        <v>0</v>
      </c>
      <c r="K1158" s="10">
        <f t="shared" si="80"/>
        <v>0</v>
      </c>
      <c r="L1158" s="7">
        <f t="shared" si="81"/>
        <v>509</v>
      </c>
      <c r="M1158" s="13" t="s">
        <v>18</v>
      </c>
      <c r="N1158"/>
    </row>
    <row r="1159" spans="1:14" ht="24.75" customHeight="1">
      <c r="A1159" s="5">
        <v>1157</v>
      </c>
      <c r="B1159" s="5" t="s">
        <v>19</v>
      </c>
      <c r="C1159" s="5" t="str">
        <f>"张才容"</f>
        <v>张才容</v>
      </c>
      <c r="D1159" s="5" t="str">
        <f>"460003199505067696"</f>
        <v>460003199505067696</v>
      </c>
      <c r="E1159" s="5" t="s">
        <v>15</v>
      </c>
      <c r="F1159" s="5" t="str">
        <f>"073102030637"</f>
        <v>073102030637</v>
      </c>
      <c r="G1159" s="7">
        <v>0</v>
      </c>
      <c r="H1159" s="7">
        <f t="shared" si="82"/>
        <v>0</v>
      </c>
      <c r="I1159" s="7">
        <v>0</v>
      </c>
      <c r="J1159" s="7">
        <f t="shared" si="83"/>
        <v>0</v>
      </c>
      <c r="K1159" s="10">
        <f t="shared" si="80"/>
        <v>0</v>
      </c>
      <c r="L1159" s="7">
        <f t="shared" si="81"/>
        <v>509</v>
      </c>
      <c r="M1159" s="13" t="s">
        <v>18</v>
      </c>
      <c r="N1159"/>
    </row>
    <row r="1160" spans="1:14" ht="24.75" customHeight="1">
      <c r="A1160" s="5">
        <v>1158</v>
      </c>
      <c r="B1160" s="5" t="s">
        <v>19</v>
      </c>
      <c r="C1160" s="5" t="str">
        <f>"蔡婷"</f>
        <v>蔡婷</v>
      </c>
      <c r="D1160" s="5" t="str">
        <f>"46002719971007006X"</f>
        <v>46002719971007006X</v>
      </c>
      <c r="E1160" s="5" t="s">
        <v>15</v>
      </c>
      <c r="F1160" s="5" t="str">
        <f>"073102030638"</f>
        <v>073102030638</v>
      </c>
      <c r="G1160" s="7">
        <v>0</v>
      </c>
      <c r="H1160" s="7">
        <f t="shared" si="82"/>
        <v>0</v>
      </c>
      <c r="I1160" s="7">
        <v>0</v>
      </c>
      <c r="J1160" s="7">
        <f t="shared" si="83"/>
        <v>0</v>
      </c>
      <c r="K1160" s="10">
        <f t="shared" si="80"/>
        <v>0</v>
      </c>
      <c r="L1160" s="7">
        <f t="shared" si="81"/>
        <v>509</v>
      </c>
      <c r="M1160" s="13" t="s">
        <v>18</v>
      </c>
      <c r="N1160"/>
    </row>
    <row r="1161" spans="1:14" ht="24.75" customHeight="1">
      <c r="A1161" s="5">
        <v>1159</v>
      </c>
      <c r="B1161" s="5" t="s">
        <v>19</v>
      </c>
      <c r="C1161" s="5" t="str">
        <f>"张皓洋"</f>
        <v>张皓洋</v>
      </c>
      <c r="D1161" s="5" t="str">
        <f>"460003199503180214"</f>
        <v>460003199503180214</v>
      </c>
      <c r="E1161" s="5" t="s">
        <v>15</v>
      </c>
      <c r="F1161" s="5" t="str">
        <f>"073102030641"</f>
        <v>073102030641</v>
      </c>
      <c r="G1161" s="7">
        <v>0</v>
      </c>
      <c r="H1161" s="7">
        <f t="shared" si="82"/>
        <v>0</v>
      </c>
      <c r="I1161" s="7">
        <v>0</v>
      </c>
      <c r="J1161" s="7">
        <f t="shared" si="83"/>
        <v>0</v>
      </c>
      <c r="K1161" s="10">
        <f t="shared" si="80"/>
        <v>0</v>
      </c>
      <c r="L1161" s="7">
        <f t="shared" si="81"/>
        <v>509</v>
      </c>
      <c r="M1161" s="13" t="s">
        <v>18</v>
      </c>
      <c r="N1161"/>
    </row>
    <row r="1162" spans="1:14" ht="24.75" customHeight="1">
      <c r="A1162" s="5">
        <v>1160</v>
      </c>
      <c r="B1162" s="5" t="s">
        <v>19</v>
      </c>
      <c r="C1162" s="5" t="str">
        <f>"殷彬"</f>
        <v>殷彬</v>
      </c>
      <c r="D1162" s="5" t="str">
        <f>"632801199402071013"</f>
        <v>632801199402071013</v>
      </c>
      <c r="E1162" s="5" t="s">
        <v>15</v>
      </c>
      <c r="F1162" s="5" t="str">
        <f>"073102030702"</f>
        <v>073102030702</v>
      </c>
      <c r="G1162" s="7">
        <v>0</v>
      </c>
      <c r="H1162" s="7">
        <f t="shared" si="82"/>
        <v>0</v>
      </c>
      <c r="I1162" s="7">
        <v>0</v>
      </c>
      <c r="J1162" s="7">
        <f t="shared" si="83"/>
        <v>0</v>
      </c>
      <c r="K1162" s="10">
        <f t="shared" si="80"/>
        <v>0</v>
      </c>
      <c r="L1162" s="7">
        <f t="shared" si="81"/>
        <v>509</v>
      </c>
      <c r="M1162" s="13" t="s">
        <v>18</v>
      </c>
      <c r="N1162"/>
    </row>
    <row r="1163" spans="1:14" ht="24.75" customHeight="1">
      <c r="A1163" s="5">
        <v>1161</v>
      </c>
      <c r="B1163" s="5" t="s">
        <v>19</v>
      </c>
      <c r="C1163" s="5" t="str">
        <f>"何艺娟"</f>
        <v>何艺娟</v>
      </c>
      <c r="D1163" s="5" t="str">
        <f>"460027199807173428"</f>
        <v>460027199807173428</v>
      </c>
      <c r="E1163" s="5" t="s">
        <v>15</v>
      </c>
      <c r="F1163" s="5" t="str">
        <f>"073102030703"</f>
        <v>073102030703</v>
      </c>
      <c r="G1163" s="7">
        <v>0</v>
      </c>
      <c r="H1163" s="7">
        <f t="shared" si="82"/>
        <v>0</v>
      </c>
      <c r="I1163" s="7">
        <v>0</v>
      </c>
      <c r="J1163" s="7">
        <f t="shared" si="83"/>
        <v>0</v>
      </c>
      <c r="K1163" s="10">
        <f t="shared" si="80"/>
        <v>0</v>
      </c>
      <c r="L1163" s="7">
        <f t="shared" si="81"/>
        <v>509</v>
      </c>
      <c r="M1163" s="13" t="s">
        <v>18</v>
      </c>
      <c r="N1163"/>
    </row>
    <row r="1164" spans="1:14" ht="24.75" customHeight="1">
      <c r="A1164" s="5">
        <v>1162</v>
      </c>
      <c r="B1164" s="5" t="s">
        <v>19</v>
      </c>
      <c r="C1164" s="5" t="str">
        <f>"程鑫"</f>
        <v>程鑫</v>
      </c>
      <c r="D1164" s="5" t="str">
        <f>"460026199903020919"</f>
        <v>460026199903020919</v>
      </c>
      <c r="E1164" s="5" t="s">
        <v>15</v>
      </c>
      <c r="F1164" s="5" t="str">
        <f>"073102030705"</f>
        <v>073102030705</v>
      </c>
      <c r="G1164" s="7">
        <v>0</v>
      </c>
      <c r="H1164" s="7">
        <f t="shared" si="82"/>
        <v>0</v>
      </c>
      <c r="I1164" s="7">
        <v>0</v>
      </c>
      <c r="J1164" s="7">
        <f t="shared" si="83"/>
        <v>0</v>
      </c>
      <c r="K1164" s="10">
        <f aca="true" t="shared" si="84" ref="K1164:K1227">H1164+J1164</f>
        <v>0</v>
      </c>
      <c r="L1164" s="7">
        <f t="shared" si="81"/>
        <v>509</v>
      </c>
      <c r="M1164" s="13" t="s">
        <v>18</v>
      </c>
      <c r="N1164"/>
    </row>
    <row r="1165" spans="1:14" ht="24.75" customHeight="1">
      <c r="A1165" s="5">
        <v>1163</v>
      </c>
      <c r="B1165" s="5" t="s">
        <v>19</v>
      </c>
      <c r="C1165" s="5" t="str">
        <f>"王国容"</f>
        <v>王国容</v>
      </c>
      <c r="D1165" s="5" t="str">
        <f>"469027199906225981"</f>
        <v>469027199906225981</v>
      </c>
      <c r="E1165" s="5" t="s">
        <v>15</v>
      </c>
      <c r="F1165" s="5" t="str">
        <f>"073102030707"</f>
        <v>073102030707</v>
      </c>
      <c r="G1165" s="7">
        <v>0</v>
      </c>
      <c r="H1165" s="7">
        <f t="shared" si="82"/>
        <v>0</v>
      </c>
      <c r="I1165" s="7">
        <v>0</v>
      </c>
      <c r="J1165" s="7">
        <f t="shared" si="83"/>
        <v>0</v>
      </c>
      <c r="K1165" s="10">
        <f t="shared" si="84"/>
        <v>0</v>
      </c>
      <c r="L1165" s="7">
        <f t="shared" si="81"/>
        <v>509</v>
      </c>
      <c r="M1165" s="13" t="s">
        <v>18</v>
      </c>
      <c r="N1165"/>
    </row>
    <row r="1166" spans="1:14" ht="24.75" customHeight="1">
      <c r="A1166" s="5">
        <v>1164</v>
      </c>
      <c r="B1166" s="5" t="s">
        <v>19</v>
      </c>
      <c r="C1166" s="5" t="str">
        <f>"陈权"</f>
        <v>陈权</v>
      </c>
      <c r="D1166" s="5" t="str">
        <f>"460007199908154378"</f>
        <v>460007199908154378</v>
      </c>
      <c r="E1166" s="5" t="s">
        <v>15</v>
      </c>
      <c r="F1166" s="5" t="str">
        <f>"073102030708"</f>
        <v>073102030708</v>
      </c>
      <c r="G1166" s="7">
        <v>0</v>
      </c>
      <c r="H1166" s="7">
        <f t="shared" si="82"/>
        <v>0</v>
      </c>
      <c r="I1166" s="7">
        <v>0</v>
      </c>
      <c r="J1166" s="7">
        <f t="shared" si="83"/>
        <v>0</v>
      </c>
      <c r="K1166" s="10">
        <f t="shared" si="84"/>
        <v>0</v>
      </c>
      <c r="L1166" s="7">
        <f t="shared" si="81"/>
        <v>509</v>
      </c>
      <c r="M1166" s="13" t="s">
        <v>18</v>
      </c>
      <c r="N1166"/>
    </row>
    <row r="1167" spans="1:14" ht="24.75" customHeight="1">
      <c r="A1167" s="5">
        <v>1165</v>
      </c>
      <c r="B1167" s="5" t="s">
        <v>19</v>
      </c>
      <c r="C1167" s="5" t="str">
        <f>"陈钟卓"</f>
        <v>陈钟卓</v>
      </c>
      <c r="D1167" s="5" t="str">
        <f>"460003199912293412"</f>
        <v>460003199912293412</v>
      </c>
      <c r="E1167" s="5" t="s">
        <v>15</v>
      </c>
      <c r="F1167" s="5" t="str">
        <f>"073102030709"</f>
        <v>073102030709</v>
      </c>
      <c r="G1167" s="7">
        <v>0</v>
      </c>
      <c r="H1167" s="7">
        <f t="shared" si="82"/>
        <v>0</v>
      </c>
      <c r="I1167" s="7">
        <v>0</v>
      </c>
      <c r="J1167" s="7">
        <f t="shared" si="83"/>
        <v>0</v>
      </c>
      <c r="K1167" s="10">
        <f t="shared" si="84"/>
        <v>0</v>
      </c>
      <c r="L1167" s="7">
        <f t="shared" si="81"/>
        <v>509</v>
      </c>
      <c r="M1167" s="13" t="s">
        <v>18</v>
      </c>
      <c r="N1167"/>
    </row>
    <row r="1168" spans="1:14" ht="24.75" customHeight="1">
      <c r="A1168" s="5">
        <v>1166</v>
      </c>
      <c r="B1168" s="5" t="s">
        <v>19</v>
      </c>
      <c r="C1168" s="5" t="str">
        <f>"万丽虹"</f>
        <v>万丽虹</v>
      </c>
      <c r="D1168" s="5" t="str">
        <f>"460003199601204443"</f>
        <v>460003199601204443</v>
      </c>
      <c r="E1168" s="5" t="s">
        <v>15</v>
      </c>
      <c r="F1168" s="5" t="str">
        <f>"073102030711"</f>
        <v>073102030711</v>
      </c>
      <c r="G1168" s="7">
        <v>0</v>
      </c>
      <c r="H1168" s="7">
        <f t="shared" si="82"/>
        <v>0</v>
      </c>
      <c r="I1168" s="7">
        <v>0</v>
      </c>
      <c r="J1168" s="7">
        <f t="shared" si="83"/>
        <v>0</v>
      </c>
      <c r="K1168" s="10">
        <f t="shared" si="84"/>
        <v>0</v>
      </c>
      <c r="L1168" s="7">
        <f t="shared" si="81"/>
        <v>509</v>
      </c>
      <c r="M1168" s="13" t="s">
        <v>18</v>
      </c>
      <c r="N1168"/>
    </row>
    <row r="1169" spans="1:14" ht="24.75" customHeight="1">
      <c r="A1169" s="5">
        <v>1167</v>
      </c>
      <c r="B1169" s="5" t="s">
        <v>19</v>
      </c>
      <c r="C1169" s="5" t="str">
        <f>"李河山"</f>
        <v>李河山</v>
      </c>
      <c r="D1169" s="5" t="str">
        <f>"460003199810042612"</f>
        <v>460003199810042612</v>
      </c>
      <c r="E1169" s="5" t="s">
        <v>15</v>
      </c>
      <c r="F1169" s="5" t="str">
        <f>"073102030712"</f>
        <v>073102030712</v>
      </c>
      <c r="G1169" s="7">
        <v>0</v>
      </c>
      <c r="H1169" s="7">
        <f t="shared" si="82"/>
        <v>0</v>
      </c>
      <c r="I1169" s="7">
        <v>0</v>
      </c>
      <c r="J1169" s="7">
        <f t="shared" si="83"/>
        <v>0</v>
      </c>
      <c r="K1169" s="10">
        <f t="shared" si="84"/>
        <v>0</v>
      </c>
      <c r="L1169" s="7">
        <f t="shared" si="81"/>
        <v>509</v>
      </c>
      <c r="M1169" s="13" t="s">
        <v>18</v>
      </c>
      <c r="N1169"/>
    </row>
    <row r="1170" spans="1:14" ht="24.75" customHeight="1">
      <c r="A1170" s="5">
        <v>1168</v>
      </c>
      <c r="B1170" s="5" t="s">
        <v>19</v>
      </c>
      <c r="C1170" s="5" t="str">
        <f>"莫光辉"</f>
        <v>莫光辉</v>
      </c>
      <c r="D1170" s="5" t="str">
        <f>"460036199805041516"</f>
        <v>460036199805041516</v>
      </c>
      <c r="E1170" s="5" t="s">
        <v>15</v>
      </c>
      <c r="F1170" s="5" t="str">
        <f>"073102030713"</f>
        <v>073102030713</v>
      </c>
      <c r="G1170" s="7">
        <v>0</v>
      </c>
      <c r="H1170" s="7">
        <f t="shared" si="82"/>
        <v>0</v>
      </c>
      <c r="I1170" s="7">
        <v>0</v>
      </c>
      <c r="J1170" s="7">
        <f t="shared" si="83"/>
        <v>0</v>
      </c>
      <c r="K1170" s="10">
        <f t="shared" si="84"/>
        <v>0</v>
      </c>
      <c r="L1170" s="7">
        <f t="shared" si="81"/>
        <v>509</v>
      </c>
      <c r="M1170" s="13" t="s">
        <v>18</v>
      </c>
      <c r="N1170"/>
    </row>
    <row r="1171" spans="1:14" ht="24.75" customHeight="1">
      <c r="A1171" s="5">
        <v>1169</v>
      </c>
      <c r="B1171" s="5" t="s">
        <v>19</v>
      </c>
      <c r="C1171" s="5" t="str">
        <f>"俞欢"</f>
        <v>俞欢</v>
      </c>
      <c r="D1171" s="5" t="str">
        <f>"460003199708130026"</f>
        <v>460003199708130026</v>
      </c>
      <c r="E1171" s="5" t="s">
        <v>15</v>
      </c>
      <c r="F1171" s="5" t="str">
        <f>"073102030720"</f>
        <v>073102030720</v>
      </c>
      <c r="G1171" s="7">
        <v>0</v>
      </c>
      <c r="H1171" s="7">
        <f t="shared" si="82"/>
        <v>0</v>
      </c>
      <c r="I1171" s="7">
        <v>0</v>
      </c>
      <c r="J1171" s="7">
        <f t="shared" si="83"/>
        <v>0</v>
      </c>
      <c r="K1171" s="10">
        <f t="shared" si="84"/>
        <v>0</v>
      </c>
      <c r="L1171" s="7">
        <f t="shared" si="81"/>
        <v>509</v>
      </c>
      <c r="M1171" s="13" t="s">
        <v>18</v>
      </c>
      <c r="N1171"/>
    </row>
    <row r="1172" spans="1:14" ht="24.75" customHeight="1">
      <c r="A1172" s="5">
        <v>1170</v>
      </c>
      <c r="B1172" s="5" t="s">
        <v>19</v>
      </c>
      <c r="C1172" s="5" t="str">
        <f>"黄祝权"</f>
        <v>黄祝权</v>
      </c>
      <c r="D1172" s="5" t="str">
        <f>"469024199509014831"</f>
        <v>469024199509014831</v>
      </c>
      <c r="E1172" s="5" t="s">
        <v>15</v>
      </c>
      <c r="F1172" s="5" t="str">
        <f>"073102030721"</f>
        <v>073102030721</v>
      </c>
      <c r="G1172" s="7">
        <v>0</v>
      </c>
      <c r="H1172" s="7">
        <f t="shared" si="82"/>
        <v>0</v>
      </c>
      <c r="I1172" s="7">
        <v>0</v>
      </c>
      <c r="J1172" s="7">
        <f t="shared" si="83"/>
        <v>0</v>
      </c>
      <c r="K1172" s="10">
        <f t="shared" si="84"/>
        <v>0</v>
      </c>
      <c r="L1172" s="7">
        <f t="shared" si="81"/>
        <v>509</v>
      </c>
      <c r="M1172" s="13" t="s">
        <v>18</v>
      </c>
      <c r="N1172"/>
    </row>
    <row r="1173" spans="1:14" ht="24.75" customHeight="1">
      <c r="A1173" s="5">
        <v>1171</v>
      </c>
      <c r="B1173" s="5" t="s">
        <v>19</v>
      </c>
      <c r="C1173" s="5" t="str">
        <f>"曾春瑶"</f>
        <v>曾春瑶</v>
      </c>
      <c r="D1173" s="5" t="str">
        <f>"469025199903291825"</f>
        <v>469025199903291825</v>
      </c>
      <c r="E1173" s="5" t="s">
        <v>15</v>
      </c>
      <c r="F1173" s="5" t="str">
        <f>"073102030727"</f>
        <v>073102030727</v>
      </c>
      <c r="G1173" s="7">
        <v>0</v>
      </c>
      <c r="H1173" s="7">
        <f t="shared" si="82"/>
        <v>0</v>
      </c>
      <c r="I1173" s="7">
        <v>0</v>
      </c>
      <c r="J1173" s="7">
        <f t="shared" si="83"/>
        <v>0</v>
      </c>
      <c r="K1173" s="10">
        <f t="shared" si="84"/>
        <v>0</v>
      </c>
      <c r="L1173" s="7">
        <f t="shared" si="81"/>
        <v>509</v>
      </c>
      <c r="M1173" s="13" t="s">
        <v>18</v>
      </c>
      <c r="N1173"/>
    </row>
    <row r="1174" spans="1:14" ht="24.75" customHeight="1">
      <c r="A1174" s="5">
        <v>1172</v>
      </c>
      <c r="B1174" s="5" t="s">
        <v>19</v>
      </c>
      <c r="C1174" s="5" t="str">
        <f>"杨金花"</f>
        <v>杨金花</v>
      </c>
      <c r="D1174" s="5" t="str">
        <f>"460003199409161025"</f>
        <v>460003199409161025</v>
      </c>
      <c r="E1174" s="5" t="s">
        <v>15</v>
      </c>
      <c r="F1174" s="5" t="str">
        <f>"073102030728"</f>
        <v>073102030728</v>
      </c>
      <c r="G1174" s="7">
        <v>0</v>
      </c>
      <c r="H1174" s="7">
        <f t="shared" si="82"/>
        <v>0</v>
      </c>
      <c r="I1174" s="7">
        <v>0</v>
      </c>
      <c r="J1174" s="7">
        <f t="shared" si="83"/>
        <v>0</v>
      </c>
      <c r="K1174" s="10">
        <f t="shared" si="84"/>
        <v>0</v>
      </c>
      <c r="L1174" s="7">
        <f t="shared" si="81"/>
        <v>509</v>
      </c>
      <c r="M1174" s="13" t="s">
        <v>18</v>
      </c>
      <c r="N1174"/>
    </row>
    <row r="1175" spans="1:14" ht="24.75" customHeight="1">
      <c r="A1175" s="5">
        <v>1173</v>
      </c>
      <c r="B1175" s="5" t="s">
        <v>19</v>
      </c>
      <c r="C1175" s="5" t="str">
        <f>"陈暖"</f>
        <v>陈暖</v>
      </c>
      <c r="D1175" s="5" t="str">
        <f>"460005200110100023"</f>
        <v>460005200110100023</v>
      </c>
      <c r="E1175" s="5" t="s">
        <v>15</v>
      </c>
      <c r="F1175" s="5" t="str">
        <f>"073102030730"</f>
        <v>073102030730</v>
      </c>
      <c r="G1175" s="7">
        <v>0</v>
      </c>
      <c r="H1175" s="7">
        <f t="shared" si="82"/>
        <v>0</v>
      </c>
      <c r="I1175" s="7">
        <v>0</v>
      </c>
      <c r="J1175" s="7">
        <f t="shared" si="83"/>
        <v>0</v>
      </c>
      <c r="K1175" s="10">
        <f t="shared" si="84"/>
        <v>0</v>
      </c>
      <c r="L1175" s="7">
        <f t="shared" si="81"/>
        <v>509</v>
      </c>
      <c r="M1175" s="13" t="s">
        <v>18</v>
      </c>
      <c r="N1175"/>
    </row>
    <row r="1176" spans="1:14" ht="24.75" customHeight="1">
      <c r="A1176" s="5">
        <v>1174</v>
      </c>
      <c r="B1176" s="5" t="s">
        <v>19</v>
      </c>
      <c r="C1176" s="5" t="str">
        <f>"林猷韵"</f>
        <v>林猷韵</v>
      </c>
      <c r="D1176" s="5" t="str">
        <f>"460003199811120643"</f>
        <v>460003199811120643</v>
      </c>
      <c r="E1176" s="5" t="s">
        <v>15</v>
      </c>
      <c r="F1176" s="5" t="str">
        <f>"073102030733"</f>
        <v>073102030733</v>
      </c>
      <c r="G1176" s="7">
        <v>0</v>
      </c>
      <c r="H1176" s="7">
        <f t="shared" si="82"/>
        <v>0</v>
      </c>
      <c r="I1176" s="7">
        <v>0</v>
      </c>
      <c r="J1176" s="7">
        <f t="shared" si="83"/>
        <v>0</v>
      </c>
      <c r="K1176" s="10">
        <f t="shared" si="84"/>
        <v>0</v>
      </c>
      <c r="L1176" s="7">
        <f t="shared" si="81"/>
        <v>509</v>
      </c>
      <c r="M1176" s="13" t="s">
        <v>18</v>
      </c>
      <c r="N1176"/>
    </row>
    <row r="1177" spans="1:14" ht="24.75" customHeight="1">
      <c r="A1177" s="5">
        <v>1175</v>
      </c>
      <c r="B1177" s="5" t="s">
        <v>19</v>
      </c>
      <c r="C1177" s="5" t="str">
        <f>"黎天合"</f>
        <v>黎天合</v>
      </c>
      <c r="D1177" s="5" t="str">
        <f>"460003199111042234"</f>
        <v>460003199111042234</v>
      </c>
      <c r="E1177" s="5" t="s">
        <v>15</v>
      </c>
      <c r="F1177" s="5" t="str">
        <f>"073102030734"</f>
        <v>073102030734</v>
      </c>
      <c r="G1177" s="7">
        <v>0</v>
      </c>
      <c r="H1177" s="7">
        <f t="shared" si="82"/>
        <v>0</v>
      </c>
      <c r="I1177" s="7">
        <v>0</v>
      </c>
      <c r="J1177" s="7">
        <f t="shared" si="83"/>
        <v>0</v>
      </c>
      <c r="K1177" s="10">
        <f t="shared" si="84"/>
        <v>0</v>
      </c>
      <c r="L1177" s="7">
        <f aca="true" t="shared" si="85" ref="L1177:L1240">RANK(K1177,$K$281:$K$1299,0)</f>
        <v>509</v>
      </c>
      <c r="M1177" s="13" t="s">
        <v>18</v>
      </c>
      <c r="N1177"/>
    </row>
    <row r="1178" spans="1:14" ht="24.75" customHeight="1">
      <c r="A1178" s="5">
        <v>1176</v>
      </c>
      <c r="B1178" s="5" t="s">
        <v>19</v>
      </c>
      <c r="C1178" s="5" t="str">
        <f>"关梦婷"</f>
        <v>关梦婷</v>
      </c>
      <c r="D1178" s="5" t="str">
        <f>"460033199805023546"</f>
        <v>460033199805023546</v>
      </c>
      <c r="E1178" s="5" t="s">
        <v>15</v>
      </c>
      <c r="F1178" s="5" t="str">
        <f>"073102030735"</f>
        <v>073102030735</v>
      </c>
      <c r="G1178" s="7">
        <v>0</v>
      </c>
      <c r="H1178" s="7">
        <f t="shared" si="82"/>
        <v>0</v>
      </c>
      <c r="I1178" s="7">
        <v>0</v>
      </c>
      <c r="J1178" s="7">
        <f t="shared" si="83"/>
        <v>0</v>
      </c>
      <c r="K1178" s="10">
        <f t="shared" si="84"/>
        <v>0</v>
      </c>
      <c r="L1178" s="7">
        <f t="shared" si="85"/>
        <v>509</v>
      </c>
      <c r="M1178" s="13" t="s">
        <v>18</v>
      </c>
      <c r="N1178"/>
    </row>
    <row r="1179" spans="1:14" ht="24.75" customHeight="1">
      <c r="A1179" s="5">
        <v>1177</v>
      </c>
      <c r="B1179" s="5" t="s">
        <v>19</v>
      </c>
      <c r="C1179" s="5" t="str">
        <f>"陈姑美"</f>
        <v>陈姑美</v>
      </c>
      <c r="D1179" s="5" t="str">
        <f>"46000319950401404X"</f>
        <v>46000319950401404X</v>
      </c>
      <c r="E1179" s="5" t="s">
        <v>15</v>
      </c>
      <c r="F1179" s="5" t="str">
        <f>"073102030736"</f>
        <v>073102030736</v>
      </c>
      <c r="G1179" s="7">
        <v>0</v>
      </c>
      <c r="H1179" s="7">
        <f t="shared" si="82"/>
        <v>0</v>
      </c>
      <c r="I1179" s="7">
        <v>0</v>
      </c>
      <c r="J1179" s="7">
        <f t="shared" si="83"/>
        <v>0</v>
      </c>
      <c r="K1179" s="10">
        <f t="shared" si="84"/>
        <v>0</v>
      </c>
      <c r="L1179" s="7">
        <f t="shared" si="85"/>
        <v>509</v>
      </c>
      <c r="M1179" s="13" t="s">
        <v>18</v>
      </c>
      <c r="N1179"/>
    </row>
    <row r="1180" spans="1:14" ht="24.75" customHeight="1">
      <c r="A1180" s="5">
        <v>1178</v>
      </c>
      <c r="B1180" s="5" t="s">
        <v>19</v>
      </c>
      <c r="C1180" s="5" t="str">
        <f>"李爱蓉"</f>
        <v>李爱蓉</v>
      </c>
      <c r="D1180" s="5" t="str">
        <f>"460003199804043045"</f>
        <v>460003199804043045</v>
      </c>
      <c r="E1180" s="5" t="s">
        <v>15</v>
      </c>
      <c r="F1180" s="5" t="str">
        <f>"073102030737"</f>
        <v>073102030737</v>
      </c>
      <c r="G1180" s="7">
        <v>0</v>
      </c>
      <c r="H1180" s="7">
        <f t="shared" si="82"/>
        <v>0</v>
      </c>
      <c r="I1180" s="7">
        <v>0</v>
      </c>
      <c r="J1180" s="7">
        <f t="shared" si="83"/>
        <v>0</v>
      </c>
      <c r="K1180" s="10">
        <f t="shared" si="84"/>
        <v>0</v>
      </c>
      <c r="L1180" s="7">
        <f t="shared" si="85"/>
        <v>509</v>
      </c>
      <c r="M1180" s="13" t="s">
        <v>18</v>
      </c>
      <c r="N1180"/>
    </row>
    <row r="1181" spans="1:14" ht="24.75" customHeight="1">
      <c r="A1181" s="5">
        <v>1179</v>
      </c>
      <c r="B1181" s="5" t="s">
        <v>19</v>
      </c>
      <c r="C1181" s="5" t="str">
        <f>"陈俊霖"</f>
        <v>陈俊霖</v>
      </c>
      <c r="D1181" s="5" t="str">
        <f>"460003199702230616"</f>
        <v>460003199702230616</v>
      </c>
      <c r="E1181" s="5" t="s">
        <v>15</v>
      </c>
      <c r="F1181" s="5" t="str">
        <f>"073102030741"</f>
        <v>073102030741</v>
      </c>
      <c r="G1181" s="7">
        <v>0</v>
      </c>
      <c r="H1181" s="7">
        <f t="shared" si="82"/>
        <v>0</v>
      </c>
      <c r="I1181" s="7">
        <v>0</v>
      </c>
      <c r="J1181" s="7">
        <f t="shared" si="83"/>
        <v>0</v>
      </c>
      <c r="K1181" s="10">
        <f t="shared" si="84"/>
        <v>0</v>
      </c>
      <c r="L1181" s="7">
        <f t="shared" si="85"/>
        <v>509</v>
      </c>
      <c r="M1181" s="13" t="s">
        <v>18</v>
      </c>
      <c r="N1181"/>
    </row>
    <row r="1182" spans="1:14" ht="24.75" customHeight="1">
      <c r="A1182" s="5">
        <v>1180</v>
      </c>
      <c r="B1182" s="5" t="s">
        <v>19</v>
      </c>
      <c r="C1182" s="5" t="str">
        <f>"羊松"</f>
        <v>羊松</v>
      </c>
      <c r="D1182" s="5" t="str">
        <f>"460003199808261410"</f>
        <v>460003199808261410</v>
      </c>
      <c r="E1182" s="5" t="s">
        <v>15</v>
      </c>
      <c r="F1182" s="5" t="str">
        <f>"073102030801"</f>
        <v>073102030801</v>
      </c>
      <c r="G1182" s="7">
        <v>0</v>
      </c>
      <c r="H1182" s="7">
        <f t="shared" si="82"/>
        <v>0</v>
      </c>
      <c r="I1182" s="7">
        <v>0</v>
      </c>
      <c r="J1182" s="7">
        <f t="shared" si="83"/>
        <v>0</v>
      </c>
      <c r="K1182" s="10">
        <f t="shared" si="84"/>
        <v>0</v>
      </c>
      <c r="L1182" s="7">
        <f t="shared" si="85"/>
        <v>509</v>
      </c>
      <c r="M1182" s="13" t="s">
        <v>18</v>
      </c>
      <c r="N1182"/>
    </row>
    <row r="1183" spans="1:14" ht="24.75" customHeight="1">
      <c r="A1183" s="5">
        <v>1181</v>
      </c>
      <c r="B1183" s="5" t="s">
        <v>19</v>
      </c>
      <c r="C1183" s="5" t="str">
        <f>"李华霞"</f>
        <v>李华霞</v>
      </c>
      <c r="D1183" s="5" t="str">
        <f>"46002719961120136X"</f>
        <v>46002719961120136X</v>
      </c>
      <c r="E1183" s="5" t="s">
        <v>15</v>
      </c>
      <c r="F1183" s="5" t="str">
        <f>"073102030803"</f>
        <v>073102030803</v>
      </c>
      <c r="G1183" s="7">
        <v>0</v>
      </c>
      <c r="H1183" s="7">
        <f t="shared" si="82"/>
        <v>0</v>
      </c>
      <c r="I1183" s="7">
        <v>0</v>
      </c>
      <c r="J1183" s="7">
        <f t="shared" si="83"/>
        <v>0</v>
      </c>
      <c r="K1183" s="10">
        <f t="shared" si="84"/>
        <v>0</v>
      </c>
      <c r="L1183" s="7">
        <f t="shared" si="85"/>
        <v>509</v>
      </c>
      <c r="M1183" s="13" t="s">
        <v>18</v>
      </c>
      <c r="N1183"/>
    </row>
    <row r="1184" spans="1:14" ht="24.75" customHeight="1">
      <c r="A1184" s="5">
        <v>1182</v>
      </c>
      <c r="B1184" s="5" t="s">
        <v>19</v>
      </c>
      <c r="C1184" s="5" t="str">
        <f>"陈海燕"</f>
        <v>陈海燕</v>
      </c>
      <c r="D1184" s="5" t="str">
        <f>"469007199910157621"</f>
        <v>469007199910157621</v>
      </c>
      <c r="E1184" s="5" t="s">
        <v>16</v>
      </c>
      <c r="F1184" s="5" t="str">
        <f>"073102030804"</f>
        <v>073102030804</v>
      </c>
      <c r="G1184" s="7">
        <v>0</v>
      </c>
      <c r="H1184" s="7">
        <f t="shared" si="82"/>
        <v>0</v>
      </c>
      <c r="I1184" s="7">
        <v>0</v>
      </c>
      <c r="J1184" s="7">
        <f t="shared" si="83"/>
        <v>0</v>
      </c>
      <c r="K1184" s="10">
        <f t="shared" si="84"/>
        <v>0</v>
      </c>
      <c r="L1184" s="7">
        <f t="shared" si="85"/>
        <v>509</v>
      </c>
      <c r="M1184" s="13" t="s">
        <v>18</v>
      </c>
      <c r="N1184"/>
    </row>
    <row r="1185" spans="1:14" ht="24.75" customHeight="1">
      <c r="A1185" s="5">
        <v>1183</v>
      </c>
      <c r="B1185" s="5" t="s">
        <v>19</v>
      </c>
      <c r="C1185" s="5" t="str">
        <f>"张桂金"</f>
        <v>张桂金</v>
      </c>
      <c r="D1185" s="5" t="str">
        <f>"460003199808030049"</f>
        <v>460003199808030049</v>
      </c>
      <c r="E1185" s="5" t="s">
        <v>15</v>
      </c>
      <c r="F1185" s="5" t="str">
        <f>"073102030805"</f>
        <v>073102030805</v>
      </c>
      <c r="G1185" s="7">
        <v>0</v>
      </c>
      <c r="H1185" s="7">
        <f t="shared" si="82"/>
        <v>0</v>
      </c>
      <c r="I1185" s="7">
        <v>0</v>
      </c>
      <c r="J1185" s="7">
        <f t="shared" si="83"/>
        <v>0</v>
      </c>
      <c r="K1185" s="10">
        <f t="shared" si="84"/>
        <v>0</v>
      </c>
      <c r="L1185" s="7">
        <f t="shared" si="85"/>
        <v>509</v>
      </c>
      <c r="M1185" s="13" t="s">
        <v>18</v>
      </c>
      <c r="N1185"/>
    </row>
    <row r="1186" spans="1:14" ht="24.75" customHeight="1">
      <c r="A1186" s="5">
        <v>1184</v>
      </c>
      <c r="B1186" s="5" t="s">
        <v>19</v>
      </c>
      <c r="C1186" s="5" t="str">
        <f>"符喜慧"</f>
        <v>符喜慧</v>
      </c>
      <c r="D1186" s="5" t="str">
        <f>"460003200107286020"</f>
        <v>460003200107286020</v>
      </c>
      <c r="E1186" s="5" t="s">
        <v>15</v>
      </c>
      <c r="F1186" s="5" t="str">
        <f>"073102030807"</f>
        <v>073102030807</v>
      </c>
      <c r="G1186" s="7">
        <v>0</v>
      </c>
      <c r="H1186" s="7">
        <f t="shared" si="82"/>
        <v>0</v>
      </c>
      <c r="I1186" s="7">
        <v>0</v>
      </c>
      <c r="J1186" s="7">
        <f t="shared" si="83"/>
        <v>0</v>
      </c>
      <c r="K1186" s="10">
        <f t="shared" si="84"/>
        <v>0</v>
      </c>
      <c r="L1186" s="7">
        <f t="shared" si="85"/>
        <v>509</v>
      </c>
      <c r="M1186" s="13" t="s">
        <v>18</v>
      </c>
      <c r="N1186"/>
    </row>
    <row r="1187" spans="1:14" ht="24.75" customHeight="1">
      <c r="A1187" s="5">
        <v>1185</v>
      </c>
      <c r="B1187" s="5" t="s">
        <v>19</v>
      </c>
      <c r="C1187" s="5" t="str">
        <f>"符许燕"</f>
        <v>符许燕</v>
      </c>
      <c r="D1187" s="5" t="str">
        <f>"460003199607140022"</f>
        <v>460003199607140022</v>
      </c>
      <c r="E1187" s="5" t="s">
        <v>15</v>
      </c>
      <c r="F1187" s="5" t="str">
        <f>"073102030809"</f>
        <v>073102030809</v>
      </c>
      <c r="G1187" s="7">
        <v>0</v>
      </c>
      <c r="H1187" s="7">
        <f t="shared" si="82"/>
        <v>0</v>
      </c>
      <c r="I1187" s="7">
        <v>0</v>
      </c>
      <c r="J1187" s="7">
        <f t="shared" si="83"/>
        <v>0</v>
      </c>
      <c r="K1187" s="10">
        <f t="shared" si="84"/>
        <v>0</v>
      </c>
      <c r="L1187" s="7">
        <f t="shared" si="85"/>
        <v>509</v>
      </c>
      <c r="M1187" s="13" t="s">
        <v>18</v>
      </c>
      <c r="N1187"/>
    </row>
    <row r="1188" spans="1:14" ht="24.75" customHeight="1">
      <c r="A1188" s="5">
        <v>1186</v>
      </c>
      <c r="B1188" s="5" t="s">
        <v>19</v>
      </c>
      <c r="C1188" s="5" t="str">
        <f>"周亚婷"</f>
        <v>周亚婷</v>
      </c>
      <c r="D1188" s="5" t="str">
        <f>"460034199803015821"</f>
        <v>460034199803015821</v>
      </c>
      <c r="E1188" s="5" t="s">
        <v>15</v>
      </c>
      <c r="F1188" s="5" t="str">
        <f>"073102030810"</f>
        <v>073102030810</v>
      </c>
      <c r="G1188" s="7">
        <v>0</v>
      </c>
      <c r="H1188" s="7">
        <f t="shared" si="82"/>
        <v>0</v>
      </c>
      <c r="I1188" s="7">
        <v>0</v>
      </c>
      <c r="J1188" s="7">
        <f t="shared" si="83"/>
        <v>0</v>
      </c>
      <c r="K1188" s="10">
        <f t="shared" si="84"/>
        <v>0</v>
      </c>
      <c r="L1188" s="7">
        <f t="shared" si="85"/>
        <v>509</v>
      </c>
      <c r="M1188" s="13" t="s">
        <v>18</v>
      </c>
      <c r="N1188"/>
    </row>
    <row r="1189" spans="1:14" ht="24.75" customHeight="1">
      <c r="A1189" s="5">
        <v>1187</v>
      </c>
      <c r="B1189" s="5" t="s">
        <v>19</v>
      </c>
      <c r="C1189" s="5" t="str">
        <f>"高书琳"</f>
        <v>高书琳</v>
      </c>
      <c r="D1189" s="5" t="str">
        <f>"46002719921013002X"</f>
        <v>46002719921013002X</v>
      </c>
      <c r="E1189" s="5" t="s">
        <v>15</v>
      </c>
      <c r="F1189" s="5" t="str">
        <f>"073102030811"</f>
        <v>073102030811</v>
      </c>
      <c r="G1189" s="7">
        <v>0</v>
      </c>
      <c r="H1189" s="7">
        <f t="shared" si="82"/>
        <v>0</v>
      </c>
      <c r="I1189" s="7">
        <v>0</v>
      </c>
      <c r="J1189" s="7">
        <f t="shared" si="83"/>
        <v>0</v>
      </c>
      <c r="K1189" s="10">
        <f t="shared" si="84"/>
        <v>0</v>
      </c>
      <c r="L1189" s="7">
        <f t="shared" si="85"/>
        <v>509</v>
      </c>
      <c r="M1189" s="13" t="s">
        <v>18</v>
      </c>
      <c r="N1189"/>
    </row>
    <row r="1190" spans="1:14" ht="24.75" customHeight="1">
      <c r="A1190" s="5">
        <v>1188</v>
      </c>
      <c r="B1190" s="5" t="s">
        <v>19</v>
      </c>
      <c r="C1190" s="5" t="str">
        <f>"陈莲美"</f>
        <v>陈莲美</v>
      </c>
      <c r="D1190" s="5" t="str">
        <f>"460003199601053024"</f>
        <v>460003199601053024</v>
      </c>
      <c r="E1190" s="5" t="s">
        <v>15</v>
      </c>
      <c r="F1190" s="5" t="str">
        <f>"073102030816"</f>
        <v>073102030816</v>
      </c>
      <c r="G1190" s="7">
        <v>0</v>
      </c>
      <c r="H1190" s="7">
        <f t="shared" si="82"/>
        <v>0</v>
      </c>
      <c r="I1190" s="7">
        <v>0</v>
      </c>
      <c r="J1190" s="7">
        <f t="shared" si="83"/>
        <v>0</v>
      </c>
      <c r="K1190" s="10">
        <f t="shared" si="84"/>
        <v>0</v>
      </c>
      <c r="L1190" s="7">
        <f t="shared" si="85"/>
        <v>509</v>
      </c>
      <c r="M1190" s="13" t="s">
        <v>18</v>
      </c>
      <c r="N1190"/>
    </row>
    <row r="1191" spans="1:14" ht="24.75" customHeight="1">
      <c r="A1191" s="5">
        <v>1189</v>
      </c>
      <c r="B1191" s="5" t="s">
        <v>19</v>
      </c>
      <c r="C1191" s="5" t="str">
        <f>"吴作泽"</f>
        <v>吴作泽</v>
      </c>
      <c r="D1191" s="5" t="str">
        <f>"460103199805203632"</f>
        <v>460103199805203632</v>
      </c>
      <c r="E1191" s="5" t="s">
        <v>15</v>
      </c>
      <c r="F1191" s="5" t="str">
        <f>"073102030817"</f>
        <v>073102030817</v>
      </c>
      <c r="G1191" s="7">
        <v>0</v>
      </c>
      <c r="H1191" s="7">
        <f t="shared" si="82"/>
        <v>0</v>
      </c>
      <c r="I1191" s="7">
        <v>0</v>
      </c>
      <c r="J1191" s="7">
        <f t="shared" si="83"/>
        <v>0</v>
      </c>
      <c r="K1191" s="10">
        <f t="shared" si="84"/>
        <v>0</v>
      </c>
      <c r="L1191" s="7">
        <f t="shared" si="85"/>
        <v>509</v>
      </c>
      <c r="M1191" s="13" t="s">
        <v>18</v>
      </c>
      <c r="N1191"/>
    </row>
    <row r="1192" spans="1:14" ht="24.75" customHeight="1">
      <c r="A1192" s="5">
        <v>1190</v>
      </c>
      <c r="B1192" s="5" t="s">
        <v>19</v>
      </c>
      <c r="C1192" s="5" t="str">
        <f>"陈不五"</f>
        <v>陈不五</v>
      </c>
      <c r="D1192" s="5" t="str">
        <f>"460028199603016822"</f>
        <v>460028199603016822</v>
      </c>
      <c r="E1192" s="5" t="s">
        <v>15</v>
      </c>
      <c r="F1192" s="5" t="str">
        <f>"073102030818"</f>
        <v>073102030818</v>
      </c>
      <c r="G1192" s="7">
        <v>0</v>
      </c>
      <c r="H1192" s="7">
        <f t="shared" si="82"/>
        <v>0</v>
      </c>
      <c r="I1192" s="7">
        <v>0</v>
      </c>
      <c r="J1192" s="7">
        <f t="shared" si="83"/>
        <v>0</v>
      </c>
      <c r="K1192" s="10">
        <f t="shared" si="84"/>
        <v>0</v>
      </c>
      <c r="L1192" s="7">
        <f t="shared" si="85"/>
        <v>509</v>
      </c>
      <c r="M1192" s="13" t="s">
        <v>18</v>
      </c>
      <c r="N1192"/>
    </row>
    <row r="1193" spans="1:14" ht="24.75" customHeight="1">
      <c r="A1193" s="5">
        <v>1191</v>
      </c>
      <c r="B1193" s="5" t="s">
        <v>19</v>
      </c>
      <c r="C1193" s="5" t="str">
        <f>"姚欢"</f>
        <v>姚欢</v>
      </c>
      <c r="D1193" s="5" t="str">
        <f>"460025199912132422"</f>
        <v>460025199912132422</v>
      </c>
      <c r="E1193" s="5" t="s">
        <v>15</v>
      </c>
      <c r="F1193" s="5" t="str">
        <f>"073102030821"</f>
        <v>073102030821</v>
      </c>
      <c r="G1193" s="7">
        <v>0</v>
      </c>
      <c r="H1193" s="7">
        <f t="shared" si="82"/>
        <v>0</v>
      </c>
      <c r="I1193" s="7">
        <v>0</v>
      </c>
      <c r="J1193" s="7">
        <f t="shared" si="83"/>
        <v>0</v>
      </c>
      <c r="K1193" s="10">
        <f t="shared" si="84"/>
        <v>0</v>
      </c>
      <c r="L1193" s="7">
        <f t="shared" si="85"/>
        <v>509</v>
      </c>
      <c r="M1193" s="13" t="s">
        <v>18</v>
      </c>
      <c r="N1193"/>
    </row>
    <row r="1194" spans="1:14" ht="24.75" customHeight="1">
      <c r="A1194" s="5">
        <v>1192</v>
      </c>
      <c r="B1194" s="5" t="s">
        <v>19</v>
      </c>
      <c r="C1194" s="5" t="str">
        <f>"薛锦汉"</f>
        <v>薛锦汉</v>
      </c>
      <c r="D1194" s="5" t="str">
        <f>"460003199811254211"</f>
        <v>460003199811254211</v>
      </c>
      <c r="E1194" s="5" t="s">
        <v>15</v>
      </c>
      <c r="F1194" s="5" t="str">
        <f>"073102030822"</f>
        <v>073102030822</v>
      </c>
      <c r="G1194" s="7">
        <v>0</v>
      </c>
      <c r="H1194" s="7">
        <f t="shared" si="82"/>
        <v>0</v>
      </c>
      <c r="I1194" s="7">
        <v>0</v>
      </c>
      <c r="J1194" s="7">
        <f t="shared" si="83"/>
        <v>0</v>
      </c>
      <c r="K1194" s="10">
        <f t="shared" si="84"/>
        <v>0</v>
      </c>
      <c r="L1194" s="7">
        <f t="shared" si="85"/>
        <v>509</v>
      </c>
      <c r="M1194" s="13" t="s">
        <v>18</v>
      </c>
      <c r="N1194"/>
    </row>
    <row r="1195" spans="1:14" ht="24.75" customHeight="1">
      <c r="A1195" s="5">
        <v>1193</v>
      </c>
      <c r="B1195" s="5" t="s">
        <v>19</v>
      </c>
      <c r="C1195" s="5" t="str">
        <f>"李慢丽"</f>
        <v>李慢丽</v>
      </c>
      <c r="D1195" s="5" t="str">
        <f>"469024200004100027"</f>
        <v>469024200004100027</v>
      </c>
      <c r="E1195" s="5" t="s">
        <v>15</v>
      </c>
      <c r="F1195" s="5" t="str">
        <f>"073102030824"</f>
        <v>073102030824</v>
      </c>
      <c r="G1195" s="7">
        <v>0</v>
      </c>
      <c r="H1195" s="7">
        <f t="shared" si="82"/>
        <v>0</v>
      </c>
      <c r="I1195" s="7">
        <v>0</v>
      </c>
      <c r="J1195" s="7">
        <f t="shared" si="83"/>
        <v>0</v>
      </c>
      <c r="K1195" s="10">
        <f t="shared" si="84"/>
        <v>0</v>
      </c>
      <c r="L1195" s="7">
        <f t="shared" si="85"/>
        <v>509</v>
      </c>
      <c r="M1195" s="13" t="s">
        <v>18</v>
      </c>
      <c r="N1195"/>
    </row>
    <row r="1196" spans="1:14" ht="24.75" customHeight="1">
      <c r="A1196" s="5">
        <v>1194</v>
      </c>
      <c r="B1196" s="5" t="s">
        <v>19</v>
      </c>
      <c r="C1196" s="5" t="str">
        <f>"张英楷"</f>
        <v>张英楷</v>
      </c>
      <c r="D1196" s="5" t="str">
        <f>"460003199404120259"</f>
        <v>460003199404120259</v>
      </c>
      <c r="E1196" s="5" t="s">
        <v>15</v>
      </c>
      <c r="F1196" s="5" t="str">
        <f>"073102030825"</f>
        <v>073102030825</v>
      </c>
      <c r="G1196" s="7">
        <v>0</v>
      </c>
      <c r="H1196" s="7">
        <f t="shared" si="82"/>
        <v>0</v>
      </c>
      <c r="I1196" s="7">
        <v>0</v>
      </c>
      <c r="J1196" s="7">
        <f t="shared" si="83"/>
        <v>0</v>
      </c>
      <c r="K1196" s="10">
        <f t="shared" si="84"/>
        <v>0</v>
      </c>
      <c r="L1196" s="7">
        <f t="shared" si="85"/>
        <v>509</v>
      </c>
      <c r="M1196" s="13" t="s">
        <v>18</v>
      </c>
      <c r="N1196"/>
    </row>
    <row r="1197" spans="1:14" ht="24.75" customHeight="1">
      <c r="A1197" s="5">
        <v>1195</v>
      </c>
      <c r="B1197" s="5" t="s">
        <v>19</v>
      </c>
      <c r="C1197" s="5" t="str">
        <f>"薛乃垂"</f>
        <v>薛乃垂</v>
      </c>
      <c r="D1197" s="5" t="str">
        <f>"460003199705064254"</f>
        <v>460003199705064254</v>
      </c>
      <c r="E1197" s="5" t="s">
        <v>15</v>
      </c>
      <c r="F1197" s="5" t="str">
        <f>"073102030826"</f>
        <v>073102030826</v>
      </c>
      <c r="G1197" s="7">
        <v>0</v>
      </c>
      <c r="H1197" s="7">
        <f t="shared" si="82"/>
        <v>0</v>
      </c>
      <c r="I1197" s="7">
        <v>0</v>
      </c>
      <c r="J1197" s="7">
        <f t="shared" si="83"/>
        <v>0</v>
      </c>
      <c r="K1197" s="10">
        <f t="shared" si="84"/>
        <v>0</v>
      </c>
      <c r="L1197" s="7">
        <f t="shared" si="85"/>
        <v>509</v>
      </c>
      <c r="M1197" s="13" t="s">
        <v>18</v>
      </c>
      <c r="N1197"/>
    </row>
    <row r="1198" spans="1:14" ht="24.75" customHeight="1">
      <c r="A1198" s="5">
        <v>1196</v>
      </c>
      <c r="B1198" s="5" t="s">
        <v>19</v>
      </c>
      <c r="C1198" s="5" t="str">
        <f>"吴彩霞"</f>
        <v>吴彩霞</v>
      </c>
      <c r="D1198" s="5" t="str">
        <f>"460003199411284622"</f>
        <v>460003199411284622</v>
      </c>
      <c r="E1198" s="5" t="s">
        <v>15</v>
      </c>
      <c r="F1198" s="5" t="str">
        <f>"073102030827"</f>
        <v>073102030827</v>
      </c>
      <c r="G1198" s="7">
        <v>0</v>
      </c>
      <c r="H1198" s="7">
        <f t="shared" si="82"/>
        <v>0</v>
      </c>
      <c r="I1198" s="7">
        <v>0</v>
      </c>
      <c r="J1198" s="7">
        <f t="shared" si="83"/>
        <v>0</v>
      </c>
      <c r="K1198" s="10">
        <f t="shared" si="84"/>
        <v>0</v>
      </c>
      <c r="L1198" s="7">
        <f t="shared" si="85"/>
        <v>509</v>
      </c>
      <c r="M1198" s="13" t="s">
        <v>18</v>
      </c>
      <c r="N1198"/>
    </row>
    <row r="1199" spans="1:14" ht="24.75" customHeight="1">
      <c r="A1199" s="5">
        <v>1197</v>
      </c>
      <c r="B1199" s="5" t="s">
        <v>19</v>
      </c>
      <c r="C1199" s="5" t="str">
        <f>"王金宝"</f>
        <v>王金宝</v>
      </c>
      <c r="D1199" s="5" t="str">
        <f>"46000319910123681X"</f>
        <v>46000319910123681X</v>
      </c>
      <c r="E1199" s="5" t="s">
        <v>15</v>
      </c>
      <c r="F1199" s="5" t="str">
        <f>"073102030828"</f>
        <v>073102030828</v>
      </c>
      <c r="G1199" s="7">
        <v>0</v>
      </c>
      <c r="H1199" s="7">
        <f t="shared" si="82"/>
        <v>0</v>
      </c>
      <c r="I1199" s="7">
        <v>0</v>
      </c>
      <c r="J1199" s="7">
        <f t="shared" si="83"/>
        <v>0</v>
      </c>
      <c r="K1199" s="10">
        <f t="shared" si="84"/>
        <v>0</v>
      </c>
      <c r="L1199" s="7">
        <f t="shared" si="85"/>
        <v>509</v>
      </c>
      <c r="M1199" s="13" t="s">
        <v>18</v>
      </c>
      <c r="N1199"/>
    </row>
    <row r="1200" spans="1:14" ht="24.75" customHeight="1">
      <c r="A1200" s="5">
        <v>1198</v>
      </c>
      <c r="B1200" s="5" t="s">
        <v>19</v>
      </c>
      <c r="C1200" s="5" t="str">
        <f>"符志如"</f>
        <v>符志如</v>
      </c>
      <c r="D1200" s="5" t="str">
        <f>"460003199609245821"</f>
        <v>460003199609245821</v>
      </c>
      <c r="E1200" s="5" t="s">
        <v>15</v>
      </c>
      <c r="F1200" s="5" t="str">
        <f>"073102030832"</f>
        <v>073102030832</v>
      </c>
      <c r="G1200" s="7">
        <v>0</v>
      </c>
      <c r="H1200" s="7">
        <f t="shared" si="82"/>
        <v>0</v>
      </c>
      <c r="I1200" s="7">
        <v>0</v>
      </c>
      <c r="J1200" s="7">
        <f t="shared" si="83"/>
        <v>0</v>
      </c>
      <c r="K1200" s="10">
        <f t="shared" si="84"/>
        <v>0</v>
      </c>
      <c r="L1200" s="7">
        <f t="shared" si="85"/>
        <v>509</v>
      </c>
      <c r="M1200" s="13" t="s">
        <v>18</v>
      </c>
      <c r="N1200"/>
    </row>
    <row r="1201" spans="1:14" ht="24.75" customHeight="1">
      <c r="A1201" s="5">
        <v>1199</v>
      </c>
      <c r="B1201" s="5" t="s">
        <v>19</v>
      </c>
      <c r="C1201" s="5" t="str">
        <f>"陈慧"</f>
        <v>陈慧</v>
      </c>
      <c r="D1201" s="5" t="str">
        <f>"460103199309120926"</f>
        <v>460103199309120926</v>
      </c>
      <c r="E1201" s="5" t="s">
        <v>15</v>
      </c>
      <c r="F1201" s="5" t="str">
        <f>"073102030833"</f>
        <v>073102030833</v>
      </c>
      <c r="G1201" s="7">
        <v>0</v>
      </c>
      <c r="H1201" s="7">
        <f t="shared" si="82"/>
        <v>0</v>
      </c>
      <c r="I1201" s="7">
        <v>0</v>
      </c>
      <c r="J1201" s="7">
        <f t="shared" si="83"/>
        <v>0</v>
      </c>
      <c r="K1201" s="10">
        <f t="shared" si="84"/>
        <v>0</v>
      </c>
      <c r="L1201" s="7">
        <f t="shared" si="85"/>
        <v>509</v>
      </c>
      <c r="M1201" s="13" t="s">
        <v>18</v>
      </c>
      <c r="N1201"/>
    </row>
    <row r="1202" spans="1:14" ht="24.75" customHeight="1">
      <c r="A1202" s="5">
        <v>1200</v>
      </c>
      <c r="B1202" s="5" t="s">
        <v>19</v>
      </c>
      <c r="C1202" s="5" t="str">
        <f>"张海华"</f>
        <v>张海华</v>
      </c>
      <c r="D1202" s="5" t="str">
        <f>"460004199308060213"</f>
        <v>460004199308060213</v>
      </c>
      <c r="E1202" s="5" t="s">
        <v>15</v>
      </c>
      <c r="F1202" s="5" t="str">
        <f>"073102030836"</f>
        <v>073102030836</v>
      </c>
      <c r="G1202" s="7">
        <v>0</v>
      </c>
      <c r="H1202" s="7">
        <f t="shared" si="82"/>
        <v>0</v>
      </c>
      <c r="I1202" s="7">
        <v>0</v>
      </c>
      <c r="J1202" s="7">
        <f t="shared" si="83"/>
        <v>0</v>
      </c>
      <c r="K1202" s="10">
        <f t="shared" si="84"/>
        <v>0</v>
      </c>
      <c r="L1202" s="7">
        <f t="shared" si="85"/>
        <v>509</v>
      </c>
      <c r="M1202" s="13" t="s">
        <v>18</v>
      </c>
      <c r="N1202"/>
    </row>
    <row r="1203" spans="1:14" ht="24.75" customHeight="1">
      <c r="A1203" s="5">
        <v>1201</v>
      </c>
      <c r="B1203" s="5" t="s">
        <v>19</v>
      </c>
      <c r="C1203" s="5" t="str">
        <f>"陈道玉"</f>
        <v>陈道玉</v>
      </c>
      <c r="D1203" s="5" t="str">
        <f>"460003199608113325"</f>
        <v>460003199608113325</v>
      </c>
      <c r="E1203" s="5" t="s">
        <v>15</v>
      </c>
      <c r="F1203" s="5" t="str">
        <f>"073102030839"</f>
        <v>073102030839</v>
      </c>
      <c r="G1203" s="7">
        <v>0</v>
      </c>
      <c r="H1203" s="7">
        <f t="shared" si="82"/>
        <v>0</v>
      </c>
      <c r="I1203" s="7">
        <v>0</v>
      </c>
      <c r="J1203" s="7">
        <f t="shared" si="83"/>
        <v>0</v>
      </c>
      <c r="K1203" s="10">
        <f t="shared" si="84"/>
        <v>0</v>
      </c>
      <c r="L1203" s="7">
        <f t="shared" si="85"/>
        <v>509</v>
      </c>
      <c r="M1203" s="13" t="s">
        <v>18</v>
      </c>
      <c r="N1203"/>
    </row>
    <row r="1204" spans="1:14" ht="24.75" customHeight="1">
      <c r="A1204" s="5">
        <v>1202</v>
      </c>
      <c r="B1204" s="5" t="s">
        <v>19</v>
      </c>
      <c r="C1204" s="5" t="str">
        <f>"黄晓莹"</f>
        <v>黄晓莹</v>
      </c>
      <c r="D1204" s="5" t="str">
        <f>"460003199512188322"</f>
        <v>460003199512188322</v>
      </c>
      <c r="E1204" s="5" t="s">
        <v>15</v>
      </c>
      <c r="F1204" s="5" t="str">
        <f>"073102030841"</f>
        <v>073102030841</v>
      </c>
      <c r="G1204" s="7">
        <v>0</v>
      </c>
      <c r="H1204" s="7">
        <f t="shared" si="82"/>
        <v>0</v>
      </c>
      <c r="I1204" s="7">
        <v>0</v>
      </c>
      <c r="J1204" s="7">
        <f t="shared" si="83"/>
        <v>0</v>
      </c>
      <c r="K1204" s="10">
        <f t="shared" si="84"/>
        <v>0</v>
      </c>
      <c r="L1204" s="7">
        <f t="shared" si="85"/>
        <v>509</v>
      </c>
      <c r="M1204" s="13" t="s">
        <v>18</v>
      </c>
      <c r="N1204"/>
    </row>
    <row r="1205" spans="1:14" ht="24.75" customHeight="1">
      <c r="A1205" s="5">
        <v>1203</v>
      </c>
      <c r="B1205" s="5" t="s">
        <v>19</v>
      </c>
      <c r="C1205" s="5" t="str">
        <f>"郑扬显"</f>
        <v>郑扬显</v>
      </c>
      <c r="D1205" s="5" t="str">
        <f>"460003199905202615"</f>
        <v>460003199905202615</v>
      </c>
      <c r="E1205" s="5" t="s">
        <v>15</v>
      </c>
      <c r="F1205" s="5" t="str">
        <f>"073102030842"</f>
        <v>073102030842</v>
      </c>
      <c r="G1205" s="7">
        <v>0</v>
      </c>
      <c r="H1205" s="7">
        <f t="shared" si="82"/>
        <v>0</v>
      </c>
      <c r="I1205" s="7">
        <v>0</v>
      </c>
      <c r="J1205" s="7">
        <f t="shared" si="83"/>
        <v>0</v>
      </c>
      <c r="K1205" s="10">
        <f t="shared" si="84"/>
        <v>0</v>
      </c>
      <c r="L1205" s="7">
        <f t="shared" si="85"/>
        <v>509</v>
      </c>
      <c r="M1205" s="13" t="s">
        <v>18</v>
      </c>
      <c r="N1205"/>
    </row>
    <row r="1206" spans="1:14" ht="24.75" customHeight="1">
      <c r="A1206" s="5">
        <v>1204</v>
      </c>
      <c r="B1206" s="5" t="s">
        <v>19</v>
      </c>
      <c r="C1206" s="5" t="str">
        <f>"姚瑞芳"</f>
        <v>姚瑞芳</v>
      </c>
      <c r="D1206" s="5" t="str">
        <f>"460200199806270286"</f>
        <v>460200199806270286</v>
      </c>
      <c r="E1206" s="5" t="s">
        <v>15</v>
      </c>
      <c r="F1206" s="5" t="str">
        <f>"073102030902"</f>
        <v>073102030902</v>
      </c>
      <c r="G1206" s="7">
        <v>0</v>
      </c>
      <c r="H1206" s="7">
        <f t="shared" si="82"/>
        <v>0</v>
      </c>
      <c r="I1206" s="7">
        <v>0</v>
      </c>
      <c r="J1206" s="7">
        <f t="shared" si="83"/>
        <v>0</v>
      </c>
      <c r="K1206" s="10">
        <f t="shared" si="84"/>
        <v>0</v>
      </c>
      <c r="L1206" s="7">
        <f t="shared" si="85"/>
        <v>509</v>
      </c>
      <c r="M1206" s="13" t="s">
        <v>18</v>
      </c>
      <c r="N1206"/>
    </row>
    <row r="1207" spans="1:14" ht="24.75" customHeight="1">
      <c r="A1207" s="5">
        <v>1205</v>
      </c>
      <c r="B1207" s="5" t="s">
        <v>19</v>
      </c>
      <c r="C1207" s="5" t="str">
        <f>"吴尚花"</f>
        <v>吴尚花</v>
      </c>
      <c r="D1207" s="5" t="str">
        <f>"469003199710021927"</f>
        <v>469003199710021927</v>
      </c>
      <c r="E1207" s="5" t="s">
        <v>15</v>
      </c>
      <c r="F1207" s="5" t="str">
        <f>"073102030904"</f>
        <v>073102030904</v>
      </c>
      <c r="G1207" s="7">
        <v>0</v>
      </c>
      <c r="H1207" s="7">
        <f t="shared" si="82"/>
        <v>0</v>
      </c>
      <c r="I1207" s="7">
        <v>0</v>
      </c>
      <c r="J1207" s="7">
        <f t="shared" si="83"/>
        <v>0</v>
      </c>
      <c r="K1207" s="10">
        <f t="shared" si="84"/>
        <v>0</v>
      </c>
      <c r="L1207" s="7">
        <f t="shared" si="85"/>
        <v>509</v>
      </c>
      <c r="M1207" s="13" t="s">
        <v>18</v>
      </c>
      <c r="N1207"/>
    </row>
    <row r="1208" spans="1:14" ht="24.75" customHeight="1">
      <c r="A1208" s="5">
        <v>1206</v>
      </c>
      <c r="B1208" s="5" t="s">
        <v>19</v>
      </c>
      <c r="C1208" s="5" t="str">
        <f>"董儒霞"</f>
        <v>董儒霞</v>
      </c>
      <c r="D1208" s="5" t="str">
        <f>"46000319990608266X"</f>
        <v>46000319990608266X</v>
      </c>
      <c r="E1208" s="5" t="s">
        <v>15</v>
      </c>
      <c r="F1208" s="5" t="str">
        <f>"073102030905"</f>
        <v>073102030905</v>
      </c>
      <c r="G1208" s="7">
        <v>0</v>
      </c>
      <c r="H1208" s="7">
        <f t="shared" si="82"/>
        <v>0</v>
      </c>
      <c r="I1208" s="7">
        <v>0</v>
      </c>
      <c r="J1208" s="7">
        <f t="shared" si="83"/>
        <v>0</v>
      </c>
      <c r="K1208" s="10">
        <f t="shared" si="84"/>
        <v>0</v>
      </c>
      <c r="L1208" s="7">
        <f t="shared" si="85"/>
        <v>509</v>
      </c>
      <c r="M1208" s="13" t="s">
        <v>18</v>
      </c>
      <c r="N1208"/>
    </row>
    <row r="1209" spans="1:14" ht="24.75" customHeight="1">
      <c r="A1209" s="5">
        <v>1207</v>
      </c>
      <c r="B1209" s="5" t="s">
        <v>19</v>
      </c>
      <c r="C1209" s="5" t="str">
        <f>"林喆"</f>
        <v>林喆</v>
      </c>
      <c r="D1209" s="5" t="str">
        <f>"460006199810110215"</f>
        <v>460006199810110215</v>
      </c>
      <c r="E1209" s="5" t="s">
        <v>15</v>
      </c>
      <c r="F1209" s="5" t="str">
        <f>"073102030906"</f>
        <v>073102030906</v>
      </c>
      <c r="G1209" s="7">
        <v>0</v>
      </c>
      <c r="H1209" s="7">
        <f t="shared" si="82"/>
        <v>0</v>
      </c>
      <c r="I1209" s="7">
        <v>0</v>
      </c>
      <c r="J1209" s="7">
        <f t="shared" si="83"/>
        <v>0</v>
      </c>
      <c r="K1209" s="10">
        <f t="shared" si="84"/>
        <v>0</v>
      </c>
      <c r="L1209" s="7">
        <f t="shared" si="85"/>
        <v>509</v>
      </c>
      <c r="M1209" s="13" t="s">
        <v>18</v>
      </c>
      <c r="N1209"/>
    </row>
    <row r="1210" spans="1:14" ht="24.75" customHeight="1">
      <c r="A1210" s="5">
        <v>1208</v>
      </c>
      <c r="B1210" s="5" t="s">
        <v>19</v>
      </c>
      <c r="C1210" s="5" t="str">
        <f>"吴婆带"</f>
        <v>吴婆带</v>
      </c>
      <c r="D1210" s="5" t="str">
        <f>"460003199907143022"</f>
        <v>460003199907143022</v>
      </c>
      <c r="E1210" s="5" t="s">
        <v>15</v>
      </c>
      <c r="F1210" s="5" t="str">
        <f>"073102030909"</f>
        <v>073102030909</v>
      </c>
      <c r="G1210" s="7">
        <v>0</v>
      </c>
      <c r="H1210" s="7">
        <f t="shared" si="82"/>
        <v>0</v>
      </c>
      <c r="I1210" s="7">
        <v>0</v>
      </c>
      <c r="J1210" s="7">
        <f t="shared" si="83"/>
        <v>0</v>
      </c>
      <c r="K1210" s="10">
        <f t="shared" si="84"/>
        <v>0</v>
      </c>
      <c r="L1210" s="7">
        <f t="shared" si="85"/>
        <v>509</v>
      </c>
      <c r="M1210" s="13" t="s">
        <v>18</v>
      </c>
      <c r="N1210"/>
    </row>
    <row r="1211" spans="1:14" ht="24.75" customHeight="1">
      <c r="A1211" s="5">
        <v>1209</v>
      </c>
      <c r="B1211" s="5" t="s">
        <v>19</v>
      </c>
      <c r="C1211" s="5" t="str">
        <f>"王桃英"</f>
        <v>王桃英</v>
      </c>
      <c r="D1211" s="5" t="str">
        <f>"460003199703204049"</f>
        <v>460003199703204049</v>
      </c>
      <c r="E1211" s="5" t="s">
        <v>15</v>
      </c>
      <c r="F1211" s="5" t="str">
        <f>"073102030912"</f>
        <v>073102030912</v>
      </c>
      <c r="G1211" s="7">
        <v>0</v>
      </c>
      <c r="H1211" s="7">
        <f t="shared" si="82"/>
        <v>0</v>
      </c>
      <c r="I1211" s="7">
        <v>0</v>
      </c>
      <c r="J1211" s="7">
        <f t="shared" si="83"/>
        <v>0</v>
      </c>
      <c r="K1211" s="10">
        <f t="shared" si="84"/>
        <v>0</v>
      </c>
      <c r="L1211" s="7">
        <f t="shared" si="85"/>
        <v>509</v>
      </c>
      <c r="M1211" s="13" t="s">
        <v>18</v>
      </c>
      <c r="N1211"/>
    </row>
    <row r="1212" spans="1:14" ht="24.75" customHeight="1">
      <c r="A1212" s="5">
        <v>1210</v>
      </c>
      <c r="B1212" s="5" t="s">
        <v>19</v>
      </c>
      <c r="C1212" s="5" t="str">
        <f>"林婷婷"</f>
        <v>林婷婷</v>
      </c>
      <c r="D1212" s="5" t="str">
        <f>"460005199902131527"</f>
        <v>460005199902131527</v>
      </c>
      <c r="E1212" s="5" t="s">
        <v>15</v>
      </c>
      <c r="F1212" s="5" t="str">
        <f>"073102030913"</f>
        <v>073102030913</v>
      </c>
      <c r="G1212" s="7">
        <v>0</v>
      </c>
      <c r="H1212" s="7">
        <f t="shared" si="82"/>
        <v>0</v>
      </c>
      <c r="I1212" s="7">
        <v>0</v>
      </c>
      <c r="J1212" s="7">
        <f t="shared" si="83"/>
        <v>0</v>
      </c>
      <c r="K1212" s="10">
        <f t="shared" si="84"/>
        <v>0</v>
      </c>
      <c r="L1212" s="7">
        <f t="shared" si="85"/>
        <v>509</v>
      </c>
      <c r="M1212" s="13" t="s">
        <v>18</v>
      </c>
      <c r="N1212"/>
    </row>
    <row r="1213" spans="1:14" ht="24.75" customHeight="1">
      <c r="A1213" s="5">
        <v>1211</v>
      </c>
      <c r="B1213" s="5" t="s">
        <v>19</v>
      </c>
      <c r="C1213" s="5" t="str">
        <f>"黄岚姿 "</f>
        <v>黄岚姿 </v>
      </c>
      <c r="D1213" s="5" t="str">
        <f>"46000119930101002X"</f>
        <v>46000119930101002X</v>
      </c>
      <c r="E1213" s="5" t="s">
        <v>15</v>
      </c>
      <c r="F1213" s="5" t="str">
        <f>"073102030914"</f>
        <v>073102030914</v>
      </c>
      <c r="G1213" s="7">
        <v>0</v>
      </c>
      <c r="H1213" s="7">
        <f t="shared" si="82"/>
        <v>0</v>
      </c>
      <c r="I1213" s="7">
        <v>0</v>
      </c>
      <c r="J1213" s="7">
        <f t="shared" si="83"/>
        <v>0</v>
      </c>
      <c r="K1213" s="10">
        <f t="shared" si="84"/>
        <v>0</v>
      </c>
      <c r="L1213" s="7">
        <f t="shared" si="85"/>
        <v>509</v>
      </c>
      <c r="M1213" s="13" t="s">
        <v>18</v>
      </c>
      <c r="N1213"/>
    </row>
    <row r="1214" spans="1:14" ht="24.75" customHeight="1">
      <c r="A1214" s="5">
        <v>1212</v>
      </c>
      <c r="B1214" s="5" t="s">
        <v>19</v>
      </c>
      <c r="C1214" s="5" t="str">
        <f>"谢斌"</f>
        <v>谢斌</v>
      </c>
      <c r="D1214" s="5" t="str">
        <f>"460022199311010017"</f>
        <v>460022199311010017</v>
      </c>
      <c r="E1214" s="5" t="s">
        <v>15</v>
      </c>
      <c r="F1214" s="5" t="str">
        <f>"073102030915"</f>
        <v>073102030915</v>
      </c>
      <c r="G1214" s="7">
        <v>0</v>
      </c>
      <c r="H1214" s="7">
        <f t="shared" si="82"/>
        <v>0</v>
      </c>
      <c r="I1214" s="7">
        <v>0</v>
      </c>
      <c r="J1214" s="7">
        <f t="shared" si="83"/>
        <v>0</v>
      </c>
      <c r="K1214" s="10">
        <f t="shared" si="84"/>
        <v>0</v>
      </c>
      <c r="L1214" s="7">
        <f t="shared" si="85"/>
        <v>509</v>
      </c>
      <c r="M1214" s="13" t="s">
        <v>18</v>
      </c>
      <c r="N1214"/>
    </row>
    <row r="1215" spans="1:14" ht="24.75" customHeight="1">
      <c r="A1215" s="5">
        <v>1213</v>
      </c>
      <c r="B1215" s="5" t="s">
        <v>19</v>
      </c>
      <c r="C1215" s="5" t="str">
        <f>"符丽婷"</f>
        <v>符丽婷</v>
      </c>
      <c r="D1215" s="5" t="str">
        <f>"460028199408106865"</f>
        <v>460028199408106865</v>
      </c>
      <c r="E1215" s="5" t="s">
        <v>15</v>
      </c>
      <c r="F1215" s="5" t="str">
        <f>"073102030916"</f>
        <v>073102030916</v>
      </c>
      <c r="G1215" s="7">
        <v>0</v>
      </c>
      <c r="H1215" s="7">
        <f t="shared" si="82"/>
        <v>0</v>
      </c>
      <c r="I1215" s="7">
        <v>0</v>
      </c>
      <c r="J1215" s="7">
        <f t="shared" si="83"/>
        <v>0</v>
      </c>
      <c r="K1215" s="10">
        <f t="shared" si="84"/>
        <v>0</v>
      </c>
      <c r="L1215" s="7">
        <f t="shared" si="85"/>
        <v>509</v>
      </c>
      <c r="M1215" s="13" t="s">
        <v>18</v>
      </c>
      <c r="N1215"/>
    </row>
    <row r="1216" spans="1:14" ht="24.75" customHeight="1">
      <c r="A1216" s="5">
        <v>1214</v>
      </c>
      <c r="B1216" s="5" t="s">
        <v>19</v>
      </c>
      <c r="C1216" s="5" t="str">
        <f>"王敏"</f>
        <v>王敏</v>
      </c>
      <c r="D1216" s="5" t="str">
        <f>"460003199410260020"</f>
        <v>460003199410260020</v>
      </c>
      <c r="E1216" s="5" t="s">
        <v>15</v>
      </c>
      <c r="F1216" s="5" t="str">
        <f>"073102030918"</f>
        <v>073102030918</v>
      </c>
      <c r="G1216" s="7">
        <v>0</v>
      </c>
      <c r="H1216" s="7">
        <f t="shared" si="82"/>
        <v>0</v>
      </c>
      <c r="I1216" s="7">
        <v>0</v>
      </c>
      <c r="J1216" s="7">
        <f t="shared" si="83"/>
        <v>0</v>
      </c>
      <c r="K1216" s="10">
        <f t="shared" si="84"/>
        <v>0</v>
      </c>
      <c r="L1216" s="7">
        <f t="shared" si="85"/>
        <v>509</v>
      </c>
      <c r="M1216" s="13" t="s">
        <v>18</v>
      </c>
      <c r="N1216"/>
    </row>
    <row r="1217" spans="1:14" ht="24.75" customHeight="1">
      <c r="A1217" s="5">
        <v>1215</v>
      </c>
      <c r="B1217" s="5" t="s">
        <v>19</v>
      </c>
      <c r="C1217" s="5" t="str">
        <f>"陈雪丽"</f>
        <v>陈雪丽</v>
      </c>
      <c r="D1217" s="5" t="str">
        <f>"460003199812152620"</f>
        <v>460003199812152620</v>
      </c>
      <c r="E1217" s="5" t="s">
        <v>15</v>
      </c>
      <c r="F1217" s="5" t="str">
        <f>"073102030919"</f>
        <v>073102030919</v>
      </c>
      <c r="G1217" s="7">
        <v>0</v>
      </c>
      <c r="H1217" s="7">
        <f t="shared" si="82"/>
        <v>0</v>
      </c>
      <c r="I1217" s="7">
        <v>0</v>
      </c>
      <c r="J1217" s="7">
        <f t="shared" si="83"/>
        <v>0</v>
      </c>
      <c r="K1217" s="10">
        <f t="shared" si="84"/>
        <v>0</v>
      </c>
      <c r="L1217" s="7">
        <f t="shared" si="85"/>
        <v>509</v>
      </c>
      <c r="M1217" s="13" t="s">
        <v>18</v>
      </c>
      <c r="N1217"/>
    </row>
    <row r="1218" spans="1:14" ht="24.75" customHeight="1">
      <c r="A1218" s="5">
        <v>1216</v>
      </c>
      <c r="B1218" s="5" t="s">
        <v>19</v>
      </c>
      <c r="C1218" s="5" t="str">
        <f>"李小倩"</f>
        <v>李小倩</v>
      </c>
      <c r="D1218" s="5" t="str">
        <f>"460003199801092626"</f>
        <v>460003199801092626</v>
      </c>
      <c r="E1218" s="5" t="s">
        <v>15</v>
      </c>
      <c r="F1218" s="5" t="str">
        <f>"073102030920"</f>
        <v>073102030920</v>
      </c>
      <c r="G1218" s="7">
        <v>0</v>
      </c>
      <c r="H1218" s="7">
        <f t="shared" si="82"/>
        <v>0</v>
      </c>
      <c r="I1218" s="7">
        <v>0</v>
      </c>
      <c r="J1218" s="7">
        <f t="shared" si="83"/>
        <v>0</v>
      </c>
      <c r="K1218" s="10">
        <f t="shared" si="84"/>
        <v>0</v>
      </c>
      <c r="L1218" s="7">
        <f t="shared" si="85"/>
        <v>509</v>
      </c>
      <c r="M1218" s="13" t="s">
        <v>18</v>
      </c>
      <c r="N1218"/>
    </row>
    <row r="1219" spans="1:14" ht="24.75" customHeight="1">
      <c r="A1219" s="5">
        <v>1217</v>
      </c>
      <c r="B1219" s="5" t="s">
        <v>19</v>
      </c>
      <c r="C1219" s="5" t="str">
        <f>"蔡莹"</f>
        <v>蔡莹</v>
      </c>
      <c r="D1219" s="5" t="str">
        <f>"460007200002030024"</f>
        <v>460007200002030024</v>
      </c>
      <c r="E1219" s="5" t="s">
        <v>15</v>
      </c>
      <c r="F1219" s="5" t="str">
        <f>"073102030922"</f>
        <v>073102030922</v>
      </c>
      <c r="G1219" s="7">
        <v>0</v>
      </c>
      <c r="H1219" s="7">
        <f aca="true" t="shared" si="86" ref="H1219:H1282">G1219*0.5</f>
        <v>0</v>
      </c>
      <c r="I1219" s="7">
        <v>0</v>
      </c>
      <c r="J1219" s="7">
        <f aca="true" t="shared" si="87" ref="J1219:J1282">I1219*0.5</f>
        <v>0</v>
      </c>
      <c r="K1219" s="10">
        <f t="shared" si="84"/>
        <v>0</v>
      </c>
      <c r="L1219" s="7">
        <f t="shared" si="85"/>
        <v>509</v>
      </c>
      <c r="M1219" s="13" t="s">
        <v>18</v>
      </c>
      <c r="N1219"/>
    </row>
    <row r="1220" spans="1:14" ht="24.75" customHeight="1">
      <c r="A1220" s="5">
        <v>1218</v>
      </c>
      <c r="B1220" s="5" t="s">
        <v>19</v>
      </c>
      <c r="C1220" s="5" t="str">
        <f>"符金琳"</f>
        <v>符金琳</v>
      </c>
      <c r="D1220" s="5" t="str">
        <f>"460003199310286629"</f>
        <v>460003199310286629</v>
      </c>
      <c r="E1220" s="5" t="s">
        <v>15</v>
      </c>
      <c r="F1220" s="5" t="str">
        <f>"073102030927"</f>
        <v>073102030927</v>
      </c>
      <c r="G1220" s="7">
        <v>0</v>
      </c>
      <c r="H1220" s="7">
        <f t="shared" si="86"/>
        <v>0</v>
      </c>
      <c r="I1220" s="7">
        <v>0</v>
      </c>
      <c r="J1220" s="7">
        <f t="shared" si="87"/>
        <v>0</v>
      </c>
      <c r="K1220" s="10">
        <f t="shared" si="84"/>
        <v>0</v>
      </c>
      <c r="L1220" s="7">
        <f t="shared" si="85"/>
        <v>509</v>
      </c>
      <c r="M1220" s="13" t="s">
        <v>18</v>
      </c>
      <c r="N1220"/>
    </row>
    <row r="1221" spans="1:14" ht="24.75" customHeight="1">
      <c r="A1221" s="5">
        <v>1219</v>
      </c>
      <c r="B1221" s="5" t="s">
        <v>19</v>
      </c>
      <c r="C1221" s="5" t="str">
        <f>"林书丹"</f>
        <v>林书丹</v>
      </c>
      <c r="D1221" s="5" t="str">
        <f>"460003199808154682"</f>
        <v>460003199808154682</v>
      </c>
      <c r="E1221" s="5" t="s">
        <v>15</v>
      </c>
      <c r="F1221" s="5" t="str">
        <f>"073102030930"</f>
        <v>073102030930</v>
      </c>
      <c r="G1221" s="7">
        <v>0</v>
      </c>
      <c r="H1221" s="7">
        <f t="shared" si="86"/>
        <v>0</v>
      </c>
      <c r="I1221" s="7">
        <v>0</v>
      </c>
      <c r="J1221" s="7">
        <f t="shared" si="87"/>
        <v>0</v>
      </c>
      <c r="K1221" s="10">
        <f t="shared" si="84"/>
        <v>0</v>
      </c>
      <c r="L1221" s="7">
        <f t="shared" si="85"/>
        <v>509</v>
      </c>
      <c r="M1221" s="13" t="s">
        <v>18</v>
      </c>
      <c r="N1221"/>
    </row>
    <row r="1222" spans="1:14" ht="24.75" customHeight="1">
      <c r="A1222" s="5">
        <v>1220</v>
      </c>
      <c r="B1222" s="5" t="s">
        <v>19</v>
      </c>
      <c r="C1222" s="5" t="str">
        <f>"赵莹"</f>
        <v>赵莹</v>
      </c>
      <c r="D1222" s="5" t="str">
        <f>"46002719970107662X"</f>
        <v>46002719970107662X</v>
      </c>
      <c r="E1222" s="5" t="s">
        <v>15</v>
      </c>
      <c r="F1222" s="5" t="str">
        <f>"073102030931"</f>
        <v>073102030931</v>
      </c>
      <c r="G1222" s="7">
        <v>0</v>
      </c>
      <c r="H1222" s="7">
        <f t="shared" si="86"/>
        <v>0</v>
      </c>
      <c r="I1222" s="7">
        <v>0</v>
      </c>
      <c r="J1222" s="7">
        <f t="shared" si="87"/>
        <v>0</v>
      </c>
      <c r="K1222" s="10">
        <f t="shared" si="84"/>
        <v>0</v>
      </c>
      <c r="L1222" s="7">
        <f t="shared" si="85"/>
        <v>509</v>
      </c>
      <c r="M1222" s="13" t="s">
        <v>18</v>
      </c>
      <c r="N1222"/>
    </row>
    <row r="1223" spans="1:14" ht="24.75" customHeight="1">
      <c r="A1223" s="5">
        <v>1221</v>
      </c>
      <c r="B1223" s="5" t="s">
        <v>19</v>
      </c>
      <c r="C1223" s="5" t="str">
        <f>"梁亚团"</f>
        <v>梁亚团</v>
      </c>
      <c r="D1223" s="5" t="str">
        <f>"460103199807063629"</f>
        <v>460103199807063629</v>
      </c>
      <c r="E1223" s="5" t="s">
        <v>15</v>
      </c>
      <c r="F1223" s="5" t="str">
        <f>"073102030933"</f>
        <v>073102030933</v>
      </c>
      <c r="G1223" s="7">
        <v>0</v>
      </c>
      <c r="H1223" s="7">
        <f t="shared" si="86"/>
        <v>0</v>
      </c>
      <c r="I1223" s="7">
        <v>0</v>
      </c>
      <c r="J1223" s="7">
        <f t="shared" si="87"/>
        <v>0</v>
      </c>
      <c r="K1223" s="10">
        <f t="shared" si="84"/>
        <v>0</v>
      </c>
      <c r="L1223" s="7">
        <f t="shared" si="85"/>
        <v>509</v>
      </c>
      <c r="M1223" s="13" t="s">
        <v>18</v>
      </c>
      <c r="N1223"/>
    </row>
    <row r="1224" spans="1:14" ht="24.75" customHeight="1">
      <c r="A1224" s="5">
        <v>1222</v>
      </c>
      <c r="B1224" s="5" t="s">
        <v>19</v>
      </c>
      <c r="C1224" s="5" t="str">
        <f>"刘贵育"</f>
        <v>刘贵育</v>
      </c>
      <c r="D1224" s="5" t="str">
        <f>"460003199705148415"</f>
        <v>460003199705148415</v>
      </c>
      <c r="E1224" s="5" t="s">
        <v>15</v>
      </c>
      <c r="F1224" s="5" t="str">
        <f>"073102030934"</f>
        <v>073102030934</v>
      </c>
      <c r="G1224" s="7">
        <v>0</v>
      </c>
      <c r="H1224" s="7">
        <f t="shared" si="86"/>
        <v>0</v>
      </c>
      <c r="I1224" s="7">
        <v>0</v>
      </c>
      <c r="J1224" s="7">
        <f t="shared" si="87"/>
        <v>0</v>
      </c>
      <c r="K1224" s="10">
        <f t="shared" si="84"/>
        <v>0</v>
      </c>
      <c r="L1224" s="7">
        <f t="shared" si="85"/>
        <v>509</v>
      </c>
      <c r="M1224" s="13" t="s">
        <v>18</v>
      </c>
      <c r="N1224"/>
    </row>
    <row r="1225" spans="1:14" ht="24.75" customHeight="1">
      <c r="A1225" s="5">
        <v>1223</v>
      </c>
      <c r="B1225" s="5" t="s">
        <v>19</v>
      </c>
      <c r="C1225" s="5" t="str">
        <f>"陈焕明"</f>
        <v>陈焕明</v>
      </c>
      <c r="D1225" s="5" t="str">
        <f>"460003199512056610"</f>
        <v>460003199512056610</v>
      </c>
      <c r="E1225" s="5" t="s">
        <v>15</v>
      </c>
      <c r="F1225" s="5" t="str">
        <f>"073102030936"</f>
        <v>073102030936</v>
      </c>
      <c r="G1225" s="7">
        <v>0</v>
      </c>
      <c r="H1225" s="7">
        <f t="shared" si="86"/>
        <v>0</v>
      </c>
      <c r="I1225" s="7">
        <v>0</v>
      </c>
      <c r="J1225" s="7">
        <f t="shared" si="87"/>
        <v>0</v>
      </c>
      <c r="K1225" s="10">
        <f t="shared" si="84"/>
        <v>0</v>
      </c>
      <c r="L1225" s="7">
        <f t="shared" si="85"/>
        <v>509</v>
      </c>
      <c r="M1225" s="13" t="s">
        <v>18</v>
      </c>
      <c r="N1225"/>
    </row>
    <row r="1226" spans="1:14" ht="24.75" customHeight="1">
      <c r="A1226" s="5">
        <v>1224</v>
      </c>
      <c r="B1226" s="5" t="s">
        <v>19</v>
      </c>
      <c r="C1226" s="5" t="str">
        <f>"蒙日耳"</f>
        <v>蒙日耳</v>
      </c>
      <c r="D1226" s="5" t="str">
        <f>"469026199706265632"</f>
        <v>469026199706265632</v>
      </c>
      <c r="E1226" s="5" t="s">
        <v>16</v>
      </c>
      <c r="F1226" s="5" t="str">
        <f>"073102030940"</f>
        <v>073102030940</v>
      </c>
      <c r="G1226" s="7">
        <v>0</v>
      </c>
      <c r="H1226" s="7">
        <f t="shared" si="86"/>
        <v>0</v>
      </c>
      <c r="I1226" s="7">
        <v>0</v>
      </c>
      <c r="J1226" s="7">
        <f t="shared" si="87"/>
        <v>0</v>
      </c>
      <c r="K1226" s="10">
        <f t="shared" si="84"/>
        <v>0</v>
      </c>
      <c r="L1226" s="7">
        <f t="shared" si="85"/>
        <v>509</v>
      </c>
      <c r="M1226" s="13" t="s">
        <v>18</v>
      </c>
      <c r="N1226"/>
    </row>
    <row r="1227" spans="1:14" ht="24.75" customHeight="1">
      <c r="A1227" s="5">
        <v>1225</v>
      </c>
      <c r="B1227" s="5" t="s">
        <v>19</v>
      </c>
      <c r="C1227" s="5" t="str">
        <f>"陈若然"</f>
        <v>陈若然</v>
      </c>
      <c r="D1227" s="5" t="str">
        <f>"460003199709127216"</f>
        <v>460003199709127216</v>
      </c>
      <c r="E1227" s="5" t="s">
        <v>15</v>
      </c>
      <c r="F1227" s="5" t="str">
        <f>"073102030941"</f>
        <v>073102030941</v>
      </c>
      <c r="G1227" s="7">
        <v>0</v>
      </c>
      <c r="H1227" s="7">
        <f t="shared" si="86"/>
        <v>0</v>
      </c>
      <c r="I1227" s="7">
        <v>0</v>
      </c>
      <c r="J1227" s="7">
        <f t="shared" si="87"/>
        <v>0</v>
      </c>
      <c r="K1227" s="10">
        <f t="shared" si="84"/>
        <v>0</v>
      </c>
      <c r="L1227" s="7">
        <f t="shared" si="85"/>
        <v>509</v>
      </c>
      <c r="M1227" s="13" t="s">
        <v>18</v>
      </c>
      <c r="N1227"/>
    </row>
    <row r="1228" spans="1:14" ht="24.75" customHeight="1">
      <c r="A1228" s="5">
        <v>1226</v>
      </c>
      <c r="B1228" s="5" t="s">
        <v>19</v>
      </c>
      <c r="C1228" s="5" t="str">
        <f>"罗一云"</f>
        <v>罗一云</v>
      </c>
      <c r="D1228" s="5" t="str">
        <f>"460027199203024720"</f>
        <v>460027199203024720</v>
      </c>
      <c r="E1228" s="5" t="s">
        <v>15</v>
      </c>
      <c r="F1228" s="5" t="str">
        <f>"073102030942"</f>
        <v>073102030942</v>
      </c>
      <c r="G1228" s="7">
        <v>0</v>
      </c>
      <c r="H1228" s="7">
        <f t="shared" si="86"/>
        <v>0</v>
      </c>
      <c r="I1228" s="7">
        <v>0</v>
      </c>
      <c r="J1228" s="7">
        <f t="shared" si="87"/>
        <v>0</v>
      </c>
      <c r="K1228" s="10">
        <f aca="true" t="shared" si="88" ref="K1228:K1291">H1228+J1228</f>
        <v>0</v>
      </c>
      <c r="L1228" s="7">
        <f t="shared" si="85"/>
        <v>509</v>
      </c>
      <c r="M1228" s="13" t="s">
        <v>18</v>
      </c>
      <c r="N1228"/>
    </row>
    <row r="1229" spans="1:14" ht="24.75" customHeight="1">
      <c r="A1229" s="5">
        <v>1227</v>
      </c>
      <c r="B1229" s="5" t="s">
        <v>19</v>
      </c>
      <c r="C1229" s="5" t="str">
        <f>"张椿敏"</f>
        <v>张椿敏</v>
      </c>
      <c r="D1229" s="5" t="str">
        <f>"46000319981020022X"</f>
        <v>46000319981020022X</v>
      </c>
      <c r="E1229" s="5" t="s">
        <v>15</v>
      </c>
      <c r="F1229" s="5" t="str">
        <f>"073102031001"</f>
        <v>073102031001</v>
      </c>
      <c r="G1229" s="7">
        <v>0</v>
      </c>
      <c r="H1229" s="7">
        <f t="shared" si="86"/>
        <v>0</v>
      </c>
      <c r="I1229" s="7">
        <v>0</v>
      </c>
      <c r="J1229" s="7">
        <f t="shared" si="87"/>
        <v>0</v>
      </c>
      <c r="K1229" s="10">
        <f t="shared" si="88"/>
        <v>0</v>
      </c>
      <c r="L1229" s="7">
        <f t="shared" si="85"/>
        <v>509</v>
      </c>
      <c r="M1229" s="13" t="s">
        <v>18</v>
      </c>
      <c r="N1229"/>
    </row>
    <row r="1230" spans="1:14" ht="24.75" customHeight="1">
      <c r="A1230" s="5">
        <v>1228</v>
      </c>
      <c r="B1230" s="5" t="s">
        <v>19</v>
      </c>
      <c r="C1230" s="5" t="str">
        <f>"刘延丹"</f>
        <v>刘延丹</v>
      </c>
      <c r="D1230" s="5" t="str">
        <f>"460003199408022648"</f>
        <v>460003199408022648</v>
      </c>
      <c r="E1230" s="5" t="s">
        <v>15</v>
      </c>
      <c r="F1230" s="5" t="str">
        <f>"073102031002"</f>
        <v>073102031002</v>
      </c>
      <c r="G1230" s="7">
        <v>0</v>
      </c>
      <c r="H1230" s="7">
        <f t="shared" si="86"/>
        <v>0</v>
      </c>
      <c r="I1230" s="7">
        <v>0</v>
      </c>
      <c r="J1230" s="7">
        <f t="shared" si="87"/>
        <v>0</v>
      </c>
      <c r="K1230" s="10">
        <f t="shared" si="88"/>
        <v>0</v>
      </c>
      <c r="L1230" s="7">
        <f t="shared" si="85"/>
        <v>509</v>
      </c>
      <c r="M1230" s="13" t="s">
        <v>18</v>
      </c>
      <c r="N1230"/>
    </row>
    <row r="1231" spans="1:14" ht="24.75" customHeight="1">
      <c r="A1231" s="5">
        <v>1229</v>
      </c>
      <c r="B1231" s="5" t="s">
        <v>19</v>
      </c>
      <c r="C1231" s="5" t="str">
        <f>"吴春转"</f>
        <v>吴春转</v>
      </c>
      <c r="D1231" s="5" t="str">
        <f>"460003199702053023"</f>
        <v>460003199702053023</v>
      </c>
      <c r="E1231" s="5" t="s">
        <v>15</v>
      </c>
      <c r="F1231" s="5" t="str">
        <f>"073102031006"</f>
        <v>073102031006</v>
      </c>
      <c r="G1231" s="7">
        <v>0</v>
      </c>
      <c r="H1231" s="7">
        <f t="shared" si="86"/>
        <v>0</v>
      </c>
      <c r="I1231" s="7">
        <v>0</v>
      </c>
      <c r="J1231" s="7">
        <f t="shared" si="87"/>
        <v>0</v>
      </c>
      <c r="K1231" s="10">
        <f t="shared" si="88"/>
        <v>0</v>
      </c>
      <c r="L1231" s="7">
        <f t="shared" si="85"/>
        <v>509</v>
      </c>
      <c r="M1231" s="13" t="s">
        <v>18</v>
      </c>
      <c r="N1231"/>
    </row>
    <row r="1232" spans="1:14" ht="24.75" customHeight="1">
      <c r="A1232" s="5">
        <v>1230</v>
      </c>
      <c r="B1232" s="5" t="s">
        <v>19</v>
      </c>
      <c r="C1232" s="5" t="str">
        <f>"符月娇"</f>
        <v>符月娇</v>
      </c>
      <c r="D1232" s="5" t="str">
        <f>"46002819960105522X"</f>
        <v>46002819960105522X</v>
      </c>
      <c r="E1232" s="5" t="s">
        <v>15</v>
      </c>
      <c r="F1232" s="5" t="str">
        <f>"073102031007"</f>
        <v>073102031007</v>
      </c>
      <c r="G1232" s="7">
        <v>0</v>
      </c>
      <c r="H1232" s="7">
        <f t="shared" si="86"/>
        <v>0</v>
      </c>
      <c r="I1232" s="7">
        <v>0</v>
      </c>
      <c r="J1232" s="7">
        <f t="shared" si="87"/>
        <v>0</v>
      </c>
      <c r="K1232" s="10">
        <f t="shared" si="88"/>
        <v>0</v>
      </c>
      <c r="L1232" s="7">
        <f t="shared" si="85"/>
        <v>509</v>
      </c>
      <c r="M1232" s="13" t="s">
        <v>18</v>
      </c>
      <c r="N1232"/>
    </row>
    <row r="1233" spans="1:14" ht="24.75" customHeight="1">
      <c r="A1233" s="5">
        <v>1231</v>
      </c>
      <c r="B1233" s="5" t="s">
        <v>19</v>
      </c>
      <c r="C1233" s="5" t="str">
        <f>"梁秀英"</f>
        <v>梁秀英</v>
      </c>
      <c r="D1233" s="5" t="str">
        <f>"46000319981003302X"</f>
        <v>46000319981003302X</v>
      </c>
      <c r="E1233" s="5" t="s">
        <v>15</v>
      </c>
      <c r="F1233" s="5" t="str">
        <f>"073102031010"</f>
        <v>073102031010</v>
      </c>
      <c r="G1233" s="7">
        <v>0</v>
      </c>
      <c r="H1233" s="7">
        <f t="shared" si="86"/>
        <v>0</v>
      </c>
      <c r="I1233" s="7">
        <v>0</v>
      </c>
      <c r="J1233" s="7">
        <f t="shared" si="87"/>
        <v>0</v>
      </c>
      <c r="K1233" s="10">
        <f t="shared" si="88"/>
        <v>0</v>
      </c>
      <c r="L1233" s="7">
        <f t="shared" si="85"/>
        <v>509</v>
      </c>
      <c r="M1233" s="13" t="s">
        <v>18</v>
      </c>
      <c r="N1233"/>
    </row>
    <row r="1234" spans="1:14" ht="24.75" customHeight="1">
      <c r="A1234" s="5">
        <v>1232</v>
      </c>
      <c r="B1234" s="5" t="s">
        <v>19</v>
      </c>
      <c r="C1234" s="5" t="str">
        <f>"吴源俊"</f>
        <v>吴源俊</v>
      </c>
      <c r="D1234" s="5" t="str">
        <f>"460033199906123255"</f>
        <v>460033199906123255</v>
      </c>
      <c r="E1234" s="5" t="s">
        <v>15</v>
      </c>
      <c r="F1234" s="5" t="str">
        <f>"073102031013"</f>
        <v>073102031013</v>
      </c>
      <c r="G1234" s="7">
        <v>0</v>
      </c>
      <c r="H1234" s="7">
        <f t="shared" si="86"/>
        <v>0</v>
      </c>
      <c r="I1234" s="7">
        <v>0</v>
      </c>
      <c r="J1234" s="7">
        <f t="shared" si="87"/>
        <v>0</v>
      </c>
      <c r="K1234" s="10">
        <f t="shared" si="88"/>
        <v>0</v>
      </c>
      <c r="L1234" s="7">
        <f t="shared" si="85"/>
        <v>509</v>
      </c>
      <c r="M1234" s="13" t="s">
        <v>18</v>
      </c>
      <c r="N1234"/>
    </row>
    <row r="1235" spans="1:14" ht="24.75" customHeight="1">
      <c r="A1235" s="5">
        <v>1233</v>
      </c>
      <c r="B1235" s="5" t="s">
        <v>19</v>
      </c>
      <c r="C1235" s="5" t="str">
        <f>"王海丽"</f>
        <v>王海丽</v>
      </c>
      <c r="D1235" s="5" t="str">
        <f>"460036199501023220"</f>
        <v>460036199501023220</v>
      </c>
      <c r="E1235" s="5" t="s">
        <v>15</v>
      </c>
      <c r="F1235" s="5" t="str">
        <f>"073102031015"</f>
        <v>073102031015</v>
      </c>
      <c r="G1235" s="7">
        <v>0</v>
      </c>
      <c r="H1235" s="7">
        <f t="shared" si="86"/>
        <v>0</v>
      </c>
      <c r="I1235" s="7">
        <v>0</v>
      </c>
      <c r="J1235" s="7">
        <f t="shared" si="87"/>
        <v>0</v>
      </c>
      <c r="K1235" s="10">
        <f t="shared" si="88"/>
        <v>0</v>
      </c>
      <c r="L1235" s="7">
        <f t="shared" si="85"/>
        <v>509</v>
      </c>
      <c r="M1235" s="13" t="s">
        <v>18</v>
      </c>
      <c r="N1235"/>
    </row>
    <row r="1236" spans="1:14" ht="24.75" customHeight="1">
      <c r="A1236" s="5">
        <v>1234</v>
      </c>
      <c r="B1236" s="5" t="s">
        <v>19</v>
      </c>
      <c r="C1236" s="5" t="str">
        <f>"谢燕冰"</f>
        <v>谢燕冰</v>
      </c>
      <c r="D1236" s="5" t="str">
        <f>"460005199911134543"</f>
        <v>460005199911134543</v>
      </c>
      <c r="E1236" s="5" t="s">
        <v>15</v>
      </c>
      <c r="F1236" s="5" t="str">
        <f>"073102031017"</f>
        <v>073102031017</v>
      </c>
      <c r="G1236" s="7">
        <v>0</v>
      </c>
      <c r="H1236" s="7">
        <f t="shared" si="86"/>
        <v>0</v>
      </c>
      <c r="I1236" s="7">
        <v>0</v>
      </c>
      <c r="J1236" s="7">
        <f t="shared" si="87"/>
        <v>0</v>
      </c>
      <c r="K1236" s="10">
        <f t="shared" si="88"/>
        <v>0</v>
      </c>
      <c r="L1236" s="7">
        <f t="shared" si="85"/>
        <v>509</v>
      </c>
      <c r="M1236" s="13" t="s">
        <v>18</v>
      </c>
      <c r="N1236"/>
    </row>
    <row r="1237" spans="1:14" ht="24.75" customHeight="1">
      <c r="A1237" s="5">
        <v>1235</v>
      </c>
      <c r="B1237" s="5" t="s">
        <v>19</v>
      </c>
      <c r="C1237" s="5" t="str">
        <f>"周海英"</f>
        <v>周海英</v>
      </c>
      <c r="D1237" s="5" t="str">
        <f>"460003199501132622"</f>
        <v>460003199501132622</v>
      </c>
      <c r="E1237" s="5" t="s">
        <v>15</v>
      </c>
      <c r="F1237" s="5" t="str">
        <f>"073102031019"</f>
        <v>073102031019</v>
      </c>
      <c r="G1237" s="7">
        <v>0</v>
      </c>
      <c r="H1237" s="7">
        <f t="shared" si="86"/>
        <v>0</v>
      </c>
      <c r="I1237" s="7">
        <v>0</v>
      </c>
      <c r="J1237" s="7">
        <f t="shared" si="87"/>
        <v>0</v>
      </c>
      <c r="K1237" s="10">
        <f t="shared" si="88"/>
        <v>0</v>
      </c>
      <c r="L1237" s="7">
        <f t="shared" si="85"/>
        <v>509</v>
      </c>
      <c r="M1237" s="13" t="s">
        <v>18</v>
      </c>
      <c r="N1237"/>
    </row>
    <row r="1238" spans="1:14" ht="24.75" customHeight="1">
      <c r="A1238" s="5">
        <v>1236</v>
      </c>
      <c r="B1238" s="5" t="s">
        <v>19</v>
      </c>
      <c r="C1238" s="5" t="str">
        <f>"谢东昀"</f>
        <v>谢东昀</v>
      </c>
      <c r="D1238" s="5" t="str">
        <f>"460003199502142814"</f>
        <v>460003199502142814</v>
      </c>
      <c r="E1238" s="5" t="s">
        <v>15</v>
      </c>
      <c r="F1238" s="5" t="str">
        <f>"073102031020"</f>
        <v>073102031020</v>
      </c>
      <c r="G1238" s="7">
        <v>0</v>
      </c>
      <c r="H1238" s="7">
        <f t="shared" si="86"/>
        <v>0</v>
      </c>
      <c r="I1238" s="7">
        <v>0</v>
      </c>
      <c r="J1238" s="7">
        <f t="shared" si="87"/>
        <v>0</v>
      </c>
      <c r="K1238" s="10">
        <f t="shared" si="88"/>
        <v>0</v>
      </c>
      <c r="L1238" s="7">
        <f t="shared" si="85"/>
        <v>509</v>
      </c>
      <c r="M1238" s="13" t="s">
        <v>18</v>
      </c>
      <c r="N1238"/>
    </row>
    <row r="1239" spans="1:14" ht="24.75" customHeight="1">
      <c r="A1239" s="5">
        <v>1237</v>
      </c>
      <c r="B1239" s="5" t="s">
        <v>19</v>
      </c>
      <c r="C1239" s="5" t="str">
        <f>"韦栋榉"</f>
        <v>韦栋榉</v>
      </c>
      <c r="D1239" s="5" t="str">
        <f>"469027200001118079"</f>
        <v>469027200001118079</v>
      </c>
      <c r="E1239" s="5" t="s">
        <v>15</v>
      </c>
      <c r="F1239" s="5" t="str">
        <f>"073102031023"</f>
        <v>073102031023</v>
      </c>
      <c r="G1239" s="7">
        <v>0</v>
      </c>
      <c r="H1239" s="7">
        <f t="shared" si="86"/>
        <v>0</v>
      </c>
      <c r="I1239" s="7">
        <v>0</v>
      </c>
      <c r="J1239" s="7">
        <f t="shared" si="87"/>
        <v>0</v>
      </c>
      <c r="K1239" s="10">
        <f t="shared" si="88"/>
        <v>0</v>
      </c>
      <c r="L1239" s="7">
        <f t="shared" si="85"/>
        <v>509</v>
      </c>
      <c r="M1239" s="13" t="s">
        <v>18</v>
      </c>
      <c r="N1239"/>
    </row>
    <row r="1240" spans="1:14" ht="24.75" customHeight="1">
      <c r="A1240" s="5">
        <v>1238</v>
      </c>
      <c r="B1240" s="5" t="s">
        <v>19</v>
      </c>
      <c r="C1240" s="5" t="str">
        <f>"周海东"</f>
        <v>周海东</v>
      </c>
      <c r="D1240" s="5" t="str">
        <f>"460003199701132635"</f>
        <v>460003199701132635</v>
      </c>
      <c r="E1240" s="5" t="s">
        <v>15</v>
      </c>
      <c r="F1240" s="5" t="str">
        <f>"073102031025"</f>
        <v>073102031025</v>
      </c>
      <c r="G1240" s="7">
        <v>0</v>
      </c>
      <c r="H1240" s="7">
        <f t="shared" si="86"/>
        <v>0</v>
      </c>
      <c r="I1240" s="7">
        <v>0</v>
      </c>
      <c r="J1240" s="7">
        <f t="shared" si="87"/>
        <v>0</v>
      </c>
      <c r="K1240" s="10">
        <f t="shared" si="88"/>
        <v>0</v>
      </c>
      <c r="L1240" s="7">
        <f t="shared" si="85"/>
        <v>509</v>
      </c>
      <c r="M1240" s="13" t="s">
        <v>18</v>
      </c>
      <c r="N1240"/>
    </row>
    <row r="1241" spans="1:14" ht="24.75" customHeight="1">
      <c r="A1241" s="5">
        <v>1239</v>
      </c>
      <c r="B1241" s="5" t="s">
        <v>19</v>
      </c>
      <c r="C1241" s="5" t="str">
        <f>"李汶儒"</f>
        <v>李汶儒</v>
      </c>
      <c r="D1241" s="5" t="str">
        <f>"460026199812211824"</f>
        <v>460026199812211824</v>
      </c>
      <c r="E1241" s="5" t="s">
        <v>15</v>
      </c>
      <c r="F1241" s="5" t="str">
        <f>"073102031026"</f>
        <v>073102031026</v>
      </c>
      <c r="G1241" s="7">
        <v>0</v>
      </c>
      <c r="H1241" s="7">
        <f t="shared" si="86"/>
        <v>0</v>
      </c>
      <c r="I1241" s="7">
        <v>0</v>
      </c>
      <c r="J1241" s="7">
        <f t="shared" si="87"/>
        <v>0</v>
      </c>
      <c r="K1241" s="10">
        <f t="shared" si="88"/>
        <v>0</v>
      </c>
      <c r="L1241" s="7">
        <f aca="true" t="shared" si="89" ref="L1241:L1299">RANK(K1241,$K$281:$K$1299,0)</f>
        <v>509</v>
      </c>
      <c r="M1241" s="13" t="s">
        <v>18</v>
      </c>
      <c r="N1241"/>
    </row>
    <row r="1242" spans="1:14" ht="24.75" customHeight="1">
      <c r="A1242" s="5">
        <v>1240</v>
      </c>
      <c r="B1242" s="5" t="s">
        <v>19</v>
      </c>
      <c r="C1242" s="5" t="str">
        <f>"陈颖丽"</f>
        <v>陈颖丽</v>
      </c>
      <c r="D1242" s="5" t="str">
        <f>"460003199902107428"</f>
        <v>460003199902107428</v>
      </c>
      <c r="E1242" s="5" t="s">
        <v>15</v>
      </c>
      <c r="F1242" s="5" t="str">
        <f>"073102031027"</f>
        <v>073102031027</v>
      </c>
      <c r="G1242" s="7">
        <v>0</v>
      </c>
      <c r="H1242" s="7">
        <f t="shared" si="86"/>
        <v>0</v>
      </c>
      <c r="I1242" s="7">
        <v>0</v>
      </c>
      <c r="J1242" s="7">
        <f t="shared" si="87"/>
        <v>0</v>
      </c>
      <c r="K1242" s="10">
        <f t="shared" si="88"/>
        <v>0</v>
      </c>
      <c r="L1242" s="7">
        <f t="shared" si="89"/>
        <v>509</v>
      </c>
      <c r="M1242" s="13" t="s">
        <v>18</v>
      </c>
      <c r="N1242"/>
    </row>
    <row r="1243" spans="1:14" ht="24.75" customHeight="1">
      <c r="A1243" s="5">
        <v>1241</v>
      </c>
      <c r="B1243" s="5" t="s">
        <v>19</v>
      </c>
      <c r="C1243" s="5" t="str">
        <f>"吕晓婷"</f>
        <v>吕晓婷</v>
      </c>
      <c r="D1243" s="5" t="str">
        <f>"460003199905300426"</f>
        <v>460003199905300426</v>
      </c>
      <c r="E1243" s="5" t="s">
        <v>15</v>
      </c>
      <c r="F1243" s="5" t="str">
        <f>"073102031028"</f>
        <v>073102031028</v>
      </c>
      <c r="G1243" s="7">
        <v>0</v>
      </c>
      <c r="H1243" s="7">
        <f t="shared" si="86"/>
        <v>0</v>
      </c>
      <c r="I1243" s="7">
        <v>0</v>
      </c>
      <c r="J1243" s="7">
        <f t="shared" si="87"/>
        <v>0</v>
      </c>
      <c r="K1243" s="10">
        <f t="shared" si="88"/>
        <v>0</v>
      </c>
      <c r="L1243" s="7">
        <f t="shared" si="89"/>
        <v>509</v>
      </c>
      <c r="M1243" s="13" t="s">
        <v>18</v>
      </c>
      <c r="N1243"/>
    </row>
    <row r="1244" spans="1:14" ht="24.75" customHeight="1">
      <c r="A1244" s="5">
        <v>1242</v>
      </c>
      <c r="B1244" s="5" t="s">
        <v>19</v>
      </c>
      <c r="C1244" s="5" t="str">
        <f>"郑惠旋"</f>
        <v>郑惠旋</v>
      </c>
      <c r="D1244" s="5" t="str">
        <f>"460028199809105265"</f>
        <v>460028199809105265</v>
      </c>
      <c r="E1244" s="5" t="s">
        <v>15</v>
      </c>
      <c r="F1244" s="5" t="str">
        <f>"073102031029"</f>
        <v>073102031029</v>
      </c>
      <c r="G1244" s="7">
        <v>0</v>
      </c>
      <c r="H1244" s="7">
        <f t="shared" si="86"/>
        <v>0</v>
      </c>
      <c r="I1244" s="7">
        <v>0</v>
      </c>
      <c r="J1244" s="7">
        <f t="shared" si="87"/>
        <v>0</v>
      </c>
      <c r="K1244" s="10">
        <f t="shared" si="88"/>
        <v>0</v>
      </c>
      <c r="L1244" s="7">
        <f t="shared" si="89"/>
        <v>509</v>
      </c>
      <c r="M1244" s="13" t="s">
        <v>18</v>
      </c>
      <c r="N1244"/>
    </row>
    <row r="1245" spans="1:14" ht="24.75" customHeight="1">
      <c r="A1245" s="5">
        <v>1243</v>
      </c>
      <c r="B1245" s="5" t="s">
        <v>19</v>
      </c>
      <c r="C1245" s="5" t="str">
        <f>"符颖"</f>
        <v>符颖</v>
      </c>
      <c r="D1245" s="5" t="str">
        <f>"460102199905291223"</f>
        <v>460102199905291223</v>
      </c>
      <c r="E1245" s="5" t="s">
        <v>15</v>
      </c>
      <c r="F1245" s="5" t="str">
        <f>"073102031030"</f>
        <v>073102031030</v>
      </c>
      <c r="G1245" s="7">
        <v>0</v>
      </c>
      <c r="H1245" s="7">
        <f t="shared" si="86"/>
        <v>0</v>
      </c>
      <c r="I1245" s="7">
        <v>0</v>
      </c>
      <c r="J1245" s="7">
        <f t="shared" si="87"/>
        <v>0</v>
      </c>
      <c r="K1245" s="10">
        <f t="shared" si="88"/>
        <v>0</v>
      </c>
      <c r="L1245" s="7">
        <f t="shared" si="89"/>
        <v>509</v>
      </c>
      <c r="M1245" s="13" t="s">
        <v>18</v>
      </c>
      <c r="N1245"/>
    </row>
    <row r="1246" spans="1:14" ht="24.75" customHeight="1">
      <c r="A1246" s="5">
        <v>1244</v>
      </c>
      <c r="B1246" s="5" t="s">
        <v>19</v>
      </c>
      <c r="C1246" s="5" t="str">
        <f>"杨晶"</f>
        <v>杨晶</v>
      </c>
      <c r="D1246" s="5" t="str">
        <f>"460003199705088520"</f>
        <v>460003199705088520</v>
      </c>
      <c r="E1246" s="5" t="s">
        <v>15</v>
      </c>
      <c r="F1246" s="5" t="str">
        <f>"073102031032"</f>
        <v>073102031032</v>
      </c>
      <c r="G1246" s="7">
        <v>0</v>
      </c>
      <c r="H1246" s="7">
        <f t="shared" si="86"/>
        <v>0</v>
      </c>
      <c r="I1246" s="7">
        <v>0</v>
      </c>
      <c r="J1246" s="7">
        <f t="shared" si="87"/>
        <v>0</v>
      </c>
      <c r="K1246" s="10">
        <f t="shared" si="88"/>
        <v>0</v>
      </c>
      <c r="L1246" s="7">
        <f t="shared" si="89"/>
        <v>509</v>
      </c>
      <c r="M1246" s="13" t="s">
        <v>18</v>
      </c>
      <c r="N1246"/>
    </row>
    <row r="1247" spans="1:14" ht="24.75" customHeight="1">
      <c r="A1247" s="5">
        <v>1245</v>
      </c>
      <c r="B1247" s="5" t="s">
        <v>19</v>
      </c>
      <c r="C1247" s="5" t="str">
        <f>"许东晓"</f>
        <v>许东晓</v>
      </c>
      <c r="D1247" s="5" t="str">
        <f>"469022199808281523"</f>
        <v>469022199808281523</v>
      </c>
      <c r="E1247" s="5" t="s">
        <v>15</v>
      </c>
      <c r="F1247" s="5" t="str">
        <f>"073102031033"</f>
        <v>073102031033</v>
      </c>
      <c r="G1247" s="7">
        <v>0</v>
      </c>
      <c r="H1247" s="7">
        <f t="shared" si="86"/>
        <v>0</v>
      </c>
      <c r="I1247" s="7">
        <v>0</v>
      </c>
      <c r="J1247" s="7">
        <f t="shared" si="87"/>
        <v>0</v>
      </c>
      <c r="K1247" s="10">
        <f t="shared" si="88"/>
        <v>0</v>
      </c>
      <c r="L1247" s="7">
        <f t="shared" si="89"/>
        <v>509</v>
      </c>
      <c r="M1247" s="13" t="s">
        <v>18</v>
      </c>
      <c r="N1247"/>
    </row>
    <row r="1248" spans="1:14" ht="24.75" customHeight="1">
      <c r="A1248" s="5">
        <v>1246</v>
      </c>
      <c r="B1248" s="5" t="s">
        <v>19</v>
      </c>
      <c r="C1248" s="5" t="str">
        <f>"黄泳霖"</f>
        <v>黄泳霖</v>
      </c>
      <c r="D1248" s="5" t="str">
        <f>"460102199906221868"</f>
        <v>460102199906221868</v>
      </c>
      <c r="E1248" s="5" t="s">
        <v>15</v>
      </c>
      <c r="F1248" s="5" t="str">
        <f>"073102031034"</f>
        <v>073102031034</v>
      </c>
      <c r="G1248" s="7">
        <v>0</v>
      </c>
      <c r="H1248" s="7">
        <f t="shared" si="86"/>
        <v>0</v>
      </c>
      <c r="I1248" s="7">
        <v>0</v>
      </c>
      <c r="J1248" s="7">
        <f t="shared" si="87"/>
        <v>0</v>
      </c>
      <c r="K1248" s="10">
        <f t="shared" si="88"/>
        <v>0</v>
      </c>
      <c r="L1248" s="7">
        <f t="shared" si="89"/>
        <v>509</v>
      </c>
      <c r="M1248" s="13" t="s">
        <v>18</v>
      </c>
      <c r="N1248"/>
    </row>
    <row r="1249" spans="1:14" ht="24.75" customHeight="1">
      <c r="A1249" s="5">
        <v>1247</v>
      </c>
      <c r="B1249" s="5" t="s">
        <v>19</v>
      </c>
      <c r="C1249" s="5" t="str">
        <f>"陈颖"</f>
        <v>陈颖</v>
      </c>
      <c r="D1249" s="5" t="str">
        <f>"460027199907252027"</f>
        <v>460027199907252027</v>
      </c>
      <c r="E1249" s="5" t="s">
        <v>15</v>
      </c>
      <c r="F1249" s="5" t="str">
        <f>"073102031035"</f>
        <v>073102031035</v>
      </c>
      <c r="G1249" s="7">
        <v>0</v>
      </c>
      <c r="H1249" s="7">
        <f t="shared" si="86"/>
        <v>0</v>
      </c>
      <c r="I1249" s="7">
        <v>0</v>
      </c>
      <c r="J1249" s="7">
        <f t="shared" si="87"/>
        <v>0</v>
      </c>
      <c r="K1249" s="10">
        <f t="shared" si="88"/>
        <v>0</v>
      </c>
      <c r="L1249" s="7">
        <f t="shared" si="89"/>
        <v>509</v>
      </c>
      <c r="M1249" s="13" t="s">
        <v>18</v>
      </c>
      <c r="N1249"/>
    </row>
    <row r="1250" spans="1:14" ht="24.75" customHeight="1">
      <c r="A1250" s="5">
        <v>1248</v>
      </c>
      <c r="B1250" s="5" t="s">
        <v>19</v>
      </c>
      <c r="C1250" s="5" t="str">
        <f>"杨后平"</f>
        <v>杨后平</v>
      </c>
      <c r="D1250" s="5" t="str">
        <f>"460003199607014210"</f>
        <v>460003199607014210</v>
      </c>
      <c r="E1250" s="5" t="s">
        <v>15</v>
      </c>
      <c r="F1250" s="5" t="str">
        <f>"073102031036"</f>
        <v>073102031036</v>
      </c>
      <c r="G1250" s="7">
        <v>0</v>
      </c>
      <c r="H1250" s="7">
        <f t="shared" si="86"/>
        <v>0</v>
      </c>
      <c r="I1250" s="7">
        <v>0</v>
      </c>
      <c r="J1250" s="7">
        <f t="shared" si="87"/>
        <v>0</v>
      </c>
      <c r="K1250" s="10">
        <f t="shared" si="88"/>
        <v>0</v>
      </c>
      <c r="L1250" s="7">
        <f t="shared" si="89"/>
        <v>509</v>
      </c>
      <c r="M1250" s="13" t="s">
        <v>18</v>
      </c>
      <c r="N1250"/>
    </row>
    <row r="1251" spans="1:14" ht="24.75" customHeight="1">
      <c r="A1251" s="5">
        <v>1249</v>
      </c>
      <c r="B1251" s="5" t="s">
        <v>19</v>
      </c>
      <c r="C1251" s="5" t="str">
        <f>"符春苗"</f>
        <v>符春苗</v>
      </c>
      <c r="D1251" s="5" t="str">
        <f>"460022199607016426"</f>
        <v>460022199607016426</v>
      </c>
      <c r="E1251" s="5" t="s">
        <v>15</v>
      </c>
      <c r="F1251" s="5" t="str">
        <f>"073102031039"</f>
        <v>073102031039</v>
      </c>
      <c r="G1251" s="7">
        <v>0</v>
      </c>
      <c r="H1251" s="7">
        <f t="shared" si="86"/>
        <v>0</v>
      </c>
      <c r="I1251" s="7">
        <v>0</v>
      </c>
      <c r="J1251" s="7">
        <f t="shared" si="87"/>
        <v>0</v>
      </c>
      <c r="K1251" s="10">
        <f t="shared" si="88"/>
        <v>0</v>
      </c>
      <c r="L1251" s="7">
        <f t="shared" si="89"/>
        <v>509</v>
      </c>
      <c r="M1251" s="13" t="s">
        <v>18</v>
      </c>
      <c r="N1251"/>
    </row>
    <row r="1252" spans="1:14" ht="24.75" customHeight="1">
      <c r="A1252" s="5">
        <v>1250</v>
      </c>
      <c r="B1252" s="5" t="s">
        <v>19</v>
      </c>
      <c r="C1252" s="5" t="str">
        <f>"何志君"</f>
        <v>何志君</v>
      </c>
      <c r="D1252" s="5" t="str">
        <f>"46000319940702203X"</f>
        <v>46000319940702203X</v>
      </c>
      <c r="E1252" s="5" t="s">
        <v>15</v>
      </c>
      <c r="F1252" s="5" t="str">
        <f>"073102031101"</f>
        <v>073102031101</v>
      </c>
      <c r="G1252" s="7">
        <v>0</v>
      </c>
      <c r="H1252" s="7">
        <f t="shared" si="86"/>
        <v>0</v>
      </c>
      <c r="I1252" s="7">
        <v>0</v>
      </c>
      <c r="J1252" s="7">
        <f t="shared" si="87"/>
        <v>0</v>
      </c>
      <c r="K1252" s="10">
        <f t="shared" si="88"/>
        <v>0</v>
      </c>
      <c r="L1252" s="7">
        <f t="shared" si="89"/>
        <v>509</v>
      </c>
      <c r="M1252" s="13" t="s">
        <v>18</v>
      </c>
      <c r="N1252"/>
    </row>
    <row r="1253" spans="1:14" ht="24.75" customHeight="1">
      <c r="A1253" s="5">
        <v>1251</v>
      </c>
      <c r="B1253" s="5" t="s">
        <v>19</v>
      </c>
      <c r="C1253" s="5" t="str">
        <f>"陈方利"</f>
        <v>陈方利</v>
      </c>
      <c r="D1253" s="5" t="str">
        <f>"460028199009165622"</f>
        <v>460028199009165622</v>
      </c>
      <c r="E1253" s="5" t="s">
        <v>15</v>
      </c>
      <c r="F1253" s="5" t="str">
        <f>"073102031102"</f>
        <v>073102031102</v>
      </c>
      <c r="G1253" s="7">
        <v>0</v>
      </c>
      <c r="H1253" s="7">
        <f t="shared" si="86"/>
        <v>0</v>
      </c>
      <c r="I1253" s="7">
        <v>0</v>
      </c>
      <c r="J1253" s="7">
        <f t="shared" si="87"/>
        <v>0</v>
      </c>
      <c r="K1253" s="10">
        <f t="shared" si="88"/>
        <v>0</v>
      </c>
      <c r="L1253" s="7">
        <f t="shared" si="89"/>
        <v>509</v>
      </c>
      <c r="M1253" s="13" t="s">
        <v>18</v>
      </c>
      <c r="N1253"/>
    </row>
    <row r="1254" spans="1:14" ht="24.75" customHeight="1">
      <c r="A1254" s="5">
        <v>1252</v>
      </c>
      <c r="B1254" s="5" t="s">
        <v>19</v>
      </c>
      <c r="C1254" s="5" t="str">
        <f>"李挺敏"</f>
        <v>李挺敏</v>
      </c>
      <c r="D1254" s="5" t="str">
        <f>"460003199306172055"</f>
        <v>460003199306172055</v>
      </c>
      <c r="E1254" s="5" t="s">
        <v>16</v>
      </c>
      <c r="F1254" s="5" t="str">
        <f>"073102031105"</f>
        <v>073102031105</v>
      </c>
      <c r="G1254" s="7">
        <v>0</v>
      </c>
      <c r="H1254" s="7">
        <f t="shared" si="86"/>
        <v>0</v>
      </c>
      <c r="I1254" s="7">
        <v>0</v>
      </c>
      <c r="J1254" s="7">
        <f t="shared" si="87"/>
        <v>0</v>
      </c>
      <c r="K1254" s="10">
        <f t="shared" si="88"/>
        <v>0</v>
      </c>
      <c r="L1254" s="7">
        <f t="shared" si="89"/>
        <v>509</v>
      </c>
      <c r="M1254" s="13" t="s">
        <v>18</v>
      </c>
      <c r="N1254"/>
    </row>
    <row r="1255" spans="1:14" ht="24.75" customHeight="1">
      <c r="A1255" s="5">
        <v>1253</v>
      </c>
      <c r="B1255" s="5" t="s">
        <v>19</v>
      </c>
      <c r="C1255" s="5" t="str">
        <f>"符有霞"</f>
        <v>符有霞</v>
      </c>
      <c r="D1255" s="5" t="str">
        <f>"460003199307284825"</f>
        <v>460003199307284825</v>
      </c>
      <c r="E1255" s="5" t="s">
        <v>15</v>
      </c>
      <c r="F1255" s="5" t="str">
        <f>"073102031106"</f>
        <v>073102031106</v>
      </c>
      <c r="G1255" s="7">
        <v>0</v>
      </c>
      <c r="H1255" s="7">
        <f t="shared" si="86"/>
        <v>0</v>
      </c>
      <c r="I1255" s="7">
        <v>0</v>
      </c>
      <c r="J1255" s="7">
        <f t="shared" si="87"/>
        <v>0</v>
      </c>
      <c r="K1255" s="10">
        <f t="shared" si="88"/>
        <v>0</v>
      </c>
      <c r="L1255" s="7">
        <f t="shared" si="89"/>
        <v>509</v>
      </c>
      <c r="M1255" s="13" t="s">
        <v>18</v>
      </c>
      <c r="N1255"/>
    </row>
    <row r="1256" spans="1:14" ht="24.75" customHeight="1">
      <c r="A1256" s="5">
        <v>1254</v>
      </c>
      <c r="B1256" s="5" t="s">
        <v>19</v>
      </c>
      <c r="C1256" s="5" t="str">
        <f>"郑淑萍"</f>
        <v>郑淑萍</v>
      </c>
      <c r="D1256" s="5" t="str">
        <f>"460003199606184621"</f>
        <v>460003199606184621</v>
      </c>
      <c r="E1256" s="5" t="s">
        <v>15</v>
      </c>
      <c r="F1256" s="5" t="str">
        <f>"073102031107"</f>
        <v>073102031107</v>
      </c>
      <c r="G1256" s="7">
        <v>0</v>
      </c>
      <c r="H1256" s="7">
        <f t="shared" si="86"/>
        <v>0</v>
      </c>
      <c r="I1256" s="7">
        <v>0</v>
      </c>
      <c r="J1256" s="7">
        <f t="shared" si="87"/>
        <v>0</v>
      </c>
      <c r="K1256" s="10">
        <f t="shared" si="88"/>
        <v>0</v>
      </c>
      <c r="L1256" s="7">
        <f t="shared" si="89"/>
        <v>509</v>
      </c>
      <c r="M1256" s="13" t="s">
        <v>18</v>
      </c>
      <c r="N1256"/>
    </row>
    <row r="1257" spans="1:14" ht="24.75" customHeight="1">
      <c r="A1257" s="5">
        <v>1255</v>
      </c>
      <c r="B1257" s="5" t="s">
        <v>19</v>
      </c>
      <c r="C1257" s="5" t="str">
        <f>"吴诗琦"</f>
        <v>吴诗琦</v>
      </c>
      <c r="D1257" s="5" t="str">
        <f>"460003199510275422"</f>
        <v>460003199510275422</v>
      </c>
      <c r="E1257" s="5" t="s">
        <v>15</v>
      </c>
      <c r="F1257" s="5" t="str">
        <f>"073102031109"</f>
        <v>073102031109</v>
      </c>
      <c r="G1257" s="7">
        <v>0</v>
      </c>
      <c r="H1257" s="7">
        <f t="shared" si="86"/>
        <v>0</v>
      </c>
      <c r="I1257" s="7">
        <v>0</v>
      </c>
      <c r="J1257" s="7">
        <f t="shared" si="87"/>
        <v>0</v>
      </c>
      <c r="K1257" s="10">
        <f t="shared" si="88"/>
        <v>0</v>
      </c>
      <c r="L1257" s="7">
        <f t="shared" si="89"/>
        <v>509</v>
      </c>
      <c r="M1257" s="13" t="s">
        <v>18</v>
      </c>
      <c r="N1257"/>
    </row>
    <row r="1258" spans="1:14" ht="24.75" customHeight="1">
      <c r="A1258" s="5">
        <v>1256</v>
      </c>
      <c r="B1258" s="5" t="s">
        <v>19</v>
      </c>
      <c r="C1258" s="5" t="str">
        <f>"谢君绮"</f>
        <v>谢君绮</v>
      </c>
      <c r="D1258" s="5" t="str">
        <f>"460003199709050028"</f>
        <v>460003199709050028</v>
      </c>
      <c r="E1258" s="5" t="s">
        <v>16</v>
      </c>
      <c r="F1258" s="5" t="str">
        <f>"073102031110"</f>
        <v>073102031110</v>
      </c>
      <c r="G1258" s="7">
        <v>0</v>
      </c>
      <c r="H1258" s="7">
        <f t="shared" si="86"/>
        <v>0</v>
      </c>
      <c r="I1258" s="7">
        <v>0</v>
      </c>
      <c r="J1258" s="7">
        <f t="shared" si="87"/>
        <v>0</v>
      </c>
      <c r="K1258" s="10">
        <f t="shared" si="88"/>
        <v>0</v>
      </c>
      <c r="L1258" s="7">
        <f t="shared" si="89"/>
        <v>509</v>
      </c>
      <c r="M1258" s="13" t="s">
        <v>18</v>
      </c>
      <c r="N1258"/>
    </row>
    <row r="1259" spans="1:14" ht="24.75" customHeight="1">
      <c r="A1259" s="5">
        <v>1257</v>
      </c>
      <c r="B1259" s="5" t="s">
        <v>19</v>
      </c>
      <c r="C1259" s="5" t="str">
        <f>"吴薇"</f>
        <v>吴薇</v>
      </c>
      <c r="D1259" s="5" t="str">
        <f>"46010319991012002X"</f>
        <v>46010319991012002X</v>
      </c>
      <c r="E1259" s="5" t="s">
        <v>15</v>
      </c>
      <c r="F1259" s="5" t="str">
        <f>"073102031111"</f>
        <v>073102031111</v>
      </c>
      <c r="G1259" s="7">
        <v>0</v>
      </c>
      <c r="H1259" s="7">
        <f t="shared" si="86"/>
        <v>0</v>
      </c>
      <c r="I1259" s="7">
        <v>0</v>
      </c>
      <c r="J1259" s="7">
        <f t="shared" si="87"/>
        <v>0</v>
      </c>
      <c r="K1259" s="10">
        <f t="shared" si="88"/>
        <v>0</v>
      </c>
      <c r="L1259" s="7">
        <f t="shared" si="89"/>
        <v>509</v>
      </c>
      <c r="M1259" s="13" t="s">
        <v>18</v>
      </c>
      <c r="N1259"/>
    </row>
    <row r="1260" spans="1:14" ht="24.75" customHeight="1">
      <c r="A1260" s="5">
        <v>1258</v>
      </c>
      <c r="B1260" s="5" t="s">
        <v>19</v>
      </c>
      <c r="C1260" s="5" t="str">
        <f>"符德君"</f>
        <v>符德君</v>
      </c>
      <c r="D1260" s="5" t="str">
        <f>"460003199406127411"</f>
        <v>460003199406127411</v>
      </c>
      <c r="E1260" s="5" t="s">
        <v>15</v>
      </c>
      <c r="F1260" s="5" t="str">
        <f>"073102031113"</f>
        <v>073102031113</v>
      </c>
      <c r="G1260" s="7">
        <v>0</v>
      </c>
      <c r="H1260" s="7">
        <f t="shared" si="86"/>
        <v>0</v>
      </c>
      <c r="I1260" s="7">
        <v>0</v>
      </c>
      <c r="J1260" s="7">
        <f t="shared" si="87"/>
        <v>0</v>
      </c>
      <c r="K1260" s="10">
        <f t="shared" si="88"/>
        <v>0</v>
      </c>
      <c r="L1260" s="7">
        <f t="shared" si="89"/>
        <v>509</v>
      </c>
      <c r="M1260" s="13" t="s">
        <v>18</v>
      </c>
      <c r="N1260"/>
    </row>
    <row r="1261" spans="1:14" ht="24.75" customHeight="1">
      <c r="A1261" s="5">
        <v>1259</v>
      </c>
      <c r="B1261" s="5" t="s">
        <v>19</v>
      </c>
      <c r="C1261" s="5" t="str">
        <f>"陈智慧"</f>
        <v>陈智慧</v>
      </c>
      <c r="D1261" s="5" t="str">
        <f>"460003199409096825"</f>
        <v>460003199409096825</v>
      </c>
      <c r="E1261" s="5" t="s">
        <v>15</v>
      </c>
      <c r="F1261" s="5" t="str">
        <f>"073102031114"</f>
        <v>073102031114</v>
      </c>
      <c r="G1261" s="7">
        <v>0</v>
      </c>
      <c r="H1261" s="7">
        <f t="shared" si="86"/>
        <v>0</v>
      </c>
      <c r="I1261" s="7">
        <v>0</v>
      </c>
      <c r="J1261" s="7">
        <f t="shared" si="87"/>
        <v>0</v>
      </c>
      <c r="K1261" s="10">
        <f t="shared" si="88"/>
        <v>0</v>
      </c>
      <c r="L1261" s="7">
        <f t="shared" si="89"/>
        <v>509</v>
      </c>
      <c r="M1261" s="13" t="s">
        <v>18</v>
      </c>
      <c r="N1261"/>
    </row>
    <row r="1262" spans="1:14" ht="24.75" customHeight="1">
      <c r="A1262" s="5">
        <v>1260</v>
      </c>
      <c r="B1262" s="5" t="s">
        <v>19</v>
      </c>
      <c r="C1262" s="5" t="str">
        <f>"杨琳"</f>
        <v>杨琳</v>
      </c>
      <c r="D1262" s="5" t="str">
        <f>"460003199111031826"</f>
        <v>460003199111031826</v>
      </c>
      <c r="E1262" s="5" t="s">
        <v>15</v>
      </c>
      <c r="F1262" s="5" t="str">
        <f>"073102031115"</f>
        <v>073102031115</v>
      </c>
      <c r="G1262" s="7">
        <v>0</v>
      </c>
      <c r="H1262" s="7">
        <f t="shared" si="86"/>
        <v>0</v>
      </c>
      <c r="I1262" s="7">
        <v>0</v>
      </c>
      <c r="J1262" s="7">
        <f t="shared" si="87"/>
        <v>0</v>
      </c>
      <c r="K1262" s="10">
        <f t="shared" si="88"/>
        <v>0</v>
      </c>
      <c r="L1262" s="7">
        <f t="shared" si="89"/>
        <v>509</v>
      </c>
      <c r="M1262" s="13" t="s">
        <v>18</v>
      </c>
      <c r="N1262"/>
    </row>
    <row r="1263" spans="1:14" ht="24.75" customHeight="1">
      <c r="A1263" s="5">
        <v>1261</v>
      </c>
      <c r="B1263" s="5" t="s">
        <v>19</v>
      </c>
      <c r="C1263" s="5" t="str">
        <f>"羊恒"</f>
        <v>羊恒</v>
      </c>
      <c r="D1263" s="5" t="str">
        <f>"460030199411303028"</f>
        <v>460030199411303028</v>
      </c>
      <c r="E1263" s="5" t="s">
        <v>15</v>
      </c>
      <c r="F1263" s="5" t="str">
        <f>"073102031116"</f>
        <v>073102031116</v>
      </c>
      <c r="G1263" s="7">
        <v>0</v>
      </c>
      <c r="H1263" s="7">
        <f t="shared" si="86"/>
        <v>0</v>
      </c>
      <c r="I1263" s="7">
        <v>0</v>
      </c>
      <c r="J1263" s="7">
        <f t="shared" si="87"/>
        <v>0</v>
      </c>
      <c r="K1263" s="10">
        <f t="shared" si="88"/>
        <v>0</v>
      </c>
      <c r="L1263" s="7">
        <f t="shared" si="89"/>
        <v>509</v>
      </c>
      <c r="M1263" s="13" t="s">
        <v>18</v>
      </c>
      <c r="N1263"/>
    </row>
    <row r="1264" spans="1:14" ht="24.75" customHeight="1">
      <c r="A1264" s="5">
        <v>1262</v>
      </c>
      <c r="B1264" s="5" t="s">
        <v>19</v>
      </c>
      <c r="C1264" s="5" t="str">
        <f>"杨晓敏"</f>
        <v>杨晓敏</v>
      </c>
      <c r="D1264" s="5" t="str">
        <f>"460007199606302021"</f>
        <v>460007199606302021</v>
      </c>
      <c r="E1264" s="5" t="s">
        <v>15</v>
      </c>
      <c r="F1264" s="5" t="str">
        <f>"073102031117"</f>
        <v>073102031117</v>
      </c>
      <c r="G1264" s="7">
        <v>0</v>
      </c>
      <c r="H1264" s="7">
        <f t="shared" si="86"/>
        <v>0</v>
      </c>
      <c r="I1264" s="7">
        <v>0</v>
      </c>
      <c r="J1264" s="7">
        <f t="shared" si="87"/>
        <v>0</v>
      </c>
      <c r="K1264" s="10">
        <f t="shared" si="88"/>
        <v>0</v>
      </c>
      <c r="L1264" s="7">
        <f t="shared" si="89"/>
        <v>509</v>
      </c>
      <c r="M1264" s="13" t="s">
        <v>18</v>
      </c>
      <c r="N1264"/>
    </row>
    <row r="1265" spans="1:14" ht="24.75" customHeight="1">
      <c r="A1265" s="5">
        <v>1263</v>
      </c>
      <c r="B1265" s="5" t="s">
        <v>19</v>
      </c>
      <c r="C1265" s="5" t="str">
        <f>"蔡婆女"</f>
        <v>蔡婆女</v>
      </c>
      <c r="D1265" s="5" t="str">
        <f>"469003199708066122"</f>
        <v>469003199708066122</v>
      </c>
      <c r="E1265" s="5" t="s">
        <v>15</v>
      </c>
      <c r="F1265" s="5" t="str">
        <f>"073102031118"</f>
        <v>073102031118</v>
      </c>
      <c r="G1265" s="7">
        <v>0</v>
      </c>
      <c r="H1265" s="7">
        <f t="shared" si="86"/>
        <v>0</v>
      </c>
      <c r="I1265" s="7">
        <v>0</v>
      </c>
      <c r="J1265" s="7">
        <f t="shared" si="87"/>
        <v>0</v>
      </c>
      <c r="K1265" s="10">
        <f t="shared" si="88"/>
        <v>0</v>
      </c>
      <c r="L1265" s="7">
        <f t="shared" si="89"/>
        <v>509</v>
      </c>
      <c r="M1265" s="13" t="s">
        <v>18</v>
      </c>
      <c r="N1265"/>
    </row>
    <row r="1266" spans="1:14" ht="24.75" customHeight="1">
      <c r="A1266" s="5">
        <v>1264</v>
      </c>
      <c r="B1266" s="5" t="s">
        <v>19</v>
      </c>
      <c r="C1266" s="5" t="str">
        <f>"黄梦紫"</f>
        <v>黄梦紫</v>
      </c>
      <c r="D1266" s="5" t="str">
        <f>"460001199810201027"</f>
        <v>460001199810201027</v>
      </c>
      <c r="E1266" s="5" t="s">
        <v>15</v>
      </c>
      <c r="F1266" s="5" t="str">
        <f>"073102031119"</f>
        <v>073102031119</v>
      </c>
      <c r="G1266" s="7">
        <v>0</v>
      </c>
      <c r="H1266" s="7">
        <f t="shared" si="86"/>
        <v>0</v>
      </c>
      <c r="I1266" s="7">
        <v>0</v>
      </c>
      <c r="J1266" s="7">
        <f t="shared" si="87"/>
        <v>0</v>
      </c>
      <c r="K1266" s="10">
        <f t="shared" si="88"/>
        <v>0</v>
      </c>
      <c r="L1266" s="7">
        <f t="shared" si="89"/>
        <v>509</v>
      </c>
      <c r="M1266" s="13" t="s">
        <v>18</v>
      </c>
      <c r="N1266"/>
    </row>
    <row r="1267" spans="1:14" ht="24.75" customHeight="1">
      <c r="A1267" s="5">
        <v>1265</v>
      </c>
      <c r="B1267" s="5" t="s">
        <v>19</v>
      </c>
      <c r="C1267" s="5" t="str">
        <f>"庄海鹏"</f>
        <v>庄海鹏</v>
      </c>
      <c r="D1267" s="5" t="str">
        <f>"460003199411150616"</f>
        <v>460003199411150616</v>
      </c>
      <c r="E1267" s="5" t="s">
        <v>15</v>
      </c>
      <c r="F1267" s="5" t="str">
        <f>"073102031120"</f>
        <v>073102031120</v>
      </c>
      <c r="G1267" s="7">
        <v>0</v>
      </c>
      <c r="H1267" s="7">
        <f t="shared" si="86"/>
        <v>0</v>
      </c>
      <c r="I1267" s="7">
        <v>0</v>
      </c>
      <c r="J1267" s="7">
        <f t="shared" si="87"/>
        <v>0</v>
      </c>
      <c r="K1267" s="10">
        <f t="shared" si="88"/>
        <v>0</v>
      </c>
      <c r="L1267" s="7">
        <f t="shared" si="89"/>
        <v>509</v>
      </c>
      <c r="M1267" s="13" t="s">
        <v>18</v>
      </c>
      <c r="N1267"/>
    </row>
    <row r="1268" spans="1:14" ht="24.75" customHeight="1">
      <c r="A1268" s="5">
        <v>1266</v>
      </c>
      <c r="B1268" s="5" t="s">
        <v>19</v>
      </c>
      <c r="C1268" s="5" t="str">
        <f>"李定河"</f>
        <v>李定河</v>
      </c>
      <c r="D1268" s="5" t="str">
        <f>"460003199702250414"</f>
        <v>460003199702250414</v>
      </c>
      <c r="E1268" s="5" t="s">
        <v>15</v>
      </c>
      <c r="F1268" s="5" t="str">
        <f>"073102031121"</f>
        <v>073102031121</v>
      </c>
      <c r="G1268" s="7">
        <v>0</v>
      </c>
      <c r="H1268" s="7">
        <f t="shared" si="86"/>
        <v>0</v>
      </c>
      <c r="I1268" s="7">
        <v>0</v>
      </c>
      <c r="J1268" s="7">
        <f t="shared" si="87"/>
        <v>0</v>
      </c>
      <c r="K1268" s="10">
        <f t="shared" si="88"/>
        <v>0</v>
      </c>
      <c r="L1268" s="7">
        <f t="shared" si="89"/>
        <v>509</v>
      </c>
      <c r="M1268" s="13" t="s">
        <v>18</v>
      </c>
      <c r="N1268"/>
    </row>
    <row r="1269" spans="1:14" ht="24.75" customHeight="1">
      <c r="A1269" s="5">
        <v>1267</v>
      </c>
      <c r="B1269" s="5" t="s">
        <v>19</v>
      </c>
      <c r="C1269" s="5" t="str">
        <f>"陈德政"</f>
        <v>陈德政</v>
      </c>
      <c r="D1269" s="5" t="str">
        <f>"460003199607233819"</f>
        <v>460003199607233819</v>
      </c>
      <c r="E1269" s="5" t="s">
        <v>15</v>
      </c>
      <c r="F1269" s="5" t="str">
        <f>"073102031124"</f>
        <v>073102031124</v>
      </c>
      <c r="G1269" s="7">
        <v>0</v>
      </c>
      <c r="H1269" s="7">
        <f t="shared" si="86"/>
        <v>0</v>
      </c>
      <c r="I1269" s="7">
        <v>0</v>
      </c>
      <c r="J1269" s="7">
        <f t="shared" si="87"/>
        <v>0</v>
      </c>
      <c r="K1269" s="10">
        <f t="shared" si="88"/>
        <v>0</v>
      </c>
      <c r="L1269" s="7">
        <f t="shared" si="89"/>
        <v>509</v>
      </c>
      <c r="M1269" s="13" t="s">
        <v>18</v>
      </c>
      <c r="N1269"/>
    </row>
    <row r="1270" spans="1:14" ht="24.75" customHeight="1">
      <c r="A1270" s="5">
        <v>1268</v>
      </c>
      <c r="B1270" s="5" t="s">
        <v>19</v>
      </c>
      <c r="C1270" s="5" t="str">
        <f>"梁南"</f>
        <v>梁南</v>
      </c>
      <c r="D1270" s="5" t="str">
        <f>"46002819990305082X"</f>
        <v>46002819990305082X</v>
      </c>
      <c r="E1270" s="5" t="s">
        <v>15</v>
      </c>
      <c r="F1270" s="5" t="str">
        <f>"073102031125"</f>
        <v>073102031125</v>
      </c>
      <c r="G1270" s="7">
        <v>0</v>
      </c>
      <c r="H1270" s="7">
        <f t="shared" si="86"/>
        <v>0</v>
      </c>
      <c r="I1270" s="7">
        <v>0</v>
      </c>
      <c r="J1270" s="7">
        <f t="shared" si="87"/>
        <v>0</v>
      </c>
      <c r="K1270" s="10">
        <f t="shared" si="88"/>
        <v>0</v>
      </c>
      <c r="L1270" s="7">
        <f t="shared" si="89"/>
        <v>509</v>
      </c>
      <c r="M1270" s="13" t="s">
        <v>18</v>
      </c>
      <c r="N1270"/>
    </row>
    <row r="1271" spans="1:14" ht="24.75" customHeight="1">
      <c r="A1271" s="5">
        <v>1269</v>
      </c>
      <c r="B1271" s="5" t="s">
        <v>19</v>
      </c>
      <c r="C1271" s="5" t="str">
        <f>"李丽芳"</f>
        <v>李丽芳</v>
      </c>
      <c r="D1271" s="5" t="str">
        <f>"460003199210294824"</f>
        <v>460003199210294824</v>
      </c>
      <c r="E1271" s="5" t="s">
        <v>15</v>
      </c>
      <c r="F1271" s="5" t="str">
        <f>"073102031126"</f>
        <v>073102031126</v>
      </c>
      <c r="G1271" s="7">
        <v>0</v>
      </c>
      <c r="H1271" s="7">
        <f t="shared" si="86"/>
        <v>0</v>
      </c>
      <c r="I1271" s="7">
        <v>0</v>
      </c>
      <c r="J1271" s="7">
        <f t="shared" si="87"/>
        <v>0</v>
      </c>
      <c r="K1271" s="10">
        <f t="shared" si="88"/>
        <v>0</v>
      </c>
      <c r="L1271" s="7">
        <f t="shared" si="89"/>
        <v>509</v>
      </c>
      <c r="M1271" s="13" t="s">
        <v>18</v>
      </c>
      <c r="N1271"/>
    </row>
    <row r="1272" spans="1:14" ht="24.75" customHeight="1">
      <c r="A1272" s="5">
        <v>1270</v>
      </c>
      <c r="B1272" s="5" t="s">
        <v>19</v>
      </c>
      <c r="C1272" s="5" t="str">
        <f>"曾达智"</f>
        <v>曾达智</v>
      </c>
      <c r="D1272" s="5" t="str">
        <f>"460003199304232819"</f>
        <v>460003199304232819</v>
      </c>
      <c r="E1272" s="5" t="s">
        <v>15</v>
      </c>
      <c r="F1272" s="5" t="str">
        <f>"073102031127"</f>
        <v>073102031127</v>
      </c>
      <c r="G1272" s="7">
        <v>0</v>
      </c>
      <c r="H1272" s="7">
        <f t="shared" si="86"/>
        <v>0</v>
      </c>
      <c r="I1272" s="7">
        <v>0</v>
      </c>
      <c r="J1272" s="7">
        <f t="shared" si="87"/>
        <v>0</v>
      </c>
      <c r="K1272" s="10">
        <f t="shared" si="88"/>
        <v>0</v>
      </c>
      <c r="L1272" s="7">
        <f t="shared" si="89"/>
        <v>509</v>
      </c>
      <c r="M1272" s="13" t="s">
        <v>18</v>
      </c>
      <c r="N1272"/>
    </row>
    <row r="1273" spans="1:14" ht="24.75" customHeight="1">
      <c r="A1273" s="5">
        <v>1271</v>
      </c>
      <c r="B1273" s="5" t="s">
        <v>19</v>
      </c>
      <c r="C1273" s="5" t="str">
        <f>"符万虎"</f>
        <v>符万虎</v>
      </c>
      <c r="D1273" s="5" t="str">
        <f>"46000319991203463X"</f>
        <v>46000319991203463X</v>
      </c>
      <c r="E1273" s="5" t="s">
        <v>15</v>
      </c>
      <c r="F1273" s="5" t="str">
        <f>"073102031129"</f>
        <v>073102031129</v>
      </c>
      <c r="G1273" s="7">
        <v>0</v>
      </c>
      <c r="H1273" s="7">
        <f t="shared" si="86"/>
        <v>0</v>
      </c>
      <c r="I1273" s="7">
        <v>0</v>
      </c>
      <c r="J1273" s="7">
        <f t="shared" si="87"/>
        <v>0</v>
      </c>
      <c r="K1273" s="10">
        <f t="shared" si="88"/>
        <v>0</v>
      </c>
      <c r="L1273" s="7">
        <f t="shared" si="89"/>
        <v>509</v>
      </c>
      <c r="M1273" s="13" t="s">
        <v>18</v>
      </c>
      <c r="N1273"/>
    </row>
    <row r="1274" spans="1:14" ht="24.75" customHeight="1">
      <c r="A1274" s="5">
        <v>1272</v>
      </c>
      <c r="B1274" s="5" t="s">
        <v>19</v>
      </c>
      <c r="C1274" s="5" t="str">
        <f>"陈艺佳"</f>
        <v>陈艺佳</v>
      </c>
      <c r="D1274" s="5" t="str">
        <f>"460003199510300229"</f>
        <v>460003199510300229</v>
      </c>
      <c r="E1274" s="5" t="s">
        <v>15</v>
      </c>
      <c r="F1274" s="5" t="str">
        <f>"073102031132"</f>
        <v>073102031132</v>
      </c>
      <c r="G1274" s="7">
        <v>0</v>
      </c>
      <c r="H1274" s="7">
        <f t="shared" si="86"/>
        <v>0</v>
      </c>
      <c r="I1274" s="7">
        <v>0</v>
      </c>
      <c r="J1274" s="7">
        <f t="shared" si="87"/>
        <v>0</v>
      </c>
      <c r="K1274" s="10">
        <f t="shared" si="88"/>
        <v>0</v>
      </c>
      <c r="L1274" s="7">
        <f t="shared" si="89"/>
        <v>509</v>
      </c>
      <c r="M1274" s="13" t="s">
        <v>18</v>
      </c>
      <c r="N1274"/>
    </row>
    <row r="1275" spans="1:14" ht="24.75" customHeight="1">
      <c r="A1275" s="5">
        <v>1273</v>
      </c>
      <c r="B1275" s="5" t="s">
        <v>19</v>
      </c>
      <c r="C1275" s="5" t="str">
        <f>"蔡娟惠"</f>
        <v>蔡娟惠</v>
      </c>
      <c r="D1275" s="5" t="str">
        <f>"460026199511071522"</f>
        <v>460026199511071522</v>
      </c>
      <c r="E1275" s="5" t="s">
        <v>15</v>
      </c>
      <c r="F1275" s="5" t="str">
        <f>"073102031133"</f>
        <v>073102031133</v>
      </c>
      <c r="G1275" s="7">
        <v>0</v>
      </c>
      <c r="H1275" s="7">
        <f t="shared" si="86"/>
        <v>0</v>
      </c>
      <c r="I1275" s="7">
        <v>0</v>
      </c>
      <c r="J1275" s="7">
        <f t="shared" si="87"/>
        <v>0</v>
      </c>
      <c r="K1275" s="10">
        <f t="shared" si="88"/>
        <v>0</v>
      </c>
      <c r="L1275" s="7">
        <f t="shared" si="89"/>
        <v>509</v>
      </c>
      <c r="M1275" s="13" t="s">
        <v>18</v>
      </c>
      <c r="N1275"/>
    </row>
    <row r="1276" spans="1:14" ht="24.75" customHeight="1">
      <c r="A1276" s="5">
        <v>1274</v>
      </c>
      <c r="B1276" s="5" t="s">
        <v>19</v>
      </c>
      <c r="C1276" s="5" t="str">
        <f>"郑配莹"</f>
        <v>郑配莹</v>
      </c>
      <c r="D1276" s="5" t="str">
        <f>"460028199808266040"</f>
        <v>460028199808266040</v>
      </c>
      <c r="E1276" s="5" t="s">
        <v>15</v>
      </c>
      <c r="F1276" s="5" t="str">
        <f>"073102031134"</f>
        <v>073102031134</v>
      </c>
      <c r="G1276" s="7">
        <v>0</v>
      </c>
      <c r="H1276" s="7">
        <f t="shared" si="86"/>
        <v>0</v>
      </c>
      <c r="I1276" s="7">
        <v>0</v>
      </c>
      <c r="J1276" s="7">
        <f t="shared" si="87"/>
        <v>0</v>
      </c>
      <c r="K1276" s="10">
        <f t="shared" si="88"/>
        <v>0</v>
      </c>
      <c r="L1276" s="7">
        <f t="shared" si="89"/>
        <v>509</v>
      </c>
      <c r="M1276" s="13" t="s">
        <v>18</v>
      </c>
      <c r="N1276"/>
    </row>
    <row r="1277" spans="1:14" ht="24.75" customHeight="1">
      <c r="A1277" s="5">
        <v>1275</v>
      </c>
      <c r="B1277" s="5" t="s">
        <v>19</v>
      </c>
      <c r="C1277" s="5" t="str">
        <f>"符振川"</f>
        <v>符振川</v>
      </c>
      <c r="D1277" s="5" t="str">
        <f>"460007199609109278"</f>
        <v>460007199609109278</v>
      </c>
      <c r="E1277" s="5" t="s">
        <v>15</v>
      </c>
      <c r="F1277" s="5" t="str">
        <f>"073102031136"</f>
        <v>073102031136</v>
      </c>
      <c r="G1277" s="7">
        <v>0</v>
      </c>
      <c r="H1277" s="7">
        <f t="shared" si="86"/>
        <v>0</v>
      </c>
      <c r="I1277" s="7">
        <v>0</v>
      </c>
      <c r="J1277" s="7">
        <f t="shared" si="87"/>
        <v>0</v>
      </c>
      <c r="K1277" s="10">
        <f t="shared" si="88"/>
        <v>0</v>
      </c>
      <c r="L1277" s="7">
        <f t="shared" si="89"/>
        <v>509</v>
      </c>
      <c r="M1277" s="13" t="s">
        <v>18</v>
      </c>
      <c r="N1277"/>
    </row>
    <row r="1278" spans="1:14" ht="24.75" customHeight="1">
      <c r="A1278" s="5">
        <v>1276</v>
      </c>
      <c r="B1278" s="5" t="s">
        <v>19</v>
      </c>
      <c r="C1278" s="5" t="str">
        <f>"庄平和"</f>
        <v>庄平和</v>
      </c>
      <c r="D1278" s="5" t="str">
        <f>"460103199604052727"</f>
        <v>460103199604052727</v>
      </c>
      <c r="E1278" s="5" t="s">
        <v>15</v>
      </c>
      <c r="F1278" s="5" t="str">
        <f>"073102031137"</f>
        <v>073102031137</v>
      </c>
      <c r="G1278" s="7">
        <v>0</v>
      </c>
      <c r="H1278" s="7">
        <f t="shared" si="86"/>
        <v>0</v>
      </c>
      <c r="I1278" s="7">
        <v>0</v>
      </c>
      <c r="J1278" s="7">
        <f t="shared" si="87"/>
        <v>0</v>
      </c>
      <c r="K1278" s="10">
        <f t="shared" si="88"/>
        <v>0</v>
      </c>
      <c r="L1278" s="7">
        <f t="shared" si="89"/>
        <v>509</v>
      </c>
      <c r="M1278" s="13" t="s">
        <v>18</v>
      </c>
      <c r="N1278"/>
    </row>
    <row r="1279" spans="1:14" ht="24.75" customHeight="1">
      <c r="A1279" s="5">
        <v>1277</v>
      </c>
      <c r="B1279" s="5" t="s">
        <v>19</v>
      </c>
      <c r="C1279" s="5" t="str">
        <f>"王有伦 "</f>
        <v>王有伦 </v>
      </c>
      <c r="D1279" s="5" t="str">
        <f>"460003199508203032"</f>
        <v>460003199508203032</v>
      </c>
      <c r="E1279" s="5" t="s">
        <v>15</v>
      </c>
      <c r="F1279" s="5" t="str">
        <f>"073102031140"</f>
        <v>073102031140</v>
      </c>
      <c r="G1279" s="7">
        <v>0</v>
      </c>
      <c r="H1279" s="7">
        <f t="shared" si="86"/>
        <v>0</v>
      </c>
      <c r="I1279" s="7">
        <v>0</v>
      </c>
      <c r="J1279" s="7">
        <f t="shared" si="87"/>
        <v>0</v>
      </c>
      <c r="K1279" s="10">
        <f t="shared" si="88"/>
        <v>0</v>
      </c>
      <c r="L1279" s="7">
        <f t="shared" si="89"/>
        <v>509</v>
      </c>
      <c r="M1279" s="13" t="s">
        <v>18</v>
      </c>
      <c r="N1279"/>
    </row>
    <row r="1280" spans="1:14" ht="24.75" customHeight="1">
      <c r="A1280" s="5">
        <v>1278</v>
      </c>
      <c r="B1280" s="5" t="s">
        <v>19</v>
      </c>
      <c r="C1280" s="5" t="str">
        <f>"王春乃"</f>
        <v>王春乃</v>
      </c>
      <c r="D1280" s="5" t="str">
        <f>"460028199805272023"</f>
        <v>460028199805272023</v>
      </c>
      <c r="E1280" s="5" t="s">
        <v>15</v>
      </c>
      <c r="F1280" s="5" t="str">
        <f>"073102031142"</f>
        <v>073102031142</v>
      </c>
      <c r="G1280" s="7">
        <v>0</v>
      </c>
      <c r="H1280" s="7">
        <f t="shared" si="86"/>
        <v>0</v>
      </c>
      <c r="I1280" s="7">
        <v>0</v>
      </c>
      <c r="J1280" s="7">
        <f t="shared" si="87"/>
        <v>0</v>
      </c>
      <c r="K1280" s="10">
        <f t="shared" si="88"/>
        <v>0</v>
      </c>
      <c r="L1280" s="7">
        <f t="shared" si="89"/>
        <v>509</v>
      </c>
      <c r="M1280" s="13" t="s">
        <v>18</v>
      </c>
      <c r="N1280"/>
    </row>
    <row r="1281" spans="1:14" ht="24.75" customHeight="1">
      <c r="A1281" s="5">
        <v>1279</v>
      </c>
      <c r="B1281" s="5" t="s">
        <v>19</v>
      </c>
      <c r="C1281" s="5" t="str">
        <f>"郑童夫"</f>
        <v>郑童夫</v>
      </c>
      <c r="D1281" s="5" t="str">
        <f>"460003199108032035"</f>
        <v>460003199108032035</v>
      </c>
      <c r="E1281" s="5" t="s">
        <v>16</v>
      </c>
      <c r="F1281" s="5" t="str">
        <f>"073102031201"</f>
        <v>073102031201</v>
      </c>
      <c r="G1281" s="7">
        <v>0</v>
      </c>
      <c r="H1281" s="7">
        <f t="shared" si="86"/>
        <v>0</v>
      </c>
      <c r="I1281" s="7">
        <v>0</v>
      </c>
      <c r="J1281" s="7">
        <f t="shared" si="87"/>
        <v>0</v>
      </c>
      <c r="K1281" s="10">
        <f t="shared" si="88"/>
        <v>0</v>
      </c>
      <c r="L1281" s="7">
        <f t="shared" si="89"/>
        <v>509</v>
      </c>
      <c r="M1281" s="13" t="s">
        <v>18</v>
      </c>
      <c r="N1281"/>
    </row>
    <row r="1282" spans="1:14" ht="24.75" customHeight="1">
      <c r="A1282" s="5">
        <v>1280</v>
      </c>
      <c r="B1282" s="5" t="s">
        <v>19</v>
      </c>
      <c r="C1282" s="5" t="str">
        <f>"王子慧"</f>
        <v>王子慧</v>
      </c>
      <c r="D1282" s="5" t="str">
        <f>"469003199204128924"</f>
        <v>469003199204128924</v>
      </c>
      <c r="E1282" s="5" t="s">
        <v>15</v>
      </c>
      <c r="F1282" s="5" t="str">
        <f>"073102031203"</f>
        <v>073102031203</v>
      </c>
      <c r="G1282" s="7">
        <v>0</v>
      </c>
      <c r="H1282" s="7">
        <f t="shared" si="86"/>
        <v>0</v>
      </c>
      <c r="I1282" s="7">
        <v>0</v>
      </c>
      <c r="J1282" s="7">
        <f t="shared" si="87"/>
        <v>0</v>
      </c>
      <c r="K1282" s="10">
        <f t="shared" si="88"/>
        <v>0</v>
      </c>
      <c r="L1282" s="7">
        <f t="shared" si="89"/>
        <v>509</v>
      </c>
      <c r="M1282" s="13" t="s">
        <v>18</v>
      </c>
      <c r="N1282"/>
    </row>
    <row r="1283" spans="1:14" ht="24.75" customHeight="1">
      <c r="A1283" s="5">
        <v>1281</v>
      </c>
      <c r="B1283" s="5" t="s">
        <v>19</v>
      </c>
      <c r="C1283" s="5" t="str">
        <f>"李晓慧"</f>
        <v>李晓慧</v>
      </c>
      <c r="D1283" s="5" t="str">
        <f>"460002199903083046"</f>
        <v>460002199903083046</v>
      </c>
      <c r="E1283" s="5" t="s">
        <v>15</v>
      </c>
      <c r="F1283" s="5" t="str">
        <f>"073102031204"</f>
        <v>073102031204</v>
      </c>
      <c r="G1283" s="7">
        <v>0</v>
      </c>
      <c r="H1283" s="7">
        <f aca="true" t="shared" si="90" ref="H1283:H1346">G1283*0.5</f>
        <v>0</v>
      </c>
      <c r="I1283" s="7">
        <v>0</v>
      </c>
      <c r="J1283" s="7">
        <f aca="true" t="shared" si="91" ref="J1283:J1346">I1283*0.5</f>
        <v>0</v>
      </c>
      <c r="K1283" s="10">
        <f t="shared" si="88"/>
        <v>0</v>
      </c>
      <c r="L1283" s="7">
        <f t="shared" si="89"/>
        <v>509</v>
      </c>
      <c r="M1283" s="13" t="s">
        <v>18</v>
      </c>
      <c r="N1283"/>
    </row>
    <row r="1284" spans="1:14" ht="24.75" customHeight="1">
      <c r="A1284" s="5">
        <v>1282</v>
      </c>
      <c r="B1284" s="5" t="s">
        <v>19</v>
      </c>
      <c r="C1284" s="5" t="str">
        <f>"胡志芹"</f>
        <v>胡志芹</v>
      </c>
      <c r="D1284" s="5" t="str">
        <f>"460007199707185805"</f>
        <v>460007199707185805</v>
      </c>
      <c r="E1284" s="5" t="s">
        <v>15</v>
      </c>
      <c r="F1284" s="5" t="str">
        <f>"073102031205"</f>
        <v>073102031205</v>
      </c>
      <c r="G1284" s="7">
        <v>0</v>
      </c>
      <c r="H1284" s="7">
        <f t="shared" si="90"/>
        <v>0</v>
      </c>
      <c r="I1284" s="7">
        <v>0</v>
      </c>
      <c r="J1284" s="7">
        <f t="shared" si="91"/>
        <v>0</v>
      </c>
      <c r="K1284" s="10">
        <f t="shared" si="88"/>
        <v>0</v>
      </c>
      <c r="L1284" s="7">
        <f t="shared" si="89"/>
        <v>509</v>
      </c>
      <c r="M1284" s="13" t="s">
        <v>18</v>
      </c>
      <c r="N1284"/>
    </row>
    <row r="1285" spans="1:14" ht="24.75" customHeight="1">
      <c r="A1285" s="5">
        <v>1283</v>
      </c>
      <c r="B1285" s="5" t="s">
        <v>19</v>
      </c>
      <c r="C1285" s="5" t="str">
        <f>"麦贻巴"</f>
        <v>麦贻巴</v>
      </c>
      <c r="D1285" s="5" t="str">
        <f>"460033199611124840"</f>
        <v>460033199611124840</v>
      </c>
      <c r="E1285" s="5" t="s">
        <v>15</v>
      </c>
      <c r="F1285" s="5" t="str">
        <f>"073102031207"</f>
        <v>073102031207</v>
      </c>
      <c r="G1285" s="7">
        <v>0</v>
      </c>
      <c r="H1285" s="7">
        <f t="shared" si="90"/>
        <v>0</v>
      </c>
      <c r="I1285" s="7">
        <v>0</v>
      </c>
      <c r="J1285" s="7">
        <f t="shared" si="91"/>
        <v>0</v>
      </c>
      <c r="K1285" s="10">
        <f t="shared" si="88"/>
        <v>0</v>
      </c>
      <c r="L1285" s="7">
        <f t="shared" si="89"/>
        <v>509</v>
      </c>
      <c r="M1285" s="13" t="s">
        <v>18</v>
      </c>
      <c r="N1285"/>
    </row>
    <row r="1286" spans="1:14" ht="24.75" customHeight="1">
      <c r="A1286" s="5">
        <v>1284</v>
      </c>
      <c r="B1286" s="5" t="s">
        <v>19</v>
      </c>
      <c r="C1286" s="5" t="str">
        <f>"符艳菲"</f>
        <v>符艳菲</v>
      </c>
      <c r="D1286" s="5" t="str">
        <f>"46000319970504582X"</f>
        <v>46000319970504582X</v>
      </c>
      <c r="E1286" s="5" t="s">
        <v>15</v>
      </c>
      <c r="F1286" s="5" t="str">
        <f>"073102031208"</f>
        <v>073102031208</v>
      </c>
      <c r="G1286" s="7">
        <v>0</v>
      </c>
      <c r="H1286" s="7">
        <f t="shared" si="90"/>
        <v>0</v>
      </c>
      <c r="I1286" s="7">
        <v>0</v>
      </c>
      <c r="J1286" s="7">
        <f t="shared" si="91"/>
        <v>0</v>
      </c>
      <c r="K1286" s="10">
        <f t="shared" si="88"/>
        <v>0</v>
      </c>
      <c r="L1286" s="7">
        <f t="shared" si="89"/>
        <v>509</v>
      </c>
      <c r="M1286" s="13" t="s">
        <v>18</v>
      </c>
      <c r="N1286"/>
    </row>
    <row r="1287" spans="1:14" ht="24.75" customHeight="1">
      <c r="A1287" s="5">
        <v>1285</v>
      </c>
      <c r="B1287" s="5" t="s">
        <v>19</v>
      </c>
      <c r="C1287" s="5" t="str">
        <f>"刘土乾"</f>
        <v>刘土乾</v>
      </c>
      <c r="D1287" s="5" t="str">
        <f>"460003199710122025"</f>
        <v>460003199710122025</v>
      </c>
      <c r="E1287" s="5" t="s">
        <v>15</v>
      </c>
      <c r="F1287" s="5" t="str">
        <f>"073102031209"</f>
        <v>073102031209</v>
      </c>
      <c r="G1287" s="7">
        <v>0</v>
      </c>
      <c r="H1287" s="7">
        <f t="shared" si="90"/>
        <v>0</v>
      </c>
      <c r="I1287" s="7">
        <v>0</v>
      </c>
      <c r="J1287" s="7">
        <f t="shared" si="91"/>
        <v>0</v>
      </c>
      <c r="K1287" s="10">
        <f t="shared" si="88"/>
        <v>0</v>
      </c>
      <c r="L1287" s="7">
        <f t="shared" si="89"/>
        <v>509</v>
      </c>
      <c r="M1287" s="13" t="s">
        <v>18</v>
      </c>
      <c r="N1287"/>
    </row>
    <row r="1288" spans="1:14" ht="24.75" customHeight="1">
      <c r="A1288" s="5">
        <v>1286</v>
      </c>
      <c r="B1288" s="5" t="s">
        <v>19</v>
      </c>
      <c r="C1288" s="5" t="str">
        <f>"林炽正"</f>
        <v>林炽正</v>
      </c>
      <c r="D1288" s="5" t="str">
        <f>"460033199511233230"</f>
        <v>460033199511233230</v>
      </c>
      <c r="E1288" s="5" t="s">
        <v>15</v>
      </c>
      <c r="F1288" s="5" t="str">
        <f>"073102031211"</f>
        <v>073102031211</v>
      </c>
      <c r="G1288" s="7">
        <v>0</v>
      </c>
      <c r="H1288" s="7">
        <f t="shared" si="90"/>
        <v>0</v>
      </c>
      <c r="I1288" s="7">
        <v>0</v>
      </c>
      <c r="J1288" s="7">
        <f t="shared" si="91"/>
        <v>0</v>
      </c>
      <c r="K1288" s="10">
        <f t="shared" si="88"/>
        <v>0</v>
      </c>
      <c r="L1288" s="7">
        <f t="shared" si="89"/>
        <v>509</v>
      </c>
      <c r="M1288" s="13" t="s">
        <v>18</v>
      </c>
      <c r="N1288"/>
    </row>
    <row r="1289" spans="1:14" ht="24.75" customHeight="1">
      <c r="A1289" s="5">
        <v>1287</v>
      </c>
      <c r="B1289" s="5" t="s">
        <v>19</v>
      </c>
      <c r="C1289" s="5" t="str">
        <f>"李涛"</f>
        <v>李涛</v>
      </c>
      <c r="D1289" s="5" t="str">
        <f>"460003199505317819"</f>
        <v>460003199505317819</v>
      </c>
      <c r="E1289" s="5" t="s">
        <v>15</v>
      </c>
      <c r="F1289" s="5" t="str">
        <f>"073102031212"</f>
        <v>073102031212</v>
      </c>
      <c r="G1289" s="7">
        <v>0</v>
      </c>
      <c r="H1289" s="7">
        <f t="shared" si="90"/>
        <v>0</v>
      </c>
      <c r="I1289" s="7">
        <v>0</v>
      </c>
      <c r="J1289" s="7">
        <f t="shared" si="91"/>
        <v>0</v>
      </c>
      <c r="K1289" s="10">
        <f t="shared" si="88"/>
        <v>0</v>
      </c>
      <c r="L1289" s="7">
        <f t="shared" si="89"/>
        <v>509</v>
      </c>
      <c r="M1289" s="13" t="s">
        <v>18</v>
      </c>
      <c r="N1289"/>
    </row>
    <row r="1290" spans="1:14" ht="24.75" customHeight="1">
      <c r="A1290" s="5">
        <v>1288</v>
      </c>
      <c r="B1290" s="5" t="s">
        <v>19</v>
      </c>
      <c r="C1290" s="5" t="str">
        <f>"王远"</f>
        <v>王远</v>
      </c>
      <c r="D1290" s="5" t="str">
        <f>"46003419980824501X"</f>
        <v>46003419980824501X</v>
      </c>
      <c r="E1290" s="5" t="s">
        <v>15</v>
      </c>
      <c r="F1290" s="5" t="str">
        <f>"073102031215"</f>
        <v>073102031215</v>
      </c>
      <c r="G1290" s="7">
        <v>0</v>
      </c>
      <c r="H1290" s="7">
        <f t="shared" si="90"/>
        <v>0</v>
      </c>
      <c r="I1290" s="7">
        <v>0</v>
      </c>
      <c r="J1290" s="7">
        <f t="shared" si="91"/>
        <v>0</v>
      </c>
      <c r="K1290" s="10">
        <f t="shared" si="88"/>
        <v>0</v>
      </c>
      <c r="L1290" s="7">
        <f t="shared" si="89"/>
        <v>509</v>
      </c>
      <c r="M1290" s="13" t="s">
        <v>18</v>
      </c>
      <c r="N1290"/>
    </row>
    <row r="1291" spans="1:14" ht="24.75" customHeight="1">
      <c r="A1291" s="5">
        <v>1289</v>
      </c>
      <c r="B1291" s="5" t="s">
        <v>19</v>
      </c>
      <c r="C1291" s="5" t="str">
        <f>"肖秉权"</f>
        <v>肖秉权</v>
      </c>
      <c r="D1291" s="5" t="str">
        <f>"460001199602270730"</f>
        <v>460001199602270730</v>
      </c>
      <c r="E1291" s="5" t="s">
        <v>15</v>
      </c>
      <c r="F1291" s="5" t="str">
        <f>"073102031216"</f>
        <v>073102031216</v>
      </c>
      <c r="G1291" s="7">
        <v>0</v>
      </c>
      <c r="H1291" s="7">
        <f t="shared" si="90"/>
        <v>0</v>
      </c>
      <c r="I1291" s="7">
        <v>0</v>
      </c>
      <c r="J1291" s="7">
        <f t="shared" si="91"/>
        <v>0</v>
      </c>
      <c r="K1291" s="10">
        <f t="shared" si="88"/>
        <v>0</v>
      </c>
      <c r="L1291" s="7">
        <f t="shared" si="89"/>
        <v>509</v>
      </c>
      <c r="M1291" s="13" t="s">
        <v>18</v>
      </c>
      <c r="N1291"/>
    </row>
    <row r="1292" spans="1:14" ht="24.75" customHeight="1">
      <c r="A1292" s="5">
        <v>1290</v>
      </c>
      <c r="B1292" s="5" t="s">
        <v>19</v>
      </c>
      <c r="C1292" s="5" t="str">
        <f>"苏敏文"</f>
        <v>苏敏文</v>
      </c>
      <c r="D1292" s="5" t="str">
        <f>"46000319940605761X"</f>
        <v>46000319940605761X</v>
      </c>
      <c r="E1292" s="5" t="s">
        <v>15</v>
      </c>
      <c r="F1292" s="5" t="str">
        <f>"073102031218"</f>
        <v>073102031218</v>
      </c>
      <c r="G1292" s="7">
        <v>0</v>
      </c>
      <c r="H1292" s="7">
        <f t="shared" si="90"/>
        <v>0</v>
      </c>
      <c r="I1292" s="7">
        <v>0</v>
      </c>
      <c r="J1292" s="7">
        <f t="shared" si="91"/>
        <v>0</v>
      </c>
      <c r="K1292" s="10">
        <f aca="true" t="shared" si="92" ref="K1292:K1355">H1292+J1292</f>
        <v>0</v>
      </c>
      <c r="L1292" s="7">
        <f t="shared" si="89"/>
        <v>509</v>
      </c>
      <c r="M1292" s="13" t="s">
        <v>18</v>
      </c>
      <c r="N1292"/>
    </row>
    <row r="1293" spans="1:14" ht="24.75" customHeight="1">
      <c r="A1293" s="5">
        <v>1291</v>
      </c>
      <c r="B1293" s="5" t="s">
        <v>19</v>
      </c>
      <c r="C1293" s="5" t="str">
        <f>"陈彬彬"</f>
        <v>陈彬彬</v>
      </c>
      <c r="D1293" s="5" t="str">
        <f>"460028199201162448"</f>
        <v>460028199201162448</v>
      </c>
      <c r="E1293" s="5" t="s">
        <v>15</v>
      </c>
      <c r="F1293" s="5" t="str">
        <f>"073102031219"</f>
        <v>073102031219</v>
      </c>
      <c r="G1293" s="7">
        <v>0</v>
      </c>
      <c r="H1293" s="7">
        <f t="shared" si="90"/>
        <v>0</v>
      </c>
      <c r="I1293" s="7">
        <v>0</v>
      </c>
      <c r="J1293" s="7">
        <f t="shared" si="91"/>
        <v>0</v>
      </c>
      <c r="K1293" s="10">
        <f t="shared" si="92"/>
        <v>0</v>
      </c>
      <c r="L1293" s="7">
        <f t="shared" si="89"/>
        <v>509</v>
      </c>
      <c r="M1293" s="13" t="s">
        <v>18</v>
      </c>
      <c r="N1293"/>
    </row>
    <row r="1294" spans="1:14" ht="24.75" customHeight="1">
      <c r="A1294" s="5">
        <v>1292</v>
      </c>
      <c r="B1294" s="5" t="s">
        <v>19</v>
      </c>
      <c r="C1294" s="5" t="str">
        <f>"黄舒"</f>
        <v>黄舒</v>
      </c>
      <c r="D1294" s="5" t="str">
        <f>"460103199908300611"</f>
        <v>460103199908300611</v>
      </c>
      <c r="E1294" s="5" t="s">
        <v>15</v>
      </c>
      <c r="F1294" s="5" t="str">
        <f>"073102031222"</f>
        <v>073102031222</v>
      </c>
      <c r="G1294" s="7">
        <v>0</v>
      </c>
      <c r="H1294" s="7">
        <f t="shared" si="90"/>
        <v>0</v>
      </c>
      <c r="I1294" s="7">
        <v>0</v>
      </c>
      <c r="J1294" s="7">
        <f t="shared" si="91"/>
        <v>0</v>
      </c>
      <c r="K1294" s="10">
        <f t="shared" si="92"/>
        <v>0</v>
      </c>
      <c r="L1294" s="7">
        <f t="shared" si="89"/>
        <v>509</v>
      </c>
      <c r="M1294" s="13" t="s">
        <v>18</v>
      </c>
      <c r="N1294"/>
    </row>
    <row r="1295" spans="1:14" ht="24.75" customHeight="1">
      <c r="A1295" s="5">
        <v>1293</v>
      </c>
      <c r="B1295" s="5" t="s">
        <v>19</v>
      </c>
      <c r="C1295" s="5" t="str">
        <f>"陈凝"</f>
        <v>陈凝</v>
      </c>
      <c r="D1295" s="5" t="str">
        <f>"46000619970821232X"</f>
        <v>46000619970821232X</v>
      </c>
      <c r="E1295" s="5" t="s">
        <v>15</v>
      </c>
      <c r="F1295" s="5" t="str">
        <f>"073102031224"</f>
        <v>073102031224</v>
      </c>
      <c r="G1295" s="7">
        <v>0</v>
      </c>
      <c r="H1295" s="7">
        <f t="shared" si="90"/>
        <v>0</v>
      </c>
      <c r="I1295" s="7">
        <v>0</v>
      </c>
      <c r="J1295" s="7">
        <f t="shared" si="91"/>
        <v>0</v>
      </c>
      <c r="K1295" s="10">
        <f t="shared" si="92"/>
        <v>0</v>
      </c>
      <c r="L1295" s="7">
        <f t="shared" si="89"/>
        <v>509</v>
      </c>
      <c r="M1295" s="13" t="s">
        <v>18</v>
      </c>
      <c r="N1295"/>
    </row>
    <row r="1296" spans="1:14" ht="24.75" customHeight="1">
      <c r="A1296" s="5">
        <v>1294</v>
      </c>
      <c r="B1296" s="5" t="s">
        <v>19</v>
      </c>
      <c r="C1296" s="5" t="str">
        <f>"王主带"</f>
        <v>王主带</v>
      </c>
      <c r="D1296" s="5" t="str">
        <f>"460003199603267640"</f>
        <v>460003199603267640</v>
      </c>
      <c r="E1296" s="5" t="s">
        <v>15</v>
      </c>
      <c r="F1296" s="5" t="str">
        <f>"073102031226"</f>
        <v>073102031226</v>
      </c>
      <c r="G1296" s="7">
        <v>0</v>
      </c>
      <c r="H1296" s="7">
        <f t="shared" si="90"/>
        <v>0</v>
      </c>
      <c r="I1296" s="7">
        <v>0</v>
      </c>
      <c r="J1296" s="7">
        <f t="shared" si="91"/>
        <v>0</v>
      </c>
      <c r="K1296" s="10">
        <f t="shared" si="92"/>
        <v>0</v>
      </c>
      <c r="L1296" s="7">
        <f t="shared" si="89"/>
        <v>509</v>
      </c>
      <c r="M1296" s="13" t="s">
        <v>18</v>
      </c>
      <c r="N1296"/>
    </row>
    <row r="1297" spans="1:14" ht="24.75" customHeight="1">
      <c r="A1297" s="5">
        <v>1295</v>
      </c>
      <c r="B1297" s="5" t="s">
        <v>19</v>
      </c>
      <c r="C1297" s="5" t="str">
        <f>"黎兴辽"</f>
        <v>黎兴辽</v>
      </c>
      <c r="D1297" s="5" t="str">
        <f>"460033199608153317"</f>
        <v>460033199608153317</v>
      </c>
      <c r="E1297" s="5" t="s">
        <v>15</v>
      </c>
      <c r="F1297" s="5" t="str">
        <f>"073102031227"</f>
        <v>073102031227</v>
      </c>
      <c r="G1297" s="7">
        <v>0</v>
      </c>
      <c r="H1297" s="7">
        <f t="shared" si="90"/>
        <v>0</v>
      </c>
      <c r="I1297" s="7">
        <v>0</v>
      </c>
      <c r="J1297" s="7">
        <f t="shared" si="91"/>
        <v>0</v>
      </c>
      <c r="K1297" s="10">
        <f t="shared" si="92"/>
        <v>0</v>
      </c>
      <c r="L1297" s="7">
        <f t="shared" si="89"/>
        <v>509</v>
      </c>
      <c r="M1297" s="13" t="s">
        <v>18</v>
      </c>
      <c r="N1297"/>
    </row>
    <row r="1298" spans="1:14" ht="24.75" customHeight="1">
      <c r="A1298" s="5">
        <v>1296</v>
      </c>
      <c r="B1298" s="5" t="s">
        <v>19</v>
      </c>
      <c r="C1298" s="5" t="str">
        <f>"黎正雄"</f>
        <v>黎正雄</v>
      </c>
      <c r="D1298" s="5" t="str">
        <f>"460300199907050317"</f>
        <v>460300199907050317</v>
      </c>
      <c r="E1298" s="5" t="s">
        <v>15</v>
      </c>
      <c r="F1298" s="5" t="str">
        <f>"073102031230"</f>
        <v>073102031230</v>
      </c>
      <c r="G1298" s="7">
        <v>0</v>
      </c>
      <c r="H1298" s="7">
        <f t="shared" si="90"/>
        <v>0</v>
      </c>
      <c r="I1298" s="7">
        <v>0</v>
      </c>
      <c r="J1298" s="7">
        <f t="shared" si="91"/>
        <v>0</v>
      </c>
      <c r="K1298" s="10">
        <f t="shared" si="92"/>
        <v>0</v>
      </c>
      <c r="L1298" s="7">
        <f t="shared" si="89"/>
        <v>509</v>
      </c>
      <c r="M1298" s="13" t="s">
        <v>18</v>
      </c>
      <c r="N1298"/>
    </row>
    <row r="1299" spans="1:14" ht="24.75" customHeight="1">
      <c r="A1299" s="5">
        <v>1297</v>
      </c>
      <c r="B1299" s="5" t="s">
        <v>19</v>
      </c>
      <c r="C1299" s="5" t="str">
        <f>"蔡辉玉"</f>
        <v>蔡辉玉</v>
      </c>
      <c r="D1299" s="5" t="str">
        <f>"460003199411024636"</f>
        <v>460003199411024636</v>
      </c>
      <c r="E1299" s="5" t="s">
        <v>15</v>
      </c>
      <c r="F1299" s="5" t="str">
        <f>"073102031231"</f>
        <v>073102031231</v>
      </c>
      <c r="G1299" s="7">
        <v>0</v>
      </c>
      <c r="H1299" s="7">
        <f t="shared" si="90"/>
        <v>0</v>
      </c>
      <c r="I1299" s="7">
        <v>0</v>
      </c>
      <c r="J1299" s="7">
        <f t="shared" si="91"/>
        <v>0</v>
      </c>
      <c r="K1299" s="10">
        <f t="shared" si="92"/>
        <v>0</v>
      </c>
      <c r="L1299" s="7">
        <f t="shared" si="89"/>
        <v>509</v>
      </c>
      <c r="M1299" s="13" t="s">
        <v>18</v>
      </c>
      <c r="N1299"/>
    </row>
    <row r="1300" spans="1:14" ht="24.75" customHeight="1">
      <c r="A1300" s="5">
        <v>1298</v>
      </c>
      <c r="B1300" s="5" t="s">
        <v>20</v>
      </c>
      <c r="C1300" s="5" t="str">
        <f>"周丽佳"</f>
        <v>周丽佳</v>
      </c>
      <c r="D1300" s="5" t="str">
        <f>"230822199712015848"</f>
        <v>230822199712015848</v>
      </c>
      <c r="E1300" s="5" t="s">
        <v>15</v>
      </c>
      <c r="F1300" s="5" t="str">
        <f>"073103040228"</f>
        <v>073103040228</v>
      </c>
      <c r="G1300" s="7">
        <v>91.9</v>
      </c>
      <c r="H1300" s="7">
        <f t="shared" si="90"/>
        <v>45.95</v>
      </c>
      <c r="I1300" s="7">
        <v>75.935</v>
      </c>
      <c r="J1300" s="7">
        <f t="shared" si="91"/>
        <v>37.9675</v>
      </c>
      <c r="K1300" s="10">
        <f t="shared" si="92"/>
        <v>83.9175</v>
      </c>
      <c r="L1300" s="7">
        <f aca="true" t="shared" si="93" ref="L1300:L1363">RANK(K1300,$K$1300:$K$1479,0)</f>
        <v>1</v>
      </c>
      <c r="M1300" s="11"/>
      <c r="N1300"/>
    </row>
    <row r="1301" spans="1:14" ht="24.75" customHeight="1">
      <c r="A1301" s="5">
        <v>1299</v>
      </c>
      <c r="B1301" s="5" t="s">
        <v>20</v>
      </c>
      <c r="C1301" s="5" t="str">
        <f>"张昌耿"</f>
        <v>张昌耿</v>
      </c>
      <c r="D1301" s="5" t="str">
        <f>"460027199306212919"</f>
        <v>460027199306212919</v>
      </c>
      <c r="E1301" s="5" t="s">
        <v>15</v>
      </c>
      <c r="F1301" s="5" t="str">
        <f>"073103040210"</f>
        <v>073103040210</v>
      </c>
      <c r="G1301" s="7">
        <v>82.6</v>
      </c>
      <c r="H1301" s="7">
        <f t="shared" si="90"/>
        <v>41.3</v>
      </c>
      <c r="I1301" s="7">
        <v>82.685</v>
      </c>
      <c r="J1301" s="7">
        <f t="shared" si="91"/>
        <v>41.3425</v>
      </c>
      <c r="K1301" s="10">
        <f t="shared" si="92"/>
        <v>82.6425</v>
      </c>
      <c r="L1301" s="7">
        <f t="shared" si="93"/>
        <v>2</v>
      </c>
      <c r="M1301" s="11"/>
      <c r="N1301"/>
    </row>
    <row r="1302" spans="1:14" ht="24.75" customHeight="1">
      <c r="A1302" s="5">
        <v>1300</v>
      </c>
      <c r="B1302" s="5" t="s">
        <v>20</v>
      </c>
      <c r="C1302" s="5" t="str">
        <f>"黄锦媛"</f>
        <v>黄锦媛</v>
      </c>
      <c r="D1302" s="5" t="str">
        <f>"350821199805010027"</f>
        <v>350821199805010027</v>
      </c>
      <c r="E1302" s="5" t="s">
        <v>15</v>
      </c>
      <c r="F1302" s="5" t="str">
        <f>"073103040319"</f>
        <v>073103040319</v>
      </c>
      <c r="G1302" s="7">
        <v>94.8</v>
      </c>
      <c r="H1302" s="7">
        <f t="shared" si="90"/>
        <v>47.4</v>
      </c>
      <c r="I1302" s="7">
        <v>66.324</v>
      </c>
      <c r="J1302" s="7">
        <f t="shared" si="91"/>
        <v>33.162</v>
      </c>
      <c r="K1302" s="10">
        <f t="shared" si="92"/>
        <v>80.562</v>
      </c>
      <c r="L1302" s="7">
        <f t="shared" si="93"/>
        <v>3</v>
      </c>
      <c r="M1302" s="11"/>
      <c r="N1302"/>
    </row>
    <row r="1303" spans="1:14" ht="24.75" customHeight="1">
      <c r="A1303" s="5">
        <v>1301</v>
      </c>
      <c r="B1303" s="5" t="s">
        <v>20</v>
      </c>
      <c r="C1303" s="5" t="str">
        <f>"唐维民"</f>
        <v>唐维民</v>
      </c>
      <c r="D1303" s="5" t="str">
        <f>"46030019990615005X"</f>
        <v>46030019990615005X</v>
      </c>
      <c r="E1303" s="5" t="s">
        <v>15</v>
      </c>
      <c r="F1303" s="5" t="str">
        <f>"073103040516"</f>
        <v>073103040516</v>
      </c>
      <c r="G1303" s="7">
        <v>78.3</v>
      </c>
      <c r="H1303" s="7">
        <f t="shared" si="90"/>
        <v>39.15</v>
      </c>
      <c r="I1303" s="7">
        <v>77.843</v>
      </c>
      <c r="J1303" s="7">
        <f t="shared" si="91"/>
        <v>38.9215</v>
      </c>
      <c r="K1303" s="10">
        <f t="shared" si="92"/>
        <v>78.0715</v>
      </c>
      <c r="L1303" s="7">
        <f t="shared" si="93"/>
        <v>4</v>
      </c>
      <c r="M1303" s="11"/>
      <c r="N1303"/>
    </row>
    <row r="1304" spans="1:14" ht="24.75" customHeight="1">
      <c r="A1304" s="5">
        <v>1302</v>
      </c>
      <c r="B1304" s="5" t="s">
        <v>20</v>
      </c>
      <c r="C1304" s="5" t="str">
        <f>"梁豪婷"</f>
        <v>梁豪婷</v>
      </c>
      <c r="D1304" s="5" t="str">
        <f>"460003200002112649"</f>
        <v>460003200002112649</v>
      </c>
      <c r="E1304" s="5" t="s">
        <v>15</v>
      </c>
      <c r="F1304" s="5" t="str">
        <f>"073103040130"</f>
        <v>073103040130</v>
      </c>
      <c r="G1304" s="7">
        <v>82.3</v>
      </c>
      <c r="H1304" s="7">
        <f t="shared" si="90"/>
        <v>41.15</v>
      </c>
      <c r="I1304" s="7">
        <v>73.661</v>
      </c>
      <c r="J1304" s="7">
        <f t="shared" si="91"/>
        <v>36.8305</v>
      </c>
      <c r="K1304" s="10">
        <f t="shared" si="92"/>
        <v>77.9805</v>
      </c>
      <c r="L1304" s="7">
        <f t="shared" si="93"/>
        <v>5</v>
      </c>
      <c r="M1304" s="11"/>
      <c r="N1304"/>
    </row>
    <row r="1305" spans="1:14" ht="24.75" customHeight="1">
      <c r="A1305" s="5">
        <v>1303</v>
      </c>
      <c r="B1305" s="5" t="s">
        <v>20</v>
      </c>
      <c r="C1305" s="5" t="str">
        <f>"黄婷"</f>
        <v>黄婷</v>
      </c>
      <c r="D1305" s="5" t="str">
        <f>"460026199106255125"</f>
        <v>460026199106255125</v>
      </c>
      <c r="E1305" s="5" t="s">
        <v>15</v>
      </c>
      <c r="F1305" s="5" t="str">
        <f>"073103040226"</f>
        <v>073103040226</v>
      </c>
      <c r="G1305" s="7">
        <v>74.8</v>
      </c>
      <c r="H1305" s="7">
        <f t="shared" si="90"/>
        <v>37.4</v>
      </c>
      <c r="I1305" s="7">
        <v>79.751</v>
      </c>
      <c r="J1305" s="7">
        <f t="shared" si="91"/>
        <v>39.8755</v>
      </c>
      <c r="K1305" s="10">
        <f t="shared" si="92"/>
        <v>77.2755</v>
      </c>
      <c r="L1305" s="7">
        <f t="shared" si="93"/>
        <v>6</v>
      </c>
      <c r="M1305" s="11"/>
      <c r="N1305"/>
    </row>
    <row r="1306" spans="1:14" ht="24.75" customHeight="1">
      <c r="A1306" s="5">
        <v>1304</v>
      </c>
      <c r="B1306" s="5" t="s">
        <v>20</v>
      </c>
      <c r="C1306" s="5" t="str">
        <f>"叶冬晴"</f>
        <v>叶冬晴</v>
      </c>
      <c r="D1306" s="5" t="str">
        <f>"460025199511220026"</f>
        <v>460025199511220026</v>
      </c>
      <c r="E1306" s="5" t="s">
        <v>15</v>
      </c>
      <c r="F1306" s="5" t="str">
        <f>"073103040416"</f>
        <v>073103040416</v>
      </c>
      <c r="G1306" s="7">
        <v>80.2</v>
      </c>
      <c r="H1306" s="7">
        <f t="shared" si="90"/>
        <v>40.1</v>
      </c>
      <c r="I1306" s="7">
        <v>74.321</v>
      </c>
      <c r="J1306" s="7">
        <f t="shared" si="91"/>
        <v>37.1605</v>
      </c>
      <c r="K1306" s="10">
        <f t="shared" si="92"/>
        <v>77.26050000000001</v>
      </c>
      <c r="L1306" s="7">
        <f t="shared" si="93"/>
        <v>7</v>
      </c>
      <c r="M1306" s="11"/>
      <c r="N1306"/>
    </row>
    <row r="1307" spans="1:14" ht="24.75" customHeight="1">
      <c r="A1307" s="5">
        <v>1305</v>
      </c>
      <c r="B1307" s="5" t="s">
        <v>20</v>
      </c>
      <c r="C1307" s="5" t="str">
        <f>"李秋萍"</f>
        <v>李秋萍</v>
      </c>
      <c r="D1307" s="5" t="str">
        <f>"460003199202234661"</f>
        <v>460003199202234661</v>
      </c>
      <c r="E1307" s="5" t="s">
        <v>15</v>
      </c>
      <c r="F1307" s="5" t="str">
        <f>"073103040515"</f>
        <v>073103040515</v>
      </c>
      <c r="G1307" s="7">
        <v>89.5</v>
      </c>
      <c r="H1307" s="7">
        <f t="shared" si="90"/>
        <v>44.75</v>
      </c>
      <c r="I1307" s="7">
        <v>63.61</v>
      </c>
      <c r="J1307" s="7">
        <f t="shared" si="91"/>
        <v>31.805</v>
      </c>
      <c r="K1307" s="10">
        <f t="shared" si="92"/>
        <v>76.555</v>
      </c>
      <c r="L1307" s="7">
        <f t="shared" si="93"/>
        <v>8</v>
      </c>
      <c r="M1307" s="11"/>
      <c r="N1307"/>
    </row>
    <row r="1308" spans="1:14" ht="24.75" customHeight="1">
      <c r="A1308" s="5">
        <v>1306</v>
      </c>
      <c r="B1308" s="5" t="s">
        <v>20</v>
      </c>
      <c r="C1308" s="5" t="str">
        <f>"陈孟民"</f>
        <v>陈孟民</v>
      </c>
      <c r="D1308" s="5" t="str">
        <f>"46000319980128461X"</f>
        <v>46000319980128461X</v>
      </c>
      <c r="E1308" s="5" t="s">
        <v>15</v>
      </c>
      <c r="F1308" s="5" t="str">
        <f>"073103040420"</f>
        <v>073103040420</v>
      </c>
      <c r="G1308" s="7">
        <v>68.8</v>
      </c>
      <c r="H1308" s="7">
        <f t="shared" si="90"/>
        <v>34.4</v>
      </c>
      <c r="I1308" s="7">
        <v>84.079</v>
      </c>
      <c r="J1308" s="7">
        <f t="shared" si="91"/>
        <v>42.0395</v>
      </c>
      <c r="K1308" s="10">
        <f t="shared" si="92"/>
        <v>76.4395</v>
      </c>
      <c r="L1308" s="7">
        <f t="shared" si="93"/>
        <v>9</v>
      </c>
      <c r="M1308" s="11"/>
      <c r="N1308"/>
    </row>
    <row r="1309" spans="1:14" ht="24.75" customHeight="1">
      <c r="A1309" s="5">
        <v>1307</v>
      </c>
      <c r="B1309" s="5" t="s">
        <v>20</v>
      </c>
      <c r="C1309" s="5" t="str">
        <f>"吴迪"</f>
        <v>吴迪</v>
      </c>
      <c r="D1309" s="5" t="str">
        <f>"460003199608064631"</f>
        <v>460003199608064631</v>
      </c>
      <c r="E1309" s="5" t="s">
        <v>15</v>
      </c>
      <c r="F1309" s="5" t="str">
        <f>"073103040426"</f>
        <v>073103040426</v>
      </c>
      <c r="G1309" s="7">
        <v>83.4</v>
      </c>
      <c r="H1309" s="7">
        <f t="shared" si="90"/>
        <v>41.7</v>
      </c>
      <c r="I1309" s="7">
        <v>68.745</v>
      </c>
      <c r="J1309" s="7">
        <f t="shared" si="91"/>
        <v>34.3725</v>
      </c>
      <c r="K1309" s="10">
        <f t="shared" si="92"/>
        <v>76.0725</v>
      </c>
      <c r="L1309" s="7">
        <f t="shared" si="93"/>
        <v>10</v>
      </c>
      <c r="M1309" s="11"/>
      <c r="N1309"/>
    </row>
    <row r="1310" spans="1:14" ht="24.75" customHeight="1">
      <c r="A1310" s="5">
        <v>1308</v>
      </c>
      <c r="B1310" s="5" t="s">
        <v>20</v>
      </c>
      <c r="C1310" s="5" t="str">
        <f>"刘哲廷"</f>
        <v>刘哲廷</v>
      </c>
      <c r="D1310" s="5" t="str">
        <f>"440882199709018314"</f>
        <v>440882199709018314</v>
      </c>
      <c r="E1310" s="5" t="s">
        <v>15</v>
      </c>
      <c r="F1310" s="5" t="str">
        <f>"073103040212"</f>
        <v>073103040212</v>
      </c>
      <c r="G1310" s="7">
        <v>76</v>
      </c>
      <c r="H1310" s="7">
        <f t="shared" si="90"/>
        <v>38</v>
      </c>
      <c r="I1310" s="7">
        <v>74.688</v>
      </c>
      <c r="J1310" s="7">
        <f t="shared" si="91"/>
        <v>37.344</v>
      </c>
      <c r="K1310" s="10">
        <f t="shared" si="92"/>
        <v>75.344</v>
      </c>
      <c r="L1310" s="7">
        <f t="shared" si="93"/>
        <v>11</v>
      </c>
      <c r="M1310" s="11"/>
      <c r="N1310"/>
    </row>
    <row r="1311" spans="1:14" ht="24.75" customHeight="1">
      <c r="A1311" s="5">
        <v>1309</v>
      </c>
      <c r="B1311" s="5" t="s">
        <v>20</v>
      </c>
      <c r="C1311" s="5" t="str">
        <f>"黄晓兰"</f>
        <v>黄晓兰</v>
      </c>
      <c r="D1311" s="5" t="str">
        <f>"46002719990504622X"</f>
        <v>46002719990504622X</v>
      </c>
      <c r="E1311" s="5" t="s">
        <v>15</v>
      </c>
      <c r="F1311" s="5" t="str">
        <f>"073103040127"</f>
        <v>073103040127</v>
      </c>
      <c r="G1311" s="7">
        <v>90.5</v>
      </c>
      <c r="H1311" s="7">
        <f t="shared" si="90"/>
        <v>45.25</v>
      </c>
      <c r="I1311" s="7">
        <v>59.648</v>
      </c>
      <c r="J1311" s="7">
        <f t="shared" si="91"/>
        <v>29.824</v>
      </c>
      <c r="K1311" s="10">
        <f t="shared" si="92"/>
        <v>75.074</v>
      </c>
      <c r="L1311" s="7">
        <f t="shared" si="93"/>
        <v>12</v>
      </c>
      <c r="M1311" s="11"/>
      <c r="N1311"/>
    </row>
    <row r="1312" spans="1:14" ht="24.75" customHeight="1">
      <c r="A1312" s="5">
        <v>1310</v>
      </c>
      <c r="B1312" s="5" t="s">
        <v>20</v>
      </c>
      <c r="C1312" s="5" t="str">
        <f>"张运雪"</f>
        <v>张运雪</v>
      </c>
      <c r="D1312" s="5" t="str">
        <f>"230306199501255721"</f>
        <v>230306199501255721</v>
      </c>
      <c r="E1312" s="5" t="s">
        <v>15</v>
      </c>
      <c r="F1312" s="5" t="str">
        <f>"073103040119"</f>
        <v>073103040119</v>
      </c>
      <c r="G1312" s="7">
        <v>69.8</v>
      </c>
      <c r="H1312" s="7">
        <f t="shared" si="90"/>
        <v>34.9</v>
      </c>
      <c r="I1312" s="7">
        <v>80.264</v>
      </c>
      <c r="J1312" s="7">
        <f t="shared" si="91"/>
        <v>40.132</v>
      </c>
      <c r="K1312" s="10">
        <f t="shared" si="92"/>
        <v>75.032</v>
      </c>
      <c r="L1312" s="7">
        <f t="shared" si="93"/>
        <v>13</v>
      </c>
      <c r="M1312" s="11"/>
      <c r="N1312"/>
    </row>
    <row r="1313" spans="1:14" ht="24.75" customHeight="1">
      <c r="A1313" s="5">
        <v>1311</v>
      </c>
      <c r="B1313" s="5" t="s">
        <v>20</v>
      </c>
      <c r="C1313" s="5" t="str">
        <f>"王金秀"</f>
        <v>王金秀</v>
      </c>
      <c r="D1313" s="5" t="str">
        <f>"460003199608184641"</f>
        <v>460003199608184641</v>
      </c>
      <c r="E1313" s="5" t="s">
        <v>15</v>
      </c>
      <c r="F1313" s="5" t="str">
        <f>"073103040439"</f>
        <v>073103040439</v>
      </c>
      <c r="G1313" s="7">
        <v>87.2</v>
      </c>
      <c r="H1313" s="7">
        <f t="shared" si="90"/>
        <v>43.6</v>
      </c>
      <c r="I1313" s="7">
        <v>62.729</v>
      </c>
      <c r="J1313" s="7">
        <f t="shared" si="91"/>
        <v>31.3645</v>
      </c>
      <c r="K1313" s="10">
        <f t="shared" si="92"/>
        <v>74.9645</v>
      </c>
      <c r="L1313" s="7">
        <f t="shared" si="93"/>
        <v>14</v>
      </c>
      <c r="M1313" s="11"/>
      <c r="N1313"/>
    </row>
    <row r="1314" spans="1:14" ht="24.75" customHeight="1">
      <c r="A1314" s="5">
        <v>1312</v>
      </c>
      <c r="B1314" s="5" t="s">
        <v>20</v>
      </c>
      <c r="C1314" s="5" t="str">
        <f>"陈开博"</f>
        <v>陈开博</v>
      </c>
      <c r="D1314" s="5" t="str">
        <f>"46002819970930083X"</f>
        <v>46002819970930083X</v>
      </c>
      <c r="E1314" s="5" t="s">
        <v>15</v>
      </c>
      <c r="F1314" s="5" t="str">
        <f>"073103040114"</f>
        <v>073103040114</v>
      </c>
      <c r="G1314" s="7">
        <v>83.2</v>
      </c>
      <c r="H1314" s="7">
        <f t="shared" si="90"/>
        <v>41.6</v>
      </c>
      <c r="I1314" s="7">
        <v>66.104</v>
      </c>
      <c r="J1314" s="7">
        <f t="shared" si="91"/>
        <v>33.052</v>
      </c>
      <c r="K1314" s="10">
        <f t="shared" si="92"/>
        <v>74.652</v>
      </c>
      <c r="L1314" s="7">
        <f t="shared" si="93"/>
        <v>15</v>
      </c>
      <c r="M1314" s="11"/>
      <c r="N1314"/>
    </row>
    <row r="1315" spans="1:14" ht="24.75" customHeight="1">
      <c r="A1315" s="5">
        <v>1313</v>
      </c>
      <c r="B1315" s="5" t="s">
        <v>20</v>
      </c>
      <c r="C1315" s="5" t="str">
        <f>"黎兴旺"</f>
        <v>黎兴旺</v>
      </c>
      <c r="D1315" s="5" t="str">
        <f>"460003199612244619"</f>
        <v>460003199612244619</v>
      </c>
      <c r="E1315" s="5" t="s">
        <v>15</v>
      </c>
      <c r="F1315" s="5" t="str">
        <f>"073103040128"</f>
        <v>073103040128</v>
      </c>
      <c r="G1315" s="7">
        <v>82.3</v>
      </c>
      <c r="H1315" s="7">
        <f t="shared" si="90"/>
        <v>41.15</v>
      </c>
      <c r="I1315" s="7">
        <v>66.985</v>
      </c>
      <c r="J1315" s="7">
        <f t="shared" si="91"/>
        <v>33.4925</v>
      </c>
      <c r="K1315" s="10">
        <f t="shared" si="92"/>
        <v>74.6425</v>
      </c>
      <c r="L1315" s="7">
        <f t="shared" si="93"/>
        <v>16</v>
      </c>
      <c r="M1315" s="11"/>
      <c r="N1315"/>
    </row>
    <row r="1316" spans="1:14" ht="24.75" customHeight="1">
      <c r="A1316" s="5">
        <v>1314</v>
      </c>
      <c r="B1316" s="5" t="s">
        <v>20</v>
      </c>
      <c r="C1316" s="5" t="str">
        <f>"邓丽娟"</f>
        <v>邓丽娟</v>
      </c>
      <c r="D1316" s="5" t="str">
        <f>"460103199712261526"</f>
        <v>460103199712261526</v>
      </c>
      <c r="E1316" s="5" t="s">
        <v>15</v>
      </c>
      <c r="F1316" s="5" t="str">
        <f>"073103040129"</f>
        <v>073103040129</v>
      </c>
      <c r="G1316" s="7">
        <v>68.5</v>
      </c>
      <c r="H1316" s="7">
        <f t="shared" si="90"/>
        <v>34.25</v>
      </c>
      <c r="I1316" s="7">
        <v>80.411</v>
      </c>
      <c r="J1316" s="7">
        <f t="shared" si="91"/>
        <v>40.2055</v>
      </c>
      <c r="K1316" s="10">
        <f t="shared" si="92"/>
        <v>74.4555</v>
      </c>
      <c r="L1316" s="7">
        <f t="shared" si="93"/>
        <v>17</v>
      </c>
      <c r="M1316" s="11"/>
      <c r="N1316"/>
    </row>
    <row r="1317" spans="1:14" ht="24.75" customHeight="1">
      <c r="A1317" s="5">
        <v>1315</v>
      </c>
      <c r="B1317" s="5" t="s">
        <v>20</v>
      </c>
      <c r="C1317" s="5" t="str">
        <f>"梁知皇"</f>
        <v>梁知皇</v>
      </c>
      <c r="D1317" s="5" t="str">
        <f>"460003199803283311"</f>
        <v>460003199803283311</v>
      </c>
      <c r="E1317" s="5" t="s">
        <v>15</v>
      </c>
      <c r="F1317" s="5" t="str">
        <f>"073103040109"</f>
        <v>073103040109</v>
      </c>
      <c r="G1317" s="7">
        <v>81.2</v>
      </c>
      <c r="H1317" s="7">
        <f t="shared" si="90"/>
        <v>40.6</v>
      </c>
      <c r="I1317" s="7">
        <v>67.425</v>
      </c>
      <c r="J1317" s="7">
        <f t="shared" si="91"/>
        <v>33.7125</v>
      </c>
      <c r="K1317" s="10">
        <f t="shared" si="92"/>
        <v>74.3125</v>
      </c>
      <c r="L1317" s="7">
        <f t="shared" si="93"/>
        <v>18</v>
      </c>
      <c r="M1317" s="11"/>
      <c r="N1317"/>
    </row>
    <row r="1318" spans="1:14" ht="24.75" customHeight="1">
      <c r="A1318" s="5">
        <v>1316</v>
      </c>
      <c r="B1318" s="5" t="s">
        <v>20</v>
      </c>
      <c r="C1318" s="5" t="str">
        <f>"龙俊达"</f>
        <v>龙俊达</v>
      </c>
      <c r="D1318" s="5" t="str">
        <f>"460025199010070015"</f>
        <v>460025199010070015</v>
      </c>
      <c r="E1318" s="5" t="s">
        <v>15</v>
      </c>
      <c r="F1318" s="5" t="str">
        <f>"073103040225"</f>
        <v>073103040225</v>
      </c>
      <c r="G1318" s="7">
        <v>59.4</v>
      </c>
      <c r="H1318" s="7">
        <f t="shared" si="90"/>
        <v>29.7</v>
      </c>
      <c r="I1318" s="7">
        <v>88.995</v>
      </c>
      <c r="J1318" s="7">
        <f t="shared" si="91"/>
        <v>44.4975</v>
      </c>
      <c r="K1318" s="10">
        <f t="shared" si="92"/>
        <v>74.1975</v>
      </c>
      <c r="L1318" s="7">
        <f t="shared" si="93"/>
        <v>19</v>
      </c>
      <c r="M1318" s="11"/>
      <c r="N1318"/>
    </row>
    <row r="1319" spans="1:14" ht="24.75" customHeight="1">
      <c r="A1319" s="5">
        <v>1317</v>
      </c>
      <c r="B1319" s="5" t="s">
        <v>20</v>
      </c>
      <c r="C1319" s="5" t="str">
        <f>"刘炫麟"</f>
        <v>刘炫麟</v>
      </c>
      <c r="D1319" s="5" t="str">
        <f>"460004199908075240"</f>
        <v>460004199908075240</v>
      </c>
      <c r="E1319" s="5" t="s">
        <v>15</v>
      </c>
      <c r="F1319" s="5" t="str">
        <f>"073103040508"</f>
        <v>073103040508</v>
      </c>
      <c r="G1319" s="7">
        <v>92.5</v>
      </c>
      <c r="H1319" s="7">
        <f t="shared" si="90"/>
        <v>46.25</v>
      </c>
      <c r="I1319" s="7">
        <v>55.833</v>
      </c>
      <c r="J1319" s="7">
        <f t="shared" si="91"/>
        <v>27.9165</v>
      </c>
      <c r="K1319" s="10">
        <f t="shared" si="92"/>
        <v>74.1665</v>
      </c>
      <c r="L1319" s="7">
        <f t="shared" si="93"/>
        <v>20</v>
      </c>
      <c r="M1319" s="11"/>
      <c r="N1319"/>
    </row>
    <row r="1320" spans="1:14" ht="24.75" customHeight="1">
      <c r="A1320" s="5">
        <v>1318</v>
      </c>
      <c r="B1320" s="5" t="s">
        <v>20</v>
      </c>
      <c r="C1320" s="5" t="str">
        <f>"叶秋香"</f>
        <v>叶秋香</v>
      </c>
      <c r="D1320" s="5" t="str">
        <f>"460004199709015229"</f>
        <v>460004199709015229</v>
      </c>
      <c r="E1320" s="5" t="s">
        <v>15</v>
      </c>
      <c r="F1320" s="5" t="str">
        <f>"073103040229"</f>
        <v>073103040229</v>
      </c>
      <c r="G1320" s="7">
        <v>84.5</v>
      </c>
      <c r="H1320" s="7">
        <f t="shared" si="90"/>
        <v>42.25</v>
      </c>
      <c r="I1320" s="7">
        <v>63.023</v>
      </c>
      <c r="J1320" s="7">
        <f t="shared" si="91"/>
        <v>31.5115</v>
      </c>
      <c r="K1320" s="10">
        <f t="shared" si="92"/>
        <v>73.7615</v>
      </c>
      <c r="L1320" s="7">
        <f t="shared" si="93"/>
        <v>21</v>
      </c>
      <c r="M1320" s="11"/>
      <c r="N1320"/>
    </row>
    <row r="1321" spans="1:14" ht="24.75" customHeight="1">
      <c r="A1321" s="5">
        <v>1319</v>
      </c>
      <c r="B1321" s="5" t="s">
        <v>20</v>
      </c>
      <c r="C1321" s="5" t="str">
        <f>"李梓娇"</f>
        <v>李梓娇</v>
      </c>
      <c r="D1321" s="5" t="str">
        <f>"230623199703160061"</f>
        <v>230623199703160061</v>
      </c>
      <c r="E1321" s="5" t="s">
        <v>15</v>
      </c>
      <c r="F1321" s="5" t="str">
        <f>"073103040328"</f>
        <v>073103040328</v>
      </c>
      <c r="G1321" s="7">
        <v>78.8</v>
      </c>
      <c r="H1321" s="7">
        <f t="shared" si="90"/>
        <v>39.4</v>
      </c>
      <c r="I1321" s="7">
        <v>65.811</v>
      </c>
      <c r="J1321" s="7">
        <f t="shared" si="91"/>
        <v>32.9055</v>
      </c>
      <c r="K1321" s="10">
        <f t="shared" si="92"/>
        <v>72.3055</v>
      </c>
      <c r="L1321" s="7">
        <f t="shared" si="93"/>
        <v>22</v>
      </c>
      <c r="M1321" s="11"/>
      <c r="N1321"/>
    </row>
    <row r="1322" spans="1:14" ht="24.75" customHeight="1">
      <c r="A1322" s="5">
        <v>1320</v>
      </c>
      <c r="B1322" s="5" t="s">
        <v>20</v>
      </c>
      <c r="C1322" s="5" t="str">
        <f>"龙晓晓"</f>
        <v>龙晓晓</v>
      </c>
      <c r="D1322" s="5" t="str">
        <f>"46002719990422854X"</f>
        <v>46002719990422854X</v>
      </c>
      <c r="E1322" s="5" t="s">
        <v>15</v>
      </c>
      <c r="F1322" s="5" t="str">
        <f>"073103040405"</f>
        <v>073103040405</v>
      </c>
      <c r="G1322" s="7">
        <v>91.1</v>
      </c>
      <c r="H1322" s="7">
        <f t="shared" si="90"/>
        <v>45.55</v>
      </c>
      <c r="I1322" s="7">
        <v>52.164</v>
      </c>
      <c r="J1322" s="7">
        <f t="shared" si="91"/>
        <v>26.082</v>
      </c>
      <c r="K1322" s="10">
        <f t="shared" si="92"/>
        <v>71.632</v>
      </c>
      <c r="L1322" s="7">
        <f t="shared" si="93"/>
        <v>23</v>
      </c>
      <c r="M1322" s="11"/>
      <c r="N1322"/>
    </row>
    <row r="1323" spans="1:14" ht="24.75" customHeight="1">
      <c r="A1323" s="5">
        <v>1321</v>
      </c>
      <c r="B1323" s="5" t="s">
        <v>20</v>
      </c>
      <c r="C1323" s="5" t="str">
        <f>"甘巧妙"</f>
        <v>甘巧妙</v>
      </c>
      <c r="D1323" s="5" t="str">
        <f>"460005199909163927"</f>
        <v>460005199909163927</v>
      </c>
      <c r="E1323" s="5" t="s">
        <v>15</v>
      </c>
      <c r="F1323" s="5" t="str">
        <f>"073103040224"</f>
        <v>073103040224</v>
      </c>
      <c r="G1323" s="7">
        <v>83.3</v>
      </c>
      <c r="H1323" s="7">
        <f t="shared" si="90"/>
        <v>41.65</v>
      </c>
      <c r="I1323" s="7">
        <v>59.574</v>
      </c>
      <c r="J1323" s="7">
        <f t="shared" si="91"/>
        <v>29.787</v>
      </c>
      <c r="K1323" s="10">
        <f t="shared" si="92"/>
        <v>71.437</v>
      </c>
      <c r="L1323" s="7">
        <f t="shared" si="93"/>
        <v>24</v>
      </c>
      <c r="M1323" s="11"/>
      <c r="N1323"/>
    </row>
    <row r="1324" spans="1:14" ht="24.75" customHeight="1">
      <c r="A1324" s="5">
        <v>1322</v>
      </c>
      <c r="B1324" s="5" t="s">
        <v>20</v>
      </c>
      <c r="C1324" s="5" t="str">
        <f>"许信正"</f>
        <v>许信正</v>
      </c>
      <c r="D1324" s="5" t="str">
        <f>"460006199709070036"</f>
        <v>460006199709070036</v>
      </c>
      <c r="E1324" s="5" t="s">
        <v>15</v>
      </c>
      <c r="F1324" s="5" t="str">
        <f>"073103040314"</f>
        <v>073103040314</v>
      </c>
      <c r="G1324" s="7">
        <v>55.5</v>
      </c>
      <c r="H1324" s="7">
        <f t="shared" si="90"/>
        <v>27.75</v>
      </c>
      <c r="I1324" s="7">
        <v>84.519</v>
      </c>
      <c r="J1324" s="7">
        <f t="shared" si="91"/>
        <v>42.2595</v>
      </c>
      <c r="K1324" s="10">
        <f t="shared" si="92"/>
        <v>70.0095</v>
      </c>
      <c r="L1324" s="7">
        <f t="shared" si="93"/>
        <v>25</v>
      </c>
      <c r="M1324" s="11"/>
      <c r="N1324"/>
    </row>
    <row r="1325" spans="1:14" ht="24.75" customHeight="1">
      <c r="A1325" s="5">
        <v>1323</v>
      </c>
      <c r="B1325" s="5" t="s">
        <v>20</v>
      </c>
      <c r="C1325" s="5" t="str">
        <f>"张似曼"</f>
        <v>张似曼</v>
      </c>
      <c r="D1325" s="5" t="str">
        <f>"460102199205250623"</f>
        <v>460102199205250623</v>
      </c>
      <c r="E1325" s="5" t="s">
        <v>15</v>
      </c>
      <c r="F1325" s="5" t="str">
        <f>"073103040503"</f>
        <v>073103040503</v>
      </c>
      <c r="G1325" s="7">
        <v>90.6</v>
      </c>
      <c r="H1325" s="7">
        <f t="shared" si="90"/>
        <v>45.3</v>
      </c>
      <c r="I1325" s="7">
        <v>49.376</v>
      </c>
      <c r="J1325" s="7">
        <f t="shared" si="91"/>
        <v>24.688</v>
      </c>
      <c r="K1325" s="10">
        <f t="shared" si="92"/>
        <v>69.988</v>
      </c>
      <c r="L1325" s="7">
        <f t="shared" si="93"/>
        <v>26</v>
      </c>
      <c r="M1325" s="11"/>
      <c r="N1325"/>
    </row>
    <row r="1326" spans="1:14" ht="24.75" customHeight="1">
      <c r="A1326" s="5">
        <v>1324</v>
      </c>
      <c r="B1326" s="5" t="s">
        <v>20</v>
      </c>
      <c r="C1326" s="5" t="str">
        <f>"彭锦楷"</f>
        <v>彭锦楷</v>
      </c>
      <c r="D1326" s="5" t="str">
        <f>"440582199904304213"</f>
        <v>440582199904304213</v>
      </c>
      <c r="E1326" s="5" t="s">
        <v>15</v>
      </c>
      <c r="F1326" s="5" t="str">
        <f>"073103040424"</f>
        <v>073103040424</v>
      </c>
      <c r="G1326" s="7">
        <v>79</v>
      </c>
      <c r="H1326" s="7">
        <f t="shared" si="90"/>
        <v>39.5</v>
      </c>
      <c r="I1326" s="7">
        <v>60.308</v>
      </c>
      <c r="J1326" s="7">
        <f t="shared" si="91"/>
        <v>30.154</v>
      </c>
      <c r="K1326" s="10">
        <f t="shared" si="92"/>
        <v>69.654</v>
      </c>
      <c r="L1326" s="7">
        <f t="shared" si="93"/>
        <v>27</v>
      </c>
      <c r="M1326" s="11"/>
      <c r="N1326"/>
    </row>
    <row r="1327" spans="1:14" ht="24.75" customHeight="1">
      <c r="A1327" s="5">
        <v>1325</v>
      </c>
      <c r="B1327" s="5" t="s">
        <v>20</v>
      </c>
      <c r="C1327" s="5" t="str">
        <f>"吴万惠"</f>
        <v>吴万惠</v>
      </c>
      <c r="D1327" s="5" t="str">
        <f>"460003199612032464"</f>
        <v>460003199612032464</v>
      </c>
      <c r="E1327" s="5" t="s">
        <v>15</v>
      </c>
      <c r="F1327" s="5" t="str">
        <f>"073103040230"</f>
        <v>073103040230</v>
      </c>
      <c r="G1327" s="7">
        <v>69.3</v>
      </c>
      <c r="H1327" s="7">
        <f t="shared" si="90"/>
        <v>34.65</v>
      </c>
      <c r="I1327" s="7">
        <v>67.351</v>
      </c>
      <c r="J1327" s="7">
        <f t="shared" si="91"/>
        <v>33.6755</v>
      </c>
      <c r="K1327" s="10">
        <f t="shared" si="92"/>
        <v>68.3255</v>
      </c>
      <c r="L1327" s="7">
        <f t="shared" si="93"/>
        <v>28</v>
      </c>
      <c r="M1327" s="11"/>
      <c r="N1327"/>
    </row>
    <row r="1328" spans="1:14" ht="24.75" customHeight="1">
      <c r="A1328" s="5">
        <v>1326</v>
      </c>
      <c r="B1328" s="5" t="s">
        <v>20</v>
      </c>
      <c r="C1328" s="5" t="str">
        <f>"林先华"</f>
        <v>林先华</v>
      </c>
      <c r="D1328" s="5" t="str">
        <f>"460103199705091813"</f>
        <v>460103199705091813</v>
      </c>
      <c r="E1328" s="5" t="s">
        <v>15</v>
      </c>
      <c r="F1328" s="5" t="str">
        <f>"073103040401"</f>
        <v>073103040401</v>
      </c>
      <c r="G1328" s="7">
        <v>53.2</v>
      </c>
      <c r="H1328" s="7">
        <f t="shared" si="90"/>
        <v>26.6</v>
      </c>
      <c r="I1328" s="7">
        <v>83.272</v>
      </c>
      <c r="J1328" s="7">
        <f t="shared" si="91"/>
        <v>41.636</v>
      </c>
      <c r="K1328" s="10">
        <f t="shared" si="92"/>
        <v>68.236</v>
      </c>
      <c r="L1328" s="7">
        <f t="shared" si="93"/>
        <v>29</v>
      </c>
      <c r="M1328" s="11"/>
      <c r="N1328"/>
    </row>
    <row r="1329" spans="1:14" ht="24.75" customHeight="1">
      <c r="A1329" s="5">
        <v>1327</v>
      </c>
      <c r="B1329" s="5" t="s">
        <v>20</v>
      </c>
      <c r="C1329" s="5" t="str">
        <f>"张浩瑜"</f>
        <v>张浩瑜</v>
      </c>
      <c r="D1329" s="5" t="str">
        <f>"460003199105120224"</f>
        <v>460003199105120224</v>
      </c>
      <c r="E1329" s="5" t="s">
        <v>15</v>
      </c>
      <c r="F1329" s="5" t="str">
        <f>"073103040435"</f>
        <v>073103040435</v>
      </c>
      <c r="G1329" s="7">
        <v>75.8</v>
      </c>
      <c r="H1329" s="7">
        <f t="shared" si="90"/>
        <v>37.9</v>
      </c>
      <c r="I1329" s="7">
        <v>60.602</v>
      </c>
      <c r="J1329" s="7">
        <f t="shared" si="91"/>
        <v>30.301</v>
      </c>
      <c r="K1329" s="10">
        <f t="shared" si="92"/>
        <v>68.201</v>
      </c>
      <c r="L1329" s="7">
        <f t="shared" si="93"/>
        <v>30</v>
      </c>
      <c r="M1329" s="11"/>
      <c r="N1329"/>
    </row>
    <row r="1330" spans="1:14" ht="24.75" customHeight="1">
      <c r="A1330" s="5">
        <v>1328</v>
      </c>
      <c r="B1330" s="5" t="s">
        <v>20</v>
      </c>
      <c r="C1330" s="5" t="str">
        <f>"邓燕萍"</f>
        <v>邓燕萍</v>
      </c>
      <c r="D1330" s="5" t="str">
        <f>"450121199408162727"</f>
        <v>450121199408162727</v>
      </c>
      <c r="E1330" s="5" t="s">
        <v>15</v>
      </c>
      <c r="F1330" s="5" t="str">
        <f>"073103040120"</f>
        <v>073103040120</v>
      </c>
      <c r="G1330" s="7">
        <v>78.4</v>
      </c>
      <c r="H1330" s="7">
        <f t="shared" si="90"/>
        <v>39.2</v>
      </c>
      <c r="I1330" s="7">
        <v>56.787</v>
      </c>
      <c r="J1330" s="7">
        <f t="shared" si="91"/>
        <v>28.3935</v>
      </c>
      <c r="K1330" s="10">
        <f t="shared" si="92"/>
        <v>67.5935</v>
      </c>
      <c r="L1330" s="7">
        <f t="shared" si="93"/>
        <v>31</v>
      </c>
      <c r="M1330" s="11"/>
      <c r="N1330"/>
    </row>
    <row r="1331" spans="1:14" ht="24.75" customHeight="1">
      <c r="A1331" s="5">
        <v>1329</v>
      </c>
      <c r="B1331" s="5" t="s">
        <v>20</v>
      </c>
      <c r="C1331" s="5" t="str">
        <f>"林欣欣"</f>
        <v>林欣欣</v>
      </c>
      <c r="D1331" s="5" t="str">
        <f>"460003199803211422"</f>
        <v>460003199803211422</v>
      </c>
      <c r="E1331" s="5" t="s">
        <v>15</v>
      </c>
      <c r="F1331" s="5" t="str">
        <f>"073103040432"</f>
        <v>073103040432</v>
      </c>
      <c r="G1331" s="7">
        <v>91.3</v>
      </c>
      <c r="H1331" s="7">
        <f t="shared" si="90"/>
        <v>45.65</v>
      </c>
      <c r="I1331" s="7">
        <v>43.874</v>
      </c>
      <c r="J1331" s="7">
        <f t="shared" si="91"/>
        <v>21.937</v>
      </c>
      <c r="K1331" s="10">
        <f t="shared" si="92"/>
        <v>67.587</v>
      </c>
      <c r="L1331" s="7">
        <f t="shared" si="93"/>
        <v>32</v>
      </c>
      <c r="M1331" s="11"/>
      <c r="N1331"/>
    </row>
    <row r="1332" spans="1:14" ht="24.75" customHeight="1">
      <c r="A1332" s="5">
        <v>1330</v>
      </c>
      <c r="B1332" s="5" t="s">
        <v>20</v>
      </c>
      <c r="C1332" s="5" t="str">
        <f>"唐萱妍"</f>
        <v>唐萱妍</v>
      </c>
      <c r="D1332" s="5" t="str">
        <f>"460300199105060644"</f>
        <v>460300199105060644</v>
      </c>
      <c r="E1332" s="5" t="s">
        <v>15</v>
      </c>
      <c r="F1332" s="5" t="str">
        <f>"073103040440"</f>
        <v>073103040440</v>
      </c>
      <c r="G1332" s="7">
        <v>75.5</v>
      </c>
      <c r="H1332" s="7">
        <f t="shared" si="90"/>
        <v>37.75</v>
      </c>
      <c r="I1332" s="7">
        <v>59.574</v>
      </c>
      <c r="J1332" s="7">
        <f t="shared" si="91"/>
        <v>29.787</v>
      </c>
      <c r="K1332" s="10">
        <f t="shared" si="92"/>
        <v>67.537</v>
      </c>
      <c r="L1332" s="7">
        <f t="shared" si="93"/>
        <v>33</v>
      </c>
      <c r="M1332" s="11"/>
      <c r="N1332"/>
    </row>
    <row r="1333" spans="1:14" ht="24.75" customHeight="1">
      <c r="A1333" s="5">
        <v>1331</v>
      </c>
      <c r="B1333" s="5" t="s">
        <v>20</v>
      </c>
      <c r="C1333" s="5" t="str">
        <f>"李翠微"</f>
        <v>李翠微</v>
      </c>
      <c r="D1333" s="5" t="str">
        <f>"460002199512114423"</f>
        <v>460002199512114423</v>
      </c>
      <c r="E1333" s="5" t="s">
        <v>15</v>
      </c>
      <c r="F1333" s="5" t="str">
        <f>"073103040301"</f>
        <v>073103040301</v>
      </c>
      <c r="G1333" s="7">
        <v>82.9</v>
      </c>
      <c r="H1333" s="7">
        <f t="shared" si="90"/>
        <v>41.45</v>
      </c>
      <c r="I1333" s="7">
        <v>50.404</v>
      </c>
      <c r="J1333" s="7">
        <f t="shared" si="91"/>
        <v>25.202</v>
      </c>
      <c r="K1333" s="10">
        <f t="shared" si="92"/>
        <v>66.652</v>
      </c>
      <c r="L1333" s="7">
        <f t="shared" si="93"/>
        <v>34</v>
      </c>
      <c r="M1333" s="11"/>
      <c r="N1333"/>
    </row>
    <row r="1334" spans="1:14" ht="24.75" customHeight="1">
      <c r="A1334" s="5">
        <v>1332</v>
      </c>
      <c r="B1334" s="5" t="s">
        <v>20</v>
      </c>
      <c r="C1334" s="5" t="str">
        <f>"邓振焕"</f>
        <v>邓振焕</v>
      </c>
      <c r="D1334" s="5" t="str">
        <f>"460300199302050322"</f>
        <v>460300199302050322</v>
      </c>
      <c r="E1334" s="5" t="s">
        <v>15</v>
      </c>
      <c r="F1334" s="5" t="str">
        <f>"073103040402"</f>
        <v>073103040402</v>
      </c>
      <c r="G1334" s="7">
        <v>77.1</v>
      </c>
      <c r="H1334" s="7">
        <f t="shared" si="90"/>
        <v>38.55</v>
      </c>
      <c r="I1334" s="7">
        <v>53.999</v>
      </c>
      <c r="J1334" s="7">
        <f t="shared" si="91"/>
        <v>26.9995</v>
      </c>
      <c r="K1334" s="10">
        <f t="shared" si="92"/>
        <v>65.5495</v>
      </c>
      <c r="L1334" s="7">
        <f t="shared" si="93"/>
        <v>35</v>
      </c>
      <c r="M1334" s="11"/>
      <c r="N1334"/>
    </row>
    <row r="1335" spans="1:14" ht="24.75" customHeight="1">
      <c r="A1335" s="5">
        <v>1333</v>
      </c>
      <c r="B1335" s="5" t="s">
        <v>20</v>
      </c>
      <c r="C1335" s="5" t="str">
        <f>"林春妍"</f>
        <v>林春妍</v>
      </c>
      <c r="D1335" s="5" t="str">
        <f>"460002199311042726"</f>
        <v>460002199311042726</v>
      </c>
      <c r="E1335" s="5" t="s">
        <v>15</v>
      </c>
      <c r="F1335" s="5" t="str">
        <f>"073103040414"</f>
        <v>073103040414</v>
      </c>
      <c r="G1335" s="7">
        <v>79.4</v>
      </c>
      <c r="H1335" s="7">
        <f t="shared" si="90"/>
        <v>39.7</v>
      </c>
      <c r="I1335" s="7">
        <v>50.697</v>
      </c>
      <c r="J1335" s="7">
        <f t="shared" si="91"/>
        <v>25.3485</v>
      </c>
      <c r="K1335" s="10">
        <f t="shared" si="92"/>
        <v>65.0485</v>
      </c>
      <c r="L1335" s="7">
        <f t="shared" si="93"/>
        <v>36</v>
      </c>
      <c r="M1335" s="11"/>
      <c r="N1335"/>
    </row>
    <row r="1336" spans="1:14" ht="24.75" customHeight="1">
      <c r="A1336" s="5">
        <v>1334</v>
      </c>
      <c r="B1336" s="5" t="s">
        <v>20</v>
      </c>
      <c r="C1336" s="5" t="str">
        <f>"李婉君"</f>
        <v>李婉君</v>
      </c>
      <c r="D1336" s="5" t="str">
        <f>"460027199901011329"</f>
        <v>460027199901011329</v>
      </c>
      <c r="E1336" s="5" t="s">
        <v>15</v>
      </c>
      <c r="F1336" s="5" t="str">
        <f>"073103040505"</f>
        <v>073103040505</v>
      </c>
      <c r="G1336" s="7">
        <v>77.6</v>
      </c>
      <c r="H1336" s="7">
        <f t="shared" si="90"/>
        <v>38.8</v>
      </c>
      <c r="I1336" s="7">
        <v>51.504</v>
      </c>
      <c r="J1336" s="7">
        <f t="shared" si="91"/>
        <v>25.752</v>
      </c>
      <c r="K1336" s="10">
        <f t="shared" si="92"/>
        <v>64.55199999999999</v>
      </c>
      <c r="L1336" s="7">
        <f t="shared" si="93"/>
        <v>37</v>
      </c>
      <c r="M1336" s="11"/>
      <c r="N1336"/>
    </row>
    <row r="1337" spans="1:14" ht="24.75" customHeight="1">
      <c r="A1337" s="5">
        <v>1335</v>
      </c>
      <c r="B1337" s="5" t="s">
        <v>20</v>
      </c>
      <c r="C1337" s="5" t="str">
        <f>"冯倩"</f>
        <v>冯倩</v>
      </c>
      <c r="D1337" s="5" t="str">
        <f>"460007199408180422"</f>
        <v>460007199408180422</v>
      </c>
      <c r="E1337" s="5" t="s">
        <v>15</v>
      </c>
      <c r="F1337" s="5" t="str">
        <f>"073103040336"</f>
        <v>073103040336</v>
      </c>
      <c r="G1337" s="7">
        <v>65.5</v>
      </c>
      <c r="H1337" s="7">
        <f t="shared" si="90"/>
        <v>32.75</v>
      </c>
      <c r="I1337" s="7">
        <v>63.096</v>
      </c>
      <c r="J1337" s="7">
        <f t="shared" si="91"/>
        <v>31.548</v>
      </c>
      <c r="K1337" s="10">
        <f t="shared" si="92"/>
        <v>64.298</v>
      </c>
      <c r="L1337" s="7">
        <f t="shared" si="93"/>
        <v>38</v>
      </c>
      <c r="M1337" s="11"/>
      <c r="N1337"/>
    </row>
    <row r="1338" spans="1:14" ht="24.75" customHeight="1">
      <c r="A1338" s="5">
        <v>1336</v>
      </c>
      <c r="B1338" s="5" t="s">
        <v>20</v>
      </c>
      <c r="C1338" s="5" t="str">
        <f>"王其创"</f>
        <v>王其创</v>
      </c>
      <c r="D1338" s="5" t="str">
        <f>"460007199807207231"</f>
        <v>460007199807207231</v>
      </c>
      <c r="E1338" s="5" t="s">
        <v>15</v>
      </c>
      <c r="F1338" s="5" t="str">
        <f>"073103040324"</f>
        <v>073103040324</v>
      </c>
      <c r="G1338" s="7">
        <v>61.6</v>
      </c>
      <c r="H1338" s="7">
        <f t="shared" si="90"/>
        <v>30.8</v>
      </c>
      <c r="I1338" s="7">
        <v>66.544</v>
      </c>
      <c r="J1338" s="7">
        <f t="shared" si="91"/>
        <v>33.272</v>
      </c>
      <c r="K1338" s="10">
        <f t="shared" si="92"/>
        <v>64.072</v>
      </c>
      <c r="L1338" s="7">
        <f t="shared" si="93"/>
        <v>39</v>
      </c>
      <c r="M1338" s="11"/>
      <c r="N1338"/>
    </row>
    <row r="1339" spans="1:14" ht="24.75" customHeight="1">
      <c r="A1339" s="5">
        <v>1337</v>
      </c>
      <c r="B1339" s="5" t="s">
        <v>20</v>
      </c>
      <c r="C1339" s="5" t="str">
        <f>"刘韶文"</f>
        <v>刘韶文</v>
      </c>
      <c r="D1339" s="5" t="str">
        <f>"152801199301280620"</f>
        <v>152801199301280620</v>
      </c>
      <c r="E1339" s="5" t="s">
        <v>15</v>
      </c>
      <c r="F1339" s="5" t="str">
        <f>"073103040421"</f>
        <v>073103040421</v>
      </c>
      <c r="G1339" s="7">
        <v>85.5</v>
      </c>
      <c r="H1339" s="7">
        <f t="shared" si="90"/>
        <v>42.75</v>
      </c>
      <c r="I1339" s="7">
        <v>41.526</v>
      </c>
      <c r="J1339" s="7">
        <f t="shared" si="91"/>
        <v>20.763</v>
      </c>
      <c r="K1339" s="10">
        <f t="shared" si="92"/>
        <v>63.513000000000005</v>
      </c>
      <c r="L1339" s="7">
        <f t="shared" si="93"/>
        <v>40</v>
      </c>
      <c r="M1339" s="11"/>
      <c r="N1339"/>
    </row>
    <row r="1340" spans="1:14" ht="24.75" customHeight="1">
      <c r="A1340" s="5">
        <v>1338</v>
      </c>
      <c r="B1340" s="5" t="s">
        <v>20</v>
      </c>
      <c r="C1340" s="5" t="str">
        <f>"许钟莉"</f>
        <v>许钟莉</v>
      </c>
      <c r="D1340" s="5" t="str">
        <f>"46003619970321122X"</f>
        <v>46003619970321122X</v>
      </c>
      <c r="E1340" s="5" t="s">
        <v>15</v>
      </c>
      <c r="F1340" s="5" t="str">
        <f>"073103040312"</f>
        <v>073103040312</v>
      </c>
      <c r="G1340" s="7">
        <v>62.9</v>
      </c>
      <c r="H1340" s="7">
        <f t="shared" si="90"/>
        <v>31.45</v>
      </c>
      <c r="I1340" s="7">
        <v>61.849</v>
      </c>
      <c r="J1340" s="7">
        <f t="shared" si="91"/>
        <v>30.9245</v>
      </c>
      <c r="K1340" s="10">
        <f t="shared" si="92"/>
        <v>62.3745</v>
      </c>
      <c r="L1340" s="7">
        <f t="shared" si="93"/>
        <v>41</v>
      </c>
      <c r="M1340" s="11"/>
      <c r="N1340"/>
    </row>
    <row r="1341" spans="1:14" ht="24.75" customHeight="1">
      <c r="A1341" s="5">
        <v>1339</v>
      </c>
      <c r="B1341" s="5" t="s">
        <v>20</v>
      </c>
      <c r="C1341" s="5" t="str">
        <f>"邱诚"</f>
        <v>邱诚</v>
      </c>
      <c r="D1341" s="5" t="str">
        <f>"460104199810141233"</f>
        <v>460104199810141233</v>
      </c>
      <c r="E1341" s="5" t="s">
        <v>15</v>
      </c>
      <c r="F1341" s="5" t="str">
        <f>"073103040204"</f>
        <v>073103040204</v>
      </c>
      <c r="G1341" s="7">
        <v>61.4</v>
      </c>
      <c r="H1341" s="7">
        <f t="shared" si="90"/>
        <v>30.7</v>
      </c>
      <c r="I1341" s="7">
        <v>63.243</v>
      </c>
      <c r="J1341" s="7">
        <f t="shared" si="91"/>
        <v>31.6215</v>
      </c>
      <c r="K1341" s="10">
        <f t="shared" si="92"/>
        <v>62.3215</v>
      </c>
      <c r="L1341" s="7">
        <f t="shared" si="93"/>
        <v>42</v>
      </c>
      <c r="M1341" s="11"/>
      <c r="N1341"/>
    </row>
    <row r="1342" spans="1:14" ht="24.75" customHeight="1">
      <c r="A1342" s="5">
        <v>1340</v>
      </c>
      <c r="B1342" s="5" t="s">
        <v>20</v>
      </c>
      <c r="C1342" s="5" t="str">
        <f>"麦曼娟"</f>
        <v>麦曼娟</v>
      </c>
      <c r="D1342" s="5" t="str">
        <f>"460003199812174643"</f>
        <v>460003199812174643</v>
      </c>
      <c r="E1342" s="5" t="s">
        <v>15</v>
      </c>
      <c r="F1342" s="5" t="str">
        <f>"073103040205"</f>
        <v>073103040205</v>
      </c>
      <c r="G1342" s="7">
        <v>71</v>
      </c>
      <c r="H1342" s="7">
        <f t="shared" si="90"/>
        <v>35.5</v>
      </c>
      <c r="I1342" s="7">
        <v>52.018</v>
      </c>
      <c r="J1342" s="7">
        <f t="shared" si="91"/>
        <v>26.009</v>
      </c>
      <c r="K1342" s="10">
        <f t="shared" si="92"/>
        <v>61.509</v>
      </c>
      <c r="L1342" s="7">
        <f t="shared" si="93"/>
        <v>43</v>
      </c>
      <c r="M1342" s="11"/>
      <c r="N1342"/>
    </row>
    <row r="1343" spans="1:14" ht="24.75" customHeight="1">
      <c r="A1343" s="5">
        <v>1341</v>
      </c>
      <c r="B1343" s="5" t="s">
        <v>20</v>
      </c>
      <c r="C1343" s="5" t="str">
        <f>"晏楠"</f>
        <v>晏楠</v>
      </c>
      <c r="D1343" s="5" t="str">
        <f>"362228199402180035"</f>
        <v>362228199402180035</v>
      </c>
      <c r="E1343" s="5" t="s">
        <v>15</v>
      </c>
      <c r="F1343" s="5" t="str">
        <f>"073103040340"</f>
        <v>073103040340</v>
      </c>
      <c r="G1343" s="7">
        <v>66.9</v>
      </c>
      <c r="H1343" s="7">
        <f t="shared" si="90"/>
        <v>33.45</v>
      </c>
      <c r="I1343" s="7">
        <v>53.778</v>
      </c>
      <c r="J1343" s="7">
        <f t="shared" si="91"/>
        <v>26.889</v>
      </c>
      <c r="K1343" s="10">
        <f t="shared" si="92"/>
        <v>60.339</v>
      </c>
      <c r="L1343" s="7">
        <f t="shared" si="93"/>
        <v>44</v>
      </c>
      <c r="M1343" s="11"/>
      <c r="N1343"/>
    </row>
    <row r="1344" spans="1:14" ht="24.75" customHeight="1">
      <c r="A1344" s="5">
        <v>1342</v>
      </c>
      <c r="B1344" s="5" t="s">
        <v>20</v>
      </c>
      <c r="C1344" s="5" t="str">
        <f>"羊莹莹"</f>
        <v>羊莹莹</v>
      </c>
      <c r="D1344" s="5" t="str">
        <f>"460300200001120628"</f>
        <v>460300200001120628</v>
      </c>
      <c r="E1344" s="5" t="s">
        <v>15</v>
      </c>
      <c r="F1344" s="5" t="str">
        <f>"073103040305"</f>
        <v>073103040305</v>
      </c>
      <c r="G1344" s="7">
        <v>66.4</v>
      </c>
      <c r="H1344" s="7">
        <f t="shared" si="90"/>
        <v>33.2</v>
      </c>
      <c r="I1344" s="7">
        <v>53.705</v>
      </c>
      <c r="J1344" s="7">
        <f t="shared" si="91"/>
        <v>26.8525</v>
      </c>
      <c r="K1344" s="10">
        <f t="shared" si="92"/>
        <v>60.0525</v>
      </c>
      <c r="L1344" s="7">
        <f t="shared" si="93"/>
        <v>45</v>
      </c>
      <c r="M1344" s="11"/>
      <c r="N1344"/>
    </row>
    <row r="1345" spans="1:14" ht="24.75" customHeight="1">
      <c r="A1345" s="5">
        <v>1343</v>
      </c>
      <c r="B1345" s="5" t="s">
        <v>20</v>
      </c>
      <c r="C1345" s="5" t="str">
        <f>"谭庆如"</f>
        <v>谭庆如</v>
      </c>
      <c r="D1345" s="5" t="str">
        <f>"460300199608070334"</f>
        <v>460300199608070334</v>
      </c>
      <c r="E1345" s="5" t="s">
        <v>15</v>
      </c>
      <c r="F1345" s="5" t="str">
        <f>"073103040234"</f>
        <v>073103040234</v>
      </c>
      <c r="G1345" s="7">
        <v>70</v>
      </c>
      <c r="H1345" s="7">
        <f t="shared" si="90"/>
        <v>35</v>
      </c>
      <c r="I1345" s="7">
        <v>49.523</v>
      </c>
      <c r="J1345" s="7">
        <f t="shared" si="91"/>
        <v>24.7615</v>
      </c>
      <c r="K1345" s="10">
        <f t="shared" si="92"/>
        <v>59.7615</v>
      </c>
      <c r="L1345" s="7">
        <f t="shared" si="93"/>
        <v>46</v>
      </c>
      <c r="M1345" s="11"/>
      <c r="N1345"/>
    </row>
    <row r="1346" spans="1:14" ht="24.75" customHeight="1">
      <c r="A1346" s="5">
        <v>1344</v>
      </c>
      <c r="B1346" s="5" t="s">
        <v>20</v>
      </c>
      <c r="C1346" s="5" t="str">
        <f>"周琼妹"</f>
        <v>周琼妹</v>
      </c>
      <c r="D1346" s="5" t="str">
        <f>"460003199509123448"</f>
        <v>460003199509123448</v>
      </c>
      <c r="E1346" s="5" t="s">
        <v>15</v>
      </c>
      <c r="F1346" s="5" t="str">
        <f>"073103040118"</f>
        <v>073103040118</v>
      </c>
      <c r="G1346" s="7">
        <v>68.6</v>
      </c>
      <c r="H1346" s="7">
        <f t="shared" si="90"/>
        <v>34.3</v>
      </c>
      <c r="I1346" s="7">
        <v>50.844</v>
      </c>
      <c r="J1346" s="7">
        <f t="shared" si="91"/>
        <v>25.422</v>
      </c>
      <c r="K1346" s="10">
        <f t="shared" si="92"/>
        <v>59.721999999999994</v>
      </c>
      <c r="L1346" s="7">
        <f t="shared" si="93"/>
        <v>47</v>
      </c>
      <c r="M1346" s="11"/>
      <c r="N1346"/>
    </row>
    <row r="1347" spans="1:14" ht="24.75" customHeight="1">
      <c r="A1347" s="5">
        <v>1345</v>
      </c>
      <c r="B1347" s="5" t="s">
        <v>20</v>
      </c>
      <c r="C1347" s="5" t="str">
        <f>"李明兴"</f>
        <v>李明兴</v>
      </c>
      <c r="D1347" s="5" t="str">
        <f>"460300199405080022"</f>
        <v>460300199405080022</v>
      </c>
      <c r="E1347" s="5" t="s">
        <v>15</v>
      </c>
      <c r="F1347" s="5" t="str">
        <f>"073103040332"</f>
        <v>073103040332</v>
      </c>
      <c r="G1347" s="7">
        <v>54.6</v>
      </c>
      <c r="H1347" s="7">
        <f aca="true" t="shared" si="94" ref="H1347:H1410">G1347*0.5</f>
        <v>27.3</v>
      </c>
      <c r="I1347" s="7">
        <v>63.243</v>
      </c>
      <c r="J1347" s="7">
        <f aca="true" t="shared" si="95" ref="J1347:J1410">I1347*0.5</f>
        <v>31.6215</v>
      </c>
      <c r="K1347" s="10">
        <f t="shared" si="92"/>
        <v>58.9215</v>
      </c>
      <c r="L1347" s="7">
        <f t="shared" si="93"/>
        <v>48</v>
      </c>
      <c r="M1347" s="11"/>
      <c r="N1347"/>
    </row>
    <row r="1348" spans="1:14" ht="24.75" customHeight="1">
      <c r="A1348" s="5">
        <v>1346</v>
      </c>
      <c r="B1348" s="5" t="s">
        <v>20</v>
      </c>
      <c r="C1348" s="5" t="str">
        <f>"邢其秋"</f>
        <v>邢其秋</v>
      </c>
      <c r="D1348" s="5" t="str">
        <f>"460300199311250027"</f>
        <v>460300199311250027</v>
      </c>
      <c r="E1348" s="5" t="s">
        <v>15</v>
      </c>
      <c r="F1348" s="5" t="str">
        <f>"073103040329"</f>
        <v>073103040329</v>
      </c>
      <c r="G1348" s="7">
        <v>80.7</v>
      </c>
      <c r="H1348" s="7">
        <f t="shared" si="94"/>
        <v>40.35</v>
      </c>
      <c r="I1348" s="7">
        <v>34.263</v>
      </c>
      <c r="J1348" s="7">
        <f t="shared" si="95"/>
        <v>17.1315</v>
      </c>
      <c r="K1348" s="10">
        <f t="shared" si="92"/>
        <v>57.4815</v>
      </c>
      <c r="L1348" s="7">
        <f t="shared" si="93"/>
        <v>49</v>
      </c>
      <c r="M1348" s="11"/>
      <c r="N1348"/>
    </row>
    <row r="1349" spans="1:14" ht="24.75" customHeight="1">
      <c r="A1349" s="5">
        <v>1347</v>
      </c>
      <c r="B1349" s="5" t="s">
        <v>20</v>
      </c>
      <c r="C1349" s="5" t="str">
        <f>"张蕊"</f>
        <v>张蕊</v>
      </c>
      <c r="D1349" s="5" t="str">
        <f>"230321199401050407"</f>
        <v>230321199401050407</v>
      </c>
      <c r="E1349" s="5" t="s">
        <v>15</v>
      </c>
      <c r="F1349" s="5" t="str">
        <f>"073103040318"</f>
        <v>073103040318</v>
      </c>
      <c r="G1349" s="7">
        <v>77.6</v>
      </c>
      <c r="H1349" s="7">
        <f t="shared" si="94"/>
        <v>38.8</v>
      </c>
      <c r="I1349" s="7">
        <v>34.996</v>
      </c>
      <c r="J1349" s="7">
        <f t="shared" si="95"/>
        <v>17.498</v>
      </c>
      <c r="K1349" s="10">
        <f t="shared" si="92"/>
        <v>56.298</v>
      </c>
      <c r="L1349" s="7">
        <f t="shared" si="93"/>
        <v>50</v>
      </c>
      <c r="M1349" s="11"/>
      <c r="N1349"/>
    </row>
    <row r="1350" spans="1:14" ht="24.75" customHeight="1">
      <c r="A1350" s="5">
        <v>1348</v>
      </c>
      <c r="B1350" s="5" t="s">
        <v>20</v>
      </c>
      <c r="C1350" s="5" t="str">
        <f>"陈金菊"</f>
        <v>陈金菊</v>
      </c>
      <c r="D1350" s="5" t="str">
        <f>"460300199612080623"</f>
        <v>460300199612080623</v>
      </c>
      <c r="E1350" s="5" t="s">
        <v>15</v>
      </c>
      <c r="F1350" s="5" t="str">
        <f>"073103040103"</f>
        <v>073103040103</v>
      </c>
      <c r="G1350" s="7">
        <v>59.8</v>
      </c>
      <c r="H1350" s="7">
        <f t="shared" si="94"/>
        <v>29.9</v>
      </c>
      <c r="I1350" s="7">
        <v>52.605</v>
      </c>
      <c r="J1350" s="7">
        <f t="shared" si="95"/>
        <v>26.3025</v>
      </c>
      <c r="K1350" s="10">
        <f t="shared" si="92"/>
        <v>56.2025</v>
      </c>
      <c r="L1350" s="7">
        <f t="shared" si="93"/>
        <v>51</v>
      </c>
      <c r="M1350" s="11"/>
      <c r="N1350"/>
    </row>
    <row r="1351" spans="1:14" ht="24.75" customHeight="1">
      <c r="A1351" s="5">
        <v>1349</v>
      </c>
      <c r="B1351" s="5" t="s">
        <v>20</v>
      </c>
      <c r="C1351" s="5" t="str">
        <f>"朱政"</f>
        <v>朱政</v>
      </c>
      <c r="D1351" s="5" t="str">
        <f>"460034200012100048"</f>
        <v>460034200012100048</v>
      </c>
      <c r="E1351" s="5" t="s">
        <v>15</v>
      </c>
      <c r="F1351" s="5" t="str">
        <f>"073103040211"</f>
        <v>073103040211</v>
      </c>
      <c r="G1351" s="7">
        <v>65.8</v>
      </c>
      <c r="H1351" s="7">
        <f t="shared" si="94"/>
        <v>32.9</v>
      </c>
      <c r="I1351" s="7">
        <v>42.553</v>
      </c>
      <c r="J1351" s="7">
        <f t="shared" si="95"/>
        <v>21.2765</v>
      </c>
      <c r="K1351" s="10">
        <f t="shared" si="92"/>
        <v>54.1765</v>
      </c>
      <c r="L1351" s="7">
        <f t="shared" si="93"/>
        <v>52</v>
      </c>
      <c r="M1351" s="11"/>
      <c r="N1351"/>
    </row>
    <row r="1352" spans="1:14" ht="24.75" customHeight="1">
      <c r="A1352" s="5">
        <v>1350</v>
      </c>
      <c r="B1352" s="5" t="s">
        <v>20</v>
      </c>
      <c r="C1352" s="5" t="str">
        <f>"王娜玉"</f>
        <v>王娜玉</v>
      </c>
      <c r="D1352" s="5" t="str">
        <f>"460028199303297626"</f>
        <v>460028199303297626</v>
      </c>
      <c r="E1352" s="5" t="s">
        <v>15</v>
      </c>
      <c r="F1352" s="5" t="str">
        <f>"073103040134"</f>
        <v>073103040134</v>
      </c>
      <c r="G1352" s="7">
        <v>73.1</v>
      </c>
      <c r="H1352" s="7">
        <f t="shared" si="94"/>
        <v>36.55</v>
      </c>
      <c r="I1352" s="7">
        <v>34.043</v>
      </c>
      <c r="J1352" s="7">
        <f t="shared" si="95"/>
        <v>17.0215</v>
      </c>
      <c r="K1352" s="10">
        <f t="shared" si="92"/>
        <v>53.5715</v>
      </c>
      <c r="L1352" s="7">
        <f t="shared" si="93"/>
        <v>53</v>
      </c>
      <c r="M1352" s="11"/>
      <c r="N1352"/>
    </row>
    <row r="1353" spans="1:14" ht="24.75" customHeight="1">
      <c r="A1353" s="5">
        <v>1351</v>
      </c>
      <c r="B1353" s="5" t="s">
        <v>20</v>
      </c>
      <c r="C1353" s="5" t="str">
        <f>"符大育"</f>
        <v>符大育</v>
      </c>
      <c r="D1353" s="5" t="str">
        <f>"460028199509073230"</f>
        <v>460028199509073230</v>
      </c>
      <c r="E1353" s="5" t="s">
        <v>15</v>
      </c>
      <c r="F1353" s="5" t="str">
        <f>"073103040434"</f>
        <v>073103040434</v>
      </c>
      <c r="G1353" s="7">
        <v>55.6</v>
      </c>
      <c r="H1353" s="7">
        <f t="shared" si="94"/>
        <v>27.8</v>
      </c>
      <c r="I1353" s="7">
        <v>50.257</v>
      </c>
      <c r="J1353" s="7">
        <f t="shared" si="95"/>
        <v>25.1285</v>
      </c>
      <c r="K1353" s="10">
        <f t="shared" si="92"/>
        <v>52.9285</v>
      </c>
      <c r="L1353" s="7">
        <f t="shared" si="93"/>
        <v>54</v>
      </c>
      <c r="M1353" s="11"/>
      <c r="N1353"/>
    </row>
    <row r="1354" spans="1:14" ht="24.75" customHeight="1">
      <c r="A1354" s="5">
        <v>1352</v>
      </c>
      <c r="B1354" s="5" t="s">
        <v>20</v>
      </c>
      <c r="C1354" s="5" t="str">
        <f>"胡龄"</f>
        <v>胡龄</v>
      </c>
      <c r="D1354" s="5" t="str">
        <f>"460300199608040020"</f>
        <v>460300199608040020</v>
      </c>
      <c r="E1354" s="5" t="s">
        <v>15</v>
      </c>
      <c r="F1354" s="5" t="str">
        <f>"073103040219"</f>
        <v>073103040219</v>
      </c>
      <c r="G1354" s="7">
        <v>63.3</v>
      </c>
      <c r="H1354" s="7">
        <f t="shared" si="94"/>
        <v>31.65</v>
      </c>
      <c r="I1354" s="7">
        <v>40.205</v>
      </c>
      <c r="J1354" s="7">
        <f t="shared" si="95"/>
        <v>20.1025</v>
      </c>
      <c r="K1354" s="10">
        <f t="shared" si="92"/>
        <v>51.7525</v>
      </c>
      <c r="L1354" s="7">
        <f t="shared" si="93"/>
        <v>55</v>
      </c>
      <c r="M1354" s="11"/>
      <c r="N1354"/>
    </row>
    <row r="1355" spans="1:14" ht="24.75" customHeight="1">
      <c r="A1355" s="5">
        <v>1353</v>
      </c>
      <c r="B1355" s="5" t="s">
        <v>20</v>
      </c>
      <c r="C1355" s="5" t="str">
        <f>"王亚超"</f>
        <v>王亚超</v>
      </c>
      <c r="D1355" s="5" t="str">
        <f>"460007199805080417"</f>
        <v>460007199805080417</v>
      </c>
      <c r="E1355" s="5" t="s">
        <v>15</v>
      </c>
      <c r="F1355" s="5" t="str">
        <f>"073103040506"</f>
        <v>073103040506</v>
      </c>
      <c r="G1355" s="7">
        <v>48.8</v>
      </c>
      <c r="H1355" s="7">
        <f t="shared" si="94"/>
        <v>24.4</v>
      </c>
      <c r="I1355" s="7">
        <v>53.999</v>
      </c>
      <c r="J1355" s="7">
        <f t="shared" si="95"/>
        <v>26.9995</v>
      </c>
      <c r="K1355" s="10">
        <f t="shared" si="92"/>
        <v>51.3995</v>
      </c>
      <c r="L1355" s="7">
        <f t="shared" si="93"/>
        <v>56</v>
      </c>
      <c r="M1355" s="11"/>
      <c r="N1355"/>
    </row>
    <row r="1356" spans="1:14" ht="24.75" customHeight="1">
      <c r="A1356" s="5">
        <v>1354</v>
      </c>
      <c r="B1356" s="5" t="s">
        <v>20</v>
      </c>
      <c r="C1356" s="5" t="str">
        <f>"黎克书"</f>
        <v>黎克书</v>
      </c>
      <c r="D1356" s="5" t="str">
        <f>"469003199712102237"</f>
        <v>469003199712102237</v>
      </c>
      <c r="E1356" s="5" t="s">
        <v>15</v>
      </c>
      <c r="F1356" s="5" t="str">
        <f>"073103040322"</f>
        <v>073103040322</v>
      </c>
      <c r="G1356" s="7">
        <v>61.6</v>
      </c>
      <c r="H1356" s="7">
        <f t="shared" si="94"/>
        <v>30.8</v>
      </c>
      <c r="I1356" s="7">
        <v>38.811</v>
      </c>
      <c r="J1356" s="7">
        <f t="shared" si="95"/>
        <v>19.4055</v>
      </c>
      <c r="K1356" s="10">
        <f aca="true" t="shared" si="96" ref="K1356:K1419">H1356+J1356</f>
        <v>50.2055</v>
      </c>
      <c r="L1356" s="7">
        <f t="shared" si="93"/>
        <v>57</v>
      </c>
      <c r="M1356" s="11"/>
      <c r="N1356"/>
    </row>
    <row r="1357" spans="1:14" ht="24.75" customHeight="1">
      <c r="A1357" s="5">
        <v>1355</v>
      </c>
      <c r="B1357" s="5" t="s">
        <v>20</v>
      </c>
      <c r="C1357" s="5" t="str">
        <f>"吴祥瑞"</f>
        <v>吴祥瑞</v>
      </c>
      <c r="D1357" s="5" t="str">
        <f>"460004199411124035"</f>
        <v>460004199411124035</v>
      </c>
      <c r="E1357" s="5" t="s">
        <v>15</v>
      </c>
      <c r="F1357" s="5" t="str">
        <f>"073103040220"</f>
        <v>073103040220</v>
      </c>
      <c r="G1357" s="7">
        <v>66.7</v>
      </c>
      <c r="H1357" s="7">
        <f t="shared" si="94"/>
        <v>33.35</v>
      </c>
      <c r="I1357" s="7">
        <v>32.135</v>
      </c>
      <c r="J1357" s="7">
        <f t="shared" si="95"/>
        <v>16.0675</v>
      </c>
      <c r="K1357" s="10">
        <f t="shared" si="96"/>
        <v>49.417500000000004</v>
      </c>
      <c r="L1357" s="7">
        <f t="shared" si="93"/>
        <v>58</v>
      </c>
      <c r="M1357" s="11"/>
      <c r="N1357"/>
    </row>
    <row r="1358" spans="1:14" ht="24.75" customHeight="1">
      <c r="A1358" s="5">
        <v>1356</v>
      </c>
      <c r="B1358" s="5" t="s">
        <v>20</v>
      </c>
      <c r="C1358" s="5" t="str">
        <f>"李林风"</f>
        <v>李林风</v>
      </c>
      <c r="D1358" s="5" t="str">
        <f>"460300199508080025"</f>
        <v>460300199508080025</v>
      </c>
      <c r="E1358" s="5" t="s">
        <v>15</v>
      </c>
      <c r="F1358" s="5" t="str">
        <f>"073103040325"</f>
        <v>073103040325</v>
      </c>
      <c r="G1358" s="7">
        <v>63.8</v>
      </c>
      <c r="H1358" s="7">
        <f t="shared" si="94"/>
        <v>31.9</v>
      </c>
      <c r="I1358" s="7">
        <v>34.409</v>
      </c>
      <c r="J1358" s="7">
        <f t="shared" si="95"/>
        <v>17.2045</v>
      </c>
      <c r="K1358" s="10">
        <f t="shared" si="96"/>
        <v>49.1045</v>
      </c>
      <c r="L1358" s="7">
        <f t="shared" si="93"/>
        <v>59</v>
      </c>
      <c r="M1358" s="11"/>
      <c r="N1358"/>
    </row>
    <row r="1359" spans="1:14" ht="24.75" customHeight="1">
      <c r="A1359" s="5">
        <v>1357</v>
      </c>
      <c r="B1359" s="5" t="s">
        <v>20</v>
      </c>
      <c r="C1359" s="5" t="str">
        <f>"符姣鸾"</f>
        <v>符姣鸾</v>
      </c>
      <c r="D1359" s="5" t="str">
        <f>"460003199510123445"</f>
        <v>460003199510123445</v>
      </c>
      <c r="E1359" s="5" t="s">
        <v>15</v>
      </c>
      <c r="F1359" s="5" t="str">
        <f>"073103040215"</f>
        <v>073103040215</v>
      </c>
      <c r="G1359" s="7">
        <v>60.8</v>
      </c>
      <c r="H1359" s="7">
        <f t="shared" si="94"/>
        <v>30.4</v>
      </c>
      <c r="I1359" s="7">
        <v>36.61</v>
      </c>
      <c r="J1359" s="7">
        <f t="shared" si="95"/>
        <v>18.305</v>
      </c>
      <c r="K1359" s="10">
        <f t="shared" si="96"/>
        <v>48.705</v>
      </c>
      <c r="L1359" s="7">
        <f t="shared" si="93"/>
        <v>60</v>
      </c>
      <c r="M1359" s="11"/>
      <c r="N1359"/>
    </row>
    <row r="1360" spans="1:14" ht="24.75" customHeight="1">
      <c r="A1360" s="5">
        <v>1358</v>
      </c>
      <c r="B1360" s="5" t="s">
        <v>20</v>
      </c>
      <c r="C1360" s="5" t="str">
        <f>"林日东"</f>
        <v>林日东</v>
      </c>
      <c r="D1360" s="5" t="str">
        <f>"460003199404070415"</f>
        <v>460003199404070415</v>
      </c>
      <c r="E1360" s="5" t="s">
        <v>15</v>
      </c>
      <c r="F1360" s="5" t="str">
        <f>"073103040217"</f>
        <v>073103040217</v>
      </c>
      <c r="G1360" s="7">
        <v>43.3</v>
      </c>
      <c r="H1360" s="7">
        <f t="shared" si="94"/>
        <v>21.65</v>
      </c>
      <c r="I1360" s="7">
        <v>52.384</v>
      </c>
      <c r="J1360" s="7">
        <f t="shared" si="95"/>
        <v>26.192</v>
      </c>
      <c r="K1360" s="10">
        <f t="shared" si="96"/>
        <v>47.842</v>
      </c>
      <c r="L1360" s="7">
        <f t="shared" si="93"/>
        <v>61</v>
      </c>
      <c r="M1360" s="11"/>
      <c r="N1360"/>
    </row>
    <row r="1361" spans="1:14" ht="24.75" customHeight="1">
      <c r="A1361" s="5">
        <v>1359</v>
      </c>
      <c r="B1361" s="5" t="s">
        <v>20</v>
      </c>
      <c r="C1361" s="5" t="str">
        <f>"李珠"</f>
        <v>李珠</v>
      </c>
      <c r="D1361" s="5" t="str">
        <f>"460300199706270049"</f>
        <v>460300199706270049</v>
      </c>
      <c r="E1361" s="5" t="s">
        <v>15</v>
      </c>
      <c r="F1361" s="5" t="str">
        <f>"073103040101"</f>
        <v>073103040101</v>
      </c>
      <c r="G1361" s="7">
        <v>56.6</v>
      </c>
      <c r="H1361" s="7">
        <f t="shared" si="94"/>
        <v>28.3</v>
      </c>
      <c r="I1361" s="7">
        <v>37.051</v>
      </c>
      <c r="J1361" s="7">
        <f t="shared" si="95"/>
        <v>18.5255</v>
      </c>
      <c r="K1361" s="10">
        <f t="shared" si="96"/>
        <v>46.825500000000005</v>
      </c>
      <c r="L1361" s="7">
        <f t="shared" si="93"/>
        <v>62</v>
      </c>
      <c r="M1361" s="11"/>
      <c r="N1361"/>
    </row>
    <row r="1362" spans="1:14" ht="24.75" customHeight="1">
      <c r="A1362" s="5">
        <v>1360</v>
      </c>
      <c r="B1362" s="5" t="s">
        <v>20</v>
      </c>
      <c r="C1362" s="5" t="str">
        <f>"杨璐"</f>
        <v>杨璐</v>
      </c>
      <c r="D1362" s="5" t="str">
        <f>"460102199802230321"</f>
        <v>460102199802230321</v>
      </c>
      <c r="E1362" s="5" t="s">
        <v>15</v>
      </c>
      <c r="F1362" s="5" t="str">
        <f>"073103040407"</f>
        <v>073103040407</v>
      </c>
      <c r="G1362" s="7">
        <v>20.2</v>
      </c>
      <c r="H1362" s="7">
        <f t="shared" si="94"/>
        <v>10.1</v>
      </c>
      <c r="I1362" s="7">
        <v>73.294</v>
      </c>
      <c r="J1362" s="7">
        <f t="shared" si="95"/>
        <v>36.647</v>
      </c>
      <c r="K1362" s="10">
        <f t="shared" si="96"/>
        <v>46.747</v>
      </c>
      <c r="L1362" s="7">
        <f t="shared" si="93"/>
        <v>63</v>
      </c>
      <c r="M1362" s="11"/>
      <c r="N1362"/>
    </row>
    <row r="1363" spans="1:14" ht="24.75" customHeight="1">
      <c r="A1363" s="5">
        <v>1361</v>
      </c>
      <c r="B1363" s="5" t="s">
        <v>20</v>
      </c>
      <c r="C1363" s="5" t="str">
        <f>"周冠良"</f>
        <v>周冠良</v>
      </c>
      <c r="D1363" s="5" t="str">
        <f>"460102199402152715"</f>
        <v>460102199402152715</v>
      </c>
      <c r="E1363" s="5" t="s">
        <v>15</v>
      </c>
      <c r="F1363" s="5" t="str">
        <f>"073103040216"</f>
        <v>073103040216</v>
      </c>
      <c r="G1363" s="7">
        <v>34</v>
      </c>
      <c r="H1363" s="7">
        <f t="shared" si="94"/>
        <v>17</v>
      </c>
      <c r="I1363" s="7">
        <v>59.208</v>
      </c>
      <c r="J1363" s="7">
        <f t="shared" si="95"/>
        <v>29.604</v>
      </c>
      <c r="K1363" s="10">
        <f t="shared" si="96"/>
        <v>46.604</v>
      </c>
      <c r="L1363" s="7">
        <f t="shared" si="93"/>
        <v>64</v>
      </c>
      <c r="M1363" s="11"/>
      <c r="N1363"/>
    </row>
    <row r="1364" spans="1:14" ht="24.75" customHeight="1">
      <c r="A1364" s="5">
        <v>1362</v>
      </c>
      <c r="B1364" s="5" t="s">
        <v>20</v>
      </c>
      <c r="C1364" s="5" t="str">
        <f>"林天秀"</f>
        <v>林天秀</v>
      </c>
      <c r="D1364" s="5" t="str">
        <f>"46000319960708442X"</f>
        <v>46000319960708442X</v>
      </c>
      <c r="E1364" s="5" t="s">
        <v>15</v>
      </c>
      <c r="F1364" s="5" t="str">
        <f>"073103040417"</f>
        <v>073103040417</v>
      </c>
      <c r="G1364" s="7">
        <v>72.5</v>
      </c>
      <c r="H1364" s="7">
        <f t="shared" si="94"/>
        <v>36.25</v>
      </c>
      <c r="I1364" s="7">
        <v>19.442</v>
      </c>
      <c r="J1364" s="7">
        <f t="shared" si="95"/>
        <v>9.721</v>
      </c>
      <c r="K1364" s="10">
        <f t="shared" si="96"/>
        <v>45.971000000000004</v>
      </c>
      <c r="L1364" s="7">
        <f aca="true" t="shared" si="97" ref="L1364:L1427">RANK(K1364,$K$1300:$K$1479,0)</f>
        <v>65</v>
      </c>
      <c r="M1364" s="11"/>
      <c r="N1364"/>
    </row>
    <row r="1365" spans="1:14" ht="24.75" customHeight="1">
      <c r="A1365" s="5">
        <v>1363</v>
      </c>
      <c r="B1365" s="5" t="s">
        <v>20</v>
      </c>
      <c r="C1365" s="5" t="str">
        <f>"陈丽丹"</f>
        <v>陈丽丹</v>
      </c>
      <c r="D1365" s="5" t="str">
        <f>"460300199701310021"</f>
        <v>460300199701310021</v>
      </c>
      <c r="E1365" s="5" t="s">
        <v>15</v>
      </c>
      <c r="F1365" s="5" t="str">
        <f>"073103040233"</f>
        <v>073103040233</v>
      </c>
      <c r="G1365" s="7">
        <v>54</v>
      </c>
      <c r="H1365" s="7">
        <f t="shared" si="94"/>
        <v>27</v>
      </c>
      <c r="I1365" s="7">
        <v>37.931</v>
      </c>
      <c r="J1365" s="7">
        <f t="shared" si="95"/>
        <v>18.9655</v>
      </c>
      <c r="K1365" s="10">
        <f t="shared" si="96"/>
        <v>45.9655</v>
      </c>
      <c r="L1365" s="7">
        <f t="shared" si="97"/>
        <v>66</v>
      </c>
      <c r="M1365" s="11"/>
      <c r="N1365"/>
    </row>
    <row r="1366" spans="1:14" ht="24.75" customHeight="1">
      <c r="A1366" s="5">
        <v>1364</v>
      </c>
      <c r="B1366" s="5" t="s">
        <v>20</v>
      </c>
      <c r="C1366" s="5" t="str">
        <f>"胡丽香"</f>
        <v>胡丽香</v>
      </c>
      <c r="D1366" s="5" t="str">
        <f>"460300199707060043"</f>
        <v>460300199707060043</v>
      </c>
      <c r="E1366" s="5" t="s">
        <v>15</v>
      </c>
      <c r="F1366" s="5" t="str">
        <f>"073103040303"</f>
        <v>073103040303</v>
      </c>
      <c r="G1366" s="7">
        <v>48.8</v>
      </c>
      <c r="H1366" s="7">
        <f t="shared" si="94"/>
        <v>24.4</v>
      </c>
      <c r="I1366" s="7">
        <v>38.298</v>
      </c>
      <c r="J1366" s="7">
        <f t="shared" si="95"/>
        <v>19.149</v>
      </c>
      <c r="K1366" s="10">
        <f t="shared" si="96"/>
        <v>43.549</v>
      </c>
      <c r="L1366" s="7">
        <f t="shared" si="97"/>
        <v>67</v>
      </c>
      <c r="M1366" s="11"/>
      <c r="N1366"/>
    </row>
    <row r="1367" spans="1:14" ht="24.75" customHeight="1">
      <c r="A1367" s="5">
        <v>1365</v>
      </c>
      <c r="B1367" s="5" t="s">
        <v>20</v>
      </c>
      <c r="C1367" s="5" t="str">
        <f>"陈月娇"</f>
        <v>陈月娇</v>
      </c>
      <c r="D1367" s="5" t="str">
        <f>"460003199908093426"</f>
        <v>460003199908093426</v>
      </c>
      <c r="E1367" s="5" t="s">
        <v>15</v>
      </c>
      <c r="F1367" s="5" t="str">
        <f>"073103040331"</f>
        <v>073103040331</v>
      </c>
      <c r="G1367" s="7">
        <v>51.2</v>
      </c>
      <c r="H1367" s="7">
        <f t="shared" si="94"/>
        <v>25.6</v>
      </c>
      <c r="I1367" s="7">
        <v>35.51</v>
      </c>
      <c r="J1367" s="7">
        <f t="shared" si="95"/>
        <v>17.755</v>
      </c>
      <c r="K1367" s="10">
        <f t="shared" si="96"/>
        <v>43.355000000000004</v>
      </c>
      <c r="L1367" s="7">
        <f t="shared" si="97"/>
        <v>68</v>
      </c>
      <c r="M1367" s="11"/>
      <c r="N1367"/>
    </row>
    <row r="1368" spans="1:14" ht="24.75" customHeight="1">
      <c r="A1368" s="5">
        <v>1366</v>
      </c>
      <c r="B1368" s="5" t="s">
        <v>20</v>
      </c>
      <c r="C1368" s="5" t="str">
        <f>"符益艳"</f>
        <v>符益艳</v>
      </c>
      <c r="D1368" s="5" t="str">
        <f>"460003199710203423"</f>
        <v>460003199710203423</v>
      </c>
      <c r="E1368" s="5" t="s">
        <v>15</v>
      </c>
      <c r="F1368" s="5" t="str">
        <f>"073103040122"</f>
        <v>073103040122</v>
      </c>
      <c r="G1368" s="7">
        <v>40</v>
      </c>
      <c r="H1368" s="7">
        <f t="shared" si="94"/>
        <v>20</v>
      </c>
      <c r="I1368" s="7">
        <v>35.73</v>
      </c>
      <c r="J1368" s="7">
        <f t="shared" si="95"/>
        <v>17.865</v>
      </c>
      <c r="K1368" s="10">
        <f t="shared" si="96"/>
        <v>37.864999999999995</v>
      </c>
      <c r="L1368" s="7">
        <f t="shared" si="97"/>
        <v>69</v>
      </c>
      <c r="M1368" s="11"/>
      <c r="N1368"/>
    </row>
    <row r="1369" spans="1:14" ht="24.75" customHeight="1">
      <c r="A1369" s="5">
        <v>1367</v>
      </c>
      <c r="B1369" s="5" t="s">
        <v>20</v>
      </c>
      <c r="C1369" s="5" t="str">
        <f>"符玲玉"</f>
        <v>符玲玉</v>
      </c>
      <c r="D1369" s="5" t="str">
        <f>"460300199806290629"</f>
        <v>460300199806290629</v>
      </c>
      <c r="E1369" s="5" t="s">
        <v>15</v>
      </c>
      <c r="F1369" s="5" t="str">
        <f>"073103040409"</f>
        <v>073103040409</v>
      </c>
      <c r="G1369" s="7">
        <v>72.7</v>
      </c>
      <c r="H1369" s="7">
        <f t="shared" si="94"/>
        <v>36.35</v>
      </c>
      <c r="I1369" s="7">
        <v>0</v>
      </c>
      <c r="J1369" s="7">
        <f t="shared" si="95"/>
        <v>0</v>
      </c>
      <c r="K1369" s="10">
        <f t="shared" si="96"/>
        <v>36.35</v>
      </c>
      <c r="L1369" s="7">
        <f t="shared" si="97"/>
        <v>70</v>
      </c>
      <c r="M1369" s="11"/>
      <c r="N1369"/>
    </row>
    <row r="1370" spans="1:14" ht="24.75" customHeight="1">
      <c r="A1370" s="5">
        <v>1368</v>
      </c>
      <c r="B1370" s="5" t="s">
        <v>20</v>
      </c>
      <c r="C1370" s="5" t="str">
        <f>"李源诗"</f>
        <v>李源诗</v>
      </c>
      <c r="D1370" s="5" t="str">
        <f>"460300199803010038"</f>
        <v>460300199803010038</v>
      </c>
      <c r="E1370" s="5" t="s">
        <v>15</v>
      </c>
      <c r="F1370" s="5" t="str">
        <f>"073103040330"</f>
        <v>073103040330</v>
      </c>
      <c r="G1370" s="7">
        <v>29.3</v>
      </c>
      <c r="H1370" s="7">
        <f t="shared" si="94"/>
        <v>14.65</v>
      </c>
      <c r="I1370" s="7">
        <v>37.344</v>
      </c>
      <c r="J1370" s="7">
        <f t="shared" si="95"/>
        <v>18.672</v>
      </c>
      <c r="K1370" s="10">
        <f t="shared" si="96"/>
        <v>33.322</v>
      </c>
      <c r="L1370" s="7">
        <f t="shared" si="97"/>
        <v>71</v>
      </c>
      <c r="M1370" s="11"/>
      <c r="N1370"/>
    </row>
    <row r="1371" spans="1:14" ht="24.75" customHeight="1">
      <c r="A1371" s="5">
        <v>1369</v>
      </c>
      <c r="B1371" s="5" t="s">
        <v>20</v>
      </c>
      <c r="C1371" s="5" t="str">
        <f>"陈飞"</f>
        <v>陈飞</v>
      </c>
      <c r="D1371" s="5" t="str">
        <f>"460004199304085667"</f>
        <v>460004199304085667</v>
      </c>
      <c r="E1371" s="5" t="s">
        <v>15</v>
      </c>
      <c r="F1371" s="5" t="str">
        <f>"073103040513"</f>
        <v>073103040513</v>
      </c>
      <c r="G1371" s="7">
        <v>13.7</v>
      </c>
      <c r="H1371" s="7">
        <f t="shared" si="94"/>
        <v>6.85</v>
      </c>
      <c r="I1371" s="7">
        <v>45.635</v>
      </c>
      <c r="J1371" s="7">
        <f t="shared" si="95"/>
        <v>22.8175</v>
      </c>
      <c r="K1371" s="10">
        <f t="shared" si="96"/>
        <v>29.667499999999997</v>
      </c>
      <c r="L1371" s="7">
        <f t="shared" si="97"/>
        <v>72</v>
      </c>
      <c r="M1371" s="11"/>
      <c r="N1371"/>
    </row>
    <row r="1372" spans="1:14" ht="24.75" customHeight="1">
      <c r="A1372" s="5">
        <v>1370</v>
      </c>
      <c r="B1372" s="5" t="s">
        <v>20</v>
      </c>
      <c r="C1372" s="5" t="str">
        <f>"王积英"</f>
        <v>王积英</v>
      </c>
      <c r="D1372" s="5" t="str">
        <f>"460028199304081229"</f>
        <v>460028199304081229</v>
      </c>
      <c r="E1372" s="5" t="s">
        <v>15</v>
      </c>
      <c r="F1372" s="5" t="str">
        <f>"073103040102"</f>
        <v>073103040102</v>
      </c>
      <c r="G1372" s="7">
        <v>0</v>
      </c>
      <c r="H1372" s="7">
        <f t="shared" si="94"/>
        <v>0</v>
      </c>
      <c r="I1372" s="7">
        <v>0</v>
      </c>
      <c r="J1372" s="7">
        <f t="shared" si="95"/>
        <v>0</v>
      </c>
      <c r="K1372" s="10">
        <f t="shared" si="96"/>
        <v>0</v>
      </c>
      <c r="L1372" s="7">
        <f t="shared" si="97"/>
        <v>73</v>
      </c>
      <c r="M1372" s="13" t="s">
        <v>18</v>
      </c>
      <c r="N1372"/>
    </row>
    <row r="1373" spans="1:14" ht="24.75" customHeight="1">
      <c r="A1373" s="5">
        <v>1371</v>
      </c>
      <c r="B1373" s="5" t="s">
        <v>20</v>
      </c>
      <c r="C1373" s="5" t="str">
        <f>"李明仁"</f>
        <v>李明仁</v>
      </c>
      <c r="D1373" s="5" t="str">
        <f>"460300199310190018"</f>
        <v>460300199310190018</v>
      </c>
      <c r="E1373" s="5" t="s">
        <v>15</v>
      </c>
      <c r="F1373" s="5" t="str">
        <f>"073103040104"</f>
        <v>073103040104</v>
      </c>
      <c r="G1373" s="7">
        <v>0</v>
      </c>
      <c r="H1373" s="7">
        <f t="shared" si="94"/>
        <v>0</v>
      </c>
      <c r="I1373" s="7">
        <v>0</v>
      </c>
      <c r="J1373" s="7">
        <f t="shared" si="95"/>
        <v>0</v>
      </c>
      <c r="K1373" s="10">
        <f t="shared" si="96"/>
        <v>0</v>
      </c>
      <c r="L1373" s="7">
        <f t="shared" si="97"/>
        <v>73</v>
      </c>
      <c r="M1373" s="13" t="s">
        <v>18</v>
      </c>
      <c r="N1373"/>
    </row>
    <row r="1374" spans="1:14" ht="24.75" customHeight="1">
      <c r="A1374" s="5">
        <v>1372</v>
      </c>
      <c r="B1374" s="5" t="s">
        <v>20</v>
      </c>
      <c r="C1374" s="5" t="str">
        <f>"林雪曼"</f>
        <v>林雪曼</v>
      </c>
      <c r="D1374" s="5" t="str">
        <f>"460003199303082628"</f>
        <v>460003199303082628</v>
      </c>
      <c r="E1374" s="5" t="s">
        <v>15</v>
      </c>
      <c r="F1374" s="5" t="str">
        <f>"073103040105"</f>
        <v>073103040105</v>
      </c>
      <c r="G1374" s="7">
        <v>0</v>
      </c>
      <c r="H1374" s="7">
        <f t="shared" si="94"/>
        <v>0</v>
      </c>
      <c r="I1374" s="7">
        <v>0</v>
      </c>
      <c r="J1374" s="7">
        <f t="shared" si="95"/>
        <v>0</v>
      </c>
      <c r="K1374" s="10">
        <f t="shared" si="96"/>
        <v>0</v>
      </c>
      <c r="L1374" s="7">
        <f t="shared" si="97"/>
        <v>73</v>
      </c>
      <c r="M1374" s="13" t="s">
        <v>18</v>
      </c>
      <c r="N1374"/>
    </row>
    <row r="1375" spans="1:14" ht="24.75" customHeight="1">
      <c r="A1375" s="5">
        <v>1373</v>
      </c>
      <c r="B1375" s="5" t="s">
        <v>20</v>
      </c>
      <c r="C1375" s="5" t="str">
        <f>"冯琳"</f>
        <v>冯琳</v>
      </c>
      <c r="D1375" s="5" t="str">
        <f>"230321199706280422"</f>
        <v>230321199706280422</v>
      </c>
      <c r="E1375" s="5" t="s">
        <v>15</v>
      </c>
      <c r="F1375" s="5" t="str">
        <f>"073103040106"</f>
        <v>073103040106</v>
      </c>
      <c r="G1375" s="7">
        <v>0</v>
      </c>
      <c r="H1375" s="7">
        <f t="shared" si="94"/>
        <v>0</v>
      </c>
      <c r="I1375" s="7">
        <v>0</v>
      </c>
      <c r="J1375" s="7">
        <f t="shared" si="95"/>
        <v>0</v>
      </c>
      <c r="K1375" s="10">
        <f t="shared" si="96"/>
        <v>0</v>
      </c>
      <c r="L1375" s="7">
        <f t="shared" si="97"/>
        <v>73</v>
      </c>
      <c r="M1375" s="13" t="s">
        <v>18</v>
      </c>
      <c r="N1375"/>
    </row>
    <row r="1376" spans="1:14" ht="24.75" customHeight="1">
      <c r="A1376" s="5">
        <v>1374</v>
      </c>
      <c r="B1376" s="5" t="s">
        <v>20</v>
      </c>
      <c r="C1376" s="5" t="str">
        <f>"王如玉"</f>
        <v>王如玉</v>
      </c>
      <c r="D1376" s="5" t="str">
        <f>"460003199704045625"</f>
        <v>460003199704045625</v>
      </c>
      <c r="E1376" s="5" t="s">
        <v>15</v>
      </c>
      <c r="F1376" s="5" t="str">
        <f>"073103040107"</f>
        <v>073103040107</v>
      </c>
      <c r="G1376" s="7">
        <v>0</v>
      </c>
      <c r="H1376" s="7">
        <f t="shared" si="94"/>
        <v>0</v>
      </c>
      <c r="I1376" s="7">
        <v>0</v>
      </c>
      <c r="J1376" s="7">
        <f t="shared" si="95"/>
        <v>0</v>
      </c>
      <c r="K1376" s="10">
        <f t="shared" si="96"/>
        <v>0</v>
      </c>
      <c r="L1376" s="7">
        <f t="shared" si="97"/>
        <v>73</v>
      </c>
      <c r="M1376" s="13" t="s">
        <v>18</v>
      </c>
      <c r="N1376"/>
    </row>
    <row r="1377" spans="1:14" ht="24.75" customHeight="1">
      <c r="A1377" s="5">
        <v>1375</v>
      </c>
      <c r="B1377" s="5" t="s">
        <v>20</v>
      </c>
      <c r="C1377" s="5" t="str">
        <f>"周幽兰"</f>
        <v>周幽兰</v>
      </c>
      <c r="D1377" s="5" t="str">
        <f>"422802199404081749"</f>
        <v>422802199404081749</v>
      </c>
      <c r="E1377" s="5" t="s">
        <v>15</v>
      </c>
      <c r="F1377" s="5" t="str">
        <f>"073103040108"</f>
        <v>073103040108</v>
      </c>
      <c r="G1377" s="7">
        <v>0</v>
      </c>
      <c r="H1377" s="7">
        <f t="shared" si="94"/>
        <v>0</v>
      </c>
      <c r="I1377" s="7">
        <v>0</v>
      </c>
      <c r="J1377" s="7">
        <f t="shared" si="95"/>
        <v>0</v>
      </c>
      <c r="K1377" s="10">
        <f t="shared" si="96"/>
        <v>0</v>
      </c>
      <c r="L1377" s="7">
        <f t="shared" si="97"/>
        <v>73</v>
      </c>
      <c r="M1377" s="13" t="s">
        <v>18</v>
      </c>
      <c r="N1377"/>
    </row>
    <row r="1378" spans="1:14" ht="24.75" customHeight="1">
      <c r="A1378" s="5">
        <v>1376</v>
      </c>
      <c r="B1378" s="5" t="s">
        <v>20</v>
      </c>
      <c r="C1378" s="5" t="str">
        <f>"龙俞先"</f>
        <v>龙俞先</v>
      </c>
      <c r="D1378" s="5" t="str">
        <f>"452629199812032721"</f>
        <v>452629199812032721</v>
      </c>
      <c r="E1378" s="5" t="s">
        <v>15</v>
      </c>
      <c r="F1378" s="5" t="str">
        <f>"073103040110"</f>
        <v>073103040110</v>
      </c>
      <c r="G1378" s="7">
        <v>0</v>
      </c>
      <c r="H1378" s="7">
        <f t="shared" si="94"/>
        <v>0</v>
      </c>
      <c r="I1378" s="7">
        <v>0</v>
      </c>
      <c r="J1378" s="7">
        <f t="shared" si="95"/>
        <v>0</v>
      </c>
      <c r="K1378" s="10">
        <f t="shared" si="96"/>
        <v>0</v>
      </c>
      <c r="L1378" s="7">
        <f t="shared" si="97"/>
        <v>73</v>
      </c>
      <c r="M1378" s="13" t="s">
        <v>18</v>
      </c>
      <c r="N1378"/>
    </row>
    <row r="1379" spans="1:14" ht="24.75" customHeight="1">
      <c r="A1379" s="5">
        <v>1377</v>
      </c>
      <c r="B1379" s="5" t="s">
        <v>20</v>
      </c>
      <c r="C1379" s="5" t="str">
        <f>"赵颖"</f>
        <v>赵颖</v>
      </c>
      <c r="D1379" s="5" t="str">
        <f>"460026199710023929"</f>
        <v>460026199710023929</v>
      </c>
      <c r="E1379" s="5" t="s">
        <v>15</v>
      </c>
      <c r="F1379" s="5" t="str">
        <f>"073103040111"</f>
        <v>073103040111</v>
      </c>
      <c r="G1379" s="7">
        <v>0</v>
      </c>
      <c r="H1379" s="7">
        <f t="shared" si="94"/>
        <v>0</v>
      </c>
      <c r="I1379" s="7">
        <v>0</v>
      </c>
      <c r="J1379" s="7">
        <f t="shared" si="95"/>
        <v>0</v>
      </c>
      <c r="K1379" s="10">
        <f t="shared" si="96"/>
        <v>0</v>
      </c>
      <c r="L1379" s="7">
        <f t="shared" si="97"/>
        <v>73</v>
      </c>
      <c r="M1379" s="13" t="s">
        <v>18</v>
      </c>
      <c r="N1379"/>
    </row>
    <row r="1380" spans="1:14" ht="24.75" customHeight="1">
      <c r="A1380" s="5">
        <v>1378</v>
      </c>
      <c r="B1380" s="5" t="s">
        <v>20</v>
      </c>
      <c r="C1380" s="5" t="str">
        <f>"李菁菁"</f>
        <v>李菁菁</v>
      </c>
      <c r="D1380" s="5" t="str">
        <f>"469023199905261328"</f>
        <v>469023199905261328</v>
      </c>
      <c r="E1380" s="5" t="s">
        <v>15</v>
      </c>
      <c r="F1380" s="5" t="str">
        <f>"073103040112"</f>
        <v>073103040112</v>
      </c>
      <c r="G1380" s="7">
        <v>0</v>
      </c>
      <c r="H1380" s="7">
        <f t="shared" si="94"/>
        <v>0</v>
      </c>
      <c r="I1380" s="7">
        <v>0</v>
      </c>
      <c r="J1380" s="7">
        <f t="shared" si="95"/>
        <v>0</v>
      </c>
      <c r="K1380" s="10">
        <f t="shared" si="96"/>
        <v>0</v>
      </c>
      <c r="L1380" s="7">
        <f t="shared" si="97"/>
        <v>73</v>
      </c>
      <c r="M1380" s="13" t="s">
        <v>18</v>
      </c>
      <c r="N1380"/>
    </row>
    <row r="1381" spans="1:14" ht="24.75" customHeight="1">
      <c r="A1381" s="5">
        <v>1379</v>
      </c>
      <c r="B1381" s="5" t="s">
        <v>20</v>
      </c>
      <c r="C1381" s="5" t="str">
        <f>"钟伟 "</f>
        <v>钟伟 </v>
      </c>
      <c r="D1381" s="5" t="str">
        <f>"460028199311280015"</f>
        <v>460028199311280015</v>
      </c>
      <c r="E1381" s="5" t="s">
        <v>15</v>
      </c>
      <c r="F1381" s="5" t="str">
        <f>"073103040113"</f>
        <v>073103040113</v>
      </c>
      <c r="G1381" s="7">
        <v>0</v>
      </c>
      <c r="H1381" s="7">
        <f t="shared" si="94"/>
        <v>0</v>
      </c>
      <c r="I1381" s="7">
        <v>0</v>
      </c>
      <c r="J1381" s="7">
        <f t="shared" si="95"/>
        <v>0</v>
      </c>
      <c r="K1381" s="10">
        <f t="shared" si="96"/>
        <v>0</v>
      </c>
      <c r="L1381" s="7">
        <f t="shared" si="97"/>
        <v>73</v>
      </c>
      <c r="M1381" s="13" t="s">
        <v>18</v>
      </c>
      <c r="N1381"/>
    </row>
    <row r="1382" spans="1:14" ht="24.75" customHeight="1">
      <c r="A1382" s="5">
        <v>1380</v>
      </c>
      <c r="B1382" s="5" t="s">
        <v>20</v>
      </c>
      <c r="C1382" s="5" t="str">
        <f>"黄丽娟"</f>
        <v>黄丽娟</v>
      </c>
      <c r="D1382" s="5" t="str">
        <f>"460003199712293469"</f>
        <v>460003199712293469</v>
      </c>
      <c r="E1382" s="5" t="s">
        <v>15</v>
      </c>
      <c r="F1382" s="5" t="str">
        <f>"073103040115"</f>
        <v>073103040115</v>
      </c>
      <c r="G1382" s="7">
        <v>0</v>
      </c>
      <c r="H1382" s="7">
        <f t="shared" si="94"/>
        <v>0</v>
      </c>
      <c r="I1382" s="7">
        <v>0</v>
      </c>
      <c r="J1382" s="7">
        <f t="shared" si="95"/>
        <v>0</v>
      </c>
      <c r="K1382" s="10">
        <f t="shared" si="96"/>
        <v>0</v>
      </c>
      <c r="L1382" s="7">
        <f t="shared" si="97"/>
        <v>73</v>
      </c>
      <c r="M1382" s="13" t="s">
        <v>18</v>
      </c>
      <c r="N1382"/>
    </row>
    <row r="1383" spans="1:14" ht="24.75" customHeight="1">
      <c r="A1383" s="5">
        <v>1381</v>
      </c>
      <c r="B1383" s="5" t="s">
        <v>20</v>
      </c>
      <c r="C1383" s="5" t="str">
        <f>"王迪"</f>
        <v>王迪</v>
      </c>
      <c r="D1383" s="5" t="str">
        <f>"220122199303017228"</f>
        <v>220122199303017228</v>
      </c>
      <c r="E1383" s="5" t="s">
        <v>15</v>
      </c>
      <c r="F1383" s="5" t="str">
        <f>"073103040116"</f>
        <v>073103040116</v>
      </c>
      <c r="G1383" s="7">
        <v>0</v>
      </c>
      <c r="H1383" s="7">
        <f t="shared" si="94"/>
        <v>0</v>
      </c>
      <c r="I1383" s="7">
        <v>0</v>
      </c>
      <c r="J1383" s="7">
        <f t="shared" si="95"/>
        <v>0</v>
      </c>
      <c r="K1383" s="10">
        <f t="shared" si="96"/>
        <v>0</v>
      </c>
      <c r="L1383" s="7">
        <f t="shared" si="97"/>
        <v>73</v>
      </c>
      <c r="M1383" s="13" t="s">
        <v>18</v>
      </c>
      <c r="N1383"/>
    </row>
    <row r="1384" spans="1:14" ht="24.75" customHeight="1">
      <c r="A1384" s="5">
        <v>1382</v>
      </c>
      <c r="B1384" s="5" t="s">
        <v>20</v>
      </c>
      <c r="C1384" s="5" t="str">
        <f>"吴廷锋"</f>
        <v>吴廷锋</v>
      </c>
      <c r="D1384" s="5" t="str">
        <f>"460006199804202332"</f>
        <v>460006199804202332</v>
      </c>
      <c r="E1384" s="5" t="s">
        <v>15</v>
      </c>
      <c r="F1384" s="5" t="str">
        <f>"073103040117"</f>
        <v>073103040117</v>
      </c>
      <c r="G1384" s="7">
        <v>0</v>
      </c>
      <c r="H1384" s="7">
        <f t="shared" si="94"/>
        <v>0</v>
      </c>
      <c r="I1384" s="7">
        <v>0</v>
      </c>
      <c r="J1384" s="7">
        <f t="shared" si="95"/>
        <v>0</v>
      </c>
      <c r="K1384" s="10">
        <f t="shared" si="96"/>
        <v>0</v>
      </c>
      <c r="L1384" s="7">
        <f t="shared" si="97"/>
        <v>73</v>
      </c>
      <c r="M1384" s="13" t="s">
        <v>18</v>
      </c>
      <c r="N1384"/>
    </row>
    <row r="1385" spans="1:14" ht="24.75" customHeight="1">
      <c r="A1385" s="5">
        <v>1383</v>
      </c>
      <c r="B1385" s="5" t="s">
        <v>20</v>
      </c>
      <c r="C1385" s="5" t="str">
        <f>"陈丽虹"</f>
        <v>陈丽虹</v>
      </c>
      <c r="D1385" s="5" t="str">
        <f>"460006199708224822"</f>
        <v>460006199708224822</v>
      </c>
      <c r="E1385" s="5" t="s">
        <v>15</v>
      </c>
      <c r="F1385" s="5" t="str">
        <f>"073103040121"</f>
        <v>073103040121</v>
      </c>
      <c r="G1385" s="7">
        <v>0</v>
      </c>
      <c r="H1385" s="7">
        <f t="shared" si="94"/>
        <v>0</v>
      </c>
      <c r="I1385" s="7">
        <v>0</v>
      </c>
      <c r="J1385" s="7">
        <f t="shared" si="95"/>
        <v>0</v>
      </c>
      <c r="K1385" s="10">
        <f t="shared" si="96"/>
        <v>0</v>
      </c>
      <c r="L1385" s="7">
        <f t="shared" si="97"/>
        <v>73</v>
      </c>
      <c r="M1385" s="13" t="s">
        <v>18</v>
      </c>
      <c r="N1385"/>
    </row>
    <row r="1386" spans="1:14" ht="24.75" customHeight="1">
      <c r="A1386" s="5">
        <v>1384</v>
      </c>
      <c r="B1386" s="5" t="s">
        <v>20</v>
      </c>
      <c r="C1386" s="5" t="str">
        <f>"唐翠女"</f>
        <v>唐翠女</v>
      </c>
      <c r="D1386" s="5" t="str">
        <f>"460300199705090628"</f>
        <v>460300199705090628</v>
      </c>
      <c r="E1386" s="5" t="s">
        <v>15</v>
      </c>
      <c r="F1386" s="5" t="str">
        <f>"073103040123"</f>
        <v>073103040123</v>
      </c>
      <c r="G1386" s="7">
        <v>0</v>
      </c>
      <c r="H1386" s="7">
        <f t="shared" si="94"/>
        <v>0</v>
      </c>
      <c r="I1386" s="7">
        <v>0</v>
      </c>
      <c r="J1386" s="7">
        <f t="shared" si="95"/>
        <v>0</v>
      </c>
      <c r="K1386" s="10">
        <f t="shared" si="96"/>
        <v>0</v>
      </c>
      <c r="L1386" s="7">
        <f t="shared" si="97"/>
        <v>73</v>
      </c>
      <c r="M1386" s="13" t="s">
        <v>18</v>
      </c>
      <c r="N1386"/>
    </row>
    <row r="1387" spans="1:14" ht="24.75" customHeight="1">
      <c r="A1387" s="5">
        <v>1385</v>
      </c>
      <c r="B1387" s="5" t="s">
        <v>20</v>
      </c>
      <c r="C1387" s="5" t="str">
        <f>"李想"</f>
        <v>李想</v>
      </c>
      <c r="D1387" s="5" t="str">
        <f>"412829199805244826"</f>
        <v>412829199805244826</v>
      </c>
      <c r="E1387" s="5" t="s">
        <v>15</v>
      </c>
      <c r="F1387" s="5" t="str">
        <f>"073103040124"</f>
        <v>073103040124</v>
      </c>
      <c r="G1387" s="7">
        <v>0</v>
      </c>
      <c r="H1387" s="7">
        <f t="shared" si="94"/>
        <v>0</v>
      </c>
      <c r="I1387" s="7">
        <v>0</v>
      </c>
      <c r="J1387" s="7">
        <f t="shared" si="95"/>
        <v>0</v>
      </c>
      <c r="K1387" s="10">
        <f t="shared" si="96"/>
        <v>0</v>
      </c>
      <c r="L1387" s="7">
        <f t="shared" si="97"/>
        <v>73</v>
      </c>
      <c r="M1387" s="13" t="s">
        <v>18</v>
      </c>
      <c r="N1387"/>
    </row>
    <row r="1388" spans="1:14" ht="24.75" customHeight="1">
      <c r="A1388" s="5">
        <v>1386</v>
      </c>
      <c r="B1388" s="5" t="s">
        <v>20</v>
      </c>
      <c r="C1388" s="5" t="str">
        <f>"陈玉丹"</f>
        <v>陈玉丹</v>
      </c>
      <c r="D1388" s="5" t="str">
        <f>"469003199208295025"</f>
        <v>469003199208295025</v>
      </c>
      <c r="E1388" s="5" t="s">
        <v>15</v>
      </c>
      <c r="F1388" s="5" t="str">
        <f>"073103040125"</f>
        <v>073103040125</v>
      </c>
      <c r="G1388" s="7">
        <v>0</v>
      </c>
      <c r="H1388" s="7">
        <f t="shared" si="94"/>
        <v>0</v>
      </c>
      <c r="I1388" s="7">
        <v>0</v>
      </c>
      <c r="J1388" s="7">
        <f t="shared" si="95"/>
        <v>0</v>
      </c>
      <c r="K1388" s="10">
        <f t="shared" si="96"/>
        <v>0</v>
      </c>
      <c r="L1388" s="7">
        <f t="shared" si="97"/>
        <v>73</v>
      </c>
      <c r="M1388" s="13" t="s">
        <v>18</v>
      </c>
      <c r="N1388"/>
    </row>
    <row r="1389" spans="1:14" ht="24.75" customHeight="1">
      <c r="A1389" s="5">
        <v>1387</v>
      </c>
      <c r="B1389" s="5" t="s">
        <v>20</v>
      </c>
      <c r="C1389" s="5" t="str">
        <f>"周颖臻"</f>
        <v>周颖臻</v>
      </c>
      <c r="D1389" s="5" t="str">
        <f>"150205199608150127"</f>
        <v>150205199608150127</v>
      </c>
      <c r="E1389" s="5" t="s">
        <v>15</v>
      </c>
      <c r="F1389" s="5" t="str">
        <f>"073103040126"</f>
        <v>073103040126</v>
      </c>
      <c r="G1389" s="7">
        <v>0</v>
      </c>
      <c r="H1389" s="7">
        <f t="shared" si="94"/>
        <v>0</v>
      </c>
      <c r="I1389" s="7">
        <v>0</v>
      </c>
      <c r="J1389" s="7">
        <f t="shared" si="95"/>
        <v>0</v>
      </c>
      <c r="K1389" s="10">
        <f t="shared" si="96"/>
        <v>0</v>
      </c>
      <c r="L1389" s="7">
        <f t="shared" si="97"/>
        <v>73</v>
      </c>
      <c r="M1389" s="13" t="s">
        <v>18</v>
      </c>
      <c r="N1389"/>
    </row>
    <row r="1390" spans="1:14" ht="24.75" customHeight="1">
      <c r="A1390" s="5">
        <v>1388</v>
      </c>
      <c r="B1390" s="5" t="s">
        <v>20</v>
      </c>
      <c r="C1390" s="5" t="str">
        <f>"岳佳新"</f>
        <v>岳佳新</v>
      </c>
      <c r="D1390" s="5" t="str">
        <f>"15232419930801252X"</f>
        <v>15232419930801252X</v>
      </c>
      <c r="E1390" s="5" t="s">
        <v>15</v>
      </c>
      <c r="F1390" s="5" t="str">
        <f>"073103040131"</f>
        <v>073103040131</v>
      </c>
      <c r="G1390" s="7">
        <v>0</v>
      </c>
      <c r="H1390" s="7">
        <f t="shared" si="94"/>
        <v>0</v>
      </c>
      <c r="I1390" s="7">
        <v>0</v>
      </c>
      <c r="J1390" s="7">
        <f t="shared" si="95"/>
        <v>0</v>
      </c>
      <c r="K1390" s="10">
        <f t="shared" si="96"/>
        <v>0</v>
      </c>
      <c r="L1390" s="7">
        <f t="shared" si="97"/>
        <v>73</v>
      </c>
      <c r="M1390" s="13" t="s">
        <v>18</v>
      </c>
      <c r="N1390"/>
    </row>
    <row r="1391" spans="1:14" ht="24.75" customHeight="1">
      <c r="A1391" s="5">
        <v>1389</v>
      </c>
      <c r="B1391" s="5" t="s">
        <v>20</v>
      </c>
      <c r="C1391" s="5" t="str">
        <f>"邓丽筠"</f>
        <v>邓丽筠</v>
      </c>
      <c r="D1391" s="5" t="str">
        <f>"460001199111242225"</f>
        <v>460001199111242225</v>
      </c>
      <c r="E1391" s="5" t="s">
        <v>15</v>
      </c>
      <c r="F1391" s="5" t="str">
        <f>"073103040132"</f>
        <v>073103040132</v>
      </c>
      <c r="G1391" s="7">
        <v>0</v>
      </c>
      <c r="H1391" s="7">
        <f t="shared" si="94"/>
        <v>0</v>
      </c>
      <c r="I1391" s="7">
        <v>0</v>
      </c>
      <c r="J1391" s="7">
        <f t="shared" si="95"/>
        <v>0</v>
      </c>
      <c r="K1391" s="10">
        <f t="shared" si="96"/>
        <v>0</v>
      </c>
      <c r="L1391" s="7">
        <f t="shared" si="97"/>
        <v>73</v>
      </c>
      <c r="M1391" s="13" t="s">
        <v>18</v>
      </c>
      <c r="N1391"/>
    </row>
    <row r="1392" spans="1:14" ht="24.75" customHeight="1">
      <c r="A1392" s="5">
        <v>1390</v>
      </c>
      <c r="B1392" s="5" t="s">
        <v>20</v>
      </c>
      <c r="C1392" s="5" t="str">
        <f>"张华亮"</f>
        <v>张华亮</v>
      </c>
      <c r="D1392" s="5" t="str">
        <f>"460007199708100033"</f>
        <v>460007199708100033</v>
      </c>
      <c r="E1392" s="5" t="s">
        <v>15</v>
      </c>
      <c r="F1392" s="5" t="str">
        <f>"073103040133"</f>
        <v>073103040133</v>
      </c>
      <c r="G1392" s="7">
        <v>0</v>
      </c>
      <c r="H1392" s="7">
        <f t="shared" si="94"/>
        <v>0</v>
      </c>
      <c r="I1392" s="7">
        <v>0</v>
      </c>
      <c r="J1392" s="7">
        <f t="shared" si="95"/>
        <v>0</v>
      </c>
      <c r="K1392" s="10">
        <f t="shared" si="96"/>
        <v>0</v>
      </c>
      <c r="L1392" s="7">
        <f t="shared" si="97"/>
        <v>73</v>
      </c>
      <c r="M1392" s="13" t="s">
        <v>18</v>
      </c>
      <c r="N1392"/>
    </row>
    <row r="1393" spans="1:14" ht="24.75" customHeight="1">
      <c r="A1393" s="5">
        <v>1391</v>
      </c>
      <c r="B1393" s="5" t="s">
        <v>20</v>
      </c>
      <c r="C1393" s="5" t="str">
        <f>"黄慧"</f>
        <v>黄慧</v>
      </c>
      <c r="D1393" s="5" t="str">
        <f>"460006199906088120"</f>
        <v>460006199906088120</v>
      </c>
      <c r="E1393" s="5" t="s">
        <v>15</v>
      </c>
      <c r="F1393" s="5" t="str">
        <f>"073103040135"</f>
        <v>073103040135</v>
      </c>
      <c r="G1393" s="7">
        <v>0</v>
      </c>
      <c r="H1393" s="7">
        <f t="shared" si="94"/>
        <v>0</v>
      </c>
      <c r="I1393" s="7">
        <v>0</v>
      </c>
      <c r="J1393" s="7">
        <f t="shared" si="95"/>
        <v>0</v>
      </c>
      <c r="K1393" s="10">
        <f t="shared" si="96"/>
        <v>0</v>
      </c>
      <c r="L1393" s="7">
        <f t="shared" si="97"/>
        <v>73</v>
      </c>
      <c r="M1393" s="13" t="s">
        <v>18</v>
      </c>
      <c r="N1393"/>
    </row>
    <row r="1394" spans="1:14" ht="24.75" customHeight="1">
      <c r="A1394" s="5">
        <v>1392</v>
      </c>
      <c r="B1394" s="5" t="s">
        <v>20</v>
      </c>
      <c r="C1394" s="5" t="str">
        <f>"符文熙"</f>
        <v>符文熙</v>
      </c>
      <c r="D1394" s="5" t="str">
        <f>"460030199205265411"</f>
        <v>460030199205265411</v>
      </c>
      <c r="E1394" s="5" t="s">
        <v>16</v>
      </c>
      <c r="F1394" s="5" t="str">
        <f>"073103040136"</f>
        <v>073103040136</v>
      </c>
      <c r="G1394" s="7">
        <v>0</v>
      </c>
      <c r="H1394" s="7">
        <f t="shared" si="94"/>
        <v>0</v>
      </c>
      <c r="I1394" s="7">
        <v>0</v>
      </c>
      <c r="J1394" s="7">
        <f t="shared" si="95"/>
        <v>0</v>
      </c>
      <c r="K1394" s="10">
        <f t="shared" si="96"/>
        <v>0</v>
      </c>
      <c r="L1394" s="7">
        <f t="shared" si="97"/>
        <v>73</v>
      </c>
      <c r="M1394" s="13" t="s">
        <v>18</v>
      </c>
      <c r="N1394"/>
    </row>
    <row r="1395" spans="1:14" ht="24.75" customHeight="1">
      <c r="A1395" s="5">
        <v>1393</v>
      </c>
      <c r="B1395" s="5" t="s">
        <v>20</v>
      </c>
      <c r="C1395" s="5" t="str">
        <f>"周彦"</f>
        <v>周彦</v>
      </c>
      <c r="D1395" s="5" t="str">
        <f>"460103199811263623"</f>
        <v>460103199811263623</v>
      </c>
      <c r="E1395" s="5" t="s">
        <v>15</v>
      </c>
      <c r="F1395" s="5" t="str">
        <f>"073103040137"</f>
        <v>073103040137</v>
      </c>
      <c r="G1395" s="7">
        <v>0</v>
      </c>
      <c r="H1395" s="7">
        <f t="shared" si="94"/>
        <v>0</v>
      </c>
      <c r="I1395" s="7">
        <v>0</v>
      </c>
      <c r="J1395" s="7">
        <f t="shared" si="95"/>
        <v>0</v>
      </c>
      <c r="K1395" s="10">
        <f t="shared" si="96"/>
        <v>0</v>
      </c>
      <c r="L1395" s="7">
        <f t="shared" si="97"/>
        <v>73</v>
      </c>
      <c r="M1395" s="13" t="s">
        <v>18</v>
      </c>
      <c r="N1395"/>
    </row>
    <row r="1396" spans="1:14" ht="24.75" customHeight="1">
      <c r="A1396" s="5">
        <v>1394</v>
      </c>
      <c r="B1396" s="5" t="s">
        <v>20</v>
      </c>
      <c r="C1396" s="5" t="str">
        <f>"黄琴"</f>
        <v>黄琴</v>
      </c>
      <c r="D1396" s="5" t="str">
        <f>"452226199606292425"</f>
        <v>452226199606292425</v>
      </c>
      <c r="E1396" s="5" t="s">
        <v>15</v>
      </c>
      <c r="F1396" s="5" t="str">
        <f>"073103040138"</f>
        <v>073103040138</v>
      </c>
      <c r="G1396" s="7">
        <v>0</v>
      </c>
      <c r="H1396" s="7">
        <f t="shared" si="94"/>
        <v>0</v>
      </c>
      <c r="I1396" s="7">
        <v>0</v>
      </c>
      <c r="J1396" s="7">
        <f t="shared" si="95"/>
        <v>0</v>
      </c>
      <c r="K1396" s="10">
        <f t="shared" si="96"/>
        <v>0</v>
      </c>
      <c r="L1396" s="7">
        <f t="shared" si="97"/>
        <v>73</v>
      </c>
      <c r="M1396" s="13" t="s">
        <v>18</v>
      </c>
      <c r="N1396"/>
    </row>
    <row r="1397" spans="1:14" ht="24.75" customHeight="1">
      <c r="A1397" s="5">
        <v>1395</v>
      </c>
      <c r="B1397" s="5" t="s">
        <v>20</v>
      </c>
      <c r="C1397" s="5" t="str">
        <f>"万锦林"</f>
        <v>万锦林</v>
      </c>
      <c r="D1397" s="5" t="str">
        <f>"460003199408202630"</f>
        <v>460003199408202630</v>
      </c>
      <c r="E1397" s="5" t="s">
        <v>15</v>
      </c>
      <c r="F1397" s="5" t="str">
        <f>"073103040139"</f>
        <v>073103040139</v>
      </c>
      <c r="G1397" s="7">
        <v>0</v>
      </c>
      <c r="H1397" s="7">
        <f t="shared" si="94"/>
        <v>0</v>
      </c>
      <c r="I1397" s="7">
        <v>0</v>
      </c>
      <c r="J1397" s="7">
        <f t="shared" si="95"/>
        <v>0</v>
      </c>
      <c r="K1397" s="10">
        <f t="shared" si="96"/>
        <v>0</v>
      </c>
      <c r="L1397" s="7">
        <f t="shared" si="97"/>
        <v>73</v>
      </c>
      <c r="M1397" s="13" t="s">
        <v>18</v>
      </c>
      <c r="N1397"/>
    </row>
    <row r="1398" spans="1:14" ht="24.75" customHeight="1">
      <c r="A1398" s="5">
        <v>1396</v>
      </c>
      <c r="B1398" s="5" t="s">
        <v>20</v>
      </c>
      <c r="C1398" s="5" t="str">
        <f>"黄宏晖"</f>
        <v>黄宏晖</v>
      </c>
      <c r="D1398" s="5" t="str">
        <f>"460005199711041211"</f>
        <v>460005199711041211</v>
      </c>
      <c r="E1398" s="5" t="s">
        <v>15</v>
      </c>
      <c r="F1398" s="5" t="str">
        <f>"073103040140"</f>
        <v>073103040140</v>
      </c>
      <c r="G1398" s="7">
        <v>0</v>
      </c>
      <c r="H1398" s="7">
        <f t="shared" si="94"/>
        <v>0</v>
      </c>
      <c r="I1398" s="7">
        <v>0</v>
      </c>
      <c r="J1398" s="7">
        <f t="shared" si="95"/>
        <v>0</v>
      </c>
      <c r="K1398" s="10">
        <f t="shared" si="96"/>
        <v>0</v>
      </c>
      <c r="L1398" s="7">
        <f t="shared" si="97"/>
        <v>73</v>
      </c>
      <c r="M1398" s="13" t="s">
        <v>18</v>
      </c>
      <c r="N1398"/>
    </row>
    <row r="1399" spans="1:14" ht="24.75" customHeight="1">
      <c r="A1399" s="5">
        <v>1397</v>
      </c>
      <c r="B1399" s="5" t="s">
        <v>20</v>
      </c>
      <c r="C1399" s="5" t="str">
        <f>"冯青青"</f>
        <v>冯青青</v>
      </c>
      <c r="D1399" s="5" t="str">
        <f>"460025199308164241"</f>
        <v>460025199308164241</v>
      </c>
      <c r="E1399" s="5" t="s">
        <v>15</v>
      </c>
      <c r="F1399" s="5" t="str">
        <f>"073103040201"</f>
        <v>073103040201</v>
      </c>
      <c r="G1399" s="7">
        <v>0</v>
      </c>
      <c r="H1399" s="7">
        <f t="shared" si="94"/>
        <v>0</v>
      </c>
      <c r="I1399" s="7">
        <v>0</v>
      </c>
      <c r="J1399" s="7">
        <f t="shared" si="95"/>
        <v>0</v>
      </c>
      <c r="K1399" s="10">
        <f t="shared" si="96"/>
        <v>0</v>
      </c>
      <c r="L1399" s="7">
        <f t="shared" si="97"/>
        <v>73</v>
      </c>
      <c r="M1399" s="13" t="s">
        <v>18</v>
      </c>
      <c r="N1399"/>
    </row>
    <row r="1400" spans="1:14" ht="24.75" customHeight="1">
      <c r="A1400" s="5">
        <v>1398</v>
      </c>
      <c r="B1400" s="5" t="s">
        <v>20</v>
      </c>
      <c r="C1400" s="5" t="str">
        <f>"羊秀尾"</f>
        <v>羊秀尾</v>
      </c>
      <c r="D1400" s="5" t="str">
        <f>"460003199807083448"</f>
        <v>460003199807083448</v>
      </c>
      <c r="E1400" s="5" t="s">
        <v>15</v>
      </c>
      <c r="F1400" s="5" t="str">
        <f>"073103040202"</f>
        <v>073103040202</v>
      </c>
      <c r="G1400" s="7">
        <v>0</v>
      </c>
      <c r="H1400" s="7">
        <f t="shared" si="94"/>
        <v>0</v>
      </c>
      <c r="I1400" s="7">
        <v>0</v>
      </c>
      <c r="J1400" s="7">
        <f t="shared" si="95"/>
        <v>0</v>
      </c>
      <c r="K1400" s="10">
        <f t="shared" si="96"/>
        <v>0</v>
      </c>
      <c r="L1400" s="7">
        <f t="shared" si="97"/>
        <v>73</v>
      </c>
      <c r="M1400" s="13" t="s">
        <v>18</v>
      </c>
      <c r="N1400"/>
    </row>
    <row r="1401" spans="1:14" ht="24.75" customHeight="1">
      <c r="A1401" s="5">
        <v>1399</v>
      </c>
      <c r="B1401" s="5" t="s">
        <v>20</v>
      </c>
      <c r="C1401" s="5" t="str">
        <f>"林文琼"</f>
        <v>林文琼</v>
      </c>
      <c r="D1401" s="5" t="str">
        <f>"460022199108013028"</f>
        <v>460022199108013028</v>
      </c>
      <c r="E1401" s="5" t="s">
        <v>15</v>
      </c>
      <c r="F1401" s="5" t="str">
        <f>"073103040203"</f>
        <v>073103040203</v>
      </c>
      <c r="G1401" s="7">
        <v>0</v>
      </c>
      <c r="H1401" s="7">
        <f t="shared" si="94"/>
        <v>0</v>
      </c>
      <c r="I1401" s="7">
        <v>0</v>
      </c>
      <c r="J1401" s="7">
        <f t="shared" si="95"/>
        <v>0</v>
      </c>
      <c r="K1401" s="10">
        <f t="shared" si="96"/>
        <v>0</v>
      </c>
      <c r="L1401" s="7">
        <f t="shared" si="97"/>
        <v>73</v>
      </c>
      <c r="M1401" s="13" t="s">
        <v>18</v>
      </c>
      <c r="N1401"/>
    </row>
    <row r="1402" spans="1:14" ht="24.75" customHeight="1">
      <c r="A1402" s="5">
        <v>1400</v>
      </c>
      <c r="B1402" s="5" t="s">
        <v>20</v>
      </c>
      <c r="C1402" s="5" t="str">
        <f>"左宛平"</f>
        <v>左宛平</v>
      </c>
      <c r="D1402" s="5" t="str">
        <f>"220202199107074268"</f>
        <v>220202199107074268</v>
      </c>
      <c r="E1402" s="5" t="s">
        <v>15</v>
      </c>
      <c r="F1402" s="5" t="str">
        <f>"073103040206"</f>
        <v>073103040206</v>
      </c>
      <c r="G1402" s="7">
        <v>0</v>
      </c>
      <c r="H1402" s="7">
        <f t="shared" si="94"/>
        <v>0</v>
      </c>
      <c r="I1402" s="7">
        <v>0</v>
      </c>
      <c r="J1402" s="7">
        <f t="shared" si="95"/>
        <v>0</v>
      </c>
      <c r="K1402" s="10">
        <f t="shared" si="96"/>
        <v>0</v>
      </c>
      <c r="L1402" s="7">
        <f t="shared" si="97"/>
        <v>73</v>
      </c>
      <c r="M1402" s="13" t="s">
        <v>18</v>
      </c>
      <c r="N1402"/>
    </row>
    <row r="1403" spans="1:14" ht="24.75" customHeight="1">
      <c r="A1403" s="5">
        <v>1401</v>
      </c>
      <c r="B1403" s="5" t="s">
        <v>20</v>
      </c>
      <c r="C1403" s="5" t="str">
        <f>"李金妹"</f>
        <v>李金妹</v>
      </c>
      <c r="D1403" s="5" t="str">
        <f>"460003199606182028"</f>
        <v>460003199606182028</v>
      </c>
      <c r="E1403" s="5" t="s">
        <v>15</v>
      </c>
      <c r="F1403" s="5" t="str">
        <f>"073103040207"</f>
        <v>073103040207</v>
      </c>
      <c r="G1403" s="7">
        <v>0</v>
      </c>
      <c r="H1403" s="7">
        <f t="shared" si="94"/>
        <v>0</v>
      </c>
      <c r="I1403" s="7">
        <v>0</v>
      </c>
      <c r="J1403" s="7">
        <f t="shared" si="95"/>
        <v>0</v>
      </c>
      <c r="K1403" s="10">
        <f t="shared" si="96"/>
        <v>0</v>
      </c>
      <c r="L1403" s="7">
        <f t="shared" si="97"/>
        <v>73</v>
      </c>
      <c r="M1403" s="13" t="s">
        <v>18</v>
      </c>
      <c r="N1403"/>
    </row>
    <row r="1404" spans="1:14" ht="24.75" customHeight="1">
      <c r="A1404" s="5">
        <v>1402</v>
      </c>
      <c r="B1404" s="5" t="s">
        <v>20</v>
      </c>
      <c r="C1404" s="5" t="str">
        <f>"林国强"</f>
        <v>林国强</v>
      </c>
      <c r="D1404" s="5" t="str">
        <f>"460003199703084657"</f>
        <v>460003199703084657</v>
      </c>
      <c r="E1404" s="5" t="s">
        <v>15</v>
      </c>
      <c r="F1404" s="5" t="str">
        <f>"073103040208"</f>
        <v>073103040208</v>
      </c>
      <c r="G1404" s="7">
        <v>0</v>
      </c>
      <c r="H1404" s="7">
        <f t="shared" si="94"/>
        <v>0</v>
      </c>
      <c r="I1404" s="7">
        <v>0</v>
      </c>
      <c r="J1404" s="7">
        <f t="shared" si="95"/>
        <v>0</v>
      </c>
      <c r="K1404" s="10">
        <f t="shared" si="96"/>
        <v>0</v>
      </c>
      <c r="L1404" s="7">
        <f t="shared" si="97"/>
        <v>73</v>
      </c>
      <c r="M1404" s="13" t="s">
        <v>18</v>
      </c>
      <c r="N1404"/>
    </row>
    <row r="1405" spans="1:14" ht="24.75" customHeight="1">
      <c r="A1405" s="5">
        <v>1403</v>
      </c>
      <c r="B1405" s="5" t="s">
        <v>20</v>
      </c>
      <c r="C1405" s="5" t="str">
        <f>"符海玲"</f>
        <v>符海玲</v>
      </c>
      <c r="D1405" s="5" t="str">
        <f>"460003199007125427"</f>
        <v>460003199007125427</v>
      </c>
      <c r="E1405" s="5" t="s">
        <v>15</v>
      </c>
      <c r="F1405" s="5" t="str">
        <f>"073103040209"</f>
        <v>073103040209</v>
      </c>
      <c r="G1405" s="7">
        <v>0</v>
      </c>
      <c r="H1405" s="7">
        <f t="shared" si="94"/>
        <v>0</v>
      </c>
      <c r="I1405" s="7">
        <v>0</v>
      </c>
      <c r="J1405" s="7">
        <f t="shared" si="95"/>
        <v>0</v>
      </c>
      <c r="K1405" s="10">
        <f t="shared" si="96"/>
        <v>0</v>
      </c>
      <c r="L1405" s="7">
        <f t="shared" si="97"/>
        <v>73</v>
      </c>
      <c r="M1405" s="13" t="s">
        <v>18</v>
      </c>
      <c r="N1405"/>
    </row>
    <row r="1406" spans="1:14" ht="24.75" customHeight="1">
      <c r="A1406" s="5">
        <v>1404</v>
      </c>
      <c r="B1406" s="5" t="s">
        <v>20</v>
      </c>
      <c r="C1406" s="5" t="str">
        <f>"郑引来"</f>
        <v>郑引来</v>
      </c>
      <c r="D1406" s="5" t="str">
        <f>"460034199605235022"</f>
        <v>460034199605235022</v>
      </c>
      <c r="E1406" s="5" t="s">
        <v>15</v>
      </c>
      <c r="F1406" s="5" t="str">
        <f>"073103040213"</f>
        <v>073103040213</v>
      </c>
      <c r="G1406" s="7">
        <v>0</v>
      </c>
      <c r="H1406" s="7">
        <f t="shared" si="94"/>
        <v>0</v>
      </c>
      <c r="I1406" s="7">
        <v>0</v>
      </c>
      <c r="J1406" s="7">
        <f t="shared" si="95"/>
        <v>0</v>
      </c>
      <c r="K1406" s="10">
        <f t="shared" si="96"/>
        <v>0</v>
      </c>
      <c r="L1406" s="7">
        <f t="shared" si="97"/>
        <v>73</v>
      </c>
      <c r="M1406" s="13" t="s">
        <v>18</v>
      </c>
      <c r="N1406"/>
    </row>
    <row r="1407" spans="1:14" ht="24.75" customHeight="1">
      <c r="A1407" s="5">
        <v>1405</v>
      </c>
      <c r="B1407" s="5" t="s">
        <v>20</v>
      </c>
      <c r="C1407" s="5" t="str">
        <f>"陈毓"</f>
        <v>陈毓</v>
      </c>
      <c r="D1407" s="5" t="str">
        <f>"460300199908090310"</f>
        <v>460300199908090310</v>
      </c>
      <c r="E1407" s="5" t="s">
        <v>15</v>
      </c>
      <c r="F1407" s="5" t="str">
        <f>"073103040214"</f>
        <v>073103040214</v>
      </c>
      <c r="G1407" s="7">
        <v>0</v>
      </c>
      <c r="H1407" s="7">
        <f t="shared" si="94"/>
        <v>0</v>
      </c>
      <c r="I1407" s="7">
        <v>0</v>
      </c>
      <c r="J1407" s="7">
        <f t="shared" si="95"/>
        <v>0</v>
      </c>
      <c r="K1407" s="10">
        <f t="shared" si="96"/>
        <v>0</v>
      </c>
      <c r="L1407" s="7">
        <f t="shared" si="97"/>
        <v>73</v>
      </c>
      <c r="M1407" s="13" t="s">
        <v>18</v>
      </c>
      <c r="N1407"/>
    </row>
    <row r="1408" spans="1:14" ht="24.75" customHeight="1">
      <c r="A1408" s="5">
        <v>1406</v>
      </c>
      <c r="B1408" s="5" t="s">
        <v>20</v>
      </c>
      <c r="C1408" s="5" t="str">
        <f>"吴泽婷"</f>
        <v>吴泽婷</v>
      </c>
      <c r="D1408" s="5" t="str">
        <f>"460007199506025688"</f>
        <v>460007199506025688</v>
      </c>
      <c r="E1408" s="5" t="s">
        <v>15</v>
      </c>
      <c r="F1408" s="5" t="str">
        <f>"073103040218"</f>
        <v>073103040218</v>
      </c>
      <c r="G1408" s="7">
        <v>0</v>
      </c>
      <c r="H1408" s="7">
        <f t="shared" si="94"/>
        <v>0</v>
      </c>
      <c r="I1408" s="7">
        <v>0</v>
      </c>
      <c r="J1408" s="7">
        <f t="shared" si="95"/>
        <v>0</v>
      </c>
      <c r="K1408" s="10">
        <f t="shared" si="96"/>
        <v>0</v>
      </c>
      <c r="L1408" s="7">
        <f t="shared" si="97"/>
        <v>73</v>
      </c>
      <c r="M1408" s="13" t="s">
        <v>18</v>
      </c>
      <c r="N1408"/>
    </row>
    <row r="1409" spans="1:14" ht="24.75" customHeight="1">
      <c r="A1409" s="5">
        <v>1407</v>
      </c>
      <c r="B1409" s="5" t="s">
        <v>20</v>
      </c>
      <c r="C1409" s="5" t="str">
        <f>"唐秀丽"</f>
        <v>唐秀丽</v>
      </c>
      <c r="D1409" s="5" t="str">
        <f>"460300199302150622"</f>
        <v>460300199302150622</v>
      </c>
      <c r="E1409" s="5" t="s">
        <v>15</v>
      </c>
      <c r="F1409" s="5" t="str">
        <f>"073103040221"</f>
        <v>073103040221</v>
      </c>
      <c r="G1409" s="7">
        <v>0</v>
      </c>
      <c r="H1409" s="7">
        <f t="shared" si="94"/>
        <v>0</v>
      </c>
      <c r="I1409" s="7">
        <v>0</v>
      </c>
      <c r="J1409" s="7">
        <f t="shared" si="95"/>
        <v>0</v>
      </c>
      <c r="K1409" s="10">
        <f t="shared" si="96"/>
        <v>0</v>
      </c>
      <c r="L1409" s="7">
        <f t="shared" si="97"/>
        <v>73</v>
      </c>
      <c r="M1409" s="13" t="s">
        <v>18</v>
      </c>
      <c r="N1409"/>
    </row>
    <row r="1410" spans="1:14" ht="24.75" customHeight="1">
      <c r="A1410" s="5">
        <v>1408</v>
      </c>
      <c r="B1410" s="5" t="s">
        <v>20</v>
      </c>
      <c r="C1410" s="5" t="str">
        <f>"黄琼慧"</f>
        <v>黄琼慧</v>
      </c>
      <c r="D1410" s="5" t="str">
        <f>"460004199611090423"</f>
        <v>460004199611090423</v>
      </c>
      <c r="E1410" s="5" t="s">
        <v>15</v>
      </c>
      <c r="F1410" s="5" t="str">
        <f>"073103040222"</f>
        <v>073103040222</v>
      </c>
      <c r="G1410" s="7">
        <v>0</v>
      </c>
      <c r="H1410" s="7">
        <f t="shared" si="94"/>
        <v>0</v>
      </c>
      <c r="I1410" s="7">
        <v>0</v>
      </c>
      <c r="J1410" s="7">
        <f t="shared" si="95"/>
        <v>0</v>
      </c>
      <c r="K1410" s="10">
        <f t="shared" si="96"/>
        <v>0</v>
      </c>
      <c r="L1410" s="7">
        <f t="shared" si="97"/>
        <v>73</v>
      </c>
      <c r="M1410" s="13" t="s">
        <v>18</v>
      </c>
      <c r="N1410"/>
    </row>
    <row r="1411" spans="1:14" ht="24.75" customHeight="1">
      <c r="A1411" s="5">
        <v>1409</v>
      </c>
      <c r="B1411" s="5" t="s">
        <v>20</v>
      </c>
      <c r="C1411" s="5" t="str">
        <f>"符发娥"</f>
        <v>符发娥</v>
      </c>
      <c r="D1411" s="5" t="str">
        <f>"460300199206040028"</f>
        <v>460300199206040028</v>
      </c>
      <c r="E1411" s="5" t="s">
        <v>15</v>
      </c>
      <c r="F1411" s="5" t="str">
        <f>"073103040223"</f>
        <v>073103040223</v>
      </c>
      <c r="G1411" s="7">
        <v>0</v>
      </c>
      <c r="H1411" s="7">
        <f aca="true" t="shared" si="98" ref="H1411:H1474">G1411*0.5</f>
        <v>0</v>
      </c>
      <c r="I1411" s="7">
        <v>0</v>
      </c>
      <c r="J1411" s="7">
        <f aca="true" t="shared" si="99" ref="J1411:J1474">I1411*0.5</f>
        <v>0</v>
      </c>
      <c r="K1411" s="10">
        <f t="shared" si="96"/>
        <v>0</v>
      </c>
      <c r="L1411" s="7">
        <f t="shared" si="97"/>
        <v>73</v>
      </c>
      <c r="M1411" s="13" t="s">
        <v>18</v>
      </c>
      <c r="N1411"/>
    </row>
    <row r="1412" spans="1:14" ht="24.75" customHeight="1">
      <c r="A1412" s="5">
        <v>1410</v>
      </c>
      <c r="B1412" s="5" t="s">
        <v>20</v>
      </c>
      <c r="C1412" s="5" t="str">
        <f>"符发玲"</f>
        <v>符发玲</v>
      </c>
      <c r="D1412" s="5" t="str">
        <f>"460300199907040020"</f>
        <v>460300199907040020</v>
      </c>
      <c r="E1412" s="5" t="s">
        <v>15</v>
      </c>
      <c r="F1412" s="5" t="str">
        <f>"073103040227"</f>
        <v>073103040227</v>
      </c>
      <c r="G1412" s="7">
        <v>0</v>
      </c>
      <c r="H1412" s="7">
        <f t="shared" si="98"/>
        <v>0</v>
      </c>
      <c r="I1412" s="7">
        <v>0</v>
      </c>
      <c r="J1412" s="7">
        <f t="shared" si="99"/>
        <v>0</v>
      </c>
      <c r="K1412" s="10">
        <f t="shared" si="96"/>
        <v>0</v>
      </c>
      <c r="L1412" s="7">
        <f t="shared" si="97"/>
        <v>73</v>
      </c>
      <c r="M1412" s="13" t="s">
        <v>18</v>
      </c>
      <c r="N1412"/>
    </row>
    <row r="1413" spans="1:14" ht="24.75" customHeight="1">
      <c r="A1413" s="5">
        <v>1411</v>
      </c>
      <c r="B1413" s="5" t="s">
        <v>20</v>
      </c>
      <c r="C1413" s="5" t="str">
        <f>"李曼州"</f>
        <v>李曼州</v>
      </c>
      <c r="D1413" s="5" t="str">
        <f>"152801199811050024"</f>
        <v>152801199811050024</v>
      </c>
      <c r="E1413" s="5" t="s">
        <v>15</v>
      </c>
      <c r="F1413" s="5" t="str">
        <f>"073103040231"</f>
        <v>073103040231</v>
      </c>
      <c r="G1413" s="7">
        <v>0</v>
      </c>
      <c r="H1413" s="7">
        <f t="shared" si="98"/>
        <v>0</v>
      </c>
      <c r="I1413" s="7">
        <v>0</v>
      </c>
      <c r="J1413" s="7">
        <f t="shared" si="99"/>
        <v>0</v>
      </c>
      <c r="K1413" s="10">
        <f t="shared" si="96"/>
        <v>0</v>
      </c>
      <c r="L1413" s="7">
        <f t="shared" si="97"/>
        <v>73</v>
      </c>
      <c r="M1413" s="13" t="s">
        <v>18</v>
      </c>
      <c r="N1413"/>
    </row>
    <row r="1414" spans="1:14" ht="24.75" customHeight="1">
      <c r="A1414" s="5">
        <v>1412</v>
      </c>
      <c r="B1414" s="5" t="s">
        <v>20</v>
      </c>
      <c r="C1414" s="5" t="str">
        <f>"李春桃"</f>
        <v>李春桃</v>
      </c>
      <c r="D1414" s="5" t="str">
        <f>"46000319921203222X"</f>
        <v>46000319921203222X</v>
      </c>
      <c r="E1414" s="5" t="s">
        <v>15</v>
      </c>
      <c r="F1414" s="5" t="str">
        <f>"073103040232"</f>
        <v>073103040232</v>
      </c>
      <c r="G1414" s="7">
        <v>0</v>
      </c>
      <c r="H1414" s="7">
        <f t="shared" si="98"/>
        <v>0</v>
      </c>
      <c r="I1414" s="7">
        <v>0</v>
      </c>
      <c r="J1414" s="7">
        <f t="shared" si="99"/>
        <v>0</v>
      </c>
      <c r="K1414" s="10">
        <f t="shared" si="96"/>
        <v>0</v>
      </c>
      <c r="L1414" s="7">
        <f t="shared" si="97"/>
        <v>73</v>
      </c>
      <c r="M1414" s="13" t="s">
        <v>18</v>
      </c>
      <c r="N1414"/>
    </row>
    <row r="1415" spans="1:14" ht="24.75" customHeight="1">
      <c r="A1415" s="5">
        <v>1413</v>
      </c>
      <c r="B1415" s="5" t="s">
        <v>20</v>
      </c>
      <c r="C1415" s="5" t="str">
        <f>"杜昀珂"</f>
        <v>杜昀珂</v>
      </c>
      <c r="D1415" s="5" t="str">
        <f>"410105199908220068"</f>
        <v>410105199908220068</v>
      </c>
      <c r="E1415" s="5" t="s">
        <v>15</v>
      </c>
      <c r="F1415" s="5" t="str">
        <f>"073103040235"</f>
        <v>073103040235</v>
      </c>
      <c r="G1415" s="7">
        <v>0</v>
      </c>
      <c r="H1415" s="7">
        <f t="shared" si="98"/>
        <v>0</v>
      </c>
      <c r="I1415" s="7">
        <v>0</v>
      </c>
      <c r="J1415" s="7">
        <f t="shared" si="99"/>
        <v>0</v>
      </c>
      <c r="K1415" s="10">
        <f t="shared" si="96"/>
        <v>0</v>
      </c>
      <c r="L1415" s="7">
        <f t="shared" si="97"/>
        <v>73</v>
      </c>
      <c r="M1415" s="13" t="s">
        <v>18</v>
      </c>
      <c r="N1415"/>
    </row>
    <row r="1416" spans="1:14" ht="24.75" customHeight="1">
      <c r="A1416" s="5">
        <v>1414</v>
      </c>
      <c r="B1416" s="5" t="s">
        <v>20</v>
      </c>
      <c r="C1416" s="5" t="str">
        <f>"周秀燕"</f>
        <v>周秀燕</v>
      </c>
      <c r="D1416" s="5" t="str">
        <f>"46030019920522006X"</f>
        <v>46030019920522006X</v>
      </c>
      <c r="E1416" s="5" t="s">
        <v>15</v>
      </c>
      <c r="F1416" s="5" t="str">
        <f>"073103040236"</f>
        <v>073103040236</v>
      </c>
      <c r="G1416" s="7">
        <v>0</v>
      </c>
      <c r="H1416" s="7">
        <f t="shared" si="98"/>
        <v>0</v>
      </c>
      <c r="I1416" s="7">
        <v>0</v>
      </c>
      <c r="J1416" s="7">
        <f t="shared" si="99"/>
        <v>0</v>
      </c>
      <c r="K1416" s="10">
        <f t="shared" si="96"/>
        <v>0</v>
      </c>
      <c r="L1416" s="7">
        <f t="shared" si="97"/>
        <v>73</v>
      </c>
      <c r="M1416" s="13" t="s">
        <v>18</v>
      </c>
      <c r="N1416"/>
    </row>
    <row r="1417" spans="1:14" ht="24.75" customHeight="1">
      <c r="A1417" s="5">
        <v>1415</v>
      </c>
      <c r="B1417" s="5" t="s">
        <v>20</v>
      </c>
      <c r="C1417" s="5" t="str">
        <f>"何乾女"</f>
        <v>何乾女</v>
      </c>
      <c r="D1417" s="5" t="str">
        <f>"460003199409032848"</f>
        <v>460003199409032848</v>
      </c>
      <c r="E1417" s="5" t="s">
        <v>15</v>
      </c>
      <c r="F1417" s="5" t="str">
        <f>"073103040237"</f>
        <v>073103040237</v>
      </c>
      <c r="G1417" s="7">
        <v>0</v>
      </c>
      <c r="H1417" s="7">
        <f t="shared" si="98"/>
        <v>0</v>
      </c>
      <c r="I1417" s="7">
        <v>0</v>
      </c>
      <c r="J1417" s="7">
        <f t="shared" si="99"/>
        <v>0</v>
      </c>
      <c r="K1417" s="10">
        <f t="shared" si="96"/>
        <v>0</v>
      </c>
      <c r="L1417" s="7">
        <f t="shared" si="97"/>
        <v>73</v>
      </c>
      <c r="M1417" s="13" t="s">
        <v>18</v>
      </c>
      <c r="N1417"/>
    </row>
    <row r="1418" spans="1:14" ht="24.75" customHeight="1">
      <c r="A1418" s="5">
        <v>1416</v>
      </c>
      <c r="B1418" s="5" t="s">
        <v>20</v>
      </c>
      <c r="C1418" s="5" t="str">
        <f>"李美婷"</f>
        <v>李美婷</v>
      </c>
      <c r="D1418" s="5" t="str">
        <f>"460300199701230021"</f>
        <v>460300199701230021</v>
      </c>
      <c r="E1418" s="5" t="s">
        <v>15</v>
      </c>
      <c r="F1418" s="5" t="str">
        <f>"073103040238"</f>
        <v>073103040238</v>
      </c>
      <c r="G1418" s="7">
        <v>0</v>
      </c>
      <c r="H1418" s="7">
        <f t="shared" si="98"/>
        <v>0</v>
      </c>
      <c r="I1418" s="7">
        <v>0</v>
      </c>
      <c r="J1418" s="7">
        <f t="shared" si="99"/>
        <v>0</v>
      </c>
      <c r="K1418" s="10">
        <f t="shared" si="96"/>
        <v>0</v>
      </c>
      <c r="L1418" s="7">
        <f t="shared" si="97"/>
        <v>73</v>
      </c>
      <c r="M1418" s="13" t="s">
        <v>18</v>
      </c>
      <c r="N1418"/>
    </row>
    <row r="1419" spans="1:14" ht="24.75" customHeight="1">
      <c r="A1419" s="5">
        <v>1417</v>
      </c>
      <c r="B1419" s="5" t="s">
        <v>20</v>
      </c>
      <c r="C1419" s="5" t="str">
        <f>"王世鸿"</f>
        <v>王世鸿</v>
      </c>
      <c r="D1419" s="5" t="str">
        <f>"460200199805270014"</f>
        <v>460200199805270014</v>
      </c>
      <c r="E1419" s="5" t="s">
        <v>15</v>
      </c>
      <c r="F1419" s="5" t="str">
        <f>"073103040239"</f>
        <v>073103040239</v>
      </c>
      <c r="G1419" s="7">
        <v>0</v>
      </c>
      <c r="H1419" s="7">
        <f t="shared" si="98"/>
        <v>0</v>
      </c>
      <c r="I1419" s="7">
        <v>0</v>
      </c>
      <c r="J1419" s="7">
        <f t="shared" si="99"/>
        <v>0</v>
      </c>
      <c r="K1419" s="10">
        <f t="shared" si="96"/>
        <v>0</v>
      </c>
      <c r="L1419" s="7">
        <f t="shared" si="97"/>
        <v>73</v>
      </c>
      <c r="M1419" s="13" t="s">
        <v>18</v>
      </c>
      <c r="N1419"/>
    </row>
    <row r="1420" spans="1:14" ht="24.75" customHeight="1">
      <c r="A1420" s="5">
        <v>1418</v>
      </c>
      <c r="B1420" s="5" t="s">
        <v>20</v>
      </c>
      <c r="C1420" s="5" t="str">
        <f>"符舜敏"</f>
        <v>符舜敏</v>
      </c>
      <c r="D1420" s="5" t="str">
        <f>"460003199605115827"</f>
        <v>460003199605115827</v>
      </c>
      <c r="E1420" s="5" t="s">
        <v>15</v>
      </c>
      <c r="F1420" s="5" t="str">
        <f>"073103040240"</f>
        <v>073103040240</v>
      </c>
      <c r="G1420" s="7">
        <v>0</v>
      </c>
      <c r="H1420" s="7">
        <f t="shared" si="98"/>
        <v>0</v>
      </c>
      <c r="I1420" s="7">
        <v>0</v>
      </c>
      <c r="J1420" s="7">
        <f t="shared" si="99"/>
        <v>0</v>
      </c>
      <c r="K1420" s="10">
        <f aca="true" t="shared" si="100" ref="K1420:K1483">H1420+J1420</f>
        <v>0</v>
      </c>
      <c r="L1420" s="7">
        <f t="shared" si="97"/>
        <v>73</v>
      </c>
      <c r="M1420" s="13" t="s">
        <v>18</v>
      </c>
      <c r="N1420"/>
    </row>
    <row r="1421" spans="1:14" ht="24.75" customHeight="1">
      <c r="A1421" s="5">
        <v>1419</v>
      </c>
      <c r="B1421" s="5" t="s">
        <v>20</v>
      </c>
      <c r="C1421" s="5" t="str">
        <f>"万佳芳"</f>
        <v>万佳芳</v>
      </c>
      <c r="D1421" s="5" t="str">
        <f>"430981199710175621"</f>
        <v>430981199710175621</v>
      </c>
      <c r="E1421" s="5" t="s">
        <v>15</v>
      </c>
      <c r="F1421" s="5" t="str">
        <f>"073103040302"</f>
        <v>073103040302</v>
      </c>
      <c r="G1421" s="7">
        <v>0</v>
      </c>
      <c r="H1421" s="7">
        <f t="shared" si="98"/>
        <v>0</v>
      </c>
      <c r="I1421" s="7">
        <v>0</v>
      </c>
      <c r="J1421" s="7">
        <f t="shared" si="99"/>
        <v>0</v>
      </c>
      <c r="K1421" s="10">
        <f t="shared" si="100"/>
        <v>0</v>
      </c>
      <c r="L1421" s="7">
        <f t="shared" si="97"/>
        <v>73</v>
      </c>
      <c r="M1421" s="13" t="s">
        <v>18</v>
      </c>
      <c r="N1421"/>
    </row>
    <row r="1422" spans="1:14" ht="24.75" customHeight="1">
      <c r="A1422" s="5">
        <v>1420</v>
      </c>
      <c r="B1422" s="5" t="s">
        <v>20</v>
      </c>
      <c r="C1422" s="5" t="str">
        <f>"黄先婷"</f>
        <v>黄先婷</v>
      </c>
      <c r="D1422" s="5" t="str">
        <f>"460007199903046183"</f>
        <v>460007199903046183</v>
      </c>
      <c r="E1422" s="5" t="s">
        <v>16</v>
      </c>
      <c r="F1422" s="5" t="str">
        <f>"073103040304"</f>
        <v>073103040304</v>
      </c>
      <c r="G1422" s="7">
        <v>0</v>
      </c>
      <c r="H1422" s="7">
        <f t="shared" si="98"/>
        <v>0</v>
      </c>
      <c r="I1422" s="7">
        <v>0</v>
      </c>
      <c r="J1422" s="7">
        <f t="shared" si="99"/>
        <v>0</v>
      </c>
      <c r="K1422" s="10">
        <f t="shared" si="100"/>
        <v>0</v>
      </c>
      <c r="L1422" s="7">
        <f t="shared" si="97"/>
        <v>73</v>
      </c>
      <c r="M1422" s="13" t="s">
        <v>18</v>
      </c>
      <c r="N1422"/>
    </row>
    <row r="1423" spans="1:14" ht="24.75" customHeight="1">
      <c r="A1423" s="5">
        <v>1421</v>
      </c>
      <c r="B1423" s="5" t="s">
        <v>20</v>
      </c>
      <c r="C1423" s="5" t="str">
        <f>"钟堂"</f>
        <v>钟堂</v>
      </c>
      <c r="D1423" s="5" t="str">
        <f>"460003199708094694"</f>
        <v>460003199708094694</v>
      </c>
      <c r="E1423" s="5" t="s">
        <v>15</v>
      </c>
      <c r="F1423" s="5" t="str">
        <f>"073103040306"</f>
        <v>073103040306</v>
      </c>
      <c r="G1423" s="7">
        <v>0</v>
      </c>
      <c r="H1423" s="7">
        <f t="shared" si="98"/>
        <v>0</v>
      </c>
      <c r="I1423" s="7">
        <v>0</v>
      </c>
      <c r="J1423" s="7">
        <f t="shared" si="99"/>
        <v>0</v>
      </c>
      <c r="K1423" s="10">
        <f t="shared" si="100"/>
        <v>0</v>
      </c>
      <c r="L1423" s="7">
        <f t="shared" si="97"/>
        <v>73</v>
      </c>
      <c r="M1423" s="13" t="s">
        <v>18</v>
      </c>
      <c r="N1423"/>
    </row>
    <row r="1424" spans="1:14" ht="24.75" customHeight="1">
      <c r="A1424" s="5">
        <v>1422</v>
      </c>
      <c r="B1424" s="5" t="s">
        <v>20</v>
      </c>
      <c r="C1424" s="5" t="str">
        <f>"黄青娜"</f>
        <v>黄青娜</v>
      </c>
      <c r="D1424" s="5" t="str">
        <f>"460028199405170044"</f>
        <v>460028199405170044</v>
      </c>
      <c r="E1424" s="5" t="s">
        <v>15</v>
      </c>
      <c r="F1424" s="5" t="str">
        <f>"073103040307"</f>
        <v>073103040307</v>
      </c>
      <c r="G1424" s="7">
        <v>0</v>
      </c>
      <c r="H1424" s="7">
        <f t="shared" si="98"/>
        <v>0</v>
      </c>
      <c r="I1424" s="7">
        <v>0</v>
      </c>
      <c r="J1424" s="7">
        <f t="shared" si="99"/>
        <v>0</v>
      </c>
      <c r="K1424" s="10">
        <f t="shared" si="100"/>
        <v>0</v>
      </c>
      <c r="L1424" s="7">
        <f t="shared" si="97"/>
        <v>73</v>
      </c>
      <c r="M1424" s="13" t="s">
        <v>18</v>
      </c>
      <c r="N1424"/>
    </row>
    <row r="1425" spans="1:14" ht="24.75" customHeight="1">
      <c r="A1425" s="5">
        <v>1423</v>
      </c>
      <c r="B1425" s="5" t="s">
        <v>20</v>
      </c>
      <c r="C1425" s="5" t="str">
        <f>"蒲海英"</f>
        <v>蒲海英</v>
      </c>
      <c r="D1425" s="5" t="str">
        <f>"460300199505120028"</f>
        <v>460300199505120028</v>
      </c>
      <c r="E1425" s="5" t="s">
        <v>15</v>
      </c>
      <c r="F1425" s="5" t="str">
        <f>"073103040308"</f>
        <v>073103040308</v>
      </c>
      <c r="G1425" s="7">
        <v>0</v>
      </c>
      <c r="H1425" s="7">
        <f t="shared" si="98"/>
        <v>0</v>
      </c>
      <c r="I1425" s="7">
        <v>0</v>
      </c>
      <c r="J1425" s="7">
        <f t="shared" si="99"/>
        <v>0</v>
      </c>
      <c r="K1425" s="10">
        <f t="shared" si="100"/>
        <v>0</v>
      </c>
      <c r="L1425" s="7">
        <f t="shared" si="97"/>
        <v>73</v>
      </c>
      <c r="M1425" s="13" t="s">
        <v>18</v>
      </c>
      <c r="N1425"/>
    </row>
    <row r="1426" spans="1:14" ht="24.75" customHeight="1">
      <c r="A1426" s="5">
        <v>1424</v>
      </c>
      <c r="B1426" s="5" t="s">
        <v>20</v>
      </c>
      <c r="C1426" s="5" t="str">
        <f>"薛淑俐"</f>
        <v>薛淑俐</v>
      </c>
      <c r="D1426" s="5" t="str">
        <f>"460300199409040626"</f>
        <v>460300199409040626</v>
      </c>
      <c r="E1426" s="5" t="s">
        <v>15</v>
      </c>
      <c r="F1426" s="5" t="str">
        <f>"073103040309"</f>
        <v>073103040309</v>
      </c>
      <c r="G1426" s="7">
        <v>0</v>
      </c>
      <c r="H1426" s="7">
        <f t="shared" si="98"/>
        <v>0</v>
      </c>
      <c r="I1426" s="7">
        <v>0</v>
      </c>
      <c r="J1426" s="7">
        <f t="shared" si="99"/>
        <v>0</v>
      </c>
      <c r="K1426" s="10">
        <f t="shared" si="100"/>
        <v>0</v>
      </c>
      <c r="L1426" s="7">
        <f t="shared" si="97"/>
        <v>73</v>
      </c>
      <c r="M1426" s="13" t="s">
        <v>18</v>
      </c>
      <c r="N1426"/>
    </row>
    <row r="1427" spans="1:14" ht="24.75" customHeight="1">
      <c r="A1427" s="5">
        <v>1425</v>
      </c>
      <c r="B1427" s="5" t="s">
        <v>20</v>
      </c>
      <c r="C1427" s="5" t="str">
        <f>"符新武"</f>
        <v>符新武</v>
      </c>
      <c r="D1427" s="5" t="str">
        <f>"460003199610306652"</f>
        <v>460003199610306652</v>
      </c>
      <c r="E1427" s="5" t="s">
        <v>15</v>
      </c>
      <c r="F1427" s="5" t="str">
        <f>"073103040310"</f>
        <v>073103040310</v>
      </c>
      <c r="G1427" s="7">
        <v>0</v>
      </c>
      <c r="H1427" s="7">
        <f t="shared" si="98"/>
        <v>0</v>
      </c>
      <c r="I1427" s="7">
        <v>0</v>
      </c>
      <c r="J1427" s="7">
        <f t="shared" si="99"/>
        <v>0</v>
      </c>
      <c r="K1427" s="10">
        <f t="shared" si="100"/>
        <v>0</v>
      </c>
      <c r="L1427" s="7">
        <f t="shared" si="97"/>
        <v>73</v>
      </c>
      <c r="M1427" s="13" t="s">
        <v>18</v>
      </c>
      <c r="N1427"/>
    </row>
    <row r="1428" spans="1:14" ht="24.75" customHeight="1">
      <c r="A1428" s="5">
        <v>1426</v>
      </c>
      <c r="B1428" s="5" t="s">
        <v>20</v>
      </c>
      <c r="C1428" s="5" t="str">
        <f>"陈赞博"</f>
        <v>陈赞博</v>
      </c>
      <c r="D1428" s="5" t="str">
        <f>"460003199411053437"</f>
        <v>460003199411053437</v>
      </c>
      <c r="E1428" s="5" t="s">
        <v>15</v>
      </c>
      <c r="F1428" s="5" t="str">
        <f>"073103040311"</f>
        <v>073103040311</v>
      </c>
      <c r="G1428" s="7">
        <v>0</v>
      </c>
      <c r="H1428" s="7">
        <f t="shared" si="98"/>
        <v>0</v>
      </c>
      <c r="I1428" s="7">
        <v>0</v>
      </c>
      <c r="J1428" s="7">
        <f t="shared" si="99"/>
        <v>0</v>
      </c>
      <c r="K1428" s="10">
        <f t="shared" si="100"/>
        <v>0</v>
      </c>
      <c r="L1428" s="7">
        <f aca="true" t="shared" si="101" ref="L1428:L1479">RANK(K1428,$K$1300:$K$1479,0)</f>
        <v>73</v>
      </c>
      <c r="M1428" s="13" t="s">
        <v>18</v>
      </c>
      <c r="N1428"/>
    </row>
    <row r="1429" spans="1:14" ht="24.75" customHeight="1">
      <c r="A1429" s="5">
        <v>1427</v>
      </c>
      <c r="B1429" s="5" t="s">
        <v>20</v>
      </c>
      <c r="C1429" s="5" t="str">
        <f>"林文萍"</f>
        <v>林文萍</v>
      </c>
      <c r="D1429" s="5" t="str">
        <f>"445222199109052944"</f>
        <v>445222199109052944</v>
      </c>
      <c r="E1429" s="5" t="s">
        <v>15</v>
      </c>
      <c r="F1429" s="5" t="str">
        <f>"073103040313"</f>
        <v>073103040313</v>
      </c>
      <c r="G1429" s="7">
        <v>0</v>
      </c>
      <c r="H1429" s="7">
        <f t="shared" si="98"/>
        <v>0</v>
      </c>
      <c r="I1429" s="7">
        <v>0</v>
      </c>
      <c r="J1429" s="7">
        <f t="shared" si="99"/>
        <v>0</v>
      </c>
      <c r="K1429" s="10">
        <f t="shared" si="100"/>
        <v>0</v>
      </c>
      <c r="L1429" s="7">
        <f t="shared" si="101"/>
        <v>73</v>
      </c>
      <c r="M1429" s="13" t="s">
        <v>18</v>
      </c>
      <c r="N1429"/>
    </row>
    <row r="1430" spans="1:14" ht="24.75" customHeight="1">
      <c r="A1430" s="5">
        <v>1428</v>
      </c>
      <c r="B1430" s="5" t="s">
        <v>20</v>
      </c>
      <c r="C1430" s="5" t="str">
        <f>"万周丹"</f>
        <v>万周丹</v>
      </c>
      <c r="D1430" s="5" t="str">
        <f>"460300199805240320"</f>
        <v>460300199805240320</v>
      </c>
      <c r="E1430" s="5" t="s">
        <v>15</v>
      </c>
      <c r="F1430" s="5" t="str">
        <f>"073103040315"</f>
        <v>073103040315</v>
      </c>
      <c r="G1430" s="7">
        <v>0</v>
      </c>
      <c r="H1430" s="7">
        <f t="shared" si="98"/>
        <v>0</v>
      </c>
      <c r="I1430" s="7">
        <v>0</v>
      </c>
      <c r="J1430" s="7">
        <f t="shared" si="99"/>
        <v>0</v>
      </c>
      <c r="K1430" s="10">
        <f t="shared" si="100"/>
        <v>0</v>
      </c>
      <c r="L1430" s="7">
        <f t="shared" si="101"/>
        <v>73</v>
      </c>
      <c r="M1430" s="13" t="s">
        <v>18</v>
      </c>
      <c r="N1430"/>
    </row>
    <row r="1431" spans="1:14" ht="24.75" customHeight="1">
      <c r="A1431" s="5">
        <v>1429</v>
      </c>
      <c r="B1431" s="5" t="s">
        <v>20</v>
      </c>
      <c r="C1431" s="5" t="str">
        <f>"陈云聪"</f>
        <v>陈云聪</v>
      </c>
      <c r="D1431" s="5" t="str">
        <f>"460025199604150039"</f>
        <v>460025199604150039</v>
      </c>
      <c r="E1431" s="5" t="s">
        <v>15</v>
      </c>
      <c r="F1431" s="5" t="str">
        <f>"073103040316"</f>
        <v>073103040316</v>
      </c>
      <c r="G1431" s="7">
        <v>0</v>
      </c>
      <c r="H1431" s="7">
        <f t="shared" si="98"/>
        <v>0</v>
      </c>
      <c r="I1431" s="7">
        <v>0</v>
      </c>
      <c r="J1431" s="7">
        <f t="shared" si="99"/>
        <v>0</v>
      </c>
      <c r="K1431" s="10">
        <f t="shared" si="100"/>
        <v>0</v>
      </c>
      <c r="L1431" s="7">
        <f t="shared" si="101"/>
        <v>73</v>
      </c>
      <c r="M1431" s="13" t="s">
        <v>18</v>
      </c>
      <c r="N1431"/>
    </row>
    <row r="1432" spans="1:14" ht="24.75" customHeight="1">
      <c r="A1432" s="5">
        <v>1430</v>
      </c>
      <c r="B1432" s="5" t="s">
        <v>20</v>
      </c>
      <c r="C1432" s="5" t="str">
        <f>"陆晓威"</f>
        <v>陆晓威</v>
      </c>
      <c r="D1432" s="5" t="str">
        <f>"460007199711037231"</f>
        <v>460007199711037231</v>
      </c>
      <c r="E1432" s="5" t="s">
        <v>15</v>
      </c>
      <c r="F1432" s="5" t="str">
        <f>"073103040317"</f>
        <v>073103040317</v>
      </c>
      <c r="G1432" s="7">
        <v>0</v>
      </c>
      <c r="H1432" s="7">
        <f t="shared" si="98"/>
        <v>0</v>
      </c>
      <c r="I1432" s="7">
        <v>0</v>
      </c>
      <c r="J1432" s="7">
        <f t="shared" si="99"/>
        <v>0</v>
      </c>
      <c r="K1432" s="10">
        <f t="shared" si="100"/>
        <v>0</v>
      </c>
      <c r="L1432" s="7">
        <f t="shared" si="101"/>
        <v>73</v>
      </c>
      <c r="M1432" s="13" t="s">
        <v>18</v>
      </c>
      <c r="N1432"/>
    </row>
    <row r="1433" spans="1:14" ht="24.75" customHeight="1">
      <c r="A1433" s="5">
        <v>1431</v>
      </c>
      <c r="B1433" s="5" t="s">
        <v>20</v>
      </c>
      <c r="C1433" s="5" t="str">
        <f>"叶荣锦"</f>
        <v>叶荣锦</v>
      </c>
      <c r="D1433" s="5" t="str">
        <f>"460200199305250770"</f>
        <v>460200199305250770</v>
      </c>
      <c r="E1433" s="5" t="s">
        <v>15</v>
      </c>
      <c r="F1433" s="5" t="str">
        <f>"073103040320"</f>
        <v>073103040320</v>
      </c>
      <c r="G1433" s="7">
        <v>0</v>
      </c>
      <c r="H1433" s="7">
        <f t="shared" si="98"/>
        <v>0</v>
      </c>
      <c r="I1433" s="7">
        <v>0</v>
      </c>
      <c r="J1433" s="7">
        <f t="shared" si="99"/>
        <v>0</v>
      </c>
      <c r="K1433" s="10">
        <f t="shared" si="100"/>
        <v>0</v>
      </c>
      <c r="L1433" s="7">
        <f t="shared" si="101"/>
        <v>73</v>
      </c>
      <c r="M1433" s="13" t="s">
        <v>18</v>
      </c>
      <c r="N1433"/>
    </row>
    <row r="1434" spans="1:14" ht="24.75" customHeight="1">
      <c r="A1434" s="5">
        <v>1432</v>
      </c>
      <c r="B1434" s="5" t="s">
        <v>20</v>
      </c>
      <c r="C1434" s="5" t="str">
        <f>"廖顺淇"</f>
        <v>廖顺淇</v>
      </c>
      <c r="D1434" s="5" t="str">
        <f>"460036199809270447"</f>
        <v>460036199809270447</v>
      </c>
      <c r="E1434" s="5" t="s">
        <v>15</v>
      </c>
      <c r="F1434" s="5" t="str">
        <f>"073103040321"</f>
        <v>073103040321</v>
      </c>
      <c r="G1434" s="7">
        <v>0</v>
      </c>
      <c r="H1434" s="7">
        <f t="shared" si="98"/>
        <v>0</v>
      </c>
      <c r="I1434" s="7">
        <v>0</v>
      </c>
      <c r="J1434" s="7">
        <f t="shared" si="99"/>
        <v>0</v>
      </c>
      <c r="K1434" s="10">
        <f t="shared" si="100"/>
        <v>0</v>
      </c>
      <c r="L1434" s="7">
        <f t="shared" si="101"/>
        <v>73</v>
      </c>
      <c r="M1434" s="13" t="s">
        <v>18</v>
      </c>
      <c r="N1434"/>
    </row>
    <row r="1435" spans="1:14" ht="24.75" customHeight="1">
      <c r="A1435" s="5">
        <v>1433</v>
      </c>
      <c r="B1435" s="5" t="s">
        <v>20</v>
      </c>
      <c r="C1435" s="5" t="str">
        <f>"陈华敏"</f>
        <v>陈华敏</v>
      </c>
      <c r="D1435" s="5" t="str">
        <f>"460004199410270823"</f>
        <v>460004199410270823</v>
      </c>
      <c r="E1435" s="5" t="s">
        <v>15</v>
      </c>
      <c r="F1435" s="5" t="str">
        <f>"073103040323"</f>
        <v>073103040323</v>
      </c>
      <c r="G1435" s="7">
        <v>0</v>
      </c>
      <c r="H1435" s="7">
        <f t="shared" si="98"/>
        <v>0</v>
      </c>
      <c r="I1435" s="7">
        <v>0</v>
      </c>
      <c r="J1435" s="7">
        <f t="shared" si="99"/>
        <v>0</v>
      </c>
      <c r="K1435" s="10">
        <f t="shared" si="100"/>
        <v>0</v>
      </c>
      <c r="L1435" s="7">
        <f t="shared" si="101"/>
        <v>73</v>
      </c>
      <c r="M1435" s="13" t="s">
        <v>18</v>
      </c>
      <c r="N1435"/>
    </row>
    <row r="1436" spans="1:14" ht="24.75" customHeight="1">
      <c r="A1436" s="5">
        <v>1434</v>
      </c>
      <c r="B1436" s="5" t="s">
        <v>20</v>
      </c>
      <c r="C1436" s="5" t="str">
        <f>"吴江恋"</f>
        <v>吴江恋</v>
      </c>
      <c r="D1436" s="5" t="str">
        <f>"460300199109180686"</f>
        <v>460300199109180686</v>
      </c>
      <c r="E1436" s="5" t="s">
        <v>15</v>
      </c>
      <c r="F1436" s="5" t="str">
        <f>"073103040326"</f>
        <v>073103040326</v>
      </c>
      <c r="G1436" s="7">
        <v>0</v>
      </c>
      <c r="H1436" s="7">
        <f t="shared" si="98"/>
        <v>0</v>
      </c>
      <c r="I1436" s="7">
        <v>0</v>
      </c>
      <c r="J1436" s="7">
        <f t="shared" si="99"/>
        <v>0</v>
      </c>
      <c r="K1436" s="10">
        <f t="shared" si="100"/>
        <v>0</v>
      </c>
      <c r="L1436" s="7">
        <f t="shared" si="101"/>
        <v>73</v>
      </c>
      <c r="M1436" s="13" t="s">
        <v>18</v>
      </c>
      <c r="N1436"/>
    </row>
    <row r="1437" spans="1:14" ht="24.75" customHeight="1">
      <c r="A1437" s="5">
        <v>1435</v>
      </c>
      <c r="B1437" s="5" t="s">
        <v>20</v>
      </c>
      <c r="C1437" s="5" t="str">
        <f>"张晓荣"</f>
        <v>张晓荣</v>
      </c>
      <c r="D1437" s="5" t="str">
        <f>"130930199802131828"</f>
        <v>130930199802131828</v>
      </c>
      <c r="E1437" s="5" t="s">
        <v>15</v>
      </c>
      <c r="F1437" s="5" t="str">
        <f>"073103040327"</f>
        <v>073103040327</v>
      </c>
      <c r="G1437" s="7">
        <v>0</v>
      </c>
      <c r="H1437" s="7">
        <f t="shared" si="98"/>
        <v>0</v>
      </c>
      <c r="I1437" s="7">
        <v>0</v>
      </c>
      <c r="J1437" s="7">
        <f t="shared" si="99"/>
        <v>0</v>
      </c>
      <c r="K1437" s="10">
        <f t="shared" si="100"/>
        <v>0</v>
      </c>
      <c r="L1437" s="7">
        <f t="shared" si="101"/>
        <v>73</v>
      </c>
      <c r="M1437" s="13" t="s">
        <v>18</v>
      </c>
      <c r="N1437"/>
    </row>
    <row r="1438" spans="1:14" ht="24.75" customHeight="1">
      <c r="A1438" s="5">
        <v>1436</v>
      </c>
      <c r="B1438" s="5" t="s">
        <v>20</v>
      </c>
      <c r="C1438" s="5" t="str">
        <f>"黄金丽"</f>
        <v>黄金丽</v>
      </c>
      <c r="D1438" s="5" t="str">
        <f>"460003199509113426"</f>
        <v>460003199509113426</v>
      </c>
      <c r="E1438" s="5" t="s">
        <v>15</v>
      </c>
      <c r="F1438" s="5" t="str">
        <f>"073103040333"</f>
        <v>073103040333</v>
      </c>
      <c r="G1438" s="7">
        <v>0</v>
      </c>
      <c r="H1438" s="7">
        <f t="shared" si="98"/>
        <v>0</v>
      </c>
      <c r="I1438" s="7">
        <v>0</v>
      </c>
      <c r="J1438" s="7">
        <f t="shared" si="99"/>
        <v>0</v>
      </c>
      <c r="K1438" s="10">
        <f t="shared" si="100"/>
        <v>0</v>
      </c>
      <c r="L1438" s="7">
        <f t="shared" si="101"/>
        <v>73</v>
      </c>
      <c r="M1438" s="13" t="s">
        <v>18</v>
      </c>
      <c r="N1438"/>
    </row>
    <row r="1439" spans="1:14" ht="24.75" customHeight="1">
      <c r="A1439" s="5">
        <v>1437</v>
      </c>
      <c r="B1439" s="5" t="s">
        <v>20</v>
      </c>
      <c r="C1439" s="5" t="str">
        <f>"陈曾博"</f>
        <v>陈曾博</v>
      </c>
      <c r="D1439" s="5" t="str">
        <f>"460003199602114212"</f>
        <v>460003199602114212</v>
      </c>
      <c r="E1439" s="5" t="s">
        <v>15</v>
      </c>
      <c r="F1439" s="5" t="str">
        <f>"073103040334"</f>
        <v>073103040334</v>
      </c>
      <c r="G1439" s="7">
        <v>0</v>
      </c>
      <c r="H1439" s="7">
        <f t="shared" si="98"/>
        <v>0</v>
      </c>
      <c r="I1439" s="7">
        <v>0</v>
      </c>
      <c r="J1439" s="7">
        <f t="shared" si="99"/>
        <v>0</v>
      </c>
      <c r="K1439" s="10">
        <f t="shared" si="100"/>
        <v>0</v>
      </c>
      <c r="L1439" s="7">
        <f t="shared" si="101"/>
        <v>73</v>
      </c>
      <c r="M1439" s="13" t="s">
        <v>18</v>
      </c>
      <c r="N1439"/>
    </row>
    <row r="1440" spans="1:14" ht="24.75" customHeight="1">
      <c r="A1440" s="5">
        <v>1438</v>
      </c>
      <c r="B1440" s="5" t="s">
        <v>20</v>
      </c>
      <c r="C1440" s="5" t="str">
        <f>"蔡尚均"</f>
        <v>蔡尚均</v>
      </c>
      <c r="D1440" s="5" t="str">
        <f>"460030199503300019"</f>
        <v>460030199503300019</v>
      </c>
      <c r="E1440" s="5" t="s">
        <v>15</v>
      </c>
      <c r="F1440" s="5" t="str">
        <f>"073103040335"</f>
        <v>073103040335</v>
      </c>
      <c r="G1440" s="7">
        <v>0</v>
      </c>
      <c r="H1440" s="7">
        <f t="shared" si="98"/>
        <v>0</v>
      </c>
      <c r="I1440" s="7">
        <v>0</v>
      </c>
      <c r="J1440" s="7">
        <f t="shared" si="99"/>
        <v>0</v>
      </c>
      <c r="K1440" s="10">
        <f t="shared" si="100"/>
        <v>0</v>
      </c>
      <c r="L1440" s="7">
        <f t="shared" si="101"/>
        <v>73</v>
      </c>
      <c r="M1440" s="13" t="s">
        <v>18</v>
      </c>
      <c r="N1440"/>
    </row>
    <row r="1441" spans="1:14" ht="24.75" customHeight="1">
      <c r="A1441" s="5">
        <v>1439</v>
      </c>
      <c r="B1441" s="5" t="s">
        <v>20</v>
      </c>
      <c r="C1441" s="5" t="str">
        <f>"符得庆"</f>
        <v>符得庆</v>
      </c>
      <c r="D1441" s="5" t="str">
        <f>"460003199701083466"</f>
        <v>460003199701083466</v>
      </c>
      <c r="E1441" s="5" t="s">
        <v>15</v>
      </c>
      <c r="F1441" s="5" t="str">
        <f>"073103040337"</f>
        <v>073103040337</v>
      </c>
      <c r="G1441" s="7">
        <v>0</v>
      </c>
      <c r="H1441" s="7">
        <f t="shared" si="98"/>
        <v>0</v>
      </c>
      <c r="I1441" s="7">
        <v>0</v>
      </c>
      <c r="J1441" s="7">
        <f t="shared" si="99"/>
        <v>0</v>
      </c>
      <c r="K1441" s="10">
        <f t="shared" si="100"/>
        <v>0</v>
      </c>
      <c r="L1441" s="7">
        <f t="shared" si="101"/>
        <v>73</v>
      </c>
      <c r="M1441" s="13" t="s">
        <v>18</v>
      </c>
      <c r="N1441"/>
    </row>
    <row r="1442" spans="1:14" ht="24.75" customHeight="1">
      <c r="A1442" s="5">
        <v>1440</v>
      </c>
      <c r="B1442" s="5" t="s">
        <v>20</v>
      </c>
      <c r="C1442" s="5" t="str">
        <f>"赖树友"</f>
        <v>赖树友</v>
      </c>
      <c r="D1442" s="5" t="str">
        <f>"460006199712140613"</f>
        <v>460006199712140613</v>
      </c>
      <c r="E1442" s="5" t="s">
        <v>15</v>
      </c>
      <c r="F1442" s="5" t="str">
        <f>"073103040338"</f>
        <v>073103040338</v>
      </c>
      <c r="G1442" s="7">
        <v>0</v>
      </c>
      <c r="H1442" s="7">
        <f t="shared" si="98"/>
        <v>0</v>
      </c>
      <c r="I1442" s="7">
        <v>0</v>
      </c>
      <c r="J1442" s="7">
        <f t="shared" si="99"/>
        <v>0</v>
      </c>
      <c r="K1442" s="10">
        <f t="shared" si="100"/>
        <v>0</v>
      </c>
      <c r="L1442" s="7">
        <f t="shared" si="101"/>
        <v>73</v>
      </c>
      <c r="M1442" s="13" t="s">
        <v>18</v>
      </c>
      <c r="N1442"/>
    </row>
    <row r="1443" spans="1:14" ht="24.75" customHeight="1">
      <c r="A1443" s="5">
        <v>1441</v>
      </c>
      <c r="B1443" s="5" t="s">
        <v>20</v>
      </c>
      <c r="C1443" s="5" t="str">
        <f>"王健可"</f>
        <v>王健可</v>
      </c>
      <c r="D1443" s="5" t="str">
        <f>"460300199607070017"</f>
        <v>460300199607070017</v>
      </c>
      <c r="E1443" s="5" t="s">
        <v>15</v>
      </c>
      <c r="F1443" s="5" t="str">
        <f>"073103040339"</f>
        <v>073103040339</v>
      </c>
      <c r="G1443" s="7">
        <v>0</v>
      </c>
      <c r="H1443" s="7">
        <f t="shared" si="98"/>
        <v>0</v>
      </c>
      <c r="I1443" s="7">
        <v>0</v>
      </c>
      <c r="J1443" s="7">
        <f t="shared" si="99"/>
        <v>0</v>
      </c>
      <c r="K1443" s="10">
        <f t="shared" si="100"/>
        <v>0</v>
      </c>
      <c r="L1443" s="7">
        <f t="shared" si="101"/>
        <v>73</v>
      </c>
      <c r="M1443" s="13" t="s">
        <v>18</v>
      </c>
      <c r="N1443"/>
    </row>
    <row r="1444" spans="1:14" ht="24.75" customHeight="1">
      <c r="A1444" s="5">
        <v>1442</v>
      </c>
      <c r="B1444" s="5" t="s">
        <v>20</v>
      </c>
      <c r="C1444" s="5" t="str">
        <f>"王少伶"</f>
        <v>王少伶</v>
      </c>
      <c r="D1444" s="5" t="str">
        <f>"460103199712143028"</f>
        <v>460103199712143028</v>
      </c>
      <c r="E1444" s="5" t="s">
        <v>15</v>
      </c>
      <c r="F1444" s="5" t="str">
        <f>"073103040403"</f>
        <v>073103040403</v>
      </c>
      <c r="G1444" s="7">
        <v>0</v>
      </c>
      <c r="H1444" s="7">
        <f t="shared" si="98"/>
        <v>0</v>
      </c>
      <c r="I1444" s="7">
        <v>0</v>
      </c>
      <c r="J1444" s="7">
        <f t="shared" si="99"/>
        <v>0</v>
      </c>
      <c r="K1444" s="10">
        <f t="shared" si="100"/>
        <v>0</v>
      </c>
      <c r="L1444" s="7">
        <f t="shared" si="101"/>
        <v>73</v>
      </c>
      <c r="M1444" s="13" t="s">
        <v>18</v>
      </c>
      <c r="N1444"/>
    </row>
    <row r="1445" spans="1:14" ht="24.75" customHeight="1">
      <c r="A1445" s="5">
        <v>1443</v>
      </c>
      <c r="B1445" s="5" t="s">
        <v>20</v>
      </c>
      <c r="C1445" s="5" t="str">
        <f>"符舜容"</f>
        <v>符舜容</v>
      </c>
      <c r="D1445" s="5" t="str">
        <f>"46000319930315584X"</f>
        <v>46000319930315584X</v>
      </c>
      <c r="E1445" s="5" t="s">
        <v>15</v>
      </c>
      <c r="F1445" s="5" t="str">
        <f>"073103040404"</f>
        <v>073103040404</v>
      </c>
      <c r="G1445" s="7">
        <v>0</v>
      </c>
      <c r="H1445" s="7">
        <f t="shared" si="98"/>
        <v>0</v>
      </c>
      <c r="I1445" s="7">
        <v>0</v>
      </c>
      <c r="J1445" s="7">
        <f t="shared" si="99"/>
        <v>0</v>
      </c>
      <c r="K1445" s="10">
        <f t="shared" si="100"/>
        <v>0</v>
      </c>
      <c r="L1445" s="7">
        <f t="shared" si="101"/>
        <v>73</v>
      </c>
      <c r="M1445" s="13" t="s">
        <v>18</v>
      </c>
      <c r="N1445"/>
    </row>
    <row r="1446" spans="1:14" ht="24.75" customHeight="1">
      <c r="A1446" s="5">
        <v>1444</v>
      </c>
      <c r="B1446" s="5" t="s">
        <v>20</v>
      </c>
      <c r="C1446" s="5" t="str">
        <f>"王立雄"</f>
        <v>王立雄</v>
      </c>
      <c r="D1446" s="5" t="str">
        <f>"460004199806014412"</f>
        <v>460004199806014412</v>
      </c>
      <c r="E1446" s="5" t="s">
        <v>15</v>
      </c>
      <c r="F1446" s="5" t="str">
        <f>"073103040406"</f>
        <v>073103040406</v>
      </c>
      <c r="G1446" s="7">
        <v>0</v>
      </c>
      <c r="H1446" s="7">
        <f t="shared" si="98"/>
        <v>0</v>
      </c>
      <c r="I1446" s="7">
        <v>0</v>
      </c>
      <c r="J1446" s="7">
        <f t="shared" si="99"/>
        <v>0</v>
      </c>
      <c r="K1446" s="10">
        <f t="shared" si="100"/>
        <v>0</v>
      </c>
      <c r="L1446" s="7">
        <f t="shared" si="101"/>
        <v>73</v>
      </c>
      <c r="M1446" s="13" t="s">
        <v>18</v>
      </c>
      <c r="N1446"/>
    </row>
    <row r="1447" spans="1:14" ht="24.75" customHeight="1">
      <c r="A1447" s="5">
        <v>1445</v>
      </c>
      <c r="B1447" s="5" t="s">
        <v>20</v>
      </c>
      <c r="C1447" s="5" t="str">
        <f>"羊雪妹"</f>
        <v>羊雪妹</v>
      </c>
      <c r="D1447" s="5" t="str">
        <f>"460003199910093425"</f>
        <v>460003199910093425</v>
      </c>
      <c r="E1447" s="5" t="s">
        <v>15</v>
      </c>
      <c r="F1447" s="5" t="str">
        <f>"073103040408"</f>
        <v>073103040408</v>
      </c>
      <c r="G1447" s="7">
        <v>0</v>
      </c>
      <c r="H1447" s="7">
        <f t="shared" si="98"/>
        <v>0</v>
      </c>
      <c r="I1447" s="7">
        <v>0</v>
      </c>
      <c r="J1447" s="7">
        <f t="shared" si="99"/>
        <v>0</v>
      </c>
      <c r="K1447" s="10">
        <f t="shared" si="100"/>
        <v>0</v>
      </c>
      <c r="L1447" s="7">
        <f t="shared" si="101"/>
        <v>73</v>
      </c>
      <c r="M1447" s="13" t="s">
        <v>18</v>
      </c>
      <c r="N1447"/>
    </row>
    <row r="1448" spans="1:14" ht="24.75" customHeight="1">
      <c r="A1448" s="5">
        <v>1446</v>
      </c>
      <c r="B1448" s="5" t="s">
        <v>20</v>
      </c>
      <c r="C1448" s="5" t="str">
        <f>"陈艺霓"</f>
        <v>陈艺霓</v>
      </c>
      <c r="D1448" s="5" t="str">
        <f>"460102199809260646"</f>
        <v>460102199809260646</v>
      </c>
      <c r="E1448" s="5" t="s">
        <v>15</v>
      </c>
      <c r="F1448" s="5" t="str">
        <f>"073103040410"</f>
        <v>073103040410</v>
      </c>
      <c r="G1448" s="7">
        <v>0</v>
      </c>
      <c r="H1448" s="7">
        <f t="shared" si="98"/>
        <v>0</v>
      </c>
      <c r="I1448" s="7">
        <v>0</v>
      </c>
      <c r="J1448" s="7">
        <f t="shared" si="99"/>
        <v>0</v>
      </c>
      <c r="K1448" s="10">
        <f t="shared" si="100"/>
        <v>0</v>
      </c>
      <c r="L1448" s="7">
        <f t="shared" si="101"/>
        <v>73</v>
      </c>
      <c r="M1448" s="13" t="s">
        <v>18</v>
      </c>
      <c r="N1448"/>
    </row>
    <row r="1449" spans="1:14" ht="24.75" customHeight="1">
      <c r="A1449" s="5">
        <v>1447</v>
      </c>
      <c r="B1449" s="5" t="s">
        <v>20</v>
      </c>
      <c r="C1449" s="5" t="str">
        <f>"朱妹兰"</f>
        <v>朱妹兰</v>
      </c>
      <c r="D1449" s="5" t="str">
        <f>"460003199409035440"</f>
        <v>460003199409035440</v>
      </c>
      <c r="E1449" s="5" t="s">
        <v>15</v>
      </c>
      <c r="F1449" s="5" t="str">
        <f>"073103040411"</f>
        <v>073103040411</v>
      </c>
      <c r="G1449" s="7">
        <v>0</v>
      </c>
      <c r="H1449" s="7">
        <f t="shared" si="98"/>
        <v>0</v>
      </c>
      <c r="I1449" s="7">
        <v>0</v>
      </c>
      <c r="J1449" s="7">
        <f t="shared" si="99"/>
        <v>0</v>
      </c>
      <c r="K1449" s="10">
        <f t="shared" si="100"/>
        <v>0</v>
      </c>
      <c r="L1449" s="7">
        <f t="shared" si="101"/>
        <v>73</v>
      </c>
      <c r="M1449" s="13" t="s">
        <v>18</v>
      </c>
      <c r="N1449"/>
    </row>
    <row r="1450" spans="1:14" ht="24.75" customHeight="1">
      <c r="A1450" s="5">
        <v>1448</v>
      </c>
      <c r="B1450" s="5" t="s">
        <v>20</v>
      </c>
      <c r="C1450" s="5" t="str">
        <f>"熊子越"</f>
        <v>熊子越</v>
      </c>
      <c r="D1450" s="5" t="str">
        <f>"130426199306230059"</f>
        <v>130426199306230059</v>
      </c>
      <c r="E1450" s="5" t="s">
        <v>15</v>
      </c>
      <c r="F1450" s="5" t="str">
        <f>"073103040412"</f>
        <v>073103040412</v>
      </c>
      <c r="G1450" s="7">
        <v>0</v>
      </c>
      <c r="H1450" s="7">
        <f t="shared" si="98"/>
        <v>0</v>
      </c>
      <c r="I1450" s="7">
        <v>0</v>
      </c>
      <c r="J1450" s="7">
        <f t="shared" si="99"/>
        <v>0</v>
      </c>
      <c r="K1450" s="10">
        <f t="shared" si="100"/>
        <v>0</v>
      </c>
      <c r="L1450" s="7">
        <f t="shared" si="101"/>
        <v>73</v>
      </c>
      <c r="M1450" s="13" t="s">
        <v>18</v>
      </c>
      <c r="N1450"/>
    </row>
    <row r="1451" spans="1:14" ht="24.75" customHeight="1">
      <c r="A1451" s="5">
        <v>1449</v>
      </c>
      <c r="B1451" s="5" t="s">
        <v>20</v>
      </c>
      <c r="C1451" s="5" t="str">
        <f>"符静"</f>
        <v>符静</v>
      </c>
      <c r="D1451" s="5" t="str">
        <f>"460300199905120027"</f>
        <v>460300199905120027</v>
      </c>
      <c r="E1451" s="5" t="s">
        <v>15</v>
      </c>
      <c r="F1451" s="5" t="str">
        <f>"073103040413"</f>
        <v>073103040413</v>
      </c>
      <c r="G1451" s="7">
        <v>0</v>
      </c>
      <c r="H1451" s="7">
        <f t="shared" si="98"/>
        <v>0</v>
      </c>
      <c r="I1451" s="7">
        <v>0</v>
      </c>
      <c r="J1451" s="7">
        <f t="shared" si="99"/>
        <v>0</v>
      </c>
      <c r="K1451" s="10">
        <f t="shared" si="100"/>
        <v>0</v>
      </c>
      <c r="L1451" s="7">
        <f t="shared" si="101"/>
        <v>73</v>
      </c>
      <c r="M1451" s="13" t="s">
        <v>18</v>
      </c>
      <c r="N1451"/>
    </row>
    <row r="1452" spans="1:14" ht="24.75" customHeight="1">
      <c r="A1452" s="5">
        <v>1450</v>
      </c>
      <c r="B1452" s="5" t="s">
        <v>20</v>
      </c>
      <c r="C1452" s="5" t="str">
        <f>"毛梓妹"</f>
        <v>毛梓妹</v>
      </c>
      <c r="D1452" s="5" t="str">
        <f>"460102199705242443"</f>
        <v>460102199705242443</v>
      </c>
      <c r="E1452" s="5" t="s">
        <v>15</v>
      </c>
      <c r="F1452" s="5" t="str">
        <f>"073103040415"</f>
        <v>073103040415</v>
      </c>
      <c r="G1452" s="7">
        <v>0</v>
      </c>
      <c r="H1452" s="7">
        <f t="shared" si="98"/>
        <v>0</v>
      </c>
      <c r="I1452" s="7">
        <v>0</v>
      </c>
      <c r="J1452" s="7">
        <f t="shared" si="99"/>
        <v>0</v>
      </c>
      <c r="K1452" s="10">
        <f t="shared" si="100"/>
        <v>0</v>
      </c>
      <c r="L1452" s="7">
        <f t="shared" si="101"/>
        <v>73</v>
      </c>
      <c r="M1452" s="13" t="s">
        <v>18</v>
      </c>
      <c r="N1452"/>
    </row>
    <row r="1453" spans="1:14" ht="24.75" customHeight="1">
      <c r="A1453" s="5">
        <v>1451</v>
      </c>
      <c r="B1453" s="5" t="s">
        <v>20</v>
      </c>
      <c r="C1453" s="5" t="str">
        <f>"郑永玲"</f>
        <v>郑永玲</v>
      </c>
      <c r="D1453" s="5" t="str">
        <f>"460003199709264624"</f>
        <v>460003199709264624</v>
      </c>
      <c r="E1453" s="5" t="s">
        <v>15</v>
      </c>
      <c r="F1453" s="5" t="str">
        <f>"073103040418"</f>
        <v>073103040418</v>
      </c>
      <c r="G1453" s="7">
        <v>0</v>
      </c>
      <c r="H1453" s="7">
        <f t="shared" si="98"/>
        <v>0</v>
      </c>
      <c r="I1453" s="7">
        <v>0</v>
      </c>
      <c r="J1453" s="7">
        <f t="shared" si="99"/>
        <v>0</v>
      </c>
      <c r="K1453" s="10">
        <f t="shared" si="100"/>
        <v>0</v>
      </c>
      <c r="L1453" s="7">
        <f t="shared" si="101"/>
        <v>73</v>
      </c>
      <c r="M1453" s="13" t="s">
        <v>18</v>
      </c>
      <c r="N1453"/>
    </row>
    <row r="1454" spans="1:14" ht="24.75" customHeight="1">
      <c r="A1454" s="5">
        <v>1452</v>
      </c>
      <c r="B1454" s="5" t="s">
        <v>20</v>
      </c>
      <c r="C1454" s="5" t="str">
        <f>"王姜丽"</f>
        <v>王姜丽</v>
      </c>
      <c r="D1454" s="5" t="str">
        <f>"460103199810142723"</f>
        <v>460103199810142723</v>
      </c>
      <c r="E1454" s="5" t="s">
        <v>15</v>
      </c>
      <c r="F1454" s="5" t="str">
        <f>"073103040419"</f>
        <v>073103040419</v>
      </c>
      <c r="G1454" s="7">
        <v>0</v>
      </c>
      <c r="H1454" s="7">
        <f t="shared" si="98"/>
        <v>0</v>
      </c>
      <c r="I1454" s="7">
        <v>0</v>
      </c>
      <c r="J1454" s="7">
        <f t="shared" si="99"/>
        <v>0</v>
      </c>
      <c r="K1454" s="10">
        <f t="shared" si="100"/>
        <v>0</v>
      </c>
      <c r="L1454" s="7">
        <f t="shared" si="101"/>
        <v>73</v>
      </c>
      <c r="M1454" s="13" t="s">
        <v>18</v>
      </c>
      <c r="N1454"/>
    </row>
    <row r="1455" spans="1:14" ht="24.75" customHeight="1">
      <c r="A1455" s="5">
        <v>1453</v>
      </c>
      <c r="B1455" s="5" t="s">
        <v>20</v>
      </c>
      <c r="C1455" s="5" t="str">
        <f>"李朝"</f>
        <v>李朝</v>
      </c>
      <c r="D1455" s="5" t="str">
        <f>"460006199811045224"</f>
        <v>460006199811045224</v>
      </c>
      <c r="E1455" s="5" t="s">
        <v>15</v>
      </c>
      <c r="F1455" s="5" t="str">
        <f>"073103040422"</f>
        <v>073103040422</v>
      </c>
      <c r="G1455" s="7">
        <v>0</v>
      </c>
      <c r="H1455" s="7">
        <f t="shared" si="98"/>
        <v>0</v>
      </c>
      <c r="I1455" s="7">
        <v>0</v>
      </c>
      <c r="J1455" s="7">
        <f t="shared" si="99"/>
        <v>0</v>
      </c>
      <c r="K1455" s="10">
        <f t="shared" si="100"/>
        <v>0</v>
      </c>
      <c r="L1455" s="7">
        <f t="shared" si="101"/>
        <v>73</v>
      </c>
      <c r="M1455" s="13" t="s">
        <v>18</v>
      </c>
      <c r="N1455"/>
    </row>
    <row r="1456" spans="1:14" ht="24.75" customHeight="1">
      <c r="A1456" s="5">
        <v>1454</v>
      </c>
      <c r="B1456" s="5" t="s">
        <v>20</v>
      </c>
      <c r="C1456" s="5" t="str">
        <f>"唐乾月"</f>
        <v>唐乾月</v>
      </c>
      <c r="D1456" s="5" t="str">
        <f>"46030019960216062X"</f>
        <v>46030019960216062X</v>
      </c>
      <c r="E1456" s="5" t="s">
        <v>15</v>
      </c>
      <c r="F1456" s="5" t="str">
        <f>"073103040423"</f>
        <v>073103040423</v>
      </c>
      <c r="G1456" s="7">
        <v>0</v>
      </c>
      <c r="H1456" s="7">
        <f t="shared" si="98"/>
        <v>0</v>
      </c>
      <c r="I1456" s="7">
        <v>0</v>
      </c>
      <c r="J1456" s="7">
        <f t="shared" si="99"/>
        <v>0</v>
      </c>
      <c r="K1456" s="10">
        <f t="shared" si="100"/>
        <v>0</v>
      </c>
      <c r="L1456" s="7">
        <f t="shared" si="101"/>
        <v>73</v>
      </c>
      <c r="M1456" s="13" t="s">
        <v>18</v>
      </c>
      <c r="N1456"/>
    </row>
    <row r="1457" spans="1:14" ht="24.75" customHeight="1">
      <c r="A1457" s="5">
        <v>1455</v>
      </c>
      <c r="B1457" s="5" t="s">
        <v>20</v>
      </c>
      <c r="C1457" s="5" t="str">
        <f>"吴平杰"</f>
        <v>吴平杰</v>
      </c>
      <c r="D1457" s="5" t="str">
        <f>"460003199511184610"</f>
        <v>460003199511184610</v>
      </c>
      <c r="E1457" s="5" t="s">
        <v>15</v>
      </c>
      <c r="F1457" s="5" t="str">
        <f>"073103040425"</f>
        <v>073103040425</v>
      </c>
      <c r="G1457" s="7">
        <v>0</v>
      </c>
      <c r="H1457" s="7">
        <f t="shared" si="98"/>
        <v>0</v>
      </c>
      <c r="I1457" s="7">
        <v>0</v>
      </c>
      <c r="J1457" s="7">
        <f t="shared" si="99"/>
        <v>0</v>
      </c>
      <c r="K1457" s="10">
        <f t="shared" si="100"/>
        <v>0</v>
      </c>
      <c r="L1457" s="7">
        <f t="shared" si="101"/>
        <v>73</v>
      </c>
      <c r="M1457" s="13" t="s">
        <v>18</v>
      </c>
      <c r="N1457"/>
    </row>
    <row r="1458" spans="1:14" ht="24.75" customHeight="1">
      <c r="A1458" s="5">
        <v>1456</v>
      </c>
      <c r="B1458" s="5" t="s">
        <v>20</v>
      </c>
      <c r="C1458" s="5" t="str">
        <f>"符发振"</f>
        <v>符发振</v>
      </c>
      <c r="D1458" s="5" t="str">
        <f>"460300199507110616"</f>
        <v>460300199507110616</v>
      </c>
      <c r="E1458" s="5" t="s">
        <v>15</v>
      </c>
      <c r="F1458" s="5" t="str">
        <f>"073103040427"</f>
        <v>073103040427</v>
      </c>
      <c r="G1458" s="7">
        <v>0</v>
      </c>
      <c r="H1458" s="7">
        <f t="shared" si="98"/>
        <v>0</v>
      </c>
      <c r="I1458" s="7">
        <v>0</v>
      </c>
      <c r="J1458" s="7">
        <f t="shared" si="99"/>
        <v>0</v>
      </c>
      <c r="K1458" s="10">
        <f t="shared" si="100"/>
        <v>0</v>
      </c>
      <c r="L1458" s="7">
        <f t="shared" si="101"/>
        <v>73</v>
      </c>
      <c r="M1458" s="13" t="s">
        <v>18</v>
      </c>
      <c r="N1458"/>
    </row>
    <row r="1459" spans="1:14" ht="24.75" customHeight="1">
      <c r="A1459" s="5">
        <v>1457</v>
      </c>
      <c r="B1459" s="5" t="s">
        <v>20</v>
      </c>
      <c r="C1459" s="5" t="str">
        <f>"张义彬"</f>
        <v>张义彬</v>
      </c>
      <c r="D1459" s="5" t="str">
        <f>"460026199701104217"</f>
        <v>460026199701104217</v>
      </c>
      <c r="E1459" s="5" t="s">
        <v>15</v>
      </c>
      <c r="F1459" s="5" t="str">
        <f>"073103040428"</f>
        <v>073103040428</v>
      </c>
      <c r="G1459" s="7">
        <v>0</v>
      </c>
      <c r="H1459" s="7">
        <f t="shared" si="98"/>
        <v>0</v>
      </c>
      <c r="I1459" s="7">
        <v>0</v>
      </c>
      <c r="J1459" s="7">
        <f t="shared" si="99"/>
        <v>0</v>
      </c>
      <c r="K1459" s="10">
        <f t="shared" si="100"/>
        <v>0</v>
      </c>
      <c r="L1459" s="7">
        <f t="shared" si="101"/>
        <v>73</v>
      </c>
      <c r="M1459" s="13" t="s">
        <v>18</v>
      </c>
      <c r="N1459"/>
    </row>
    <row r="1460" spans="1:14" ht="24.75" customHeight="1">
      <c r="A1460" s="5">
        <v>1458</v>
      </c>
      <c r="B1460" s="5" t="s">
        <v>20</v>
      </c>
      <c r="C1460" s="5" t="str">
        <f>"孙云"</f>
        <v>孙云</v>
      </c>
      <c r="D1460" s="5" t="str">
        <f>"469027199610243216"</f>
        <v>469027199610243216</v>
      </c>
      <c r="E1460" s="5" t="s">
        <v>15</v>
      </c>
      <c r="F1460" s="5" t="str">
        <f>"073103040429"</f>
        <v>073103040429</v>
      </c>
      <c r="G1460" s="7">
        <v>0</v>
      </c>
      <c r="H1460" s="7">
        <f t="shared" si="98"/>
        <v>0</v>
      </c>
      <c r="I1460" s="7">
        <v>0</v>
      </c>
      <c r="J1460" s="7">
        <f t="shared" si="99"/>
        <v>0</v>
      </c>
      <c r="K1460" s="10">
        <f t="shared" si="100"/>
        <v>0</v>
      </c>
      <c r="L1460" s="7">
        <f t="shared" si="101"/>
        <v>73</v>
      </c>
      <c r="M1460" s="13" t="s">
        <v>18</v>
      </c>
      <c r="N1460"/>
    </row>
    <row r="1461" spans="1:14" ht="24.75" customHeight="1">
      <c r="A1461" s="5">
        <v>1459</v>
      </c>
      <c r="B1461" s="5" t="s">
        <v>20</v>
      </c>
      <c r="C1461" s="5" t="str">
        <f>"李聃宁"</f>
        <v>李聃宁</v>
      </c>
      <c r="D1461" s="5" t="str">
        <f>"220221199701076249"</f>
        <v>220221199701076249</v>
      </c>
      <c r="E1461" s="5" t="s">
        <v>15</v>
      </c>
      <c r="F1461" s="5" t="str">
        <f>"073103040430"</f>
        <v>073103040430</v>
      </c>
      <c r="G1461" s="7">
        <v>0</v>
      </c>
      <c r="H1461" s="7">
        <f t="shared" si="98"/>
        <v>0</v>
      </c>
      <c r="I1461" s="7">
        <v>0</v>
      </c>
      <c r="J1461" s="7">
        <f t="shared" si="99"/>
        <v>0</v>
      </c>
      <c r="K1461" s="10">
        <f t="shared" si="100"/>
        <v>0</v>
      </c>
      <c r="L1461" s="7">
        <f t="shared" si="101"/>
        <v>73</v>
      </c>
      <c r="M1461" s="13" t="s">
        <v>18</v>
      </c>
      <c r="N1461"/>
    </row>
    <row r="1462" spans="1:14" ht="24.75" customHeight="1">
      <c r="A1462" s="5">
        <v>1460</v>
      </c>
      <c r="B1462" s="5" t="s">
        <v>20</v>
      </c>
      <c r="C1462" s="5" t="str">
        <f>"梁小珊"</f>
        <v>梁小珊</v>
      </c>
      <c r="D1462" s="5" t="str">
        <f>"440981199208043940"</f>
        <v>440981199208043940</v>
      </c>
      <c r="E1462" s="5" t="s">
        <v>15</v>
      </c>
      <c r="F1462" s="5" t="str">
        <f>"073103040431"</f>
        <v>073103040431</v>
      </c>
      <c r="G1462" s="7">
        <v>0</v>
      </c>
      <c r="H1462" s="7">
        <f t="shared" si="98"/>
        <v>0</v>
      </c>
      <c r="I1462" s="7">
        <v>0</v>
      </c>
      <c r="J1462" s="7">
        <f t="shared" si="99"/>
        <v>0</v>
      </c>
      <c r="K1462" s="10">
        <f t="shared" si="100"/>
        <v>0</v>
      </c>
      <c r="L1462" s="7">
        <f t="shared" si="101"/>
        <v>73</v>
      </c>
      <c r="M1462" s="13" t="s">
        <v>18</v>
      </c>
      <c r="N1462"/>
    </row>
    <row r="1463" spans="1:14" ht="24.75" customHeight="1">
      <c r="A1463" s="5">
        <v>1461</v>
      </c>
      <c r="B1463" s="5" t="s">
        <v>20</v>
      </c>
      <c r="C1463" s="5" t="str">
        <f>"吉雪娜"</f>
        <v>吉雪娜</v>
      </c>
      <c r="D1463" s="5" t="str">
        <f>"469007199705118025"</f>
        <v>469007199705118025</v>
      </c>
      <c r="E1463" s="5" t="s">
        <v>15</v>
      </c>
      <c r="F1463" s="5" t="str">
        <f>"073103040433"</f>
        <v>073103040433</v>
      </c>
      <c r="G1463" s="7">
        <v>0</v>
      </c>
      <c r="H1463" s="7">
        <f t="shared" si="98"/>
        <v>0</v>
      </c>
      <c r="I1463" s="7">
        <v>0</v>
      </c>
      <c r="J1463" s="7">
        <f t="shared" si="99"/>
        <v>0</v>
      </c>
      <c r="K1463" s="10">
        <f t="shared" si="100"/>
        <v>0</v>
      </c>
      <c r="L1463" s="7">
        <f t="shared" si="101"/>
        <v>73</v>
      </c>
      <c r="M1463" s="13" t="s">
        <v>18</v>
      </c>
      <c r="N1463"/>
    </row>
    <row r="1464" spans="1:14" ht="24.75" customHeight="1">
      <c r="A1464" s="5">
        <v>1462</v>
      </c>
      <c r="B1464" s="5" t="s">
        <v>20</v>
      </c>
      <c r="C1464" s="5" t="str">
        <f>"巩媛璠"</f>
        <v>巩媛璠</v>
      </c>
      <c r="D1464" s="5" t="str">
        <f>"110229199507093825"</f>
        <v>110229199507093825</v>
      </c>
      <c r="E1464" s="5" t="s">
        <v>15</v>
      </c>
      <c r="F1464" s="5" t="str">
        <f>"073103040436"</f>
        <v>073103040436</v>
      </c>
      <c r="G1464" s="7">
        <v>0</v>
      </c>
      <c r="H1464" s="7">
        <f t="shared" si="98"/>
        <v>0</v>
      </c>
      <c r="I1464" s="7">
        <v>0</v>
      </c>
      <c r="J1464" s="7">
        <f t="shared" si="99"/>
        <v>0</v>
      </c>
      <c r="K1464" s="10">
        <f t="shared" si="100"/>
        <v>0</v>
      </c>
      <c r="L1464" s="7">
        <f t="shared" si="101"/>
        <v>73</v>
      </c>
      <c r="M1464" s="13" t="s">
        <v>18</v>
      </c>
      <c r="N1464"/>
    </row>
    <row r="1465" spans="1:14" ht="24.75" customHeight="1">
      <c r="A1465" s="5">
        <v>1463</v>
      </c>
      <c r="B1465" s="5" t="s">
        <v>20</v>
      </c>
      <c r="C1465" s="5" t="str">
        <f>"陈靓"</f>
        <v>陈靓</v>
      </c>
      <c r="D1465" s="5" t="str">
        <f>"460006199904244847"</f>
        <v>460006199904244847</v>
      </c>
      <c r="E1465" s="5" t="s">
        <v>15</v>
      </c>
      <c r="F1465" s="5" t="str">
        <f>"073103040437"</f>
        <v>073103040437</v>
      </c>
      <c r="G1465" s="7">
        <v>0</v>
      </c>
      <c r="H1465" s="7">
        <f t="shared" si="98"/>
        <v>0</v>
      </c>
      <c r="I1465" s="7">
        <v>0</v>
      </c>
      <c r="J1465" s="7">
        <f t="shared" si="99"/>
        <v>0</v>
      </c>
      <c r="K1465" s="10">
        <f t="shared" si="100"/>
        <v>0</v>
      </c>
      <c r="L1465" s="7">
        <f t="shared" si="101"/>
        <v>73</v>
      </c>
      <c r="M1465" s="13" t="s">
        <v>18</v>
      </c>
      <c r="N1465"/>
    </row>
    <row r="1466" spans="1:14" ht="24.75" customHeight="1">
      <c r="A1466" s="5">
        <v>1464</v>
      </c>
      <c r="B1466" s="5" t="s">
        <v>20</v>
      </c>
      <c r="C1466" s="5" t="str">
        <f>"朱春永"</f>
        <v>朱春永</v>
      </c>
      <c r="D1466" s="5" t="str">
        <f>"460003199709222416"</f>
        <v>460003199709222416</v>
      </c>
      <c r="E1466" s="5" t="s">
        <v>15</v>
      </c>
      <c r="F1466" s="5" t="str">
        <f>"073103040438"</f>
        <v>073103040438</v>
      </c>
      <c r="G1466" s="7">
        <v>0</v>
      </c>
      <c r="H1466" s="7">
        <f t="shared" si="98"/>
        <v>0</v>
      </c>
      <c r="I1466" s="7">
        <v>0</v>
      </c>
      <c r="J1466" s="7">
        <f t="shared" si="99"/>
        <v>0</v>
      </c>
      <c r="K1466" s="10">
        <f t="shared" si="100"/>
        <v>0</v>
      </c>
      <c r="L1466" s="7">
        <f t="shared" si="101"/>
        <v>73</v>
      </c>
      <c r="M1466" s="13" t="s">
        <v>18</v>
      </c>
      <c r="N1466"/>
    </row>
    <row r="1467" spans="1:14" ht="24.75" customHeight="1">
      <c r="A1467" s="5">
        <v>1465</v>
      </c>
      <c r="B1467" s="5" t="s">
        <v>20</v>
      </c>
      <c r="C1467" s="5" t="str">
        <f>"冯雪"</f>
        <v>冯雪</v>
      </c>
      <c r="D1467" s="5" t="str">
        <f>"230624199801010469"</f>
        <v>230624199801010469</v>
      </c>
      <c r="E1467" s="5" t="s">
        <v>15</v>
      </c>
      <c r="F1467" s="5" t="str">
        <f>"073103040501"</f>
        <v>073103040501</v>
      </c>
      <c r="G1467" s="7">
        <v>0</v>
      </c>
      <c r="H1467" s="7">
        <f t="shared" si="98"/>
        <v>0</v>
      </c>
      <c r="I1467" s="7">
        <v>0</v>
      </c>
      <c r="J1467" s="7">
        <f t="shared" si="99"/>
        <v>0</v>
      </c>
      <c r="K1467" s="10">
        <f t="shared" si="100"/>
        <v>0</v>
      </c>
      <c r="L1467" s="7">
        <f t="shared" si="101"/>
        <v>73</v>
      </c>
      <c r="M1467" s="13" t="s">
        <v>18</v>
      </c>
      <c r="N1467"/>
    </row>
    <row r="1468" spans="1:14" ht="24.75" customHeight="1">
      <c r="A1468" s="5">
        <v>1466</v>
      </c>
      <c r="B1468" s="5" t="s">
        <v>20</v>
      </c>
      <c r="C1468" s="5" t="str">
        <f>"陈柳玲"</f>
        <v>陈柳玲</v>
      </c>
      <c r="D1468" s="5" t="str">
        <f>"460300199805200628"</f>
        <v>460300199805200628</v>
      </c>
      <c r="E1468" s="5" t="s">
        <v>15</v>
      </c>
      <c r="F1468" s="5" t="str">
        <f>"073103040502"</f>
        <v>073103040502</v>
      </c>
      <c r="G1468" s="7">
        <v>0</v>
      </c>
      <c r="H1468" s="7">
        <f t="shared" si="98"/>
        <v>0</v>
      </c>
      <c r="I1468" s="7">
        <v>0</v>
      </c>
      <c r="J1468" s="7">
        <f t="shared" si="99"/>
        <v>0</v>
      </c>
      <c r="K1468" s="10">
        <f t="shared" si="100"/>
        <v>0</v>
      </c>
      <c r="L1468" s="7">
        <f t="shared" si="101"/>
        <v>73</v>
      </c>
      <c r="M1468" s="13" t="s">
        <v>18</v>
      </c>
      <c r="N1468"/>
    </row>
    <row r="1469" spans="1:14" ht="24.75" customHeight="1">
      <c r="A1469" s="5">
        <v>1467</v>
      </c>
      <c r="B1469" s="5" t="s">
        <v>20</v>
      </c>
      <c r="C1469" s="5" t="str">
        <f>"周志月"</f>
        <v>周志月</v>
      </c>
      <c r="D1469" s="5" t="str">
        <f>"46000719961011498X"</f>
        <v>46000719961011498X</v>
      </c>
      <c r="E1469" s="5" t="s">
        <v>15</v>
      </c>
      <c r="F1469" s="5" t="str">
        <f>"073103040504"</f>
        <v>073103040504</v>
      </c>
      <c r="G1469" s="7">
        <v>0</v>
      </c>
      <c r="H1469" s="7">
        <f t="shared" si="98"/>
        <v>0</v>
      </c>
      <c r="I1469" s="7">
        <v>0</v>
      </c>
      <c r="J1469" s="7">
        <f t="shared" si="99"/>
        <v>0</v>
      </c>
      <c r="K1469" s="10">
        <f t="shared" si="100"/>
        <v>0</v>
      </c>
      <c r="L1469" s="7">
        <f t="shared" si="101"/>
        <v>73</v>
      </c>
      <c r="M1469" s="13" t="s">
        <v>18</v>
      </c>
      <c r="N1469"/>
    </row>
    <row r="1470" spans="1:14" ht="24.75" customHeight="1">
      <c r="A1470" s="5">
        <v>1468</v>
      </c>
      <c r="B1470" s="5" t="s">
        <v>20</v>
      </c>
      <c r="C1470" s="5" t="str">
        <f>"李慢晶"</f>
        <v>李慢晶</v>
      </c>
      <c r="D1470" s="5" t="str">
        <f>"469024199707030066"</f>
        <v>469024199707030066</v>
      </c>
      <c r="E1470" s="5" t="s">
        <v>15</v>
      </c>
      <c r="F1470" s="5" t="str">
        <f>"073103040507"</f>
        <v>073103040507</v>
      </c>
      <c r="G1470" s="7">
        <v>0</v>
      </c>
      <c r="H1470" s="7">
        <f t="shared" si="98"/>
        <v>0</v>
      </c>
      <c r="I1470" s="7">
        <v>0</v>
      </c>
      <c r="J1470" s="7">
        <f t="shared" si="99"/>
        <v>0</v>
      </c>
      <c r="K1470" s="10">
        <f t="shared" si="100"/>
        <v>0</v>
      </c>
      <c r="L1470" s="7">
        <f t="shared" si="101"/>
        <v>73</v>
      </c>
      <c r="M1470" s="13" t="s">
        <v>18</v>
      </c>
      <c r="N1470"/>
    </row>
    <row r="1471" spans="1:14" ht="24.75" customHeight="1">
      <c r="A1471" s="5">
        <v>1469</v>
      </c>
      <c r="B1471" s="5" t="s">
        <v>20</v>
      </c>
      <c r="C1471" s="5" t="str">
        <f>"周振宇"</f>
        <v>周振宇</v>
      </c>
      <c r="D1471" s="5" t="str">
        <f>"411521199307240015"</f>
        <v>411521199307240015</v>
      </c>
      <c r="E1471" s="5" t="s">
        <v>15</v>
      </c>
      <c r="F1471" s="5" t="str">
        <f>"073103040509"</f>
        <v>073103040509</v>
      </c>
      <c r="G1471" s="7">
        <v>0</v>
      </c>
      <c r="H1471" s="7">
        <f t="shared" si="98"/>
        <v>0</v>
      </c>
      <c r="I1471" s="7">
        <v>0</v>
      </c>
      <c r="J1471" s="7">
        <f t="shared" si="99"/>
        <v>0</v>
      </c>
      <c r="K1471" s="10">
        <f t="shared" si="100"/>
        <v>0</v>
      </c>
      <c r="L1471" s="7">
        <f t="shared" si="101"/>
        <v>73</v>
      </c>
      <c r="M1471" s="13" t="s">
        <v>18</v>
      </c>
      <c r="N1471"/>
    </row>
    <row r="1472" spans="1:14" ht="24.75" customHeight="1">
      <c r="A1472" s="5">
        <v>1470</v>
      </c>
      <c r="B1472" s="5" t="s">
        <v>20</v>
      </c>
      <c r="C1472" s="5" t="str">
        <f>"羊玲香"</f>
        <v>羊玲香</v>
      </c>
      <c r="D1472" s="5" t="str">
        <f>"460003199605223422"</f>
        <v>460003199605223422</v>
      </c>
      <c r="E1472" s="5" t="s">
        <v>15</v>
      </c>
      <c r="F1472" s="5" t="str">
        <f>"073103040510"</f>
        <v>073103040510</v>
      </c>
      <c r="G1472" s="7">
        <v>0</v>
      </c>
      <c r="H1472" s="7">
        <f t="shared" si="98"/>
        <v>0</v>
      </c>
      <c r="I1472" s="7">
        <v>0</v>
      </c>
      <c r="J1472" s="7">
        <f t="shared" si="99"/>
        <v>0</v>
      </c>
      <c r="K1472" s="10">
        <f t="shared" si="100"/>
        <v>0</v>
      </c>
      <c r="L1472" s="7">
        <f t="shared" si="101"/>
        <v>73</v>
      </c>
      <c r="M1472" s="13" t="s">
        <v>18</v>
      </c>
      <c r="N1472"/>
    </row>
    <row r="1473" spans="1:14" ht="24.75" customHeight="1">
      <c r="A1473" s="5">
        <v>1471</v>
      </c>
      <c r="B1473" s="5" t="s">
        <v>20</v>
      </c>
      <c r="C1473" s="5" t="str">
        <f>"王东"</f>
        <v>王东</v>
      </c>
      <c r="D1473" s="5" t="str">
        <f>"460028199610030016"</f>
        <v>460028199610030016</v>
      </c>
      <c r="E1473" s="5" t="s">
        <v>15</v>
      </c>
      <c r="F1473" s="5" t="str">
        <f>"073103040511"</f>
        <v>073103040511</v>
      </c>
      <c r="G1473" s="7">
        <v>0</v>
      </c>
      <c r="H1473" s="7">
        <f t="shared" si="98"/>
        <v>0</v>
      </c>
      <c r="I1473" s="7">
        <v>0</v>
      </c>
      <c r="J1473" s="7">
        <f t="shared" si="99"/>
        <v>0</v>
      </c>
      <c r="K1473" s="10">
        <f t="shared" si="100"/>
        <v>0</v>
      </c>
      <c r="L1473" s="7">
        <f t="shared" si="101"/>
        <v>73</v>
      </c>
      <c r="M1473" s="13" t="s">
        <v>18</v>
      </c>
      <c r="N1473"/>
    </row>
    <row r="1474" spans="1:14" ht="24.75" customHeight="1">
      <c r="A1474" s="5">
        <v>1472</v>
      </c>
      <c r="B1474" s="5" t="s">
        <v>20</v>
      </c>
      <c r="C1474" s="5" t="str">
        <f>"周玉凤"</f>
        <v>周玉凤</v>
      </c>
      <c r="D1474" s="5" t="str">
        <f>"460300199602030024"</f>
        <v>460300199602030024</v>
      </c>
      <c r="E1474" s="5" t="s">
        <v>16</v>
      </c>
      <c r="F1474" s="5" t="str">
        <f>"073103040512"</f>
        <v>073103040512</v>
      </c>
      <c r="G1474" s="7">
        <v>0</v>
      </c>
      <c r="H1474" s="7">
        <f t="shared" si="98"/>
        <v>0</v>
      </c>
      <c r="I1474" s="7">
        <v>0</v>
      </c>
      <c r="J1474" s="7">
        <f t="shared" si="99"/>
        <v>0</v>
      </c>
      <c r="K1474" s="10">
        <f t="shared" si="100"/>
        <v>0</v>
      </c>
      <c r="L1474" s="7">
        <f t="shared" si="101"/>
        <v>73</v>
      </c>
      <c r="M1474" s="13" t="s">
        <v>18</v>
      </c>
      <c r="N1474"/>
    </row>
    <row r="1475" spans="1:14" ht="24.75" customHeight="1">
      <c r="A1475" s="5">
        <v>1473</v>
      </c>
      <c r="B1475" s="5" t="s">
        <v>20</v>
      </c>
      <c r="C1475" s="5" t="str">
        <f>"唐美花"</f>
        <v>唐美花</v>
      </c>
      <c r="D1475" s="5" t="str">
        <f>"460300199305010326"</f>
        <v>460300199305010326</v>
      </c>
      <c r="E1475" s="5" t="s">
        <v>15</v>
      </c>
      <c r="F1475" s="5" t="str">
        <f>"073103040514"</f>
        <v>073103040514</v>
      </c>
      <c r="G1475" s="7">
        <v>0</v>
      </c>
      <c r="H1475" s="7">
        <f aca="true" t="shared" si="102" ref="H1475:H1538">G1475*0.5</f>
        <v>0</v>
      </c>
      <c r="I1475" s="7">
        <v>0</v>
      </c>
      <c r="J1475" s="7">
        <f aca="true" t="shared" si="103" ref="J1475:J1538">I1475*0.5</f>
        <v>0</v>
      </c>
      <c r="K1475" s="10">
        <f t="shared" si="100"/>
        <v>0</v>
      </c>
      <c r="L1475" s="7">
        <f t="shared" si="101"/>
        <v>73</v>
      </c>
      <c r="M1475" s="13" t="s">
        <v>18</v>
      </c>
      <c r="N1475"/>
    </row>
    <row r="1476" spans="1:14" ht="24.75" customHeight="1">
      <c r="A1476" s="5">
        <v>1474</v>
      </c>
      <c r="B1476" s="5" t="s">
        <v>20</v>
      </c>
      <c r="C1476" s="5" t="str">
        <f>"林少环"</f>
        <v>林少环</v>
      </c>
      <c r="D1476" s="5" t="str">
        <f>"460004199607303422"</f>
        <v>460004199607303422</v>
      </c>
      <c r="E1476" s="5" t="s">
        <v>15</v>
      </c>
      <c r="F1476" s="5" t="str">
        <f>"073103040517"</f>
        <v>073103040517</v>
      </c>
      <c r="G1476" s="7">
        <v>0</v>
      </c>
      <c r="H1476" s="7">
        <f t="shared" si="102"/>
        <v>0</v>
      </c>
      <c r="I1476" s="7">
        <v>0</v>
      </c>
      <c r="J1476" s="7">
        <f t="shared" si="103"/>
        <v>0</v>
      </c>
      <c r="K1476" s="10">
        <f t="shared" si="100"/>
        <v>0</v>
      </c>
      <c r="L1476" s="7">
        <f t="shared" si="101"/>
        <v>73</v>
      </c>
      <c r="M1476" s="13" t="s">
        <v>18</v>
      </c>
      <c r="N1476"/>
    </row>
    <row r="1477" spans="1:14" ht="24.75" customHeight="1">
      <c r="A1477" s="5">
        <v>1475</v>
      </c>
      <c r="B1477" s="5" t="s">
        <v>20</v>
      </c>
      <c r="C1477" s="5" t="str">
        <f>"李则宣"</f>
        <v>李则宣</v>
      </c>
      <c r="D1477" s="5" t="str">
        <f>"23050419950807071X"</f>
        <v>23050419950807071X</v>
      </c>
      <c r="E1477" s="5" t="s">
        <v>15</v>
      </c>
      <c r="F1477" s="5" t="str">
        <f>"073103040518"</f>
        <v>073103040518</v>
      </c>
      <c r="G1477" s="7">
        <v>0</v>
      </c>
      <c r="H1477" s="7">
        <f t="shared" si="102"/>
        <v>0</v>
      </c>
      <c r="I1477" s="7">
        <v>0</v>
      </c>
      <c r="J1477" s="7">
        <f t="shared" si="103"/>
        <v>0</v>
      </c>
      <c r="K1477" s="10">
        <f t="shared" si="100"/>
        <v>0</v>
      </c>
      <c r="L1477" s="7">
        <f t="shared" si="101"/>
        <v>73</v>
      </c>
      <c r="M1477" s="13" t="s">
        <v>18</v>
      </c>
      <c r="N1477"/>
    </row>
    <row r="1478" spans="1:14" ht="24.75" customHeight="1">
      <c r="A1478" s="5">
        <v>1476</v>
      </c>
      <c r="B1478" s="5" t="s">
        <v>20</v>
      </c>
      <c r="C1478" s="5" t="str">
        <f>"黄承果"</f>
        <v>黄承果</v>
      </c>
      <c r="D1478" s="5" t="str">
        <f>"440882199608094027"</f>
        <v>440882199608094027</v>
      </c>
      <c r="E1478" s="5" t="s">
        <v>15</v>
      </c>
      <c r="F1478" s="5" t="str">
        <f>"073103040519"</f>
        <v>073103040519</v>
      </c>
      <c r="G1478" s="7">
        <v>0</v>
      </c>
      <c r="H1478" s="7">
        <f t="shared" si="102"/>
        <v>0</v>
      </c>
      <c r="I1478" s="7">
        <v>0</v>
      </c>
      <c r="J1478" s="7">
        <f t="shared" si="103"/>
        <v>0</v>
      </c>
      <c r="K1478" s="10">
        <f t="shared" si="100"/>
        <v>0</v>
      </c>
      <c r="L1478" s="7">
        <f t="shared" si="101"/>
        <v>73</v>
      </c>
      <c r="M1478" s="13" t="s">
        <v>18</v>
      </c>
      <c r="N1478"/>
    </row>
    <row r="1479" spans="1:14" ht="24.75" customHeight="1">
      <c r="A1479" s="5">
        <v>1477</v>
      </c>
      <c r="B1479" s="5" t="s">
        <v>20</v>
      </c>
      <c r="C1479" s="5" t="str">
        <f>"王丽君"</f>
        <v>王丽君</v>
      </c>
      <c r="D1479" s="5" t="str">
        <f>"460027199503075669"</f>
        <v>460027199503075669</v>
      </c>
      <c r="E1479" s="5" t="s">
        <v>15</v>
      </c>
      <c r="F1479" s="5" t="str">
        <f>"073103040520"</f>
        <v>073103040520</v>
      </c>
      <c r="G1479" s="7">
        <v>0</v>
      </c>
      <c r="H1479" s="7">
        <f t="shared" si="102"/>
        <v>0</v>
      </c>
      <c r="I1479" s="7">
        <v>0</v>
      </c>
      <c r="J1479" s="7">
        <f t="shared" si="103"/>
        <v>0</v>
      </c>
      <c r="K1479" s="10">
        <f t="shared" si="100"/>
        <v>0</v>
      </c>
      <c r="L1479" s="7">
        <f t="shared" si="101"/>
        <v>73</v>
      </c>
      <c r="M1479" s="13" t="s">
        <v>18</v>
      </c>
      <c r="N1479"/>
    </row>
    <row r="1480" spans="1:14" ht="24.75" customHeight="1">
      <c r="A1480" s="5">
        <v>1478</v>
      </c>
      <c r="B1480" s="5" t="s">
        <v>21</v>
      </c>
      <c r="C1480" s="5" t="str">
        <f>"陈之亮"</f>
        <v>陈之亮</v>
      </c>
      <c r="D1480" s="5" t="str">
        <f>"460033199709264657"</f>
        <v>460033199709264657</v>
      </c>
      <c r="E1480" s="5" t="s">
        <v>15</v>
      </c>
      <c r="F1480" s="5" t="str">
        <f>"073105040620"</f>
        <v>073105040620</v>
      </c>
      <c r="G1480" s="7">
        <v>80</v>
      </c>
      <c r="H1480" s="7">
        <f t="shared" si="102"/>
        <v>40</v>
      </c>
      <c r="I1480" s="7">
        <v>91.783</v>
      </c>
      <c r="J1480" s="7">
        <f t="shared" si="103"/>
        <v>45.8915</v>
      </c>
      <c r="K1480" s="10">
        <f t="shared" si="100"/>
        <v>85.89150000000001</v>
      </c>
      <c r="L1480" s="7">
        <f aca="true" t="shared" si="104" ref="L1480:L1543">RANK(K1480,$K$1480:$K$1635,0)</f>
        <v>1</v>
      </c>
      <c r="M1480" s="11"/>
      <c r="N1480"/>
    </row>
    <row r="1481" spans="1:14" ht="24.75" customHeight="1">
      <c r="A1481" s="5">
        <v>1479</v>
      </c>
      <c r="B1481" s="5" t="s">
        <v>21</v>
      </c>
      <c r="C1481" s="5" t="str">
        <f>"郑志君"</f>
        <v>郑志君</v>
      </c>
      <c r="D1481" s="5" t="str">
        <f>"460031199912120410"</f>
        <v>460031199912120410</v>
      </c>
      <c r="E1481" s="5" t="s">
        <v>15</v>
      </c>
      <c r="F1481" s="5" t="str">
        <f>"073105040601"</f>
        <v>073105040601</v>
      </c>
      <c r="G1481" s="7">
        <v>75.4</v>
      </c>
      <c r="H1481" s="7">
        <f t="shared" si="102"/>
        <v>37.7</v>
      </c>
      <c r="I1481" s="7">
        <v>87.821</v>
      </c>
      <c r="J1481" s="7">
        <f t="shared" si="103"/>
        <v>43.9105</v>
      </c>
      <c r="K1481" s="10">
        <f t="shared" si="100"/>
        <v>81.6105</v>
      </c>
      <c r="L1481" s="7">
        <f t="shared" si="104"/>
        <v>2</v>
      </c>
      <c r="M1481" s="11"/>
      <c r="N1481"/>
    </row>
    <row r="1482" spans="1:14" ht="24.75" customHeight="1">
      <c r="A1482" s="5">
        <v>1480</v>
      </c>
      <c r="B1482" s="5" t="s">
        <v>21</v>
      </c>
      <c r="C1482" s="5" t="str">
        <f>"谭永超"</f>
        <v>谭永超</v>
      </c>
      <c r="D1482" s="5" t="str">
        <f>"460031199409154816"</f>
        <v>460031199409154816</v>
      </c>
      <c r="E1482" s="5" t="s">
        <v>15</v>
      </c>
      <c r="F1482" s="5" t="str">
        <f>"073105040618"</f>
        <v>073105040618</v>
      </c>
      <c r="G1482" s="7">
        <v>81.3</v>
      </c>
      <c r="H1482" s="7">
        <f t="shared" si="102"/>
        <v>40.65</v>
      </c>
      <c r="I1482" s="7">
        <v>79.677</v>
      </c>
      <c r="J1482" s="7">
        <f t="shared" si="103"/>
        <v>39.8385</v>
      </c>
      <c r="K1482" s="10">
        <f t="shared" si="100"/>
        <v>80.4885</v>
      </c>
      <c r="L1482" s="7">
        <f t="shared" si="104"/>
        <v>3</v>
      </c>
      <c r="M1482" s="11"/>
      <c r="N1482"/>
    </row>
    <row r="1483" spans="1:14" ht="24.75" customHeight="1">
      <c r="A1483" s="5">
        <v>1481</v>
      </c>
      <c r="B1483" s="5" t="s">
        <v>21</v>
      </c>
      <c r="C1483" s="5" t="str">
        <f>"王清逸"</f>
        <v>王清逸</v>
      </c>
      <c r="D1483" s="5" t="str">
        <f>"460031199512170013"</f>
        <v>460031199512170013</v>
      </c>
      <c r="E1483" s="5" t="s">
        <v>15</v>
      </c>
      <c r="F1483" s="5" t="str">
        <f>"073105040931"</f>
        <v>073105040931</v>
      </c>
      <c r="G1483" s="7">
        <v>88.7</v>
      </c>
      <c r="H1483" s="7">
        <f t="shared" si="102"/>
        <v>44.35</v>
      </c>
      <c r="I1483" s="7">
        <v>69.186</v>
      </c>
      <c r="J1483" s="7">
        <f t="shared" si="103"/>
        <v>34.593</v>
      </c>
      <c r="K1483" s="10">
        <f t="shared" si="100"/>
        <v>78.94300000000001</v>
      </c>
      <c r="L1483" s="7">
        <f t="shared" si="104"/>
        <v>4</v>
      </c>
      <c r="M1483" s="11"/>
      <c r="N1483"/>
    </row>
    <row r="1484" spans="1:14" ht="24.75" customHeight="1">
      <c r="A1484" s="5">
        <v>1482</v>
      </c>
      <c r="B1484" s="5" t="s">
        <v>21</v>
      </c>
      <c r="C1484" s="5" t="str">
        <f>"钟呈媛"</f>
        <v>钟呈媛</v>
      </c>
      <c r="D1484" s="5" t="str">
        <f>"460031199702200025"</f>
        <v>460031199702200025</v>
      </c>
      <c r="E1484" s="5" t="s">
        <v>15</v>
      </c>
      <c r="F1484" s="5" t="str">
        <f>"073105040609"</f>
        <v>073105040609</v>
      </c>
      <c r="G1484" s="7">
        <v>78</v>
      </c>
      <c r="H1484" s="7">
        <f t="shared" si="102"/>
        <v>39</v>
      </c>
      <c r="I1484" s="7">
        <v>79.384</v>
      </c>
      <c r="J1484" s="7">
        <f t="shared" si="103"/>
        <v>39.692</v>
      </c>
      <c r="K1484" s="10">
        <f aca="true" t="shared" si="105" ref="K1484:K1547">H1484+J1484</f>
        <v>78.69200000000001</v>
      </c>
      <c r="L1484" s="7">
        <f t="shared" si="104"/>
        <v>5</v>
      </c>
      <c r="M1484" s="11"/>
      <c r="N1484"/>
    </row>
    <row r="1485" spans="1:14" ht="24.75" customHeight="1">
      <c r="A1485" s="5">
        <v>1483</v>
      </c>
      <c r="B1485" s="5" t="s">
        <v>21</v>
      </c>
      <c r="C1485" s="5" t="str">
        <f>"叶晶晶"</f>
        <v>叶晶晶</v>
      </c>
      <c r="D1485" s="5" t="str">
        <f>"460031199907140820"</f>
        <v>460031199907140820</v>
      </c>
      <c r="E1485" s="5" t="s">
        <v>15</v>
      </c>
      <c r="F1485" s="5" t="str">
        <f>"073105040614"</f>
        <v>073105040614</v>
      </c>
      <c r="G1485" s="7">
        <v>81.5</v>
      </c>
      <c r="H1485" s="7">
        <f t="shared" si="102"/>
        <v>40.75</v>
      </c>
      <c r="I1485" s="7">
        <v>75.202</v>
      </c>
      <c r="J1485" s="7">
        <f t="shared" si="103"/>
        <v>37.601</v>
      </c>
      <c r="K1485" s="10">
        <f t="shared" si="105"/>
        <v>78.351</v>
      </c>
      <c r="L1485" s="7">
        <f t="shared" si="104"/>
        <v>6</v>
      </c>
      <c r="M1485" s="11"/>
      <c r="N1485"/>
    </row>
    <row r="1486" spans="1:14" ht="24.75" customHeight="1">
      <c r="A1486" s="5">
        <v>1484</v>
      </c>
      <c r="B1486" s="5" t="s">
        <v>21</v>
      </c>
      <c r="C1486" s="5" t="str">
        <f>"羊仕"</f>
        <v>羊仕</v>
      </c>
      <c r="D1486" s="5" t="str">
        <f>"460031199112166015"</f>
        <v>460031199112166015</v>
      </c>
      <c r="E1486" s="5" t="s">
        <v>15</v>
      </c>
      <c r="F1486" s="5" t="str">
        <f>"073105040621"</f>
        <v>073105040621</v>
      </c>
      <c r="G1486" s="7">
        <v>67.4</v>
      </c>
      <c r="H1486" s="7">
        <f t="shared" si="102"/>
        <v>33.7</v>
      </c>
      <c r="I1486" s="7">
        <v>84.519</v>
      </c>
      <c r="J1486" s="7">
        <f t="shared" si="103"/>
        <v>42.2595</v>
      </c>
      <c r="K1486" s="10">
        <f t="shared" si="105"/>
        <v>75.9595</v>
      </c>
      <c r="L1486" s="7">
        <f t="shared" si="104"/>
        <v>7</v>
      </c>
      <c r="M1486" s="11"/>
      <c r="N1486"/>
    </row>
    <row r="1487" spans="1:14" ht="24.75" customHeight="1">
      <c r="A1487" s="5">
        <v>1485</v>
      </c>
      <c r="B1487" s="5" t="s">
        <v>21</v>
      </c>
      <c r="C1487" s="5" t="str">
        <f>"何敏"</f>
        <v>何敏</v>
      </c>
      <c r="D1487" s="5" t="str">
        <f>"469026199907110821"</f>
        <v>469026199907110821</v>
      </c>
      <c r="E1487" s="5" t="s">
        <v>15</v>
      </c>
      <c r="F1487" s="5" t="str">
        <f>"073105040628"</f>
        <v>073105040628</v>
      </c>
      <c r="G1487" s="7">
        <v>80.7</v>
      </c>
      <c r="H1487" s="7">
        <f t="shared" si="102"/>
        <v>40.35</v>
      </c>
      <c r="I1487" s="7">
        <v>66.691</v>
      </c>
      <c r="J1487" s="7">
        <f t="shared" si="103"/>
        <v>33.3455</v>
      </c>
      <c r="K1487" s="10">
        <f t="shared" si="105"/>
        <v>73.69550000000001</v>
      </c>
      <c r="L1487" s="7">
        <f t="shared" si="104"/>
        <v>8</v>
      </c>
      <c r="M1487" s="11"/>
      <c r="N1487"/>
    </row>
    <row r="1488" spans="1:14" ht="24.75" customHeight="1">
      <c r="A1488" s="5">
        <v>1486</v>
      </c>
      <c r="B1488" s="5" t="s">
        <v>21</v>
      </c>
      <c r="C1488" s="5" t="str">
        <f>"符贵巍"</f>
        <v>符贵巍</v>
      </c>
      <c r="D1488" s="5" t="str">
        <f>"460031199205050011"</f>
        <v>460031199205050011</v>
      </c>
      <c r="E1488" s="5" t="s">
        <v>15</v>
      </c>
      <c r="F1488" s="5" t="str">
        <f>"073105040921"</f>
        <v>073105040921</v>
      </c>
      <c r="G1488" s="7">
        <v>55.3</v>
      </c>
      <c r="H1488" s="7">
        <f t="shared" si="102"/>
        <v>27.65</v>
      </c>
      <c r="I1488" s="7">
        <v>88.481</v>
      </c>
      <c r="J1488" s="7">
        <f t="shared" si="103"/>
        <v>44.2405</v>
      </c>
      <c r="K1488" s="10">
        <f t="shared" si="105"/>
        <v>71.8905</v>
      </c>
      <c r="L1488" s="7">
        <f t="shared" si="104"/>
        <v>9</v>
      </c>
      <c r="M1488" s="11"/>
      <c r="N1488"/>
    </row>
    <row r="1489" spans="1:14" ht="24.75" customHeight="1">
      <c r="A1489" s="5">
        <v>1487</v>
      </c>
      <c r="B1489" s="5" t="s">
        <v>21</v>
      </c>
      <c r="C1489" s="5" t="str">
        <f>"陈丽婷"</f>
        <v>陈丽婷</v>
      </c>
      <c r="D1489" s="5" t="str">
        <f>"460031199205010845"</f>
        <v>460031199205010845</v>
      </c>
      <c r="E1489" s="5" t="s">
        <v>15</v>
      </c>
      <c r="F1489" s="5" t="str">
        <f>"073105040838"</f>
        <v>073105040838</v>
      </c>
      <c r="G1489" s="7">
        <v>66.5</v>
      </c>
      <c r="H1489" s="7">
        <f t="shared" si="102"/>
        <v>33.25</v>
      </c>
      <c r="I1489" s="7">
        <v>75.275</v>
      </c>
      <c r="J1489" s="7">
        <f t="shared" si="103"/>
        <v>37.6375</v>
      </c>
      <c r="K1489" s="10">
        <f t="shared" si="105"/>
        <v>70.8875</v>
      </c>
      <c r="L1489" s="7">
        <f t="shared" si="104"/>
        <v>10</v>
      </c>
      <c r="M1489" s="11"/>
      <c r="N1489"/>
    </row>
    <row r="1490" spans="1:14" ht="24.75" customHeight="1">
      <c r="A1490" s="5">
        <v>1488</v>
      </c>
      <c r="B1490" s="5" t="s">
        <v>21</v>
      </c>
      <c r="C1490" s="5" t="str">
        <f>"梁连欣"</f>
        <v>梁连欣</v>
      </c>
      <c r="D1490" s="5" t="str">
        <f>"469026199405093267"</f>
        <v>469026199405093267</v>
      </c>
      <c r="E1490" s="5" t="s">
        <v>15</v>
      </c>
      <c r="F1490" s="5" t="str">
        <f>"073105040835"</f>
        <v>073105040835</v>
      </c>
      <c r="G1490" s="7">
        <v>64.5</v>
      </c>
      <c r="H1490" s="7">
        <f t="shared" si="102"/>
        <v>32.25</v>
      </c>
      <c r="I1490" s="7">
        <v>75.495</v>
      </c>
      <c r="J1490" s="7">
        <f t="shared" si="103"/>
        <v>37.7475</v>
      </c>
      <c r="K1490" s="10">
        <f t="shared" si="105"/>
        <v>69.9975</v>
      </c>
      <c r="L1490" s="7">
        <f t="shared" si="104"/>
        <v>11</v>
      </c>
      <c r="M1490" s="11"/>
      <c r="N1490"/>
    </row>
    <row r="1491" spans="1:14" ht="24.75" customHeight="1">
      <c r="A1491" s="5">
        <v>1489</v>
      </c>
      <c r="B1491" s="5" t="s">
        <v>21</v>
      </c>
      <c r="C1491" s="5" t="str">
        <f>"符盛铱"</f>
        <v>符盛铱</v>
      </c>
      <c r="D1491" s="5" t="str">
        <f>"460031199807010025"</f>
        <v>460031199807010025</v>
      </c>
      <c r="E1491" s="5" t="s">
        <v>15</v>
      </c>
      <c r="F1491" s="5" t="str">
        <f>"073105040910"</f>
        <v>073105040910</v>
      </c>
      <c r="G1491" s="7">
        <v>71.7</v>
      </c>
      <c r="H1491" s="7">
        <f t="shared" si="102"/>
        <v>35.85</v>
      </c>
      <c r="I1491" s="7">
        <v>66.471</v>
      </c>
      <c r="J1491" s="7">
        <f t="shared" si="103"/>
        <v>33.2355</v>
      </c>
      <c r="K1491" s="10">
        <f t="shared" si="105"/>
        <v>69.0855</v>
      </c>
      <c r="L1491" s="7">
        <f t="shared" si="104"/>
        <v>12</v>
      </c>
      <c r="M1491" s="11"/>
      <c r="N1491"/>
    </row>
    <row r="1492" spans="1:14" ht="24.75" customHeight="1">
      <c r="A1492" s="5">
        <v>1490</v>
      </c>
      <c r="B1492" s="5" t="s">
        <v>21</v>
      </c>
      <c r="C1492" s="5" t="str">
        <f>"符笔运"</f>
        <v>符笔运</v>
      </c>
      <c r="D1492" s="5" t="str">
        <f>"460031199408224018"</f>
        <v>460031199408224018</v>
      </c>
      <c r="E1492" s="5" t="s">
        <v>15</v>
      </c>
      <c r="F1492" s="5" t="str">
        <f>"073105040605"</f>
        <v>073105040605</v>
      </c>
      <c r="G1492" s="7">
        <v>78.7</v>
      </c>
      <c r="H1492" s="7">
        <f t="shared" si="102"/>
        <v>39.35</v>
      </c>
      <c r="I1492" s="7">
        <v>58.621</v>
      </c>
      <c r="J1492" s="7">
        <f t="shared" si="103"/>
        <v>29.3105</v>
      </c>
      <c r="K1492" s="10">
        <f t="shared" si="105"/>
        <v>68.6605</v>
      </c>
      <c r="L1492" s="7">
        <f t="shared" si="104"/>
        <v>13</v>
      </c>
      <c r="M1492" s="11"/>
      <c r="N1492"/>
    </row>
    <row r="1493" spans="1:14" ht="24.75" customHeight="1">
      <c r="A1493" s="5">
        <v>1491</v>
      </c>
      <c r="B1493" s="5" t="s">
        <v>21</v>
      </c>
      <c r="C1493" s="5" t="str">
        <f>"王楚元"</f>
        <v>王楚元</v>
      </c>
      <c r="D1493" s="5" t="str">
        <f>"460031199810020814"</f>
        <v>460031199810020814</v>
      </c>
      <c r="E1493" s="5" t="s">
        <v>15</v>
      </c>
      <c r="F1493" s="5" t="str">
        <f>"073105040901"</f>
        <v>073105040901</v>
      </c>
      <c r="G1493" s="7">
        <v>60.1</v>
      </c>
      <c r="H1493" s="7">
        <f t="shared" si="102"/>
        <v>30.05</v>
      </c>
      <c r="I1493" s="7">
        <v>75.862</v>
      </c>
      <c r="J1493" s="7">
        <f t="shared" si="103"/>
        <v>37.931</v>
      </c>
      <c r="K1493" s="10">
        <f t="shared" si="105"/>
        <v>67.981</v>
      </c>
      <c r="L1493" s="7">
        <f t="shared" si="104"/>
        <v>14</v>
      </c>
      <c r="M1493" s="11"/>
      <c r="N1493"/>
    </row>
    <row r="1494" spans="1:14" ht="24.75" customHeight="1">
      <c r="A1494" s="5">
        <v>1492</v>
      </c>
      <c r="B1494" s="5" t="s">
        <v>21</v>
      </c>
      <c r="C1494" s="5" t="str">
        <f>"李子媚"</f>
        <v>李子媚</v>
      </c>
      <c r="D1494" s="5" t="str">
        <f>"460031199312130025"</f>
        <v>460031199312130025</v>
      </c>
      <c r="E1494" s="5" t="s">
        <v>15</v>
      </c>
      <c r="F1494" s="5" t="str">
        <f>"073105040616"</f>
        <v>073105040616</v>
      </c>
      <c r="G1494" s="7">
        <v>64</v>
      </c>
      <c r="H1494" s="7">
        <f t="shared" si="102"/>
        <v>32</v>
      </c>
      <c r="I1494" s="7">
        <v>71.313</v>
      </c>
      <c r="J1494" s="7">
        <f t="shared" si="103"/>
        <v>35.6565</v>
      </c>
      <c r="K1494" s="10">
        <f t="shared" si="105"/>
        <v>67.6565</v>
      </c>
      <c r="L1494" s="7">
        <f t="shared" si="104"/>
        <v>15</v>
      </c>
      <c r="M1494" s="11"/>
      <c r="N1494"/>
    </row>
    <row r="1495" spans="1:14" ht="24.75" customHeight="1">
      <c r="A1495" s="5">
        <v>1493</v>
      </c>
      <c r="B1495" s="5" t="s">
        <v>21</v>
      </c>
      <c r="C1495" s="5" t="str">
        <f>"邹菊"</f>
        <v>邹菊</v>
      </c>
      <c r="D1495" s="5" t="str">
        <f>"460031199606296020"</f>
        <v>460031199606296020</v>
      </c>
      <c r="E1495" s="5" t="s">
        <v>15</v>
      </c>
      <c r="F1495" s="5" t="str">
        <f>"073105040812"</f>
        <v>073105040812</v>
      </c>
      <c r="G1495" s="7">
        <v>77</v>
      </c>
      <c r="H1495" s="7">
        <f t="shared" si="102"/>
        <v>38.5</v>
      </c>
      <c r="I1495" s="7">
        <v>57.52</v>
      </c>
      <c r="J1495" s="7">
        <f t="shared" si="103"/>
        <v>28.76</v>
      </c>
      <c r="K1495" s="10">
        <f t="shared" si="105"/>
        <v>67.26</v>
      </c>
      <c r="L1495" s="7">
        <f t="shared" si="104"/>
        <v>16</v>
      </c>
      <c r="M1495" s="11"/>
      <c r="N1495"/>
    </row>
    <row r="1496" spans="1:14" ht="24.75" customHeight="1">
      <c r="A1496" s="5">
        <v>1494</v>
      </c>
      <c r="B1496" s="5" t="s">
        <v>21</v>
      </c>
      <c r="C1496" s="5" t="str">
        <f>"刘燕"</f>
        <v>刘燕</v>
      </c>
      <c r="D1496" s="5" t="str">
        <f>"460031199208203220"</f>
        <v>460031199208203220</v>
      </c>
      <c r="E1496" s="5" t="s">
        <v>15</v>
      </c>
      <c r="F1496" s="5" t="str">
        <f>"073105040818"</f>
        <v>073105040818</v>
      </c>
      <c r="G1496" s="7">
        <v>76.7</v>
      </c>
      <c r="H1496" s="7">
        <f t="shared" si="102"/>
        <v>38.35</v>
      </c>
      <c r="I1496" s="7">
        <v>55.979</v>
      </c>
      <c r="J1496" s="7">
        <f t="shared" si="103"/>
        <v>27.9895</v>
      </c>
      <c r="K1496" s="10">
        <f t="shared" si="105"/>
        <v>66.3395</v>
      </c>
      <c r="L1496" s="7">
        <f t="shared" si="104"/>
        <v>17</v>
      </c>
      <c r="M1496" s="11"/>
      <c r="N1496"/>
    </row>
    <row r="1497" spans="1:14" ht="24.75" customHeight="1">
      <c r="A1497" s="5">
        <v>1495</v>
      </c>
      <c r="B1497" s="5" t="s">
        <v>21</v>
      </c>
      <c r="C1497" s="5" t="str">
        <f>"颜唐琳"</f>
        <v>颜唐琳</v>
      </c>
      <c r="D1497" s="5" t="str">
        <f>"460031199710250022"</f>
        <v>460031199710250022</v>
      </c>
      <c r="E1497" s="5" t="s">
        <v>15</v>
      </c>
      <c r="F1497" s="5" t="str">
        <f>"073105040603"</f>
        <v>073105040603</v>
      </c>
      <c r="G1497" s="7">
        <v>80.2</v>
      </c>
      <c r="H1497" s="7">
        <f t="shared" si="102"/>
        <v>40.1</v>
      </c>
      <c r="I1497" s="7">
        <v>52.091</v>
      </c>
      <c r="J1497" s="7">
        <f t="shared" si="103"/>
        <v>26.0455</v>
      </c>
      <c r="K1497" s="10">
        <f t="shared" si="105"/>
        <v>66.1455</v>
      </c>
      <c r="L1497" s="7">
        <f t="shared" si="104"/>
        <v>18</v>
      </c>
      <c r="M1497" s="11"/>
      <c r="N1497"/>
    </row>
    <row r="1498" spans="1:14" ht="24.75" customHeight="1">
      <c r="A1498" s="5">
        <v>1496</v>
      </c>
      <c r="B1498" s="5" t="s">
        <v>21</v>
      </c>
      <c r="C1498" s="5" t="str">
        <f>"符仕晓"</f>
        <v>符仕晓</v>
      </c>
      <c r="D1498" s="5" t="str">
        <f>"46003119931024482X"</f>
        <v>46003119931024482X</v>
      </c>
      <c r="E1498" s="5" t="s">
        <v>15</v>
      </c>
      <c r="F1498" s="5" t="str">
        <f>"073105040604"</f>
        <v>073105040604</v>
      </c>
      <c r="G1498" s="7">
        <v>74.5</v>
      </c>
      <c r="H1498" s="7">
        <f t="shared" si="102"/>
        <v>37.25</v>
      </c>
      <c r="I1498" s="7">
        <v>57.52</v>
      </c>
      <c r="J1498" s="7">
        <f t="shared" si="103"/>
        <v>28.76</v>
      </c>
      <c r="K1498" s="10">
        <f t="shared" si="105"/>
        <v>66.01</v>
      </c>
      <c r="L1498" s="7">
        <f t="shared" si="104"/>
        <v>19</v>
      </c>
      <c r="M1498" s="11"/>
      <c r="N1498"/>
    </row>
    <row r="1499" spans="1:14" ht="24.75" customHeight="1">
      <c r="A1499" s="5">
        <v>1497</v>
      </c>
      <c r="B1499" s="5" t="s">
        <v>21</v>
      </c>
      <c r="C1499" s="5" t="str">
        <f>"何智云"</f>
        <v>何智云</v>
      </c>
      <c r="D1499" s="5" t="str">
        <f>"460031199811175623"</f>
        <v>460031199811175623</v>
      </c>
      <c r="E1499" s="5" t="s">
        <v>15</v>
      </c>
      <c r="F1499" s="5" t="str">
        <f>"073105040619"</f>
        <v>073105040619</v>
      </c>
      <c r="G1499" s="7">
        <v>57.2</v>
      </c>
      <c r="H1499" s="7">
        <f t="shared" si="102"/>
        <v>28.6</v>
      </c>
      <c r="I1499" s="7">
        <v>74.688</v>
      </c>
      <c r="J1499" s="7">
        <f t="shared" si="103"/>
        <v>37.344</v>
      </c>
      <c r="K1499" s="10">
        <f t="shared" si="105"/>
        <v>65.944</v>
      </c>
      <c r="L1499" s="7">
        <f t="shared" si="104"/>
        <v>20</v>
      </c>
      <c r="M1499" s="11"/>
      <c r="N1499"/>
    </row>
    <row r="1500" spans="1:14" ht="24.75" customHeight="1">
      <c r="A1500" s="5">
        <v>1498</v>
      </c>
      <c r="B1500" s="5" t="s">
        <v>21</v>
      </c>
      <c r="C1500" s="5" t="str">
        <f>"陈东"</f>
        <v>陈东</v>
      </c>
      <c r="D1500" s="5" t="str">
        <f>"460031199209090010"</f>
        <v>460031199209090010</v>
      </c>
      <c r="E1500" s="5" t="s">
        <v>15</v>
      </c>
      <c r="F1500" s="5" t="str">
        <f>"073105040737"</f>
        <v>073105040737</v>
      </c>
      <c r="G1500" s="7">
        <v>73.7</v>
      </c>
      <c r="H1500" s="7">
        <f t="shared" si="102"/>
        <v>36.85</v>
      </c>
      <c r="I1500" s="7">
        <v>56.493</v>
      </c>
      <c r="J1500" s="7">
        <f t="shared" si="103"/>
        <v>28.2465</v>
      </c>
      <c r="K1500" s="10">
        <f t="shared" si="105"/>
        <v>65.0965</v>
      </c>
      <c r="L1500" s="7">
        <f t="shared" si="104"/>
        <v>21</v>
      </c>
      <c r="M1500" s="11"/>
      <c r="N1500"/>
    </row>
    <row r="1501" spans="1:14" ht="24.75" customHeight="1">
      <c r="A1501" s="5">
        <v>1499</v>
      </c>
      <c r="B1501" s="5" t="s">
        <v>21</v>
      </c>
      <c r="C1501" s="5" t="str">
        <f>"羊兴霞"</f>
        <v>羊兴霞</v>
      </c>
      <c r="D1501" s="5" t="str">
        <f>"460031199808226821"</f>
        <v>460031199808226821</v>
      </c>
      <c r="E1501" s="5" t="s">
        <v>15</v>
      </c>
      <c r="F1501" s="5" t="str">
        <f>"073105040718"</f>
        <v>073105040718</v>
      </c>
      <c r="G1501" s="7">
        <v>84.1</v>
      </c>
      <c r="H1501" s="7">
        <f t="shared" si="102"/>
        <v>42.05</v>
      </c>
      <c r="I1501" s="7">
        <v>45.488</v>
      </c>
      <c r="J1501" s="7">
        <f t="shared" si="103"/>
        <v>22.744</v>
      </c>
      <c r="K1501" s="10">
        <f t="shared" si="105"/>
        <v>64.794</v>
      </c>
      <c r="L1501" s="7">
        <f t="shared" si="104"/>
        <v>22</v>
      </c>
      <c r="M1501" s="11"/>
      <c r="N1501"/>
    </row>
    <row r="1502" spans="1:14" ht="24.75" customHeight="1">
      <c r="A1502" s="5">
        <v>1500</v>
      </c>
      <c r="B1502" s="5" t="s">
        <v>21</v>
      </c>
      <c r="C1502" s="5" t="str">
        <f>"黄家丰"</f>
        <v>黄家丰</v>
      </c>
      <c r="D1502" s="5" t="str">
        <f>"460031199710286412"</f>
        <v>460031199710286412</v>
      </c>
      <c r="E1502" s="5" t="s">
        <v>15</v>
      </c>
      <c r="F1502" s="5" t="str">
        <f>"073105040817"</f>
        <v>073105040817</v>
      </c>
      <c r="G1502" s="7">
        <v>66</v>
      </c>
      <c r="H1502" s="7">
        <f t="shared" si="102"/>
        <v>33</v>
      </c>
      <c r="I1502" s="7">
        <v>63.243</v>
      </c>
      <c r="J1502" s="7">
        <f t="shared" si="103"/>
        <v>31.6215</v>
      </c>
      <c r="K1502" s="10">
        <f t="shared" si="105"/>
        <v>64.6215</v>
      </c>
      <c r="L1502" s="7">
        <f t="shared" si="104"/>
        <v>23</v>
      </c>
      <c r="M1502" s="11"/>
      <c r="N1502"/>
    </row>
    <row r="1503" spans="1:14" ht="24.75" customHeight="1">
      <c r="A1503" s="5">
        <v>1501</v>
      </c>
      <c r="B1503" s="5" t="s">
        <v>21</v>
      </c>
      <c r="C1503" s="5" t="str">
        <f>"陈克茜"</f>
        <v>陈克茜</v>
      </c>
      <c r="D1503" s="5" t="str">
        <f>"460031199604086441"</f>
        <v>460031199604086441</v>
      </c>
      <c r="E1503" s="5" t="s">
        <v>15</v>
      </c>
      <c r="F1503" s="5" t="str">
        <f>"073105040701"</f>
        <v>073105040701</v>
      </c>
      <c r="G1503" s="7">
        <v>65.1</v>
      </c>
      <c r="H1503" s="7">
        <f t="shared" si="102"/>
        <v>32.55</v>
      </c>
      <c r="I1503" s="7">
        <v>63.977</v>
      </c>
      <c r="J1503" s="7">
        <f t="shared" si="103"/>
        <v>31.9885</v>
      </c>
      <c r="K1503" s="10">
        <f t="shared" si="105"/>
        <v>64.5385</v>
      </c>
      <c r="L1503" s="7">
        <f t="shared" si="104"/>
        <v>24</v>
      </c>
      <c r="M1503" s="11"/>
      <c r="N1503"/>
    </row>
    <row r="1504" spans="1:14" ht="24.75" customHeight="1">
      <c r="A1504" s="5">
        <v>1502</v>
      </c>
      <c r="B1504" s="5" t="s">
        <v>21</v>
      </c>
      <c r="C1504" s="5" t="str">
        <f>"符仕聪"</f>
        <v>符仕聪</v>
      </c>
      <c r="D1504" s="5" t="str">
        <f>"460031199703114815"</f>
        <v>460031199703114815</v>
      </c>
      <c r="E1504" s="5" t="s">
        <v>15</v>
      </c>
      <c r="F1504" s="5" t="str">
        <f>"073105040709"</f>
        <v>073105040709</v>
      </c>
      <c r="G1504" s="7">
        <v>52.9</v>
      </c>
      <c r="H1504" s="7">
        <f t="shared" si="102"/>
        <v>26.45</v>
      </c>
      <c r="I1504" s="7">
        <v>74.321</v>
      </c>
      <c r="J1504" s="7">
        <f t="shared" si="103"/>
        <v>37.1605</v>
      </c>
      <c r="K1504" s="10">
        <f t="shared" si="105"/>
        <v>63.6105</v>
      </c>
      <c r="L1504" s="7">
        <f t="shared" si="104"/>
        <v>25</v>
      </c>
      <c r="M1504" s="11"/>
      <c r="N1504"/>
    </row>
    <row r="1505" spans="1:14" ht="24.75" customHeight="1">
      <c r="A1505" s="5">
        <v>1503</v>
      </c>
      <c r="B1505" s="5" t="s">
        <v>21</v>
      </c>
      <c r="C1505" s="5" t="str">
        <f>"许明伟"</f>
        <v>许明伟</v>
      </c>
      <c r="D1505" s="5" t="str">
        <f>"460031199411100016"</f>
        <v>460031199411100016</v>
      </c>
      <c r="E1505" s="5" t="s">
        <v>15</v>
      </c>
      <c r="F1505" s="5" t="str">
        <f>"073105040806"</f>
        <v>073105040806</v>
      </c>
      <c r="G1505" s="7">
        <v>44</v>
      </c>
      <c r="H1505" s="7">
        <f t="shared" si="102"/>
        <v>22</v>
      </c>
      <c r="I1505" s="7">
        <v>82.025</v>
      </c>
      <c r="J1505" s="7">
        <f t="shared" si="103"/>
        <v>41.0125</v>
      </c>
      <c r="K1505" s="10">
        <f t="shared" si="105"/>
        <v>63.0125</v>
      </c>
      <c r="L1505" s="7">
        <f t="shared" si="104"/>
        <v>26</v>
      </c>
      <c r="M1505" s="11"/>
      <c r="N1505"/>
    </row>
    <row r="1506" spans="1:14" ht="24.75" customHeight="1">
      <c r="A1506" s="5">
        <v>1504</v>
      </c>
      <c r="B1506" s="5" t="s">
        <v>21</v>
      </c>
      <c r="C1506" s="5" t="str">
        <f>"柯晖"</f>
        <v>柯晖</v>
      </c>
      <c r="D1506" s="5" t="str">
        <f>"460031199608036839"</f>
        <v>460031199608036839</v>
      </c>
      <c r="E1506" s="5" t="s">
        <v>15</v>
      </c>
      <c r="F1506" s="5" t="str">
        <f>"073105040708"</f>
        <v>073105040708</v>
      </c>
      <c r="G1506" s="7">
        <v>57.7</v>
      </c>
      <c r="H1506" s="7">
        <f t="shared" si="102"/>
        <v>28.85</v>
      </c>
      <c r="I1506" s="7">
        <v>68.012</v>
      </c>
      <c r="J1506" s="7">
        <f t="shared" si="103"/>
        <v>34.006</v>
      </c>
      <c r="K1506" s="10">
        <f t="shared" si="105"/>
        <v>62.856</v>
      </c>
      <c r="L1506" s="7">
        <f t="shared" si="104"/>
        <v>27</v>
      </c>
      <c r="M1506" s="11"/>
      <c r="N1506"/>
    </row>
    <row r="1507" spans="1:14" ht="24.75" customHeight="1">
      <c r="A1507" s="5">
        <v>1505</v>
      </c>
      <c r="B1507" s="5" t="s">
        <v>21</v>
      </c>
      <c r="C1507" s="5" t="str">
        <f>"付交喆"</f>
        <v>付交喆</v>
      </c>
      <c r="D1507" s="5" t="str">
        <f>"460031199206220019"</f>
        <v>460031199206220019</v>
      </c>
      <c r="E1507" s="5" t="s">
        <v>15</v>
      </c>
      <c r="F1507" s="5" t="str">
        <f>"073105040828"</f>
        <v>073105040828</v>
      </c>
      <c r="G1507" s="7">
        <v>43.2</v>
      </c>
      <c r="H1507" s="7">
        <f t="shared" si="102"/>
        <v>21.6</v>
      </c>
      <c r="I1507" s="7">
        <v>78.43</v>
      </c>
      <c r="J1507" s="7">
        <f t="shared" si="103"/>
        <v>39.215</v>
      </c>
      <c r="K1507" s="10">
        <f t="shared" si="105"/>
        <v>60.815000000000005</v>
      </c>
      <c r="L1507" s="7">
        <f t="shared" si="104"/>
        <v>28</v>
      </c>
      <c r="M1507" s="11"/>
      <c r="N1507"/>
    </row>
    <row r="1508" spans="1:14" ht="24.75" customHeight="1">
      <c r="A1508" s="5">
        <v>1506</v>
      </c>
      <c r="B1508" s="5" t="s">
        <v>21</v>
      </c>
      <c r="C1508" s="5" t="str">
        <f>"吴俊翔"</f>
        <v>吴俊翔</v>
      </c>
      <c r="D1508" s="5" t="str">
        <f>"460031199912220016"</f>
        <v>460031199912220016</v>
      </c>
      <c r="E1508" s="5" t="s">
        <v>15</v>
      </c>
      <c r="F1508" s="5" t="str">
        <f>"073105040632"</f>
        <v>073105040632</v>
      </c>
      <c r="G1508" s="7">
        <v>45.8</v>
      </c>
      <c r="H1508" s="7">
        <f t="shared" si="102"/>
        <v>22.9</v>
      </c>
      <c r="I1508" s="7">
        <v>74.982</v>
      </c>
      <c r="J1508" s="7">
        <f t="shared" si="103"/>
        <v>37.491</v>
      </c>
      <c r="K1508" s="10">
        <f t="shared" si="105"/>
        <v>60.391</v>
      </c>
      <c r="L1508" s="7">
        <f t="shared" si="104"/>
        <v>29</v>
      </c>
      <c r="M1508" s="11"/>
      <c r="N1508"/>
    </row>
    <row r="1509" spans="1:14" ht="24.75" customHeight="1">
      <c r="A1509" s="5">
        <v>1507</v>
      </c>
      <c r="B1509" s="5" t="s">
        <v>21</v>
      </c>
      <c r="C1509" s="5" t="str">
        <f>"李财珍"</f>
        <v>李财珍</v>
      </c>
      <c r="D1509" s="5" t="str">
        <f>"460031199810075647"</f>
        <v>460031199810075647</v>
      </c>
      <c r="E1509" s="5" t="s">
        <v>15</v>
      </c>
      <c r="F1509" s="5" t="str">
        <f>"073105040624"</f>
        <v>073105040624</v>
      </c>
      <c r="G1509" s="7">
        <v>53.9</v>
      </c>
      <c r="H1509" s="7">
        <f t="shared" si="102"/>
        <v>26.95</v>
      </c>
      <c r="I1509" s="7">
        <v>65.004</v>
      </c>
      <c r="J1509" s="7">
        <f t="shared" si="103"/>
        <v>32.502</v>
      </c>
      <c r="K1509" s="10">
        <f t="shared" si="105"/>
        <v>59.452</v>
      </c>
      <c r="L1509" s="7">
        <f t="shared" si="104"/>
        <v>30</v>
      </c>
      <c r="M1509" s="11"/>
      <c r="N1509"/>
    </row>
    <row r="1510" spans="1:14" ht="24.75" customHeight="1">
      <c r="A1510" s="5">
        <v>1508</v>
      </c>
      <c r="B1510" s="5" t="s">
        <v>21</v>
      </c>
      <c r="C1510" s="5" t="str">
        <f>"林欣荣"</f>
        <v>林欣荣</v>
      </c>
      <c r="D1510" s="5" t="str">
        <f>"460031199302240837"</f>
        <v>460031199302240837</v>
      </c>
      <c r="E1510" s="5" t="s">
        <v>15</v>
      </c>
      <c r="F1510" s="5" t="str">
        <f>"073105040716"</f>
        <v>073105040716</v>
      </c>
      <c r="G1510" s="7">
        <v>36.5</v>
      </c>
      <c r="H1510" s="7">
        <f t="shared" si="102"/>
        <v>18.25</v>
      </c>
      <c r="I1510" s="7">
        <v>81.585</v>
      </c>
      <c r="J1510" s="7">
        <f t="shared" si="103"/>
        <v>40.7925</v>
      </c>
      <c r="K1510" s="10">
        <f t="shared" si="105"/>
        <v>59.0425</v>
      </c>
      <c r="L1510" s="7">
        <f t="shared" si="104"/>
        <v>31</v>
      </c>
      <c r="M1510" s="11"/>
      <c r="N1510"/>
    </row>
    <row r="1511" spans="1:14" ht="24.75" customHeight="1">
      <c r="A1511" s="5">
        <v>1509</v>
      </c>
      <c r="B1511" s="5" t="s">
        <v>21</v>
      </c>
      <c r="C1511" s="5" t="str">
        <f>"吴淑萍"</f>
        <v>吴淑萍</v>
      </c>
      <c r="D1511" s="5" t="str">
        <f>"460031199604240824"</f>
        <v>460031199604240824</v>
      </c>
      <c r="E1511" s="5" t="s">
        <v>15</v>
      </c>
      <c r="F1511" s="5" t="str">
        <f>"073105040822"</f>
        <v>073105040822</v>
      </c>
      <c r="G1511" s="7">
        <v>66</v>
      </c>
      <c r="H1511" s="7">
        <f t="shared" si="102"/>
        <v>33</v>
      </c>
      <c r="I1511" s="7">
        <v>51.211</v>
      </c>
      <c r="J1511" s="7">
        <f t="shared" si="103"/>
        <v>25.6055</v>
      </c>
      <c r="K1511" s="10">
        <f t="shared" si="105"/>
        <v>58.6055</v>
      </c>
      <c r="L1511" s="7">
        <f t="shared" si="104"/>
        <v>32</v>
      </c>
      <c r="M1511" s="11"/>
      <c r="N1511"/>
    </row>
    <row r="1512" spans="1:14" ht="24.75" customHeight="1">
      <c r="A1512" s="5">
        <v>1510</v>
      </c>
      <c r="B1512" s="5" t="s">
        <v>21</v>
      </c>
      <c r="C1512" s="5" t="str">
        <f>"康齐"</f>
        <v>康齐</v>
      </c>
      <c r="D1512" s="5" t="str">
        <f>"410821199304204524"</f>
        <v>410821199304204524</v>
      </c>
      <c r="E1512" s="5" t="s">
        <v>15</v>
      </c>
      <c r="F1512" s="5" t="str">
        <f>"073105040722"</f>
        <v>073105040722</v>
      </c>
      <c r="G1512" s="7">
        <v>83.3</v>
      </c>
      <c r="H1512" s="7">
        <f t="shared" si="102"/>
        <v>41.65</v>
      </c>
      <c r="I1512" s="7">
        <v>33.309</v>
      </c>
      <c r="J1512" s="7">
        <f t="shared" si="103"/>
        <v>16.6545</v>
      </c>
      <c r="K1512" s="10">
        <f t="shared" si="105"/>
        <v>58.3045</v>
      </c>
      <c r="L1512" s="7">
        <f t="shared" si="104"/>
        <v>33</v>
      </c>
      <c r="M1512" s="11"/>
      <c r="N1512"/>
    </row>
    <row r="1513" spans="1:14" ht="24.75" customHeight="1">
      <c r="A1513" s="5">
        <v>1511</v>
      </c>
      <c r="B1513" s="5" t="s">
        <v>21</v>
      </c>
      <c r="C1513" s="5" t="str">
        <f>"黄永昇"</f>
        <v>黄永昇</v>
      </c>
      <c r="D1513" s="5" t="str">
        <f>"460031199011020412"</f>
        <v>460031199011020412</v>
      </c>
      <c r="E1513" s="5" t="s">
        <v>15</v>
      </c>
      <c r="F1513" s="5" t="str">
        <f>"073105040735"</f>
        <v>073105040735</v>
      </c>
      <c r="G1513" s="7">
        <v>53.1</v>
      </c>
      <c r="H1513" s="7">
        <f t="shared" si="102"/>
        <v>26.55</v>
      </c>
      <c r="I1513" s="7">
        <v>63.096</v>
      </c>
      <c r="J1513" s="7">
        <f t="shared" si="103"/>
        <v>31.548</v>
      </c>
      <c r="K1513" s="10">
        <f t="shared" si="105"/>
        <v>58.098</v>
      </c>
      <c r="L1513" s="7">
        <f t="shared" si="104"/>
        <v>34</v>
      </c>
      <c r="M1513" s="11"/>
      <c r="N1513"/>
    </row>
    <row r="1514" spans="1:14" ht="24.75" customHeight="1">
      <c r="A1514" s="5">
        <v>1512</v>
      </c>
      <c r="B1514" s="5" t="s">
        <v>21</v>
      </c>
      <c r="C1514" s="5" t="str">
        <f>"陈杰敏"</f>
        <v>陈杰敏</v>
      </c>
      <c r="D1514" s="5" t="str">
        <f>"460031199511054416"</f>
        <v>460031199511054416</v>
      </c>
      <c r="E1514" s="5" t="s">
        <v>15</v>
      </c>
      <c r="F1514" s="5" t="str">
        <f>"073105040934"</f>
        <v>073105040934</v>
      </c>
      <c r="G1514" s="7">
        <v>63.5</v>
      </c>
      <c r="H1514" s="7">
        <f t="shared" si="102"/>
        <v>31.75</v>
      </c>
      <c r="I1514" s="7">
        <v>52.458</v>
      </c>
      <c r="J1514" s="7">
        <f t="shared" si="103"/>
        <v>26.229</v>
      </c>
      <c r="K1514" s="10">
        <f t="shared" si="105"/>
        <v>57.979</v>
      </c>
      <c r="L1514" s="7">
        <f t="shared" si="104"/>
        <v>35</v>
      </c>
      <c r="M1514" s="11"/>
      <c r="N1514"/>
    </row>
    <row r="1515" spans="1:14" ht="24.75" customHeight="1">
      <c r="A1515" s="5">
        <v>1513</v>
      </c>
      <c r="B1515" s="5" t="s">
        <v>21</v>
      </c>
      <c r="C1515" s="5" t="str">
        <f>"许明龙"</f>
        <v>许明龙</v>
      </c>
      <c r="D1515" s="5" t="str">
        <f>"460031199401130051"</f>
        <v>460031199401130051</v>
      </c>
      <c r="E1515" s="5" t="s">
        <v>15</v>
      </c>
      <c r="F1515" s="5" t="str">
        <f>"073105040808"</f>
        <v>073105040808</v>
      </c>
      <c r="G1515" s="7">
        <v>41.2</v>
      </c>
      <c r="H1515" s="7">
        <f t="shared" si="102"/>
        <v>20.6</v>
      </c>
      <c r="I1515" s="7">
        <v>74.688</v>
      </c>
      <c r="J1515" s="7">
        <f t="shared" si="103"/>
        <v>37.344</v>
      </c>
      <c r="K1515" s="10">
        <f t="shared" si="105"/>
        <v>57.944</v>
      </c>
      <c r="L1515" s="7">
        <f t="shared" si="104"/>
        <v>36</v>
      </c>
      <c r="M1515" s="11"/>
      <c r="N1515"/>
    </row>
    <row r="1516" spans="1:14" ht="24.75" customHeight="1">
      <c r="A1516" s="5">
        <v>1514</v>
      </c>
      <c r="B1516" s="5" t="s">
        <v>21</v>
      </c>
      <c r="C1516" s="5" t="str">
        <f>"张帆"</f>
        <v>张帆</v>
      </c>
      <c r="D1516" s="5" t="str">
        <f>"460031199806016417"</f>
        <v>460031199806016417</v>
      </c>
      <c r="E1516" s="5" t="s">
        <v>15</v>
      </c>
      <c r="F1516" s="5" t="str">
        <f>"073105040811"</f>
        <v>073105040811</v>
      </c>
      <c r="G1516" s="7">
        <v>56.2</v>
      </c>
      <c r="H1516" s="7">
        <f t="shared" si="102"/>
        <v>28.1</v>
      </c>
      <c r="I1516" s="7">
        <v>59.208</v>
      </c>
      <c r="J1516" s="7">
        <f t="shared" si="103"/>
        <v>29.604</v>
      </c>
      <c r="K1516" s="10">
        <f t="shared" si="105"/>
        <v>57.704</v>
      </c>
      <c r="L1516" s="7">
        <f t="shared" si="104"/>
        <v>37</v>
      </c>
      <c r="M1516" s="11"/>
      <c r="N1516"/>
    </row>
    <row r="1517" spans="1:14" ht="24.75" customHeight="1">
      <c r="A1517" s="5">
        <v>1515</v>
      </c>
      <c r="B1517" s="5" t="s">
        <v>21</v>
      </c>
      <c r="C1517" s="5" t="str">
        <f>"王梅侠"</f>
        <v>王梅侠</v>
      </c>
      <c r="D1517" s="5" t="str">
        <f>"460031199305145229"</f>
        <v>460031199305145229</v>
      </c>
      <c r="E1517" s="5" t="s">
        <v>15</v>
      </c>
      <c r="F1517" s="5" t="str">
        <f>"073105040634"</f>
        <v>073105040634</v>
      </c>
      <c r="G1517" s="7">
        <v>69.2</v>
      </c>
      <c r="H1517" s="7">
        <f t="shared" si="102"/>
        <v>34.6</v>
      </c>
      <c r="I1517" s="7">
        <v>45.194</v>
      </c>
      <c r="J1517" s="7">
        <f t="shared" si="103"/>
        <v>22.597</v>
      </c>
      <c r="K1517" s="10">
        <f t="shared" si="105"/>
        <v>57.197</v>
      </c>
      <c r="L1517" s="7">
        <f t="shared" si="104"/>
        <v>38</v>
      </c>
      <c r="M1517" s="11"/>
      <c r="N1517"/>
    </row>
    <row r="1518" spans="1:14" ht="24.75" customHeight="1">
      <c r="A1518" s="5">
        <v>1516</v>
      </c>
      <c r="B1518" s="5" t="s">
        <v>21</v>
      </c>
      <c r="C1518" s="5" t="str">
        <f>"倪裕豪"</f>
        <v>倪裕豪</v>
      </c>
      <c r="D1518" s="5" t="str">
        <f>"460031199305076817"</f>
        <v>460031199305076817</v>
      </c>
      <c r="E1518" s="5" t="s">
        <v>15</v>
      </c>
      <c r="F1518" s="5" t="str">
        <f>"073105040602"</f>
        <v>073105040602</v>
      </c>
      <c r="G1518" s="7">
        <v>58.4</v>
      </c>
      <c r="H1518" s="7">
        <f t="shared" si="102"/>
        <v>29.2</v>
      </c>
      <c r="I1518" s="7">
        <v>53.705</v>
      </c>
      <c r="J1518" s="7">
        <f t="shared" si="103"/>
        <v>26.8525</v>
      </c>
      <c r="K1518" s="10">
        <f t="shared" si="105"/>
        <v>56.052499999999995</v>
      </c>
      <c r="L1518" s="7">
        <f t="shared" si="104"/>
        <v>39</v>
      </c>
      <c r="M1518" s="11"/>
      <c r="N1518"/>
    </row>
    <row r="1519" spans="1:14" ht="24.75" customHeight="1">
      <c r="A1519" s="5">
        <v>1517</v>
      </c>
      <c r="B1519" s="5" t="s">
        <v>21</v>
      </c>
      <c r="C1519" s="5" t="str">
        <f>"帅邦泽"</f>
        <v>帅邦泽</v>
      </c>
      <c r="D1519" s="5" t="str">
        <f>"46003119940421201X"</f>
        <v>46003119940421201X</v>
      </c>
      <c r="E1519" s="5" t="s">
        <v>15</v>
      </c>
      <c r="F1519" s="5" t="str">
        <f>"073105040908"</f>
        <v>073105040908</v>
      </c>
      <c r="G1519" s="7">
        <v>36</v>
      </c>
      <c r="H1519" s="7">
        <f t="shared" si="102"/>
        <v>18</v>
      </c>
      <c r="I1519" s="7">
        <v>75.862</v>
      </c>
      <c r="J1519" s="7">
        <f t="shared" si="103"/>
        <v>37.931</v>
      </c>
      <c r="K1519" s="10">
        <f t="shared" si="105"/>
        <v>55.931</v>
      </c>
      <c r="L1519" s="7">
        <f t="shared" si="104"/>
        <v>40</v>
      </c>
      <c r="M1519" s="11"/>
      <c r="N1519"/>
    </row>
    <row r="1520" spans="1:14" ht="24.75" customHeight="1">
      <c r="A1520" s="5">
        <v>1518</v>
      </c>
      <c r="B1520" s="5" t="s">
        <v>21</v>
      </c>
      <c r="C1520" s="5" t="str">
        <f>"林益茂"</f>
        <v>林益茂</v>
      </c>
      <c r="D1520" s="5" t="str">
        <f>"460031199706250812"</f>
        <v>460031199706250812</v>
      </c>
      <c r="E1520" s="5" t="s">
        <v>15</v>
      </c>
      <c r="F1520" s="5" t="str">
        <f>"073105040606"</f>
        <v>073105040606</v>
      </c>
      <c r="G1520" s="7">
        <v>68.4</v>
      </c>
      <c r="H1520" s="7">
        <f t="shared" si="102"/>
        <v>34.2</v>
      </c>
      <c r="I1520" s="7">
        <v>42.186</v>
      </c>
      <c r="J1520" s="7">
        <f t="shared" si="103"/>
        <v>21.093</v>
      </c>
      <c r="K1520" s="10">
        <f t="shared" si="105"/>
        <v>55.293000000000006</v>
      </c>
      <c r="L1520" s="7">
        <f t="shared" si="104"/>
        <v>41</v>
      </c>
      <c r="M1520" s="11"/>
      <c r="N1520"/>
    </row>
    <row r="1521" spans="1:14" ht="24.75" customHeight="1">
      <c r="A1521" s="5">
        <v>1519</v>
      </c>
      <c r="B1521" s="5" t="s">
        <v>21</v>
      </c>
      <c r="C1521" s="5" t="str">
        <f>"陈颖"</f>
        <v>陈颖</v>
      </c>
      <c r="D1521" s="5" t="str">
        <f>"469026199811280041"</f>
        <v>469026199811280041</v>
      </c>
      <c r="E1521" s="5" t="s">
        <v>15</v>
      </c>
      <c r="F1521" s="5" t="str">
        <f>"073105040702"</f>
        <v>073105040702</v>
      </c>
      <c r="G1521" s="7">
        <v>60.3</v>
      </c>
      <c r="H1521" s="7">
        <f t="shared" si="102"/>
        <v>30.15</v>
      </c>
      <c r="I1521" s="7">
        <v>48.863</v>
      </c>
      <c r="J1521" s="7">
        <f t="shared" si="103"/>
        <v>24.4315</v>
      </c>
      <c r="K1521" s="10">
        <f t="shared" si="105"/>
        <v>54.5815</v>
      </c>
      <c r="L1521" s="7">
        <f t="shared" si="104"/>
        <v>42</v>
      </c>
      <c r="M1521" s="11"/>
      <c r="N1521"/>
    </row>
    <row r="1522" spans="1:14" ht="24.75" customHeight="1">
      <c r="A1522" s="5">
        <v>1520</v>
      </c>
      <c r="B1522" s="5" t="s">
        <v>21</v>
      </c>
      <c r="C1522" s="5" t="str">
        <f>"邓奇莉"</f>
        <v>邓奇莉</v>
      </c>
      <c r="D1522" s="5" t="str">
        <f>"460031199711275221"</f>
        <v>460031199711275221</v>
      </c>
      <c r="E1522" s="5" t="s">
        <v>15</v>
      </c>
      <c r="F1522" s="5" t="str">
        <f>"073105040922"</f>
        <v>073105040922</v>
      </c>
      <c r="G1522" s="7">
        <v>54</v>
      </c>
      <c r="H1522" s="7">
        <f t="shared" si="102"/>
        <v>27</v>
      </c>
      <c r="I1522" s="7">
        <v>54.659</v>
      </c>
      <c r="J1522" s="7">
        <f t="shared" si="103"/>
        <v>27.3295</v>
      </c>
      <c r="K1522" s="10">
        <f t="shared" si="105"/>
        <v>54.329499999999996</v>
      </c>
      <c r="L1522" s="7">
        <f t="shared" si="104"/>
        <v>43</v>
      </c>
      <c r="M1522" s="11"/>
      <c r="N1522"/>
    </row>
    <row r="1523" spans="1:14" ht="24.75" customHeight="1">
      <c r="A1523" s="5">
        <v>1521</v>
      </c>
      <c r="B1523" s="5" t="s">
        <v>21</v>
      </c>
      <c r="C1523" s="5" t="str">
        <f>"周志霞"</f>
        <v>周志霞</v>
      </c>
      <c r="D1523" s="5" t="str">
        <f>"460031199502055628"</f>
        <v>460031199502055628</v>
      </c>
      <c r="E1523" s="5" t="s">
        <v>15</v>
      </c>
      <c r="F1523" s="5" t="str">
        <f>"073105040805"</f>
        <v>073105040805</v>
      </c>
      <c r="G1523" s="7">
        <v>70.3</v>
      </c>
      <c r="H1523" s="7">
        <f t="shared" si="102"/>
        <v>35.15</v>
      </c>
      <c r="I1523" s="7">
        <v>38.078</v>
      </c>
      <c r="J1523" s="7">
        <f t="shared" si="103"/>
        <v>19.039</v>
      </c>
      <c r="K1523" s="10">
        <f t="shared" si="105"/>
        <v>54.189</v>
      </c>
      <c r="L1523" s="7">
        <f t="shared" si="104"/>
        <v>44</v>
      </c>
      <c r="M1523" s="11"/>
      <c r="N1523"/>
    </row>
    <row r="1524" spans="1:14" ht="24.75" customHeight="1">
      <c r="A1524" s="5">
        <v>1522</v>
      </c>
      <c r="B1524" s="5" t="s">
        <v>21</v>
      </c>
      <c r="C1524" s="5" t="str">
        <f>"唐发乾"</f>
        <v>唐发乾</v>
      </c>
      <c r="D1524" s="5" t="str">
        <f>"460031199102166820"</f>
        <v>460031199102166820</v>
      </c>
      <c r="E1524" s="5" t="s">
        <v>15</v>
      </c>
      <c r="F1524" s="5" t="str">
        <f>"073105040738"</f>
        <v>073105040738</v>
      </c>
      <c r="G1524" s="7">
        <v>57.6</v>
      </c>
      <c r="H1524" s="7">
        <f t="shared" si="102"/>
        <v>28.8</v>
      </c>
      <c r="I1524" s="7">
        <v>50.77</v>
      </c>
      <c r="J1524" s="7">
        <f t="shared" si="103"/>
        <v>25.385</v>
      </c>
      <c r="K1524" s="10">
        <f t="shared" si="105"/>
        <v>54.185</v>
      </c>
      <c r="L1524" s="7">
        <f t="shared" si="104"/>
        <v>45</v>
      </c>
      <c r="M1524" s="11"/>
      <c r="N1524"/>
    </row>
    <row r="1525" spans="1:14" ht="24.75" customHeight="1">
      <c r="A1525" s="5">
        <v>1523</v>
      </c>
      <c r="B1525" s="5" t="s">
        <v>21</v>
      </c>
      <c r="C1525" s="5" t="str">
        <f>"柏国权"</f>
        <v>柏国权</v>
      </c>
      <c r="D1525" s="5" t="str">
        <f>"460031199802036453"</f>
        <v>460031199802036453</v>
      </c>
      <c r="E1525" s="5" t="s">
        <v>15</v>
      </c>
      <c r="F1525" s="5" t="str">
        <f>"073105040903"</f>
        <v>073105040903</v>
      </c>
      <c r="G1525" s="7">
        <v>51.7</v>
      </c>
      <c r="H1525" s="7">
        <f t="shared" si="102"/>
        <v>25.85</v>
      </c>
      <c r="I1525" s="7">
        <v>55.979</v>
      </c>
      <c r="J1525" s="7">
        <f t="shared" si="103"/>
        <v>27.9895</v>
      </c>
      <c r="K1525" s="10">
        <f t="shared" si="105"/>
        <v>53.8395</v>
      </c>
      <c r="L1525" s="7">
        <f t="shared" si="104"/>
        <v>46</v>
      </c>
      <c r="M1525" s="11"/>
      <c r="N1525"/>
    </row>
    <row r="1526" spans="1:14" ht="24.75" customHeight="1">
      <c r="A1526" s="5">
        <v>1524</v>
      </c>
      <c r="B1526" s="5" t="s">
        <v>21</v>
      </c>
      <c r="C1526" s="5" t="str">
        <f>"杨祥玲"</f>
        <v>杨祥玲</v>
      </c>
      <c r="D1526" s="5" t="str">
        <f>"460031199205075227"</f>
        <v>460031199205075227</v>
      </c>
      <c r="E1526" s="5" t="s">
        <v>15</v>
      </c>
      <c r="F1526" s="5" t="str">
        <f>"073105040826"</f>
        <v>073105040826</v>
      </c>
      <c r="G1526" s="7">
        <v>78.6</v>
      </c>
      <c r="H1526" s="7">
        <f t="shared" si="102"/>
        <v>39.3</v>
      </c>
      <c r="I1526" s="7">
        <v>28.76</v>
      </c>
      <c r="J1526" s="7">
        <f t="shared" si="103"/>
        <v>14.38</v>
      </c>
      <c r="K1526" s="10">
        <f t="shared" si="105"/>
        <v>53.68</v>
      </c>
      <c r="L1526" s="7">
        <f t="shared" si="104"/>
        <v>47</v>
      </c>
      <c r="M1526" s="11"/>
      <c r="N1526"/>
    </row>
    <row r="1527" spans="1:14" ht="24.75" customHeight="1">
      <c r="A1527" s="5">
        <v>1525</v>
      </c>
      <c r="B1527" s="5" t="s">
        <v>21</v>
      </c>
      <c r="C1527" s="5" t="str">
        <f>"林奕龙"</f>
        <v>林奕龙</v>
      </c>
      <c r="D1527" s="5" t="str">
        <f>"460031199110246417"</f>
        <v>460031199110246417</v>
      </c>
      <c r="E1527" s="5" t="s">
        <v>15</v>
      </c>
      <c r="F1527" s="5" t="str">
        <f>"073105040733"</f>
        <v>073105040733</v>
      </c>
      <c r="G1527" s="7">
        <v>40.4</v>
      </c>
      <c r="H1527" s="7">
        <f t="shared" si="102"/>
        <v>20.2</v>
      </c>
      <c r="I1527" s="7">
        <v>64.27</v>
      </c>
      <c r="J1527" s="7">
        <f t="shared" si="103"/>
        <v>32.135</v>
      </c>
      <c r="K1527" s="10">
        <f t="shared" si="105"/>
        <v>52.334999999999994</v>
      </c>
      <c r="L1527" s="7">
        <f t="shared" si="104"/>
        <v>48</v>
      </c>
      <c r="M1527" s="11"/>
      <c r="N1527"/>
    </row>
    <row r="1528" spans="1:14" ht="24.75" customHeight="1">
      <c r="A1528" s="5">
        <v>1526</v>
      </c>
      <c r="B1528" s="5" t="s">
        <v>21</v>
      </c>
      <c r="C1528" s="5" t="str">
        <f>"胡雅君"</f>
        <v>胡雅君</v>
      </c>
      <c r="D1528" s="5" t="str">
        <f>"460036199806280420"</f>
        <v>460036199806280420</v>
      </c>
      <c r="E1528" s="5" t="s">
        <v>15</v>
      </c>
      <c r="F1528" s="5" t="str">
        <f>"073105040638"</f>
        <v>073105040638</v>
      </c>
      <c r="G1528" s="7">
        <v>57.1</v>
      </c>
      <c r="H1528" s="7">
        <f t="shared" si="102"/>
        <v>28.55</v>
      </c>
      <c r="I1528" s="7">
        <v>46.588</v>
      </c>
      <c r="J1528" s="7">
        <f t="shared" si="103"/>
        <v>23.294</v>
      </c>
      <c r="K1528" s="10">
        <f t="shared" si="105"/>
        <v>51.844</v>
      </c>
      <c r="L1528" s="7">
        <f t="shared" si="104"/>
        <v>49</v>
      </c>
      <c r="M1528" s="11"/>
      <c r="N1528"/>
    </row>
    <row r="1529" spans="1:14" ht="24.75" customHeight="1">
      <c r="A1529" s="5">
        <v>1527</v>
      </c>
      <c r="B1529" s="5" t="s">
        <v>21</v>
      </c>
      <c r="C1529" s="5" t="str">
        <f>"吉秀如"</f>
        <v>吉秀如</v>
      </c>
      <c r="D1529" s="5" t="str">
        <f>"460031199307253223"</f>
        <v>460031199307253223</v>
      </c>
      <c r="E1529" s="5" t="s">
        <v>15</v>
      </c>
      <c r="F1529" s="5" t="str">
        <f>"073105040623"</f>
        <v>073105040623</v>
      </c>
      <c r="G1529" s="7">
        <v>64.1</v>
      </c>
      <c r="H1529" s="7">
        <f t="shared" si="102"/>
        <v>32.05</v>
      </c>
      <c r="I1529" s="7">
        <v>38.225</v>
      </c>
      <c r="J1529" s="7">
        <f t="shared" si="103"/>
        <v>19.1125</v>
      </c>
      <c r="K1529" s="10">
        <f t="shared" si="105"/>
        <v>51.162499999999994</v>
      </c>
      <c r="L1529" s="7">
        <f t="shared" si="104"/>
        <v>50</v>
      </c>
      <c r="M1529" s="11"/>
      <c r="N1529"/>
    </row>
    <row r="1530" spans="1:14" ht="24.75" customHeight="1">
      <c r="A1530" s="5">
        <v>1528</v>
      </c>
      <c r="B1530" s="5" t="s">
        <v>21</v>
      </c>
      <c r="C1530" s="5" t="str">
        <f>"邹文瑞"</f>
        <v>邹文瑞</v>
      </c>
      <c r="D1530" s="5" t="str">
        <f>"460031199611236014"</f>
        <v>460031199611236014</v>
      </c>
      <c r="E1530" s="5" t="s">
        <v>15</v>
      </c>
      <c r="F1530" s="5" t="str">
        <f>"073105040832"</f>
        <v>073105040832</v>
      </c>
      <c r="G1530" s="7">
        <v>66.2</v>
      </c>
      <c r="H1530" s="7">
        <f t="shared" si="102"/>
        <v>33.1</v>
      </c>
      <c r="I1530" s="7">
        <v>35.877</v>
      </c>
      <c r="J1530" s="7">
        <f t="shared" si="103"/>
        <v>17.9385</v>
      </c>
      <c r="K1530" s="10">
        <f t="shared" si="105"/>
        <v>51.0385</v>
      </c>
      <c r="L1530" s="7">
        <f t="shared" si="104"/>
        <v>51</v>
      </c>
      <c r="M1530" s="11"/>
      <c r="N1530"/>
    </row>
    <row r="1531" spans="1:14" ht="24.75" customHeight="1">
      <c r="A1531" s="5">
        <v>1529</v>
      </c>
      <c r="B1531" s="5" t="s">
        <v>21</v>
      </c>
      <c r="C1531" s="5" t="str">
        <f>"文芳"</f>
        <v>文芳</v>
      </c>
      <c r="D1531" s="5" t="str">
        <f>"460031199701295624"</f>
        <v>460031199701295624</v>
      </c>
      <c r="E1531" s="5" t="s">
        <v>15</v>
      </c>
      <c r="F1531" s="5" t="str">
        <f>"073105040627"</f>
        <v>073105040627</v>
      </c>
      <c r="G1531" s="7">
        <v>61.6</v>
      </c>
      <c r="H1531" s="7">
        <f t="shared" si="102"/>
        <v>30.8</v>
      </c>
      <c r="I1531" s="7">
        <v>39.105</v>
      </c>
      <c r="J1531" s="7">
        <f t="shared" si="103"/>
        <v>19.5525</v>
      </c>
      <c r="K1531" s="10">
        <f t="shared" si="105"/>
        <v>50.3525</v>
      </c>
      <c r="L1531" s="7">
        <f t="shared" si="104"/>
        <v>52</v>
      </c>
      <c r="M1531" s="11"/>
      <c r="N1531"/>
    </row>
    <row r="1532" spans="1:14" ht="24.75" customHeight="1">
      <c r="A1532" s="5">
        <v>1530</v>
      </c>
      <c r="B1532" s="5" t="s">
        <v>21</v>
      </c>
      <c r="C1532" s="5" t="str">
        <f>"陈迪潇"</f>
        <v>陈迪潇</v>
      </c>
      <c r="D1532" s="5" t="str">
        <f>"46000719980212041X"</f>
        <v>46000719980212041X</v>
      </c>
      <c r="E1532" s="5" t="s">
        <v>15</v>
      </c>
      <c r="F1532" s="5" t="str">
        <f>"073105040833"</f>
        <v>073105040833</v>
      </c>
      <c r="G1532" s="7">
        <v>22.8</v>
      </c>
      <c r="H1532" s="7">
        <f t="shared" si="102"/>
        <v>11.4</v>
      </c>
      <c r="I1532" s="7">
        <v>77.476</v>
      </c>
      <c r="J1532" s="7">
        <f t="shared" si="103"/>
        <v>38.738</v>
      </c>
      <c r="K1532" s="10">
        <f t="shared" si="105"/>
        <v>50.138</v>
      </c>
      <c r="L1532" s="7">
        <f t="shared" si="104"/>
        <v>53</v>
      </c>
      <c r="M1532" s="11"/>
      <c r="N1532"/>
    </row>
    <row r="1533" spans="1:14" ht="24.75" customHeight="1">
      <c r="A1533" s="5">
        <v>1531</v>
      </c>
      <c r="B1533" s="5" t="s">
        <v>21</v>
      </c>
      <c r="C1533" s="5" t="str">
        <f>"石俊杰"</f>
        <v>石俊杰</v>
      </c>
      <c r="D1533" s="5" t="str">
        <f>"460031199603010859"</f>
        <v>460031199603010859</v>
      </c>
      <c r="E1533" s="5" t="s">
        <v>15</v>
      </c>
      <c r="F1533" s="5" t="str">
        <f>"073105040904"</f>
        <v>073105040904</v>
      </c>
      <c r="G1533" s="7">
        <v>49.9</v>
      </c>
      <c r="H1533" s="7">
        <f t="shared" si="102"/>
        <v>24.95</v>
      </c>
      <c r="I1533" s="7">
        <v>49.89</v>
      </c>
      <c r="J1533" s="7">
        <f t="shared" si="103"/>
        <v>24.945</v>
      </c>
      <c r="K1533" s="10">
        <f t="shared" si="105"/>
        <v>49.894999999999996</v>
      </c>
      <c r="L1533" s="7">
        <f t="shared" si="104"/>
        <v>54</v>
      </c>
      <c r="M1533" s="11"/>
      <c r="N1533"/>
    </row>
    <row r="1534" spans="1:14" ht="24.75" customHeight="1">
      <c r="A1534" s="5">
        <v>1532</v>
      </c>
      <c r="B1534" s="5" t="s">
        <v>21</v>
      </c>
      <c r="C1534" s="5" t="str">
        <f>"符振倩"</f>
        <v>符振倩</v>
      </c>
      <c r="D1534" s="5" t="str">
        <f>"460031199702204827"</f>
        <v>460031199702204827</v>
      </c>
      <c r="E1534" s="5" t="s">
        <v>15</v>
      </c>
      <c r="F1534" s="5" t="str">
        <f>"073105040707"</f>
        <v>073105040707</v>
      </c>
      <c r="G1534" s="7">
        <v>64.4</v>
      </c>
      <c r="H1534" s="7">
        <f t="shared" si="102"/>
        <v>32.2</v>
      </c>
      <c r="I1534" s="7">
        <v>34.703</v>
      </c>
      <c r="J1534" s="7">
        <f t="shared" si="103"/>
        <v>17.3515</v>
      </c>
      <c r="K1534" s="10">
        <f t="shared" si="105"/>
        <v>49.551500000000004</v>
      </c>
      <c r="L1534" s="7">
        <f t="shared" si="104"/>
        <v>55</v>
      </c>
      <c r="M1534" s="11"/>
      <c r="N1534"/>
    </row>
    <row r="1535" spans="1:14" ht="24.75" customHeight="1">
      <c r="A1535" s="5">
        <v>1533</v>
      </c>
      <c r="B1535" s="5" t="s">
        <v>21</v>
      </c>
      <c r="C1535" s="5" t="str">
        <f>"王环芳"</f>
        <v>王环芳</v>
      </c>
      <c r="D1535" s="5" t="str">
        <f>"46003119970613482X"</f>
        <v>46003119970613482X</v>
      </c>
      <c r="E1535" s="5" t="s">
        <v>15</v>
      </c>
      <c r="F1535" s="5" t="str">
        <f>"073105040928"</f>
        <v>073105040928</v>
      </c>
      <c r="G1535" s="7">
        <v>53.9</v>
      </c>
      <c r="H1535" s="7">
        <f t="shared" si="102"/>
        <v>26.95</v>
      </c>
      <c r="I1535" s="7">
        <v>44.681</v>
      </c>
      <c r="J1535" s="7">
        <f t="shared" si="103"/>
        <v>22.3405</v>
      </c>
      <c r="K1535" s="10">
        <f t="shared" si="105"/>
        <v>49.290499999999994</v>
      </c>
      <c r="L1535" s="7">
        <f t="shared" si="104"/>
        <v>56</v>
      </c>
      <c r="M1535" s="11"/>
      <c r="N1535"/>
    </row>
    <row r="1536" spans="1:14" ht="24.75" customHeight="1">
      <c r="A1536" s="5">
        <v>1534</v>
      </c>
      <c r="B1536" s="5" t="s">
        <v>21</v>
      </c>
      <c r="C1536" s="5" t="str">
        <f>"李娜"</f>
        <v>李娜</v>
      </c>
      <c r="D1536" s="5" t="str">
        <f>"460031199702205221"</f>
        <v>460031199702205221</v>
      </c>
      <c r="E1536" s="5" t="s">
        <v>15</v>
      </c>
      <c r="F1536" s="5" t="str">
        <f>"073105040915"</f>
        <v>073105040915</v>
      </c>
      <c r="G1536" s="7">
        <v>65</v>
      </c>
      <c r="H1536" s="7">
        <f t="shared" si="102"/>
        <v>32.5</v>
      </c>
      <c r="I1536" s="7">
        <v>32.355</v>
      </c>
      <c r="J1536" s="7">
        <f t="shared" si="103"/>
        <v>16.1775</v>
      </c>
      <c r="K1536" s="10">
        <f t="shared" si="105"/>
        <v>48.677499999999995</v>
      </c>
      <c r="L1536" s="7">
        <f t="shared" si="104"/>
        <v>57</v>
      </c>
      <c r="M1536" s="11"/>
      <c r="N1536"/>
    </row>
    <row r="1537" spans="1:14" ht="24.75" customHeight="1">
      <c r="A1537" s="5">
        <v>1535</v>
      </c>
      <c r="B1537" s="5" t="s">
        <v>21</v>
      </c>
      <c r="C1537" s="5" t="str">
        <f>"王熙杰"</f>
        <v>王熙杰</v>
      </c>
      <c r="D1537" s="5" t="str">
        <f>"46003119990605041X"</f>
        <v>46003119990605041X</v>
      </c>
      <c r="E1537" s="5" t="s">
        <v>15</v>
      </c>
      <c r="F1537" s="5" t="str">
        <f>"073105040636"</f>
        <v>073105040636</v>
      </c>
      <c r="G1537" s="7">
        <v>64.6</v>
      </c>
      <c r="H1537" s="7">
        <f t="shared" si="102"/>
        <v>32.3</v>
      </c>
      <c r="I1537" s="7">
        <v>29.347</v>
      </c>
      <c r="J1537" s="7">
        <f t="shared" si="103"/>
        <v>14.6735</v>
      </c>
      <c r="K1537" s="10">
        <f t="shared" si="105"/>
        <v>46.9735</v>
      </c>
      <c r="L1537" s="7">
        <f t="shared" si="104"/>
        <v>58</v>
      </c>
      <c r="M1537" s="11"/>
      <c r="N1537"/>
    </row>
    <row r="1538" spans="1:14" ht="24.75" customHeight="1">
      <c r="A1538" s="5">
        <v>1536</v>
      </c>
      <c r="B1538" s="5" t="s">
        <v>21</v>
      </c>
      <c r="C1538" s="5" t="str">
        <f>"韦吉传"</f>
        <v>韦吉传</v>
      </c>
      <c r="D1538" s="5" t="str">
        <f>"460031199605081212"</f>
        <v>460031199605081212</v>
      </c>
      <c r="E1538" s="5" t="s">
        <v>15</v>
      </c>
      <c r="F1538" s="5" t="str">
        <f>"073105040607"</f>
        <v>073105040607</v>
      </c>
      <c r="G1538" s="7">
        <v>21.7</v>
      </c>
      <c r="H1538" s="7">
        <f t="shared" si="102"/>
        <v>10.85</v>
      </c>
      <c r="I1538" s="7">
        <v>70.213</v>
      </c>
      <c r="J1538" s="7">
        <f t="shared" si="103"/>
        <v>35.1065</v>
      </c>
      <c r="K1538" s="10">
        <f t="shared" si="105"/>
        <v>45.9565</v>
      </c>
      <c r="L1538" s="7">
        <f t="shared" si="104"/>
        <v>59</v>
      </c>
      <c r="M1538" s="11"/>
      <c r="N1538"/>
    </row>
    <row r="1539" spans="1:14" ht="24.75" customHeight="1">
      <c r="A1539" s="5">
        <v>1537</v>
      </c>
      <c r="B1539" s="5" t="s">
        <v>21</v>
      </c>
      <c r="C1539" s="5" t="str">
        <f>"陈丽"</f>
        <v>陈丽</v>
      </c>
      <c r="D1539" s="5" t="str">
        <f>"46003119990104482X"</f>
        <v>46003119990104482X</v>
      </c>
      <c r="E1539" s="5" t="s">
        <v>15</v>
      </c>
      <c r="F1539" s="5" t="str">
        <f>"073105040736"</f>
        <v>073105040736</v>
      </c>
      <c r="G1539" s="7">
        <v>60.5</v>
      </c>
      <c r="H1539" s="7">
        <f aca="true" t="shared" si="106" ref="H1539:H1602">G1539*0.5</f>
        <v>30.25</v>
      </c>
      <c r="I1539" s="7">
        <v>29.494</v>
      </c>
      <c r="J1539" s="7">
        <f aca="true" t="shared" si="107" ref="J1539:J1602">I1539*0.5</f>
        <v>14.747</v>
      </c>
      <c r="K1539" s="10">
        <f t="shared" si="105"/>
        <v>44.997</v>
      </c>
      <c r="L1539" s="7">
        <f t="shared" si="104"/>
        <v>60</v>
      </c>
      <c r="M1539" s="11"/>
      <c r="N1539"/>
    </row>
    <row r="1540" spans="1:14" ht="24.75" customHeight="1">
      <c r="A1540" s="5">
        <v>1538</v>
      </c>
      <c r="B1540" s="5" t="s">
        <v>21</v>
      </c>
      <c r="C1540" s="5" t="str">
        <f>"林能芸"</f>
        <v>林能芸</v>
      </c>
      <c r="D1540" s="5" t="str">
        <f>"469026199702065289"</f>
        <v>469026199702065289</v>
      </c>
      <c r="E1540" s="5" t="s">
        <v>15</v>
      </c>
      <c r="F1540" s="5" t="str">
        <f>"073105040820"</f>
        <v>073105040820</v>
      </c>
      <c r="G1540" s="7">
        <v>53.2</v>
      </c>
      <c r="H1540" s="7">
        <f t="shared" si="106"/>
        <v>26.6</v>
      </c>
      <c r="I1540" s="7">
        <v>35.07</v>
      </c>
      <c r="J1540" s="7">
        <f t="shared" si="107"/>
        <v>17.535</v>
      </c>
      <c r="K1540" s="10">
        <f t="shared" si="105"/>
        <v>44.135000000000005</v>
      </c>
      <c r="L1540" s="7">
        <f t="shared" si="104"/>
        <v>61</v>
      </c>
      <c r="M1540" s="11"/>
      <c r="N1540"/>
    </row>
    <row r="1541" spans="1:14" ht="24.75" customHeight="1">
      <c r="A1541" s="5">
        <v>1539</v>
      </c>
      <c r="B1541" s="5" t="s">
        <v>21</v>
      </c>
      <c r="C1541" s="5" t="str">
        <f>"王海丹"</f>
        <v>王海丹</v>
      </c>
      <c r="D1541" s="5" t="str">
        <f>"460031199104085629"</f>
        <v>460031199104085629</v>
      </c>
      <c r="E1541" s="5" t="s">
        <v>15</v>
      </c>
      <c r="F1541" s="5" t="str">
        <f>"073105040819"</f>
        <v>073105040819</v>
      </c>
      <c r="G1541" s="7">
        <v>42.7</v>
      </c>
      <c r="H1541" s="7">
        <f t="shared" si="106"/>
        <v>21.35</v>
      </c>
      <c r="I1541" s="7">
        <v>45.488</v>
      </c>
      <c r="J1541" s="7">
        <f t="shared" si="107"/>
        <v>22.744</v>
      </c>
      <c r="K1541" s="10">
        <f t="shared" si="105"/>
        <v>44.094</v>
      </c>
      <c r="L1541" s="7">
        <f t="shared" si="104"/>
        <v>62</v>
      </c>
      <c r="M1541" s="11"/>
      <c r="N1541"/>
    </row>
    <row r="1542" spans="1:14" ht="24.75" customHeight="1">
      <c r="A1542" s="5">
        <v>1540</v>
      </c>
      <c r="B1542" s="5" t="s">
        <v>21</v>
      </c>
      <c r="C1542" s="5" t="str">
        <f>"赵建莹"</f>
        <v>赵建莹</v>
      </c>
      <c r="D1542" s="5" t="str">
        <f>"460031199802255226"</f>
        <v>460031199802255226</v>
      </c>
      <c r="E1542" s="5" t="s">
        <v>15</v>
      </c>
      <c r="F1542" s="5" t="str">
        <f>"073105040824"</f>
        <v>073105040824</v>
      </c>
      <c r="G1542" s="7">
        <v>52.3</v>
      </c>
      <c r="H1542" s="7">
        <f t="shared" si="106"/>
        <v>26.15</v>
      </c>
      <c r="I1542" s="7">
        <v>35.143</v>
      </c>
      <c r="J1542" s="7">
        <f t="shared" si="107"/>
        <v>17.5715</v>
      </c>
      <c r="K1542" s="10">
        <f t="shared" si="105"/>
        <v>43.7215</v>
      </c>
      <c r="L1542" s="7">
        <f t="shared" si="104"/>
        <v>63</v>
      </c>
      <c r="M1542" s="11"/>
      <c r="N1542"/>
    </row>
    <row r="1543" spans="1:14" ht="24.75" customHeight="1">
      <c r="A1543" s="5">
        <v>1541</v>
      </c>
      <c r="B1543" s="5" t="s">
        <v>21</v>
      </c>
      <c r="C1543" s="5" t="str">
        <f>"钟兴淼"</f>
        <v>钟兴淼</v>
      </c>
      <c r="D1543" s="5" t="str">
        <f>"460031199708105264"</f>
        <v>460031199708105264</v>
      </c>
      <c r="E1543" s="5" t="s">
        <v>15</v>
      </c>
      <c r="F1543" s="5" t="str">
        <f>"073105040611"</f>
        <v>073105040611</v>
      </c>
      <c r="G1543" s="7">
        <v>40.5</v>
      </c>
      <c r="H1543" s="7">
        <f t="shared" si="106"/>
        <v>20.25</v>
      </c>
      <c r="I1543" s="7">
        <v>42.48</v>
      </c>
      <c r="J1543" s="7">
        <f t="shared" si="107"/>
        <v>21.24</v>
      </c>
      <c r="K1543" s="10">
        <f t="shared" si="105"/>
        <v>41.489999999999995</v>
      </c>
      <c r="L1543" s="7">
        <f t="shared" si="104"/>
        <v>64</v>
      </c>
      <c r="M1543" s="11"/>
      <c r="N1543"/>
    </row>
    <row r="1544" spans="1:14" ht="24.75" customHeight="1">
      <c r="A1544" s="5">
        <v>1542</v>
      </c>
      <c r="B1544" s="5" t="s">
        <v>21</v>
      </c>
      <c r="C1544" s="5" t="str">
        <f>"汤国君"</f>
        <v>汤国君</v>
      </c>
      <c r="D1544" s="5" t="str">
        <f>"460031199604035644"</f>
        <v>460031199604035644</v>
      </c>
      <c r="E1544" s="5" t="s">
        <v>15</v>
      </c>
      <c r="F1544" s="5" t="str">
        <f>"073105040929"</f>
        <v>073105040929</v>
      </c>
      <c r="G1544" s="7">
        <v>45.8</v>
      </c>
      <c r="H1544" s="7">
        <f t="shared" si="106"/>
        <v>22.9</v>
      </c>
      <c r="I1544" s="7">
        <v>36.831</v>
      </c>
      <c r="J1544" s="7">
        <f t="shared" si="107"/>
        <v>18.4155</v>
      </c>
      <c r="K1544" s="10">
        <f t="shared" si="105"/>
        <v>41.3155</v>
      </c>
      <c r="L1544" s="7">
        <f aca="true" t="shared" si="108" ref="L1544:L1607">RANK(K1544,$K$1480:$K$1635,0)</f>
        <v>65</v>
      </c>
      <c r="M1544" s="11"/>
      <c r="N1544"/>
    </row>
    <row r="1545" spans="1:14" ht="24.75" customHeight="1">
      <c r="A1545" s="5">
        <v>1543</v>
      </c>
      <c r="B1545" s="5" t="s">
        <v>21</v>
      </c>
      <c r="C1545" s="5" t="str">
        <f>"杨唐艳"</f>
        <v>杨唐艳</v>
      </c>
      <c r="D1545" s="5" t="str">
        <f>"460031199408074881"</f>
        <v>460031199408074881</v>
      </c>
      <c r="E1545" s="5" t="s">
        <v>15</v>
      </c>
      <c r="F1545" s="5" t="str">
        <f>"073105040721"</f>
        <v>073105040721</v>
      </c>
      <c r="G1545" s="7">
        <v>31.2</v>
      </c>
      <c r="H1545" s="7">
        <f t="shared" si="106"/>
        <v>15.6</v>
      </c>
      <c r="I1545" s="7">
        <v>51.357</v>
      </c>
      <c r="J1545" s="7">
        <f t="shared" si="107"/>
        <v>25.6785</v>
      </c>
      <c r="K1545" s="10">
        <f t="shared" si="105"/>
        <v>41.2785</v>
      </c>
      <c r="L1545" s="7">
        <f t="shared" si="108"/>
        <v>66</v>
      </c>
      <c r="M1545" s="11"/>
      <c r="N1545"/>
    </row>
    <row r="1546" spans="1:14" ht="24.75" customHeight="1">
      <c r="A1546" s="5">
        <v>1544</v>
      </c>
      <c r="B1546" s="5" t="s">
        <v>21</v>
      </c>
      <c r="C1546" s="5" t="str">
        <f>"王英利"</f>
        <v>王英利</v>
      </c>
      <c r="D1546" s="5" t="str">
        <f>"460031199903060831"</f>
        <v>460031199903060831</v>
      </c>
      <c r="E1546" s="5" t="s">
        <v>15</v>
      </c>
      <c r="F1546" s="5" t="str">
        <f>"073105040728"</f>
        <v>073105040728</v>
      </c>
      <c r="G1546" s="7">
        <v>40</v>
      </c>
      <c r="H1546" s="7">
        <f t="shared" si="106"/>
        <v>20</v>
      </c>
      <c r="I1546" s="7">
        <v>40.572</v>
      </c>
      <c r="J1546" s="7">
        <f t="shared" si="107"/>
        <v>20.286</v>
      </c>
      <c r="K1546" s="10">
        <f t="shared" si="105"/>
        <v>40.286</v>
      </c>
      <c r="L1546" s="7">
        <f t="shared" si="108"/>
        <v>67</v>
      </c>
      <c r="M1546" s="11"/>
      <c r="N1546"/>
    </row>
    <row r="1547" spans="1:14" ht="24.75" customHeight="1">
      <c r="A1547" s="5">
        <v>1545</v>
      </c>
      <c r="B1547" s="5" t="s">
        <v>21</v>
      </c>
      <c r="C1547" s="5" t="str">
        <f>"符文秀"</f>
        <v>符文秀</v>
      </c>
      <c r="D1547" s="5" t="str">
        <f>"460031199608045241"</f>
        <v>460031199608045241</v>
      </c>
      <c r="E1547" s="5" t="s">
        <v>15</v>
      </c>
      <c r="F1547" s="5" t="str">
        <f>"073105040711"</f>
        <v>073105040711</v>
      </c>
      <c r="G1547" s="7">
        <v>37.6</v>
      </c>
      <c r="H1547" s="7">
        <f t="shared" si="106"/>
        <v>18.8</v>
      </c>
      <c r="I1547" s="7">
        <v>41.233</v>
      </c>
      <c r="J1547" s="7">
        <f t="shared" si="107"/>
        <v>20.6165</v>
      </c>
      <c r="K1547" s="10">
        <f t="shared" si="105"/>
        <v>39.4165</v>
      </c>
      <c r="L1547" s="7">
        <f t="shared" si="108"/>
        <v>68</v>
      </c>
      <c r="M1547" s="11"/>
      <c r="N1547"/>
    </row>
    <row r="1548" spans="1:14" ht="24.75" customHeight="1">
      <c r="A1548" s="5">
        <v>1546</v>
      </c>
      <c r="B1548" s="5" t="s">
        <v>21</v>
      </c>
      <c r="C1548" s="5" t="str">
        <f>"钟必丽"</f>
        <v>钟必丽</v>
      </c>
      <c r="D1548" s="5" t="str">
        <f>"469026199703044025"</f>
        <v>469026199703044025</v>
      </c>
      <c r="E1548" s="5" t="s">
        <v>15</v>
      </c>
      <c r="F1548" s="5" t="str">
        <f>"073105040625"</f>
        <v>073105040625</v>
      </c>
      <c r="G1548" s="7">
        <v>55</v>
      </c>
      <c r="H1548" s="7">
        <f t="shared" si="106"/>
        <v>27.5</v>
      </c>
      <c r="I1548" s="7">
        <v>23.551</v>
      </c>
      <c r="J1548" s="7">
        <f t="shared" si="107"/>
        <v>11.7755</v>
      </c>
      <c r="K1548" s="10">
        <f aca="true" t="shared" si="109" ref="K1548:K1611">H1548+J1548</f>
        <v>39.2755</v>
      </c>
      <c r="L1548" s="7">
        <f t="shared" si="108"/>
        <v>69</v>
      </c>
      <c r="M1548" s="11"/>
      <c r="N1548"/>
    </row>
    <row r="1549" spans="1:14" ht="24.75" customHeight="1">
      <c r="A1549" s="5">
        <v>1547</v>
      </c>
      <c r="B1549" s="5" t="s">
        <v>21</v>
      </c>
      <c r="C1549" s="5" t="str">
        <f>"钟文玲"</f>
        <v>钟文玲</v>
      </c>
      <c r="D1549" s="5" t="str">
        <f>"460031199202095265"</f>
        <v>460031199202095265</v>
      </c>
      <c r="E1549" s="5" t="s">
        <v>15</v>
      </c>
      <c r="F1549" s="5" t="str">
        <f>"073105040906"</f>
        <v>073105040906</v>
      </c>
      <c r="G1549" s="7">
        <v>48.7</v>
      </c>
      <c r="H1549" s="7">
        <f t="shared" si="106"/>
        <v>24.35</v>
      </c>
      <c r="I1549" s="7">
        <v>29.787</v>
      </c>
      <c r="J1549" s="7">
        <f t="shared" si="107"/>
        <v>14.8935</v>
      </c>
      <c r="K1549" s="10">
        <f t="shared" si="109"/>
        <v>39.2435</v>
      </c>
      <c r="L1549" s="7">
        <f t="shared" si="108"/>
        <v>70</v>
      </c>
      <c r="M1549" s="11"/>
      <c r="N1549"/>
    </row>
    <row r="1550" spans="1:14" ht="24.75" customHeight="1">
      <c r="A1550" s="5">
        <v>1548</v>
      </c>
      <c r="B1550" s="5" t="s">
        <v>21</v>
      </c>
      <c r="C1550" s="5" t="str">
        <f>"欧阳继宁"</f>
        <v>欧阳继宁</v>
      </c>
      <c r="D1550" s="5" t="str">
        <f>"460006199504050058"</f>
        <v>460006199504050058</v>
      </c>
      <c r="E1550" s="5" t="s">
        <v>15</v>
      </c>
      <c r="F1550" s="5" t="str">
        <f>"073105040720"</f>
        <v>073105040720</v>
      </c>
      <c r="G1550" s="7">
        <v>26.5</v>
      </c>
      <c r="H1550" s="7">
        <f t="shared" si="106"/>
        <v>13.25</v>
      </c>
      <c r="I1550" s="7">
        <v>49.67</v>
      </c>
      <c r="J1550" s="7">
        <f t="shared" si="107"/>
        <v>24.835</v>
      </c>
      <c r="K1550" s="10">
        <f t="shared" si="109"/>
        <v>38.085</v>
      </c>
      <c r="L1550" s="7">
        <f t="shared" si="108"/>
        <v>71</v>
      </c>
      <c r="M1550" s="11"/>
      <c r="N1550"/>
    </row>
    <row r="1551" spans="1:14" ht="24.75" customHeight="1">
      <c r="A1551" s="5">
        <v>1549</v>
      </c>
      <c r="B1551" s="5" t="s">
        <v>21</v>
      </c>
      <c r="C1551" s="5" t="str">
        <f>"刘爱建"</f>
        <v>刘爱建</v>
      </c>
      <c r="D1551" s="5" t="str">
        <f>"469026199401024010"</f>
        <v>469026199401024010</v>
      </c>
      <c r="E1551" s="5" t="s">
        <v>15</v>
      </c>
      <c r="F1551" s="5" t="str">
        <f>"073105040715"</f>
        <v>073105040715</v>
      </c>
      <c r="G1551" s="7">
        <v>31.3</v>
      </c>
      <c r="H1551" s="7">
        <f t="shared" si="106"/>
        <v>15.65</v>
      </c>
      <c r="I1551" s="7">
        <v>44.167</v>
      </c>
      <c r="J1551" s="7">
        <f t="shared" si="107"/>
        <v>22.0835</v>
      </c>
      <c r="K1551" s="10">
        <f t="shared" si="109"/>
        <v>37.7335</v>
      </c>
      <c r="L1551" s="7">
        <f t="shared" si="108"/>
        <v>72</v>
      </c>
      <c r="M1551" s="11"/>
      <c r="N1551"/>
    </row>
    <row r="1552" spans="1:14" ht="24.75" customHeight="1">
      <c r="A1552" s="5">
        <v>1550</v>
      </c>
      <c r="B1552" s="5" t="s">
        <v>21</v>
      </c>
      <c r="C1552" s="5" t="str">
        <f>"何君云"</f>
        <v>何君云</v>
      </c>
      <c r="D1552" s="5" t="str">
        <f>"460031199611295225"</f>
        <v>460031199611295225</v>
      </c>
      <c r="E1552" s="5" t="s">
        <v>15</v>
      </c>
      <c r="F1552" s="5" t="str">
        <f>"073105040821"</f>
        <v>073105040821</v>
      </c>
      <c r="G1552" s="7">
        <v>46.3</v>
      </c>
      <c r="H1552" s="7">
        <f t="shared" si="106"/>
        <v>23.15</v>
      </c>
      <c r="I1552" s="7">
        <v>21.864</v>
      </c>
      <c r="J1552" s="7">
        <f t="shared" si="107"/>
        <v>10.932</v>
      </c>
      <c r="K1552" s="10">
        <f t="shared" si="109"/>
        <v>34.082</v>
      </c>
      <c r="L1552" s="7">
        <f t="shared" si="108"/>
        <v>73</v>
      </c>
      <c r="M1552" s="11"/>
      <c r="N1552"/>
    </row>
    <row r="1553" spans="1:14" ht="24.75" customHeight="1">
      <c r="A1553" s="5">
        <v>1551</v>
      </c>
      <c r="B1553" s="5" t="s">
        <v>21</v>
      </c>
      <c r="C1553" s="5" t="str">
        <f>"陈梅"</f>
        <v>陈梅</v>
      </c>
      <c r="D1553" s="5" t="str">
        <f>"460031199602250025"</f>
        <v>460031199602250025</v>
      </c>
      <c r="E1553" s="5" t="s">
        <v>15</v>
      </c>
      <c r="F1553" s="5" t="str">
        <f>"073105040630"</f>
        <v>073105040630</v>
      </c>
      <c r="G1553" s="7">
        <v>40.2</v>
      </c>
      <c r="H1553" s="7">
        <f t="shared" si="106"/>
        <v>20.1</v>
      </c>
      <c r="I1553" s="7">
        <v>27.66</v>
      </c>
      <c r="J1553" s="7">
        <f t="shared" si="107"/>
        <v>13.83</v>
      </c>
      <c r="K1553" s="10">
        <f t="shared" si="109"/>
        <v>33.93</v>
      </c>
      <c r="L1553" s="7">
        <f t="shared" si="108"/>
        <v>74</v>
      </c>
      <c r="M1553" s="11"/>
      <c r="N1553"/>
    </row>
    <row r="1554" spans="1:14" ht="24.75" customHeight="1">
      <c r="A1554" s="5">
        <v>1552</v>
      </c>
      <c r="B1554" s="5" t="s">
        <v>21</v>
      </c>
      <c r="C1554" s="5" t="str">
        <f>"苏浩华"</f>
        <v>苏浩华</v>
      </c>
      <c r="D1554" s="5" t="str">
        <f>"469026199512150036"</f>
        <v>469026199512150036</v>
      </c>
      <c r="E1554" s="5" t="s">
        <v>15</v>
      </c>
      <c r="F1554" s="5" t="str">
        <f>"073105040840"</f>
        <v>073105040840</v>
      </c>
      <c r="G1554" s="7">
        <v>32.3</v>
      </c>
      <c r="H1554" s="7">
        <f t="shared" si="106"/>
        <v>16.15</v>
      </c>
      <c r="I1554" s="7">
        <v>35.143</v>
      </c>
      <c r="J1554" s="7">
        <f t="shared" si="107"/>
        <v>17.5715</v>
      </c>
      <c r="K1554" s="10">
        <f t="shared" si="109"/>
        <v>33.7215</v>
      </c>
      <c r="L1554" s="7">
        <f t="shared" si="108"/>
        <v>75</v>
      </c>
      <c r="M1554" s="11"/>
      <c r="N1554"/>
    </row>
    <row r="1555" spans="1:14" ht="24.75" customHeight="1">
      <c r="A1555" s="5">
        <v>1553</v>
      </c>
      <c r="B1555" s="5" t="s">
        <v>21</v>
      </c>
      <c r="C1555" s="5" t="str">
        <f>"郭冉辉"</f>
        <v>郭冉辉</v>
      </c>
      <c r="D1555" s="5" t="str">
        <f>"460031199712166414"</f>
        <v>460031199712166414</v>
      </c>
      <c r="E1555" s="5" t="s">
        <v>15</v>
      </c>
      <c r="F1555" s="5" t="str">
        <f>"073105040815"</f>
        <v>073105040815</v>
      </c>
      <c r="G1555" s="7">
        <v>30.4</v>
      </c>
      <c r="H1555" s="7">
        <f t="shared" si="106"/>
        <v>15.2</v>
      </c>
      <c r="I1555" s="7">
        <v>36.757</v>
      </c>
      <c r="J1555" s="7">
        <f t="shared" si="107"/>
        <v>18.3785</v>
      </c>
      <c r="K1555" s="10">
        <f t="shared" si="109"/>
        <v>33.5785</v>
      </c>
      <c r="L1555" s="7">
        <f t="shared" si="108"/>
        <v>76</v>
      </c>
      <c r="M1555" s="11"/>
      <c r="N1555"/>
    </row>
    <row r="1556" spans="1:14" ht="24.75" customHeight="1">
      <c r="A1556" s="5">
        <v>1554</v>
      </c>
      <c r="B1556" s="5" t="s">
        <v>21</v>
      </c>
      <c r="C1556" s="5" t="str">
        <f>"李志登"</f>
        <v>李志登</v>
      </c>
      <c r="D1556" s="5" t="str">
        <f>"460031199401165617"</f>
        <v>460031199401165617</v>
      </c>
      <c r="E1556" s="5" t="s">
        <v>15</v>
      </c>
      <c r="F1556" s="5" t="str">
        <f>"073105040712"</f>
        <v>073105040712</v>
      </c>
      <c r="G1556" s="7">
        <v>38</v>
      </c>
      <c r="H1556" s="7">
        <f t="shared" si="106"/>
        <v>19</v>
      </c>
      <c r="I1556" s="7">
        <v>26.779</v>
      </c>
      <c r="J1556" s="7">
        <f t="shared" si="107"/>
        <v>13.3895</v>
      </c>
      <c r="K1556" s="10">
        <f t="shared" si="109"/>
        <v>32.3895</v>
      </c>
      <c r="L1556" s="7">
        <f t="shared" si="108"/>
        <v>77</v>
      </c>
      <c r="M1556" s="11"/>
      <c r="N1556"/>
    </row>
    <row r="1557" spans="1:14" ht="24.75" customHeight="1">
      <c r="A1557" s="5">
        <v>1555</v>
      </c>
      <c r="B1557" s="5" t="s">
        <v>21</v>
      </c>
      <c r="C1557" s="5" t="str">
        <f>"吉丽娜"</f>
        <v>吉丽娜</v>
      </c>
      <c r="D1557" s="5" t="str">
        <f>"460031199405133241"</f>
        <v>460031199405133241</v>
      </c>
      <c r="E1557" s="5" t="s">
        <v>15</v>
      </c>
      <c r="F1557" s="5" t="str">
        <f>"073105040726"</f>
        <v>073105040726</v>
      </c>
      <c r="G1557" s="7">
        <v>34.4</v>
      </c>
      <c r="H1557" s="7">
        <f t="shared" si="106"/>
        <v>17.2</v>
      </c>
      <c r="I1557" s="7">
        <v>29.787</v>
      </c>
      <c r="J1557" s="7">
        <f t="shared" si="107"/>
        <v>14.8935</v>
      </c>
      <c r="K1557" s="10">
        <f t="shared" si="109"/>
        <v>32.0935</v>
      </c>
      <c r="L1557" s="7">
        <f t="shared" si="108"/>
        <v>78</v>
      </c>
      <c r="M1557" s="11"/>
      <c r="N1557"/>
    </row>
    <row r="1558" spans="1:14" ht="24.75" customHeight="1">
      <c r="A1558" s="5">
        <v>1556</v>
      </c>
      <c r="B1558" s="5" t="s">
        <v>21</v>
      </c>
      <c r="C1558" s="5" t="str">
        <f>"王福媚"</f>
        <v>王福媚</v>
      </c>
      <c r="D1558" s="5" t="str">
        <f>"460031199812270024"</f>
        <v>460031199812270024</v>
      </c>
      <c r="E1558" s="5" t="s">
        <v>15</v>
      </c>
      <c r="F1558" s="5" t="str">
        <f>"073105040706"</f>
        <v>073105040706</v>
      </c>
      <c r="G1558" s="7">
        <v>31.4</v>
      </c>
      <c r="H1558" s="7">
        <f t="shared" si="106"/>
        <v>15.7</v>
      </c>
      <c r="I1558" s="7">
        <v>32.135</v>
      </c>
      <c r="J1558" s="7">
        <f t="shared" si="107"/>
        <v>16.0675</v>
      </c>
      <c r="K1558" s="10">
        <f t="shared" si="109"/>
        <v>31.7675</v>
      </c>
      <c r="L1558" s="7">
        <f t="shared" si="108"/>
        <v>79</v>
      </c>
      <c r="M1558" s="11"/>
      <c r="N1558"/>
    </row>
    <row r="1559" spans="1:14" ht="24.75" customHeight="1">
      <c r="A1559" s="5">
        <v>1557</v>
      </c>
      <c r="B1559" s="5" t="s">
        <v>21</v>
      </c>
      <c r="C1559" s="5" t="str">
        <f>"钟教有"</f>
        <v>钟教有</v>
      </c>
      <c r="D1559" s="5" t="str">
        <f>"460031199902035239"</f>
        <v>460031199902035239</v>
      </c>
      <c r="E1559" s="5" t="s">
        <v>15</v>
      </c>
      <c r="F1559" s="5" t="str">
        <f>"073105040717"</f>
        <v>073105040717</v>
      </c>
      <c r="G1559" s="7">
        <v>39.2</v>
      </c>
      <c r="H1559" s="7">
        <f t="shared" si="106"/>
        <v>19.6</v>
      </c>
      <c r="I1559" s="7">
        <v>22.891</v>
      </c>
      <c r="J1559" s="7">
        <f t="shared" si="107"/>
        <v>11.4455</v>
      </c>
      <c r="K1559" s="10">
        <f t="shared" si="109"/>
        <v>31.0455</v>
      </c>
      <c r="L1559" s="7">
        <f t="shared" si="108"/>
        <v>80</v>
      </c>
      <c r="M1559" s="11"/>
      <c r="N1559"/>
    </row>
    <row r="1560" spans="1:14" ht="24.75" customHeight="1">
      <c r="A1560" s="5">
        <v>1558</v>
      </c>
      <c r="B1560" s="5" t="s">
        <v>21</v>
      </c>
      <c r="C1560" s="5" t="str">
        <f>"黎明政"</f>
        <v>黎明政</v>
      </c>
      <c r="D1560" s="5" t="str">
        <f>"460031199010266816"</f>
        <v>460031199010266816</v>
      </c>
      <c r="E1560" s="5" t="s">
        <v>15</v>
      </c>
      <c r="F1560" s="5" t="str">
        <f>"073105040831"</f>
        <v>073105040831</v>
      </c>
      <c r="G1560" s="7">
        <v>34.9</v>
      </c>
      <c r="H1560" s="7">
        <f t="shared" si="106"/>
        <v>17.45</v>
      </c>
      <c r="I1560" s="7">
        <v>27.073</v>
      </c>
      <c r="J1560" s="7">
        <f t="shared" si="107"/>
        <v>13.5365</v>
      </c>
      <c r="K1560" s="10">
        <f t="shared" si="109"/>
        <v>30.9865</v>
      </c>
      <c r="L1560" s="7">
        <f t="shared" si="108"/>
        <v>81</v>
      </c>
      <c r="M1560" s="11"/>
      <c r="N1560"/>
    </row>
    <row r="1561" spans="1:14" ht="24.75" customHeight="1">
      <c r="A1561" s="5">
        <v>1559</v>
      </c>
      <c r="B1561" s="5" t="s">
        <v>21</v>
      </c>
      <c r="C1561" s="5" t="str">
        <f>"王长慧"</f>
        <v>王长慧</v>
      </c>
      <c r="D1561" s="5" t="str">
        <f>"460031199412154040"</f>
        <v>460031199412154040</v>
      </c>
      <c r="E1561" s="5" t="s">
        <v>15</v>
      </c>
      <c r="F1561" s="5" t="str">
        <f>"073105040803"</f>
        <v>073105040803</v>
      </c>
      <c r="G1561" s="7">
        <v>57.3</v>
      </c>
      <c r="H1561" s="7">
        <f t="shared" si="106"/>
        <v>28.65</v>
      </c>
      <c r="I1561" s="7">
        <v>0</v>
      </c>
      <c r="J1561" s="7">
        <f t="shared" si="107"/>
        <v>0</v>
      </c>
      <c r="K1561" s="10">
        <f t="shared" si="109"/>
        <v>28.65</v>
      </c>
      <c r="L1561" s="7">
        <f t="shared" si="108"/>
        <v>82</v>
      </c>
      <c r="M1561" s="11"/>
      <c r="N1561"/>
    </row>
    <row r="1562" spans="1:14" ht="24.75" customHeight="1">
      <c r="A1562" s="5">
        <v>1560</v>
      </c>
      <c r="B1562" s="5" t="s">
        <v>21</v>
      </c>
      <c r="C1562" s="5" t="str">
        <f>"符秋裕"</f>
        <v>符秋裕</v>
      </c>
      <c r="D1562" s="5" t="str">
        <f>"460031199802105228"</f>
        <v>460031199802105228</v>
      </c>
      <c r="E1562" s="5" t="s">
        <v>15</v>
      </c>
      <c r="F1562" s="5" t="str">
        <f>"073105040836"</f>
        <v>073105040836</v>
      </c>
      <c r="G1562" s="7">
        <v>33.5</v>
      </c>
      <c r="H1562" s="7">
        <f t="shared" si="106"/>
        <v>16.75</v>
      </c>
      <c r="I1562" s="7">
        <v>22.084</v>
      </c>
      <c r="J1562" s="7">
        <f t="shared" si="107"/>
        <v>11.042</v>
      </c>
      <c r="K1562" s="10">
        <f t="shared" si="109"/>
        <v>27.792</v>
      </c>
      <c r="L1562" s="7">
        <f t="shared" si="108"/>
        <v>83</v>
      </c>
      <c r="M1562" s="11"/>
      <c r="N1562"/>
    </row>
    <row r="1563" spans="1:14" ht="24.75" customHeight="1">
      <c r="A1563" s="5">
        <v>1561</v>
      </c>
      <c r="B1563" s="5" t="s">
        <v>21</v>
      </c>
      <c r="C1563" s="5" t="str">
        <f>"张发静"</f>
        <v>张发静</v>
      </c>
      <c r="D1563" s="5" t="str">
        <f>"46003119950516482X"</f>
        <v>46003119950516482X</v>
      </c>
      <c r="E1563" s="5" t="s">
        <v>15</v>
      </c>
      <c r="F1563" s="5" t="str">
        <f>"073105040823"</f>
        <v>073105040823</v>
      </c>
      <c r="G1563" s="7">
        <v>7.9</v>
      </c>
      <c r="H1563" s="7">
        <f t="shared" si="106"/>
        <v>3.95</v>
      </c>
      <c r="I1563" s="7">
        <v>37.197</v>
      </c>
      <c r="J1563" s="7">
        <f t="shared" si="107"/>
        <v>18.5985</v>
      </c>
      <c r="K1563" s="10">
        <f t="shared" si="109"/>
        <v>22.5485</v>
      </c>
      <c r="L1563" s="7">
        <f t="shared" si="108"/>
        <v>84</v>
      </c>
      <c r="M1563" s="11"/>
      <c r="N1563"/>
    </row>
    <row r="1564" spans="1:14" ht="24.75" customHeight="1">
      <c r="A1564" s="5">
        <v>1562</v>
      </c>
      <c r="B1564" s="5" t="s">
        <v>21</v>
      </c>
      <c r="C1564" s="5" t="str">
        <f>"彭文燕"</f>
        <v>彭文燕</v>
      </c>
      <c r="D1564" s="5" t="str">
        <f>"460031199407234425"</f>
        <v>460031199407234425</v>
      </c>
      <c r="E1564" s="5" t="s">
        <v>15</v>
      </c>
      <c r="F1564" s="5" t="str">
        <f>"073105040626"</f>
        <v>073105040626</v>
      </c>
      <c r="G1564" s="7">
        <v>41.3</v>
      </c>
      <c r="H1564" s="7">
        <f t="shared" si="106"/>
        <v>20.65</v>
      </c>
      <c r="I1564" s="7">
        <v>0</v>
      </c>
      <c r="J1564" s="7">
        <f t="shared" si="107"/>
        <v>0</v>
      </c>
      <c r="K1564" s="10">
        <f t="shared" si="109"/>
        <v>20.65</v>
      </c>
      <c r="L1564" s="7">
        <f t="shared" si="108"/>
        <v>85</v>
      </c>
      <c r="M1564" s="11"/>
      <c r="N1564"/>
    </row>
    <row r="1565" spans="1:14" ht="24.75" customHeight="1">
      <c r="A1565" s="5">
        <v>1563</v>
      </c>
      <c r="B1565" s="5" t="s">
        <v>21</v>
      </c>
      <c r="C1565" s="5" t="str">
        <f>"蔡树智"</f>
        <v>蔡树智</v>
      </c>
      <c r="D1565" s="5" t="str">
        <f>"460031199503245634"</f>
        <v>460031199503245634</v>
      </c>
      <c r="E1565" s="5" t="s">
        <v>15</v>
      </c>
      <c r="F1565" s="5" t="str">
        <f>"073105040608"</f>
        <v>073105040608</v>
      </c>
      <c r="G1565" s="7">
        <v>0</v>
      </c>
      <c r="H1565" s="7">
        <f t="shared" si="106"/>
        <v>0</v>
      </c>
      <c r="I1565" s="7">
        <v>0</v>
      </c>
      <c r="J1565" s="7">
        <f t="shared" si="107"/>
        <v>0</v>
      </c>
      <c r="K1565" s="10">
        <f t="shared" si="109"/>
        <v>0</v>
      </c>
      <c r="L1565" s="7">
        <f t="shared" si="108"/>
        <v>86</v>
      </c>
      <c r="M1565" s="13" t="s">
        <v>18</v>
      </c>
      <c r="N1565"/>
    </row>
    <row r="1566" spans="1:14" ht="24.75" customHeight="1">
      <c r="A1566" s="5">
        <v>1564</v>
      </c>
      <c r="B1566" s="5" t="s">
        <v>21</v>
      </c>
      <c r="C1566" s="5" t="str">
        <f>"兰秀蓉"</f>
        <v>兰秀蓉</v>
      </c>
      <c r="D1566" s="5" t="str">
        <f>"460031199703104449"</f>
        <v>460031199703104449</v>
      </c>
      <c r="E1566" s="5" t="s">
        <v>15</v>
      </c>
      <c r="F1566" s="5" t="str">
        <f>"073105040610"</f>
        <v>073105040610</v>
      </c>
      <c r="G1566" s="7">
        <v>0</v>
      </c>
      <c r="H1566" s="7">
        <f t="shared" si="106"/>
        <v>0</v>
      </c>
      <c r="I1566" s="7">
        <v>0</v>
      </c>
      <c r="J1566" s="7">
        <f t="shared" si="107"/>
        <v>0</v>
      </c>
      <c r="K1566" s="10">
        <f t="shared" si="109"/>
        <v>0</v>
      </c>
      <c r="L1566" s="7">
        <f t="shared" si="108"/>
        <v>86</v>
      </c>
      <c r="M1566" s="13" t="s">
        <v>18</v>
      </c>
      <c r="N1566"/>
    </row>
    <row r="1567" spans="1:14" ht="24.75" customHeight="1">
      <c r="A1567" s="5">
        <v>1565</v>
      </c>
      <c r="B1567" s="5" t="s">
        <v>21</v>
      </c>
      <c r="C1567" s="5" t="str">
        <f>"林玉滢"</f>
        <v>林玉滢</v>
      </c>
      <c r="D1567" s="5" t="str">
        <f>"460031200211186420"</f>
        <v>460031200211186420</v>
      </c>
      <c r="E1567" s="5" t="s">
        <v>15</v>
      </c>
      <c r="F1567" s="5" t="str">
        <f>"073105040612"</f>
        <v>073105040612</v>
      </c>
      <c r="G1567" s="7">
        <v>0</v>
      </c>
      <c r="H1567" s="7">
        <f t="shared" si="106"/>
        <v>0</v>
      </c>
      <c r="I1567" s="7">
        <v>0</v>
      </c>
      <c r="J1567" s="7">
        <f t="shared" si="107"/>
        <v>0</v>
      </c>
      <c r="K1567" s="10">
        <f t="shared" si="109"/>
        <v>0</v>
      </c>
      <c r="L1567" s="7">
        <f t="shared" si="108"/>
        <v>86</v>
      </c>
      <c r="M1567" s="13" t="s">
        <v>18</v>
      </c>
      <c r="N1567"/>
    </row>
    <row r="1568" spans="1:14" ht="24.75" customHeight="1">
      <c r="A1568" s="5">
        <v>1566</v>
      </c>
      <c r="B1568" s="5" t="s">
        <v>21</v>
      </c>
      <c r="C1568" s="5" t="str">
        <f>"何智静"</f>
        <v>何智静</v>
      </c>
      <c r="D1568" s="5" t="str">
        <f>"460031199612265626"</f>
        <v>460031199612265626</v>
      </c>
      <c r="E1568" s="5" t="s">
        <v>15</v>
      </c>
      <c r="F1568" s="5" t="str">
        <f>"073105040613"</f>
        <v>073105040613</v>
      </c>
      <c r="G1568" s="7">
        <v>0</v>
      </c>
      <c r="H1568" s="7">
        <f t="shared" si="106"/>
        <v>0</v>
      </c>
      <c r="I1568" s="7">
        <v>0</v>
      </c>
      <c r="J1568" s="7">
        <f t="shared" si="107"/>
        <v>0</v>
      </c>
      <c r="K1568" s="10">
        <f t="shared" si="109"/>
        <v>0</v>
      </c>
      <c r="L1568" s="7">
        <f t="shared" si="108"/>
        <v>86</v>
      </c>
      <c r="M1568" s="13" t="s">
        <v>18</v>
      </c>
      <c r="N1568"/>
    </row>
    <row r="1569" spans="1:14" ht="24.75" customHeight="1">
      <c r="A1569" s="5">
        <v>1567</v>
      </c>
      <c r="B1569" s="5" t="s">
        <v>21</v>
      </c>
      <c r="C1569" s="5" t="str">
        <f>"王彩金"</f>
        <v>王彩金</v>
      </c>
      <c r="D1569" s="5" t="str">
        <f>"460031199506045224"</f>
        <v>460031199506045224</v>
      </c>
      <c r="E1569" s="5" t="s">
        <v>15</v>
      </c>
      <c r="F1569" s="5" t="str">
        <f>"073105040615"</f>
        <v>073105040615</v>
      </c>
      <c r="G1569" s="7">
        <v>0</v>
      </c>
      <c r="H1569" s="7">
        <f t="shared" si="106"/>
        <v>0</v>
      </c>
      <c r="I1569" s="7">
        <v>0</v>
      </c>
      <c r="J1569" s="7">
        <f t="shared" si="107"/>
        <v>0</v>
      </c>
      <c r="K1569" s="10">
        <f t="shared" si="109"/>
        <v>0</v>
      </c>
      <c r="L1569" s="7">
        <f t="shared" si="108"/>
        <v>86</v>
      </c>
      <c r="M1569" s="13" t="s">
        <v>18</v>
      </c>
      <c r="N1569"/>
    </row>
    <row r="1570" spans="1:14" ht="24.75" customHeight="1">
      <c r="A1570" s="5">
        <v>1568</v>
      </c>
      <c r="B1570" s="5" t="s">
        <v>21</v>
      </c>
      <c r="C1570" s="5" t="str">
        <f>"苏睿"</f>
        <v>苏睿</v>
      </c>
      <c r="D1570" s="5" t="str">
        <f>"460031199906204044"</f>
        <v>460031199906204044</v>
      </c>
      <c r="E1570" s="5" t="s">
        <v>15</v>
      </c>
      <c r="F1570" s="5" t="str">
        <f>"073105040617"</f>
        <v>073105040617</v>
      </c>
      <c r="G1570" s="7">
        <v>0</v>
      </c>
      <c r="H1570" s="7">
        <f t="shared" si="106"/>
        <v>0</v>
      </c>
      <c r="I1570" s="7">
        <v>0</v>
      </c>
      <c r="J1570" s="7">
        <f t="shared" si="107"/>
        <v>0</v>
      </c>
      <c r="K1570" s="10">
        <f t="shared" si="109"/>
        <v>0</v>
      </c>
      <c r="L1570" s="7">
        <f t="shared" si="108"/>
        <v>86</v>
      </c>
      <c r="M1570" s="13" t="s">
        <v>18</v>
      </c>
      <c r="N1570"/>
    </row>
    <row r="1571" spans="1:14" ht="24.75" customHeight="1">
      <c r="A1571" s="5">
        <v>1569</v>
      </c>
      <c r="B1571" s="5" t="s">
        <v>21</v>
      </c>
      <c r="C1571" s="5" t="str">
        <f>"谢秀添"</f>
        <v>谢秀添</v>
      </c>
      <c r="D1571" s="5" t="str">
        <f>"460031199901085648"</f>
        <v>460031199901085648</v>
      </c>
      <c r="E1571" s="5" t="s">
        <v>15</v>
      </c>
      <c r="F1571" s="5" t="str">
        <f>"073105040622"</f>
        <v>073105040622</v>
      </c>
      <c r="G1571" s="7">
        <v>0</v>
      </c>
      <c r="H1571" s="7">
        <f t="shared" si="106"/>
        <v>0</v>
      </c>
      <c r="I1571" s="7">
        <v>0</v>
      </c>
      <c r="J1571" s="7">
        <f t="shared" si="107"/>
        <v>0</v>
      </c>
      <c r="K1571" s="10">
        <f t="shared" si="109"/>
        <v>0</v>
      </c>
      <c r="L1571" s="7">
        <f t="shared" si="108"/>
        <v>86</v>
      </c>
      <c r="M1571" s="13" t="s">
        <v>18</v>
      </c>
      <c r="N1571"/>
    </row>
    <row r="1572" spans="1:14" ht="24.75" customHeight="1">
      <c r="A1572" s="5">
        <v>1570</v>
      </c>
      <c r="B1572" s="5" t="s">
        <v>21</v>
      </c>
      <c r="C1572" s="5" t="str">
        <f>"周文洁"</f>
        <v>周文洁</v>
      </c>
      <c r="D1572" s="5" t="str">
        <f>"460031199703021248"</f>
        <v>460031199703021248</v>
      </c>
      <c r="E1572" s="5" t="s">
        <v>15</v>
      </c>
      <c r="F1572" s="5" t="str">
        <f>"073105040629"</f>
        <v>073105040629</v>
      </c>
      <c r="G1572" s="7">
        <v>0</v>
      </c>
      <c r="H1572" s="7">
        <f t="shared" si="106"/>
        <v>0</v>
      </c>
      <c r="I1572" s="7">
        <v>0</v>
      </c>
      <c r="J1572" s="7">
        <f t="shared" si="107"/>
        <v>0</v>
      </c>
      <c r="K1572" s="10">
        <f t="shared" si="109"/>
        <v>0</v>
      </c>
      <c r="L1572" s="7">
        <f t="shared" si="108"/>
        <v>86</v>
      </c>
      <c r="M1572" s="13" t="s">
        <v>18</v>
      </c>
      <c r="N1572"/>
    </row>
    <row r="1573" spans="1:14" ht="24.75" customHeight="1">
      <c r="A1573" s="5">
        <v>1571</v>
      </c>
      <c r="B1573" s="5" t="s">
        <v>21</v>
      </c>
      <c r="C1573" s="5" t="str">
        <f>"林唐彬"</f>
        <v>林唐彬</v>
      </c>
      <c r="D1573" s="5" t="str">
        <f>"460031199602135211"</f>
        <v>460031199602135211</v>
      </c>
      <c r="E1573" s="5" t="s">
        <v>15</v>
      </c>
      <c r="F1573" s="5" t="str">
        <f>"073105040631"</f>
        <v>073105040631</v>
      </c>
      <c r="G1573" s="7">
        <v>0</v>
      </c>
      <c r="H1573" s="7">
        <f t="shared" si="106"/>
        <v>0</v>
      </c>
      <c r="I1573" s="7">
        <v>0</v>
      </c>
      <c r="J1573" s="7">
        <f t="shared" si="107"/>
        <v>0</v>
      </c>
      <c r="K1573" s="10">
        <f t="shared" si="109"/>
        <v>0</v>
      </c>
      <c r="L1573" s="7">
        <f t="shared" si="108"/>
        <v>86</v>
      </c>
      <c r="M1573" s="13" t="s">
        <v>18</v>
      </c>
      <c r="N1573"/>
    </row>
    <row r="1574" spans="1:14" ht="24.75" customHeight="1">
      <c r="A1574" s="5">
        <v>1572</v>
      </c>
      <c r="B1574" s="5" t="s">
        <v>21</v>
      </c>
      <c r="C1574" s="5" t="str">
        <f>"范老钦"</f>
        <v>范老钦</v>
      </c>
      <c r="D1574" s="5" t="str">
        <f>"460031199112285225"</f>
        <v>460031199112285225</v>
      </c>
      <c r="E1574" s="5" t="s">
        <v>15</v>
      </c>
      <c r="F1574" s="5" t="str">
        <f>"073105040633"</f>
        <v>073105040633</v>
      </c>
      <c r="G1574" s="7">
        <v>0</v>
      </c>
      <c r="H1574" s="7">
        <f t="shared" si="106"/>
        <v>0</v>
      </c>
      <c r="I1574" s="7">
        <v>0</v>
      </c>
      <c r="J1574" s="7">
        <f t="shared" si="107"/>
        <v>0</v>
      </c>
      <c r="K1574" s="10">
        <f t="shared" si="109"/>
        <v>0</v>
      </c>
      <c r="L1574" s="7">
        <f t="shared" si="108"/>
        <v>86</v>
      </c>
      <c r="M1574" s="13" t="s">
        <v>18</v>
      </c>
      <c r="N1574"/>
    </row>
    <row r="1575" spans="1:14" ht="24.75" customHeight="1">
      <c r="A1575" s="5">
        <v>1573</v>
      </c>
      <c r="B1575" s="5" t="s">
        <v>21</v>
      </c>
      <c r="C1575" s="5" t="str">
        <f>"陈碧玄"</f>
        <v>陈碧玄</v>
      </c>
      <c r="D1575" s="5" t="str">
        <f>"460031199804253224"</f>
        <v>460031199804253224</v>
      </c>
      <c r="E1575" s="5" t="s">
        <v>15</v>
      </c>
      <c r="F1575" s="5" t="str">
        <f>"073105040635"</f>
        <v>073105040635</v>
      </c>
      <c r="G1575" s="7">
        <v>0</v>
      </c>
      <c r="H1575" s="7">
        <f t="shared" si="106"/>
        <v>0</v>
      </c>
      <c r="I1575" s="7">
        <v>0</v>
      </c>
      <c r="J1575" s="7">
        <f t="shared" si="107"/>
        <v>0</v>
      </c>
      <c r="K1575" s="10">
        <f t="shared" si="109"/>
        <v>0</v>
      </c>
      <c r="L1575" s="7">
        <f t="shared" si="108"/>
        <v>86</v>
      </c>
      <c r="M1575" s="13" t="s">
        <v>18</v>
      </c>
      <c r="N1575"/>
    </row>
    <row r="1576" spans="1:14" ht="24.75" customHeight="1">
      <c r="A1576" s="5">
        <v>1574</v>
      </c>
      <c r="B1576" s="5" t="s">
        <v>21</v>
      </c>
      <c r="C1576" s="5" t="str">
        <f>"王齐东"</f>
        <v>王齐东</v>
      </c>
      <c r="D1576" s="5" t="str">
        <f>"460031199611020811"</f>
        <v>460031199611020811</v>
      </c>
      <c r="E1576" s="5" t="s">
        <v>15</v>
      </c>
      <c r="F1576" s="5" t="str">
        <f>"073105040637"</f>
        <v>073105040637</v>
      </c>
      <c r="G1576" s="7">
        <v>0</v>
      </c>
      <c r="H1576" s="7">
        <f t="shared" si="106"/>
        <v>0</v>
      </c>
      <c r="I1576" s="7">
        <v>0</v>
      </c>
      <c r="J1576" s="7">
        <f t="shared" si="107"/>
        <v>0</v>
      </c>
      <c r="K1576" s="10">
        <f t="shared" si="109"/>
        <v>0</v>
      </c>
      <c r="L1576" s="7">
        <f t="shared" si="108"/>
        <v>86</v>
      </c>
      <c r="M1576" s="13" t="s">
        <v>18</v>
      </c>
      <c r="N1576"/>
    </row>
    <row r="1577" spans="1:14" ht="24.75" customHeight="1">
      <c r="A1577" s="5">
        <v>1575</v>
      </c>
      <c r="B1577" s="5" t="s">
        <v>21</v>
      </c>
      <c r="C1577" s="5" t="str">
        <f>"李豪南"</f>
        <v>李豪南</v>
      </c>
      <c r="D1577" s="5" t="str">
        <f>"460031199806175231"</f>
        <v>460031199806175231</v>
      </c>
      <c r="E1577" s="5" t="s">
        <v>15</v>
      </c>
      <c r="F1577" s="5" t="str">
        <f>"073105040639"</f>
        <v>073105040639</v>
      </c>
      <c r="G1577" s="7">
        <v>0</v>
      </c>
      <c r="H1577" s="7">
        <f t="shared" si="106"/>
        <v>0</v>
      </c>
      <c r="I1577" s="7">
        <v>0</v>
      </c>
      <c r="J1577" s="7">
        <f t="shared" si="107"/>
        <v>0</v>
      </c>
      <c r="K1577" s="10">
        <f t="shared" si="109"/>
        <v>0</v>
      </c>
      <c r="L1577" s="7">
        <f t="shared" si="108"/>
        <v>86</v>
      </c>
      <c r="M1577" s="13" t="s">
        <v>18</v>
      </c>
      <c r="N1577"/>
    </row>
    <row r="1578" spans="1:14" ht="24.75" customHeight="1">
      <c r="A1578" s="5">
        <v>1576</v>
      </c>
      <c r="B1578" s="5" t="s">
        <v>21</v>
      </c>
      <c r="C1578" s="5" t="str">
        <f>"陈翠尾"</f>
        <v>陈翠尾</v>
      </c>
      <c r="D1578" s="5" t="str">
        <f>"460031199909235225"</f>
        <v>460031199909235225</v>
      </c>
      <c r="E1578" s="5" t="s">
        <v>15</v>
      </c>
      <c r="F1578" s="5" t="str">
        <f>"073105040640"</f>
        <v>073105040640</v>
      </c>
      <c r="G1578" s="7">
        <v>0</v>
      </c>
      <c r="H1578" s="7">
        <f t="shared" si="106"/>
        <v>0</v>
      </c>
      <c r="I1578" s="7">
        <v>0</v>
      </c>
      <c r="J1578" s="7">
        <f t="shared" si="107"/>
        <v>0</v>
      </c>
      <c r="K1578" s="10">
        <f t="shared" si="109"/>
        <v>0</v>
      </c>
      <c r="L1578" s="7">
        <f t="shared" si="108"/>
        <v>86</v>
      </c>
      <c r="M1578" s="13" t="s">
        <v>18</v>
      </c>
      <c r="N1578"/>
    </row>
    <row r="1579" spans="1:14" ht="24.75" customHeight="1">
      <c r="A1579" s="5">
        <v>1577</v>
      </c>
      <c r="B1579" s="5" t="s">
        <v>21</v>
      </c>
      <c r="C1579" s="5" t="str">
        <f>"钟荣婧"</f>
        <v>钟荣婧</v>
      </c>
      <c r="D1579" s="5" t="str">
        <f>"469026199711135226"</f>
        <v>469026199711135226</v>
      </c>
      <c r="E1579" s="5" t="s">
        <v>15</v>
      </c>
      <c r="F1579" s="5" t="str">
        <f>"073105040703"</f>
        <v>073105040703</v>
      </c>
      <c r="G1579" s="7">
        <v>0</v>
      </c>
      <c r="H1579" s="7">
        <f t="shared" si="106"/>
        <v>0</v>
      </c>
      <c r="I1579" s="7">
        <v>0</v>
      </c>
      <c r="J1579" s="7">
        <f t="shared" si="107"/>
        <v>0</v>
      </c>
      <c r="K1579" s="10">
        <f t="shared" si="109"/>
        <v>0</v>
      </c>
      <c r="L1579" s="7">
        <f t="shared" si="108"/>
        <v>86</v>
      </c>
      <c r="M1579" s="13" t="s">
        <v>18</v>
      </c>
      <c r="N1579"/>
    </row>
    <row r="1580" spans="1:14" ht="24.75" customHeight="1">
      <c r="A1580" s="5">
        <v>1578</v>
      </c>
      <c r="B1580" s="5" t="s">
        <v>21</v>
      </c>
      <c r="C1580" s="5" t="str">
        <f>"关长印"</f>
        <v>关长印</v>
      </c>
      <c r="D1580" s="5" t="str">
        <f>"460031200009105236"</f>
        <v>460031200009105236</v>
      </c>
      <c r="E1580" s="5" t="s">
        <v>15</v>
      </c>
      <c r="F1580" s="5" t="str">
        <f>"073105040704"</f>
        <v>073105040704</v>
      </c>
      <c r="G1580" s="7">
        <v>0</v>
      </c>
      <c r="H1580" s="7">
        <f t="shared" si="106"/>
        <v>0</v>
      </c>
      <c r="I1580" s="7">
        <v>0</v>
      </c>
      <c r="J1580" s="7">
        <f t="shared" si="107"/>
        <v>0</v>
      </c>
      <c r="K1580" s="10">
        <f t="shared" si="109"/>
        <v>0</v>
      </c>
      <c r="L1580" s="7">
        <f t="shared" si="108"/>
        <v>86</v>
      </c>
      <c r="M1580" s="13" t="s">
        <v>18</v>
      </c>
      <c r="N1580"/>
    </row>
    <row r="1581" spans="1:14" ht="24.75" customHeight="1">
      <c r="A1581" s="5">
        <v>1579</v>
      </c>
      <c r="B1581" s="5" t="s">
        <v>21</v>
      </c>
      <c r="C1581" s="5" t="str">
        <f>"仇晓慧"</f>
        <v>仇晓慧</v>
      </c>
      <c r="D1581" s="5" t="str">
        <f>"460031199405111229"</f>
        <v>460031199405111229</v>
      </c>
      <c r="E1581" s="5" t="s">
        <v>15</v>
      </c>
      <c r="F1581" s="5" t="str">
        <f>"073105040705"</f>
        <v>073105040705</v>
      </c>
      <c r="G1581" s="7">
        <v>0</v>
      </c>
      <c r="H1581" s="7">
        <f t="shared" si="106"/>
        <v>0</v>
      </c>
      <c r="I1581" s="7">
        <v>0</v>
      </c>
      <c r="J1581" s="7">
        <f t="shared" si="107"/>
        <v>0</v>
      </c>
      <c r="K1581" s="10">
        <f t="shared" si="109"/>
        <v>0</v>
      </c>
      <c r="L1581" s="7">
        <f t="shared" si="108"/>
        <v>86</v>
      </c>
      <c r="M1581" s="13" t="s">
        <v>18</v>
      </c>
      <c r="N1581"/>
    </row>
    <row r="1582" spans="1:14" ht="24.75" customHeight="1">
      <c r="A1582" s="5">
        <v>1580</v>
      </c>
      <c r="B1582" s="5" t="s">
        <v>21</v>
      </c>
      <c r="C1582" s="5" t="str">
        <f>"符桂娴"</f>
        <v>符桂娴</v>
      </c>
      <c r="D1582" s="5" t="str">
        <f>"460031199709115245"</f>
        <v>460031199709115245</v>
      </c>
      <c r="E1582" s="5" t="s">
        <v>15</v>
      </c>
      <c r="F1582" s="5" t="str">
        <f>"073105040710"</f>
        <v>073105040710</v>
      </c>
      <c r="G1582" s="7">
        <v>0</v>
      </c>
      <c r="H1582" s="7">
        <f t="shared" si="106"/>
        <v>0</v>
      </c>
      <c r="I1582" s="7">
        <v>0</v>
      </c>
      <c r="J1582" s="7">
        <f t="shared" si="107"/>
        <v>0</v>
      </c>
      <c r="K1582" s="10">
        <f t="shared" si="109"/>
        <v>0</v>
      </c>
      <c r="L1582" s="7">
        <f t="shared" si="108"/>
        <v>86</v>
      </c>
      <c r="M1582" s="13" t="s">
        <v>18</v>
      </c>
      <c r="N1582"/>
    </row>
    <row r="1583" spans="1:14" ht="24.75" customHeight="1">
      <c r="A1583" s="5">
        <v>1581</v>
      </c>
      <c r="B1583" s="5" t="s">
        <v>21</v>
      </c>
      <c r="C1583" s="5" t="str">
        <f>"何文斌"</f>
        <v>何文斌</v>
      </c>
      <c r="D1583" s="5" t="str">
        <f>"460031199612166417"</f>
        <v>460031199612166417</v>
      </c>
      <c r="E1583" s="5" t="s">
        <v>15</v>
      </c>
      <c r="F1583" s="5" t="str">
        <f>"073105040713"</f>
        <v>073105040713</v>
      </c>
      <c r="G1583" s="7">
        <v>0</v>
      </c>
      <c r="H1583" s="7">
        <f t="shared" si="106"/>
        <v>0</v>
      </c>
      <c r="I1583" s="7">
        <v>0</v>
      </c>
      <c r="J1583" s="7">
        <f t="shared" si="107"/>
        <v>0</v>
      </c>
      <c r="K1583" s="10">
        <f t="shared" si="109"/>
        <v>0</v>
      </c>
      <c r="L1583" s="7">
        <f t="shared" si="108"/>
        <v>86</v>
      </c>
      <c r="M1583" s="13" t="s">
        <v>18</v>
      </c>
      <c r="N1583"/>
    </row>
    <row r="1584" spans="1:14" ht="24.75" customHeight="1">
      <c r="A1584" s="5">
        <v>1582</v>
      </c>
      <c r="B1584" s="14" t="s">
        <v>21</v>
      </c>
      <c r="C1584" s="14" t="str">
        <f>"孙敏"</f>
        <v>孙敏</v>
      </c>
      <c r="D1584" s="14" t="str">
        <f>"460031199909142424"</f>
        <v>460031199909142424</v>
      </c>
      <c r="E1584" s="14" t="s">
        <v>15</v>
      </c>
      <c r="F1584" s="14" t="str">
        <f>"073105040714"</f>
        <v>073105040714</v>
      </c>
      <c r="G1584" s="15">
        <v>0</v>
      </c>
      <c r="H1584" s="7">
        <f t="shared" si="106"/>
        <v>0</v>
      </c>
      <c r="I1584" s="15">
        <v>0</v>
      </c>
      <c r="J1584" s="7">
        <f t="shared" si="107"/>
        <v>0</v>
      </c>
      <c r="K1584" s="10">
        <f t="shared" si="109"/>
        <v>0</v>
      </c>
      <c r="L1584" s="7">
        <f t="shared" si="108"/>
        <v>86</v>
      </c>
      <c r="M1584" s="13" t="s">
        <v>18</v>
      </c>
      <c r="N1584"/>
    </row>
    <row r="1585" spans="1:14" ht="24.75" customHeight="1">
      <c r="A1585" s="5">
        <v>1583</v>
      </c>
      <c r="B1585" s="5" t="s">
        <v>21</v>
      </c>
      <c r="C1585" s="5" t="str">
        <f>"何江娴"</f>
        <v>何江娴</v>
      </c>
      <c r="D1585" s="5" t="str">
        <f>"460031199508105681"</f>
        <v>460031199508105681</v>
      </c>
      <c r="E1585" s="5" t="s">
        <v>15</v>
      </c>
      <c r="F1585" s="5" t="str">
        <f>"073105040719"</f>
        <v>073105040719</v>
      </c>
      <c r="G1585" s="7">
        <v>0</v>
      </c>
      <c r="H1585" s="7">
        <f t="shared" si="106"/>
        <v>0</v>
      </c>
      <c r="I1585" s="7">
        <v>0</v>
      </c>
      <c r="J1585" s="7">
        <f t="shared" si="107"/>
        <v>0</v>
      </c>
      <c r="K1585" s="10">
        <f t="shared" si="109"/>
        <v>0</v>
      </c>
      <c r="L1585" s="7">
        <f t="shared" si="108"/>
        <v>86</v>
      </c>
      <c r="M1585" s="13" t="s">
        <v>18</v>
      </c>
      <c r="N1585"/>
    </row>
    <row r="1586" spans="1:14" ht="24.75" customHeight="1">
      <c r="A1586" s="5">
        <v>1584</v>
      </c>
      <c r="B1586" s="5" t="s">
        <v>21</v>
      </c>
      <c r="C1586" s="5" t="str">
        <f>"郭承鸿"</f>
        <v>郭承鸿</v>
      </c>
      <c r="D1586" s="5" t="str">
        <f>"460031199211210018"</f>
        <v>460031199211210018</v>
      </c>
      <c r="E1586" s="5" t="s">
        <v>15</v>
      </c>
      <c r="F1586" s="5" t="str">
        <f>"073105040723"</f>
        <v>073105040723</v>
      </c>
      <c r="G1586" s="7">
        <v>0</v>
      </c>
      <c r="H1586" s="7">
        <f t="shared" si="106"/>
        <v>0</v>
      </c>
      <c r="I1586" s="7">
        <v>0</v>
      </c>
      <c r="J1586" s="7">
        <f t="shared" si="107"/>
        <v>0</v>
      </c>
      <c r="K1586" s="10">
        <f t="shared" si="109"/>
        <v>0</v>
      </c>
      <c r="L1586" s="7">
        <f t="shared" si="108"/>
        <v>86</v>
      </c>
      <c r="M1586" s="13" t="s">
        <v>18</v>
      </c>
      <c r="N1586"/>
    </row>
    <row r="1587" spans="1:14" ht="24.75" customHeight="1">
      <c r="A1587" s="5">
        <v>1585</v>
      </c>
      <c r="B1587" s="5" t="s">
        <v>21</v>
      </c>
      <c r="C1587" s="5" t="str">
        <f>"钟高觇"</f>
        <v>钟高觇</v>
      </c>
      <c r="D1587" s="5" t="str">
        <f>"460031199508015643"</f>
        <v>460031199508015643</v>
      </c>
      <c r="E1587" s="5" t="s">
        <v>15</v>
      </c>
      <c r="F1587" s="5" t="str">
        <f>"073105040724"</f>
        <v>073105040724</v>
      </c>
      <c r="G1587" s="7">
        <v>0</v>
      </c>
      <c r="H1587" s="7">
        <f t="shared" si="106"/>
        <v>0</v>
      </c>
      <c r="I1587" s="7">
        <v>0</v>
      </c>
      <c r="J1587" s="7">
        <f t="shared" si="107"/>
        <v>0</v>
      </c>
      <c r="K1587" s="10">
        <f t="shared" si="109"/>
        <v>0</v>
      </c>
      <c r="L1587" s="7">
        <f t="shared" si="108"/>
        <v>86</v>
      </c>
      <c r="M1587" s="13" t="s">
        <v>18</v>
      </c>
      <c r="N1587"/>
    </row>
    <row r="1588" spans="1:14" ht="24.75" customHeight="1">
      <c r="A1588" s="5">
        <v>1586</v>
      </c>
      <c r="B1588" s="5" t="s">
        <v>21</v>
      </c>
      <c r="C1588" s="5" t="str">
        <f>"钟其鸿"</f>
        <v>钟其鸿</v>
      </c>
      <c r="D1588" s="5" t="str">
        <f>"460031199811185610"</f>
        <v>460031199811185610</v>
      </c>
      <c r="E1588" s="5" t="s">
        <v>15</v>
      </c>
      <c r="F1588" s="5" t="str">
        <f>"073105040725"</f>
        <v>073105040725</v>
      </c>
      <c r="G1588" s="7">
        <v>0</v>
      </c>
      <c r="H1588" s="7">
        <f t="shared" si="106"/>
        <v>0</v>
      </c>
      <c r="I1588" s="7">
        <v>0</v>
      </c>
      <c r="J1588" s="7">
        <f t="shared" si="107"/>
        <v>0</v>
      </c>
      <c r="K1588" s="10">
        <f t="shared" si="109"/>
        <v>0</v>
      </c>
      <c r="L1588" s="7">
        <f t="shared" si="108"/>
        <v>86</v>
      </c>
      <c r="M1588" s="13" t="s">
        <v>18</v>
      </c>
      <c r="N1588"/>
    </row>
    <row r="1589" spans="1:14" ht="24.75" customHeight="1">
      <c r="A1589" s="5">
        <v>1587</v>
      </c>
      <c r="B1589" s="5" t="s">
        <v>21</v>
      </c>
      <c r="C1589" s="5" t="str">
        <f>"曾定雨"</f>
        <v>曾定雨</v>
      </c>
      <c r="D1589" s="5" t="str">
        <f>"460031199403104826"</f>
        <v>460031199403104826</v>
      </c>
      <c r="E1589" s="5" t="s">
        <v>15</v>
      </c>
      <c r="F1589" s="5" t="str">
        <f>"073105040727"</f>
        <v>073105040727</v>
      </c>
      <c r="G1589" s="7">
        <v>0</v>
      </c>
      <c r="H1589" s="7">
        <f t="shared" si="106"/>
        <v>0</v>
      </c>
      <c r="I1589" s="7">
        <v>0</v>
      </c>
      <c r="J1589" s="7">
        <f t="shared" si="107"/>
        <v>0</v>
      </c>
      <c r="K1589" s="10">
        <f t="shared" si="109"/>
        <v>0</v>
      </c>
      <c r="L1589" s="7">
        <f t="shared" si="108"/>
        <v>86</v>
      </c>
      <c r="M1589" s="13" t="s">
        <v>18</v>
      </c>
      <c r="N1589"/>
    </row>
    <row r="1590" spans="1:14" ht="24.75" customHeight="1">
      <c r="A1590" s="5">
        <v>1588</v>
      </c>
      <c r="B1590" s="5" t="s">
        <v>21</v>
      </c>
      <c r="C1590" s="5" t="str">
        <f>"符小军"</f>
        <v>符小军</v>
      </c>
      <c r="D1590" s="5" t="str">
        <f>"460031199609055214"</f>
        <v>460031199609055214</v>
      </c>
      <c r="E1590" s="5" t="s">
        <v>16</v>
      </c>
      <c r="F1590" s="5" t="str">
        <f>"073105040729"</f>
        <v>073105040729</v>
      </c>
      <c r="G1590" s="7">
        <v>0</v>
      </c>
      <c r="H1590" s="7">
        <f t="shared" si="106"/>
        <v>0</v>
      </c>
      <c r="I1590" s="7">
        <v>0</v>
      </c>
      <c r="J1590" s="7">
        <f t="shared" si="107"/>
        <v>0</v>
      </c>
      <c r="K1590" s="10">
        <f t="shared" si="109"/>
        <v>0</v>
      </c>
      <c r="L1590" s="7">
        <f t="shared" si="108"/>
        <v>86</v>
      </c>
      <c r="M1590" s="13" t="s">
        <v>18</v>
      </c>
      <c r="N1590"/>
    </row>
    <row r="1591" spans="1:14" ht="24.75" customHeight="1">
      <c r="A1591" s="5">
        <v>1589</v>
      </c>
      <c r="B1591" s="5" t="s">
        <v>21</v>
      </c>
      <c r="C1591" s="5" t="str">
        <f>"刘珊"</f>
        <v>刘珊</v>
      </c>
      <c r="D1591" s="5" t="str">
        <f>"460031199610073647"</f>
        <v>460031199610073647</v>
      </c>
      <c r="E1591" s="5" t="s">
        <v>15</v>
      </c>
      <c r="F1591" s="5" t="str">
        <f>"073105040730"</f>
        <v>073105040730</v>
      </c>
      <c r="G1591" s="7">
        <v>0</v>
      </c>
      <c r="H1591" s="7">
        <f t="shared" si="106"/>
        <v>0</v>
      </c>
      <c r="I1591" s="7">
        <v>0</v>
      </c>
      <c r="J1591" s="7">
        <f t="shared" si="107"/>
        <v>0</v>
      </c>
      <c r="K1591" s="10">
        <f t="shared" si="109"/>
        <v>0</v>
      </c>
      <c r="L1591" s="7">
        <f t="shared" si="108"/>
        <v>86</v>
      </c>
      <c r="M1591" s="13" t="s">
        <v>18</v>
      </c>
      <c r="N1591"/>
    </row>
    <row r="1592" spans="1:14" ht="24.75" customHeight="1">
      <c r="A1592" s="5">
        <v>1590</v>
      </c>
      <c r="B1592" s="5" t="s">
        <v>21</v>
      </c>
      <c r="C1592" s="5" t="str">
        <f>"陈柏欣"</f>
        <v>陈柏欣</v>
      </c>
      <c r="D1592" s="5" t="str">
        <f>"460031200007250026"</f>
        <v>460031200007250026</v>
      </c>
      <c r="E1592" s="5" t="s">
        <v>15</v>
      </c>
      <c r="F1592" s="5" t="str">
        <f>"073105040731"</f>
        <v>073105040731</v>
      </c>
      <c r="G1592" s="7">
        <v>0</v>
      </c>
      <c r="H1592" s="7">
        <f t="shared" si="106"/>
        <v>0</v>
      </c>
      <c r="I1592" s="7">
        <v>0</v>
      </c>
      <c r="J1592" s="7">
        <f t="shared" si="107"/>
        <v>0</v>
      </c>
      <c r="K1592" s="10">
        <f t="shared" si="109"/>
        <v>0</v>
      </c>
      <c r="L1592" s="7">
        <f t="shared" si="108"/>
        <v>86</v>
      </c>
      <c r="M1592" s="13" t="s">
        <v>18</v>
      </c>
      <c r="N1592"/>
    </row>
    <row r="1593" spans="1:14" ht="24.75" customHeight="1">
      <c r="A1593" s="5">
        <v>1591</v>
      </c>
      <c r="B1593" s="5" t="s">
        <v>21</v>
      </c>
      <c r="C1593" s="5" t="str">
        <f>"韦珍"</f>
        <v>韦珍</v>
      </c>
      <c r="D1593" s="5" t="str">
        <f>"460031199107184446"</f>
        <v>460031199107184446</v>
      </c>
      <c r="E1593" s="5" t="s">
        <v>15</v>
      </c>
      <c r="F1593" s="5" t="str">
        <f>"073105040732"</f>
        <v>073105040732</v>
      </c>
      <c r="G1593" s="7">
        <v>0</v>
      </c>
      <c r="H1593" s="7">
        <f t="shared" si="106"/>
        <v>0</v>
      </c>
      <c r="I1593" s="7">
        <v>0</v>
      </c>
      <c r="J1593" s="7">
        <f t="shared" si="107"/>
        <v>0</v>
      </c>
      <c r="K1593" s="10">
        <f t="shared" si="109"/>
        <v>0</v>
      </c>
      <c r="L1593" s="7">
        <f t="shared" si="108"/>
        <v>86</v>
      </c>
      <c r="M1593" s="13" t="s">
        <v>18</v>
      </c>
      <c r="N1593"/>
    </row>
    <row r="1594" spans="1:14" ht="24.75" customHeight="1">
      <c r="A1594" s="5">
        <v>1592</v>
      </c>
      <c r="B1594" s="5" t="s">
        <v>21</v>
      </c>
      <c r="C1594" s="5" t="str">
        <f>"邹琪"</f>
        <v>邹琪</v>
      </c>
      <c r="D1594" s="5" t="str">
        <f>"460031199806125621"</f>
        <v>460031199806125621</v>
      </c>
      <c r="E1594" s="5" t="s">
        <v>15</v>
      </c>
      <c r="F1594" s="5" t="str">
        <f>"073105040734"</f>
        <v>073105040734</v>
      </c>
      <c r="G1594" s="7">
        <v>0</v>
      </c>
      <c r="H1594" s="7">
        <f t="shared" si="106"/>
        <v>0</v>
      </c>
      <c r="I1594" s="7">
        <v>0</v>
      </c>
      <c r="J1594" s="7">
        <f t="shared" si="107"/>
        <v>0</v>
      </c>
      <c r="K1594" s="10">
        <f t="shared" si="109"/>
        <v>0</v>
      </c>
      <c r="L1594" s="7">
        <f t="shared" si="108"/>
        <v>86</v>
      </c>
      <c r="M1594" s="13" t="s">
        <v>18</v>
      </c>
      <c r="N1594"/>
    </row>
    <row r="1595" spans="1:14" ht="24.75" customHeight="1">
      <c r="A1595" s="5">
        <v>1593</v>
      </c>
      <c r="B1595" s="5" t="s">
        <v>21</v>
      </c>
      <c r="C1595" s="5" t="str">
        <f>"符德"</f>
        <v>符德</v>
      </c>
      <c r="D1595" s="5" t="str">
        <f>"460031199507030817"</f>
        <v>460031199507030817</v>
      </c>
      <c r="E1595" s="5" t="s">
        <v>15</v>
      </c>
      <c r="F1595" s="5" t="str">
        <f>"073105040739"</f>
        <v>073105040739</v>
      </c>
      <c r="G1595" s="7">
        <v>0</v>
      </c>
      <c r="H1595" s="7">
        <f t="shared" si="106"/>
        <v>0</v>
      </c>
      <c r="I1595" s="7">
        <v>0</v>
      </c>
      <c r="J1595" s="7">
        <f t="shared" si="107"/>
        <v>0</v>
      </c>
      <c r="K1595" s="10">
        <f t="shared" si="109"/>
        <v>0</v>
      </c>
      <c r="L1595" s="7">
        <f t="shared" si="108"/>
        <v>86</v>
      </c>
      <c r="M1595" s="13" t="s">
        <v>18</v>
      </c>
      <c r="N1595"/>
    </row>
    <row r="1596" spans="1:14" ht="24.75" customHeight="1">
      <c r="A1596" s="5">
        <v>1594</v>
      </c>
      <c r="B1596" s="5" t="s">
        <v>21</v>
      </c>
      <c r="C1596" s="5" t="str">
        <f>"林兰燕"</f>
        <v>林兰燕</v>
      </c>
      <c r="D1596" s="5" t="str">
        <f>"460031199504285224"</f>
        <v>460031199504285224</v>
      </c>
      <c r="E1596" s="5" t="s">
        <v>15</v>
      </c>
      <c r="F1596" s="5" t="str">
        <f>"073105040740"</f>
        <v>073105040740</v>
      </c>
      <c r="G1596" s="7">
        <v>0</v>
      </c>
      <c r="H1596" s="7">
        <f t="shared" si="106"/>
        <v>0</v>
      </c>
      <c r="I1596" s="7">
        <v>0</v>
      </c>
      <c r="J1596" s="7">
        <f t="shared" si="107"/>
        <v>0</v>
      </c>
      <c r="K1596" s="10">
        <f t="shared" si="109"/>
        <v>0</v>
      </c>
      <c r="L1596" s="7">
        <f t="shared" si="108"/>
        <v>86</v>
      </c>
      <c r="M1596" s="13" t="s">
        <v>18</v>
      </c>
      <c r="N1596"/>
    </row>
    <row r="1597" spans="1:14" ht="24.75" customHeight="1">
      <c r="A1597" s="5">
        <v>1595</v>
      </c>
      <c r="B1597" s="5" t="s">
        <v>21</v>
      </c>
      <c r="C1597" s="5" t="str">
        <f>"郭江霞"</f>
        <v>郭江霞</v>
      </c>
      <c r="D1597" s="5" t="str">
        <f>"460031199109057264"</f>
        <v>460031199109057264</v>
      </c>
      <c r="E1597" s="5" t="s">
        <v>15</v>
      </c>
      <c r="F1597" s="5" t="str">
        <f>"073105040801"</f>
        <v>073105040801</v>
      </c>
      <c r="G1597" s="7">
        <v>0</v>
      </c>
      <c r="H1597" s="7">
        <f t="shared" si="106"/>
        <v>0</v>
      </c>
      <c r="I1597" s="7">
        <v>0</v>
      </c>
      <c r="J1597" s="7">
        <f t="shared" si="107"/>
        <v>0</v>
      </c>
      <c r="K1597" s="10">
        <f t="shared" si="109"/>
        <v>0</v>
      </c>
      <c r="L1597" s="7">
        <f t="shared" si="108"/>
        <v>86</v>
      </c>
      <c r="M1597" s="13" t="s">
        <v>18</v>
      </c>
      <c r="N1597"/>
    </row>
    <row r="1598" spans="1:14" ht="24.75" customHeight="1">
      <c r="A1598" s="5">
        <v>1596</v>
      </c>
      <c r="B1598" s="5" t="s">
        <v>21</v>
      </c>
      <c r="C1598" s="5" t="str">
        <f>"郭汉芳"</f>
        <v>郭汉芳</v>
      </c>
      <c r="D1598" s="5" t="str">
        <f>"460031199403107250"</f>
        <v>460031199403107250</v>
      </c>
      <c r="E1598" s="5" t="s">
        <v>15</v>
      </c>
      <c r="F1598" s="5" t="str">
        <f>"073105040802"</f>
        <v>073105040802</v>
      </c>
      <c r="G1598" s="7">
        <v>0</v>
      </c>
      <c r="H1598" s="7">
        <f t="shared" si="106"/>
        <v>0</v>
      </c>
      <c r="I1598" s="7">
        <v>0</v>
      </c>
      <c r="J1598" s="7">
        <f t="shared" si="107"/>
        <v>0</v>
      </c>
      <c r="K1598" s="10">
        <f t="shared" si="109"/>
        <v>0</v>
      </c>
      <c r="L1598" s="7">
        <f t="shared" si="108"/>
        <v>86</v>
      </c>
      <c r="M1598" s="13" t="s">
        <v>18</v>
      </c>
      <c r="N1598"/>
    </row>
    <row r="1599" spans="1:14" ht="24.75" customHeight="1">
      <c r="A1599" s="5">
        <v>1597</v>
      </c>
      <c r="B1599" s="5" t="s">
        <v>21</v>
      </c>
      <c r="C1599" s="5" t="str">
        <f>"符爱雯"</f>
        <v>符爱雯</v>
      </c>
      <c r="D1599" s="5" t="str">
        <f>"460031199603125242"</f>
        <v>460031199603125242</v>
      </c>
      <c r="E1599" s="5" t="s">
        <v>15</v>
      </c>
      <c r="F1599" s="5" t="str">
        <f>"073105040804"</f>
        <v>073105040804</v>
      </c>
      <c r="G1599" s="7">
        <v>0</v>
      </c>
      <c r="H1599" s="7">
        <f t="shared" si="106"/>
        <v>0</v>
      </c>
      <c r="I1599" s="7">
        <v>0</v>
      </c>
      <c r="J1599" s="7">
        <f t="shared" si="107"/>
        <v>0</v>
      </c>
      <c r="K1599" s="10">
        <f t="shared" si="109"/>
        <v>0</v>
      </c>
      <c r="L1599" s="7">
        <f t="shared" si="108"/>
        <v>86</v>
      </c>
      <c r="M1599" s="13" t="s">
        <v>18</v>
      </c>
      <c r="N1599"/>
    </row>
    <row r="1600" spans="1:14" ht="24.75" customHeight="1">
      <c r="A1600" s="5">
        <v>1598</v>
      </c>
      <c r="B1600" s="5" t="s">
        <v>21</v>
      </c>
      <c r="C1600" s="5" t="str">
        <f>"吉诗雨"</f>
        <v>吉诗雨</v>
      </c>
      <c r="D1600" s="5" t="str">
        <f>"460031199209073624"</f>
        <v>460031199209073624</v>
      </c>
      <c r="E1600" s="5" t="s">
        <v>15</v>
      </c>
      <c r="F1600" s="5" t="str">
        <f>"073105040807"</f>
        <v>073105040807</v>
      </c>
      <c r="G1600" s="7">
        <v>0</v>
      </c>
      <c r="H1600" s="7">
        <f t="shared" si="106"/>
        <v>0</v>
      </c>
      <c r="I1600" s="7">
        <v>0</v>
      </c>
      <c r="J1600" s="7">
        <f t="shared" si="107"/>
        <v>0</v>
      </c>
      <c r="K1600" s="10">
        <f t="shared" si="109"/>
        <v>0</v>
      </c>
      <c r="L1600" s="7">
        <f t="shared" si="108"/>
        <v>86</v>
      </c>
      <c r="M1600" s="13" t="s">
        <v>18</v>
      </c>
      <c r="N1600"/>
    </row>
    <row r="1601" spans="1:14" ht="24.75" customHeight="1">
      <c r="A1601" s="5">
        <v>1599</v>
      </c>
      <c r="B1601" s="5" t="s">
        <v>21</v>
      </c>
      <c r="C1601" s="5" t="str">
        <f>"孙学晶"</f>
        <v>孙学晶</v>
      </c>
      <c r="D1601" s="5" t="str">
        <f>"460031199111086021"</f>
        <v>460031199111086021</v>
      </c>
      <c r="E1601" s="5" t="s">
        <v>15</v>
      </c>
      <c r="F1601" s="5" t="str">
        <f>"073105040809"</f>
        <v>073105040809</v>
      </c>
      <c r="G1601" s="7">
        <v>0</v>
      </c>
      <c r="H1601" s="7">
        <f t="shared" si="106"/>
        <v>0</v>
      </c>
      <c r="I1601" s="7">
        <v>0</v>
      </c>
      <c r="J1601" s="7">
        <f t="shared" si="107"/>
        <v>0</v>
      </c>
      <c r="K1601" s="10">
        <f t="shared" si="109"/>
        <v>0</v>
      </c>
      <c r="L1601" s="7">
        <f t="shared" si="108"/>
        <v>86</v>
      </c>
      <c r="M1601" s="13" t="s">
        <v>18</v>
      </c>
      <c r="N1601"/>
    </row>
    <row r="1602" spans="1:14" ht="24.75" customHeight="1">
      <c r="A1602" s="5">
        <v>1600</v>
      </c>
      <c r="B1602" s="5" t="s">
        <v>21</v>
      </c>
      <c r="C1602" s="5" t="str">
        <f>"罗江慧"</f>
        <v>罗江慧</v>
      </c>
      <c r="D1602" s="5" t="str">
        <f>"460031199911145229"</f>
        <v>460031199911145229</v>
      </c>
      <c r="E1602" s="5" t="s">
        <v>15</v>
      </c>
      <c r="F1602" s="5" t="str">
        <f>"073105040810"</f>
        <v>073105040810</v>
      </c>
      <c r="G1602" s="7">
        <v>0</v>
      </c>
      <c r="H1602" s="7">
        <f t="shared" si="106"/>
        <v>0</v>
      </c>
      <c r="I1602" s="7">
        <v>0</v>
      </c>
      <c r="J1602" s="7">
        <f t="shared" si="107"/>
        <v>0</v>
      </c>
      <c r="K1602" s="10">
        <f t="shared" si="109"/>
        <v>0</v>
      </c>
      <c r="L1602" s="7">
        <f t="shared" si="108"/>
        <v>86</v>
      </c>
      <c r="M1602" s="13" t="s">
        <v>18</v>
      </c>
      <c r="N1602"/>
    </row>
    <row r="1603" spans="1:14" ht="24.75" customHeight="1">
      <c r="A1603" s="5">
        <v>1601</v>
      </c>
      <c r="B1603" s="5" t="s">
        <v>21</v>
      </c>
      <c r="C1603" s="5" t="str">
        <f>"王赐"</f>
        <v>王赐</v>
      </c>
      <c r="D1603" s="5" t="str">
        <f>"460031199603075273"</f>
        <v>460031199603075273</v>
      </c>
      <c r="E1603" s="5" t="s">
        <v>15</v>
      </c>
      <c r="F1603" s="5" t="str">
        <f>"073105040813"</f>
        <v>073105040813</v>
      </c>
      <c r="G1603" s="7">
        <v>0</v>
      </c>
      <c r="H1603" s="7">
        <f aca="true" t="shared" si="110" ref="H1603:H1645">G1603*0.5</f>
        <v>0</v>
      </c>
      <c r="I1603" s="7">
        <v>0</v>
      </c>
      <c r="J1603" s="7">
        <f aca="true" t="shared" si="111" ref="J1603:J1645">I1603*0.5</f>
        <v>0</v>
      </c>
      <c r="K1603" s="10">
        <f t="shared" si="109"/>
        <v>0</v>
      </c>
      <c r="L1603" s="7">
        <f t="shared" si="108"/>
        <v>86</v>
      </c>
      <c r="M1603" s="13" t="s">
        <v>18</v>
      </c>
      <c r="N1603"/>
    </row>
    <row r="1604" spans="1:14" ht="24.75" customHeight="1">
      <c r="A1604" s="5">
        <v>1602</v>
      </c>
      <c r="B1604" s="5" t="s">
        <v>21</v>
      </c>
      <c r="C1604" s="5" t="str">
        <f>"吉舒岚"</f>
        <v>吉舒岚</v>
      </c>
      <c r="D1604" s="5" t="str">
        <f>"460031199708100025"</f>
        <v>460031199708100025</v>
      </c>
      <c r="E1604" s="5" t="s">
        <v>15</v>
      </c>
      <c r="F1604" s="5" t="str">
        <f>"073105040814"</f>
        <v>073105040814</v>
      </c>
      <c r="G1604" s="7">
        <v>0</v>
      </c>
      <c r="H1604" s="7">
        <f t="shared" si="110"/>
        <v>0</v>
      </c>
      <c r="I1604" s="7">
        <v>0</v>
      </c>
      <c r="J1604" s="7">
        <f t="shared" si="111"/>
        <v>0</v>
      </c>
      <c r="K1604" s="10">
        <f t="shared" si="109"/>
        <v>0</v>
      </c>
      <c r="L1604" s="7">
        <f t="shared" si="108"/>
        <v>86</v>
      </c>
      <c r="M1604" s="13" t="s">
        <v>18</v>
      </c>
      <c r="N1604"/>
    </row>
    <row r="1605" spans="1:14" ht="24.75" customHeight="1">
      <c r="A1605" s="5">
        <v>1603</v>
      </c>
      <c r="B1605" s="5" t="s">
        <v>21</v>
      </c>
      <c r="C1605" s="5" t="str">
        <f>"陈江玲"</f>
        <v>陈江玲</v>
      </c>
      <c r="D1605" s="5" t="str">
        <f>"460031199710236028"</f>
        <v>460031199710236028</v>
      </c>
      <c r="E1605" s="5" t="s">
        <v>15</v>
      </c>
      <c r="F1605" s="5" t="str">
        <f>"073105040816"</f>
        <v>073105040816</v>
      </c>
      <c r="G1605" s="7">
        <v>0</v>
      </c>
      <c r="H1605" s="7">
        <f t="shared" si="110"/>
        <v>0</v>
      </c>
      <c r="I1605" s="7">
        <v>0</v>
      </c>
      <c r="J1605" s="7">
        <f t="shared" si="111"/>
        <v>0</v>
      </c>
      <c r="K1605" s="10">
        <f t="shared" si="109"/>
        <v>0</v>
      </c>
      <c r="L1605" s="7">
        <f t="shared" si="108"/>
        <v>86</v>
      </c>
      <c r="M1605" s="13" t="s">
        <v>18</v>
      </c>
      <c r="N1605"/>
    </row>
    <row r="1606" spans="1:14" ht="24.75" customHeight="1">
      <c r="A1606" s="5">
        <v>1604</v>
      </c>
      <c r="B1606" s="5" t="s">
        <v>21</v>
      </c>
      <c r="C1606" s="5" t="str">
        <f>"郑小梅"</f>
        <v>郑小梅</v>
      </c>
      <c r="D1606" s="5" t="str">
        <f>"460031199812206428"</f>
        <v>460031199812206428</v>
      </c>
      <c r="E1606" s="5" t="s">
        <v>15</v>
      </c>
      <c r="F1606" s="5" t="str">
        <f>"073105040825"</f>
        <v>073105040825</v>
      </c>
      <c r="G1606" s="7">
        <v>0</v>
      </c>
      <c r="H1606" s="7">
        <f t="shared" si="110"/>
        <v>0</v>
      </c>
      <c r="I1606" s="7">
        <v>0</v>
      </c>
      <c r="J1606" s="7">
        <f t="shared" si="111"/>
        <v>0</v>
      </c>
      <c r="K1606" s="10">
        <f t="shared" si="109"/>
        <v>0</v>
      </c>
      <c r="L1606" s="7">
        <f t="shared" si="108"/>
        <v>86</v>
      </c>
      <c r="M1606" s="13" t="s">
        <v>18</v>
      </c>
      <c r="N1606"/>
    </row>
    <row r="1607" spans="1:14" ht="24.75" customHeight="1">
      <c r="A1607" s="5">
        <v>1605</v>
      </c>
      <c r="B1607" s="5" t="s">
        <v>21</v>
      </c>
      <c r="C1607" s="5" t="str">
        <f>"吴体海"</f>
        <v>吴体海</v>
      </c>
      <c r="D1607" s="5" t="str">
        <f>"460031199307156837"</f>
        <v>460031199307156837</v>
      </c>
      <c r="E1607" s="5" t="s">
        <v>15</v>
      </c>
      <c r="F1607" s="5" t="str">
        <f>"073105040827"</f>
        <v>073105040827</v>
      </c>
      <c r="G1607" s="7">
        <v>0</v>
      </c>
      <c r="H1607" s="7">
        <f t="shared" si="110"/>
        <v>0</v>
      </c>
      <c r="I1607" s="7">
        <v>0</v>
      </c>
      <c r="J1607" s="7">
        <f t="shared" si="111"/>
        <v>0</v>
      </c>
      <c r="K1607" s="10">
        <f t="shared" si="109"/>
        <v>0</v>
      </c>
      <c r="L1607" s="7">
        <f t="shared" si="108"/>
        <v>86</v>
      </c>
      <c r="M1607" s="13" t="s">
        <v>18</v>
      </c>
      <c r="N1607"/>
    </row>
    <row r="1608" spans="1:14" ht="24.75" customHeight="1">
      <c r="A1608" s="5">
        <v>1606</v>
      </c>
      <c r="B1608" s="5" t="s">
        <v>21</v>
      </c>
      <c r="C1608" s="5" t="str">
        <f>"彭丽雅"</f>
        <v>彭丽雅</v>
      </c>
      <c r="D1608" s="5" t="str">
        <f>"460031199608161226"</f>
        <v>460031199608161226</v>
      </c>
      <c r="E1608" s="5" t="s">
        <v>15</v>
      </c>
      <c r="F1608" s="5" t="str">
        <f>"073105040829"</f>
        <v>073105040829</v>
      </c>
      <c r="G1608" s="7">
        <v>0</v>
      </c>
      <c r="H1608" s="7">
        <f t="shared" si="110"/>
        <v>0</v>
      </c>
      <c r="I1608" s="7">
        <v>0</v>
      </c>
      <c r="J1608" s="7">
        <f t="shared" si="111"/>
        <v>0</v>
      </c>
      <c r="K1608" s="10">
        <f t="shared" si="109"/>
        <v>0</v>
      </c>
      <c r="L1608" s="7">
        <f aca="true" t="shared" si="112" ref="L1608:L1635">RANK(K1608,$K$1480:$K$1635,0)</f>
        <v>86</v>
      </c>
      <c r="M1608" s="13" t="s">
        <v>18</v>
      </c>
      <c r="N1608"/>
    </row>
    <row r="1609" spans="1:14" ht="24.75" customHeight="1">
      <c r="A1609" s="5">
        <v>1607</v>
      </c>
      <c r="B1609" s="5" t="s">
        <v>21</v>
      </c>
      <c r="C1609" s="5" t="str">
        <f>"郭长露"</f>
        <v>郭长露</v>
      </c>
      <c r="D1609" s="5" t="str">
        <f>"460031199601155624"</f>
        <v>460031199601155624</v>
      </c>
      <c r="E1609" s="5" t="s">
        <v>15</v>
      </c>
      <c r="F1609" s="5" t="str">
        <f>"073105040830"</f>
        <v>073105040830</v>
      </c>
      <c r="G1609" s="7">
        <v>0</v>
      </c>
      <c r="H1609" s="7">
        <f t="shared" si="110"/>
        <v>0</v>
      </c>
      <c r="I1609" s="7">
        <v>0</v>
      </c>
      <c r="J1609" s="7">
        <f t="shared" si="111"/>
        <v>0</v>
      </c>
      <c r="K1609" s="10">
        <f t="shared" si="109"/>
        <v>0</v>
      </c>
      <c r="L1609" s="7">
        <f t="shared" si="112"/>
        <v>86</v>
      </c>
      <c r="M1609" s="13" t="s">
        <v>18</v>
      </c>
      <c r="N1609"/>
    </row>
    <row r="1610" spans="1:14" ht="24.75" customHeight="1">
      <c r="A1610" s="5">
        <v>1608</v>
      </c>
      <c r="B1610" s="5" t="s">
        <v>21</v>
      </c>
      <c r="C1610" s="5" t="str">
        <f>"文帅"</f>
        <v>文帅</v>
      </c>
      <c r="D1610" s="5" t="str">
        <f>"460031199208115618"</f>
        <v>460031199208115618</v>
      </c>
      <c r="E1610" s="5" t="s">
        <v>15</v>
      </c>
      <c r="F1610" s="5" t="str">
        <f>"073105040834"</f>
        <v>073105040834</v>
      </c>
      <c r="G1610" s="7">
        <v>0</v>
      </c>
      <c r="H1610" s="7">
        <f t="shared" si="110"/>
        <v>0</v>
      </c>
      <c r="I1610" s="7">
        <v>0</v>
      </c>
      <c r="J1610" s="7">
        <f t="shared" si="111"/>
        <v>0</v>
      </c>
      <c r="K1610" s="10">
        <f t="shared" si="109"/>
        <v>0</v>
      </c>
      <c r="L1610" s="7">
        <f t="shared" si="112"/>
        <v>86</v>
      </c>
      <c r="M1610" s="13" t="s">
        <v>18</v>
      </c>
      <c r="N1610"/>
    </row>
    <row r="1611" spans="1:14" ht="24.75" customHeight="1">
      <c r="A1611" s="5">
        <v>1609</v>
      </c>
      <c r="B1611" s="5" t="s">
        <v>21</v>
      </c>
      <c r="C1611" s="5" t="str">
        <f>"何日美"</f>
        <v>何日美</v>
      </c>
      <c r="D1611" s="5" t="str">
        <f>"460031199701026846"</f>
        <v>460031199701026846</v>
      </c>
      <c r="E1611" s="5" t="s">
        <v>15</v>
      </c>
      <c r="F1611" s="5" t="str">
        <f>"073105040837"</f>
        <v>073105040837</v>
      </c>
      <c r="G1611" s="7">
        <v>0</v>
      </c>
      <c r="H1611" s="7">
        <f t="shared" si="110"/>
        <v>0</v>
      </c>
      <c r="I1611" s="7">
        <v>0</v>
      </c>
      <c r="J1611" s="7">
        <f t="shared" si="111"/>
        <v>0</v>
      </c>
      <c r="K1611" s="10">
        <f t="shared" si="109"/>
        <v>0</v>
      </c>
      <c r="L1611" s="7">
        <f t="shared" si="112"/>
        <v>86</v>
      </c>
      <c r="M1611" s="13" t="s">
        <v>18</v>
      </c>
      <c r="N1611"/>
    </row>
    <row r="1612" spans="1:14" ht="24.75" customHeight="1">
      <c r="A1612" s="5">
        <v>1610</v>
      </c>
      <c r="B1612" s="5" t="s">
        <v>21</v>
      </c>
      <c r="C1612" s="5" t="str">
        <f>"王蕾蕾"</f>
        <v>王蕾蕾</v>
      </c>
      <c r="D1612" s="5" t="str">
        <f>"469026199609155626"</f>
        <v>469026199609155626</v>
      </c>
      <c r="E1612" s="5" t="s">
        <v>15</v>
      </c>
      <c r="F1612" s="5" t="str">
        <f>"073105040839"</f>
        <v>073105040839</v>
      </c>
      <c r="G1612" s="7">
        <v>0</v>
      </c>
      <c r="H1612" s="7">
        <f t="shared" si="110"/>
        <v>0</v>
      </c>
      <c r="I1612" s="7">
        <v>0</v>
      </c>
      <c r="J1612" s="7">
        <f t="shared" si="111"/>
        <v>0</v>
      </c>
      <c r="K1612" s="10">
        <f aca="true" t="shared" si="113" ref="K1612:K1645">H1612+J1612</f>
        <v>0</v>
      </c>
      <c r="L1612" s="7">
        <f t="shared" si="112"/>
        <v>86</v>
      </c>
      <c r="M1612" s="13" t="s">
        <v>18</v>
      </c>
      <c r="N1612"/>
    </row>
    <row r="1613" spans="1:14" ht="24.75" customHeight="1">
      <c r="A1613" s="5">
        <v>1611</v>
      </c>
      <c r="B1613" s="5" t="s">
        <v>21</v>
      </c>
      <c r="C1613" s="5" t="str">
        <f>"孙学丽"</f>
        <v>孙学丽</v>
      </c>
      <c r="D1613" s="5" t="str">
        <f>"460031199407045667"</f>
        <v>460031199407045667</v>
      </c>
      <c r="E1613" s="5" t="s">
        <v>15</v>
      </c>
      <c r="F1613" s="5" t="str">
        <f>"073105040902"</f>
        <v>073105040902</v>
      </c>
      <c r="G1613" s="7">
        <v>0</v>
      </c>
      <c r="H1613" s="7">
        <f t="shared" si="110"/>
        <v>0</v>
      </c>
      <c r="I1613" s="7">
        <v>0</v>
      </c>
      <c r="J1613" s="7">
        <f t="shared" si="111"/>
        <v>0</v>
      </c>
      <c r="K1613" s="10">
        <f t="shared" si="113"/>
        <v>0</v>
      </c>
      <c r="L1613" s="7">
        <f t="shared" si="112"/>
        <v>86</v>
      </c>
      <c r="M1613" s="13" t="s">
        <v>18</v>
      </c>
      <c r="N1613"/>
    </row>
    <row r="1614" spans="1:14" ht="24.75" customHeight="1">
      <c r="A1614" s="5">
        <v>1612</v>
      </c>
      <c r="B1614" s="5" t="s">
        <v>21</v>
      </c>
      <c r="C1614" s="5" t="str">
        <f>"卢石玲"</f>
        <v>卢石玲</v>
      </c>
      <c r="D1614" s="5" t="str">
        <f>"469026199912135222"</f>
        <v>469026199912135222</v>
      </c>
      <c r="E1614" s="5" t="s">
        <v>15</v>
      </c>
      <c r="F1614" s="5" t="str">
        <f>"073105040905"</f>
        <v>073105040905</v>
      </c>
      <c r="G1614" s="7">
        <v>0</v>
      </c>
      <c r="H1614" s="7">
        <f t="shared" si="110"/>
        <v>0</v>
      </c>
      <c r="I1614" s="7">
        <v>0</v>
      </c>
      <c r="J1614" s="7">
        <f t="shared" si="111"/>
        <v>0</v>
      </c>
      <c r="K1614" s="10">
        <f t="shared" si="113"/>
        <v>0</v>
      </c>
      <c r="L1614" s="7">
        <f t="shared" si="112"/>
        <v>86</v>
      </c>
      <c r="M1614" s="13" t="s">
        <v>18</v>
      </c>
      <c r="N1614"/>
    </row>
    <row r="1615" spans="1:14" ht="24.75" customHeight="1">
      <c r="A1615" s="5">
        <v>1613</v>
      </c>
      <c r="B1615" s="5" t="s">
        <v>21</v>
      </c>
      <c r="C1615" s="5" t="str">
        <f>"周康华"</f>
        <v>周康华</v>
      </c>
      <c r="D1615" s="5" t="str">
        <f>"460031199804084854"</f>
        <v>460031199804084854</v>
      </c>
      <c r="E1615" s="5" t="s">
        <v>15</v>
      </c>
      <c r="F1615" s="5" t="str">
        <f>"073105040907"</f>
        <v>073105040907</v>
      </c>
      <c r="G1615" s="7">
        <v>0</v>
      </c>
      <c r="H1615" s="7">
        <f t="shared" si="110"/>
        <v>0</v>
      </c>
      <c r="I1615" s="7">
        <v>0</v>
      </c>
      <c r="J1615" s="7">
        <f t="shared" si="111"/>
        <v>0</v>
      </c>
      <c r="K1615" s="10">
        <f t="shared" si="113"/>
        <v>0</v>
      </c>
      <c r="L1615" s="7">
        <f t="shared" si="112"/>
        <v>86</v>
      </c>
      <c r="M1615" s="13" t="s">
        <v>18</v>
      </c>
      <c r="N1615"/>
    </row>
    <row r="1616" spans="1:14" ht="24.75" customHeight="1">
      <c r="A1616" s="5">
        <v>1614</v>
      </c>
      <c r="B1616" s="5" t="s">
        <v>21</v>
      </c>
      <c r="C1616" s="5" t="str">
        <f>"钟国玲"</f>
        <v>钟国玲</v>
      </c>
      <c r="D1616" s="5" t="str">
        <f>"460031199711154825"</f>
        <v>460031199711154825</v>
      </c>
      <c r="E1616" s="5" t="s">
        <v>15</v>
      </c>
      <c r="F1616" s="5" t="str">
        <f>"073105040909"</f>
        <v>073105040909</v>
      </c>
      <c r="G1616" s="7">
        <v>0</v>
      </c>
      <c r="H1616" s="7">
        <f t="shared" si="110"/>
        <v>0</v>
      </c>
      <c r="I1616" s="7">
        <v>0</v>
      </c>
      <c r="J1616" s="7">
        <f t="shared" si="111"/>
        <v>0</v>
      </c>
      <c r="K1616" s="10">
        <f t="shared" si="113"/>
        <v>0</v>
      </c>
      <c r="L1616" s="7">
        <f t="shared" si="112"/>
        <v>86</v>
      </c>
      <c r="M1616" s="13" t="s">
        <v>18</v>
      </c>
      <c r="N1616"/>
    </row>
    <row r="1617" spans="1:14" ht="24.75" customHeight="1">
      <c r="A1617" s="5">
        <v>1615</v>
      </c>
      <c r="B1617" s="5" t="s">
        <v>21</v>
      </c>
      <c r="C1617" s="5" t="str">
        <f>"符礼佳"</f>
        <v>符礼佳</v>
      </c>
      <c r="D1617" s="5" t="str">
        <f>"460031199504305221"</f>
        <v>460031199504305221</v>
      </c>
      <c r="E1617" s="5" t="s">
        <v>15</v>
      </c>
      <c r="F1617" s="5" t="str">
        <f>"073105040911"</f>
        <v>073105040911</v>
      </c>
      <c r="G1617" s="7">
        <v>0</v>
      </c>
      <c r="H1617" s="7">
        <f t="shared" si="110"/>
        <v>0</v>
      </c>
      <c r="I1617" s="7">
        <v>0</v>
      </c>
      <c r="J1617" s="7">
        <f t="shared" si="111"/>
        <v>0</v>
      </c>
      <c r="K1617" s="10">
        <f t="shared" si="113"/>
        <v>0</v>
      </c>
      <c r="L1617" s="7">
        <f t="shared" si="112"/>
        <v>86</v>
      </c>
      <c r="M1617" s="13" t="s">
        <v>18</v>
      </c>
      <c r="N1617"/>
    </row>
    <row r="1618" spans="1:14" ht="24.75" customHeight="1">
      <c r="A1618" s="5">
        <v>1616</v>
      </c>
      <c r="B1618" s="5" t="s">
        <v>21</v>
      </c>
      <c r="C1618" s="5" t="str">
        <f>"颜静"</f>
        <v>颜静</v>
      </c>
      <c r="D1618" s="5" t="str">
        <f>"460031199901230024"</f>
        <v>460031199901230024</v>
      </c>
      <c r="E1618" s="5" t="s">
        <v>15</v>
      </c>
      <c r="F1618" s="5" t="str">
        <f>"073105040912"</f>
        <v>073105040912</v>
      </c>
      <c r="G1618" s="7">
        <v>0</v>
      </c>
      <c r="H1618" s="7">
        <f t="shared" si="110"/>
        <v>0</v>
      </c>
      <c r="I1618" s="7">
        <v>0</v>
      </c>
      <c r="J1618" s="7">
        <f t="shared" si="111"/>
        <v>0</v>
      </c>
      <c r="K1618" s="10">
        <f t="shared" si="113"/>
        <v>0</v>
      </c>
      <c r="L1618" s="7">
        <f t="shared" si="112"/>
        <v>86</v>
      </c>
      <c r="M1618" s="13" t="s">
        <v>18</v>
      </c>
      <c r="N1618"/>
    </row>
    <row r="1619" spans="1:14" ht="24.75" customHeight="1">
      <c r="A1619" s="5">
        <v>1617</v>
      </c>
      <c r="B1619" s="5" t="s">
        <v>21</v>
      </c>
      <c r="C1619" s="5" t="str">
        <f>"李齐"</f>
        <v>李齐</v>
      </c>
      <c r="D1619" s="5" t="str">
        <f>"460031199204125667"</f>
        <v>460031199204125667</v>
      </c>
      <c r="E1619" s="5" t="s">
        <v>15</v>
      </c>
      <c r="F1619" s="5" t="str">
        <f>"073105040913"</f>
        <v>073105040913</v>
      </c>
      <c r="G1619" s="7">
        <v>0</v>
      </c>
      <c r="H1619" s="7">
        <f t="shared" si="110"/>
        <v>0</v>
      </c>
      <c r="I1619" s="7">
        <v>0</v>
      </c>
      <c r="J1619" s="7">
        <f t="shared" si="111"/>
        <v>0</v>
      </c>
      <c r="K1619" s="10">
        <f t="shared" si="113"/>
        <v>0</v>
      </c>
      <c r="L1619" s="7">
        <f t="shared" si="112"/>
        <v>86</v>
      </c>
      <c r="M1619" s="13" t="s">
        <v>18</v>
      </c>
      <c r="N1619"/>
    </row>
    <row r="1620" spans="1:14" ht="24.75" customHeight="1">
      <c r="A1620" s="5">
        <v>1618</v>
      </c>
      <c r="B1620" s="5" t="s">
        <v>21</v>
      </c>
      <c r="C1620" s="5" t="str">
        <f>"颜跃曼"</f>
        <v>颜跃曼</v>
      </c>
      <c r="D1620" s="5" t="str">
        <f>"460031199207045240"</f>
        <v>460031199207045240</v>
      </c>
      <c r="E1620" s="5" t="s">
        <v>15</v>
      </c>
      <c r="F1620" s="5" t="str">
        <f>"073105040914"</f>
        <v>073105040914</v>
      </c>
      <c r="G1620" s="7">
        <v>0</v>
      </c>
      <c r="H1620" s="7">
        <f t="shared" si="110"/>
        <v>0</v>
      </c>
      <c r="I1620" s="7">
        <v>0</v>
      </c>
      <c r="J1620" s="7">
        <f t="shared" si="111"/>
        <v>0</v>
      </c>
      <c r="K1620" s="10">
        <f t="shared" si="113"/>
        <v>0</v>
      </c>
      <c r="L1620" s="7">
        <f t="shared" si="112"/>
        <v>86</v>
      </c>
      <c r="M1620" s="13" t="s">
        <v>18</v>
      </c>
      <c r="N1620"/>
    </row>
    <row r="1621" spans="1:14" ht="24.75" customHeight="1">
      <c r="A1621" s="5">
        <v>1619</v>
      </c>
      <c r="B1621" s="5" t="s">
        <v>21</v>
      </c>
      <c r="C1621" s="5" t="str">
        <f>"吴荣义"</f>
        <v>吴荣义</v>
      </c>
      <c r="D1621" s="5" t="str">
        <f>"460031199405075221"</f>
        <v>460031199405075221</v>
      </c>
      <c r="E1621" s="5" t="s">
        <v>15</v>
      </c>
      <c r="F1621" s="5" t="str">
        <f>"073105040916"</f>
        <v>073105040916</v>
      </c>
      <c r="G1621" s="7">
        <v>0</v>
      </c>
      <c r="H1621" s="7">
        <f t="shared" si="110"/>
        <v>0</v>
      </c>
      <c r="I1621" s="7">
        <v>0</v>
      </c>
      <c r="J1621" s="7">
        <f t="shared" si="111"/>
        <v>0</v>
      </c>
      <c r="K1621" s="10">
        <f t="shared" si="113"/>
        <v>0</v>
      </c>
      <c r="L1621" s="7">
        <f t="shared" si="112"/>
        <v>86</v>
      </c>
      <c r="M1621" s="13" t="s">
        <v>18</v>
      </c>
      <c r="N1621"/>
    </row>
    <row r="1622" spans="1:14" ht="24.75" customHeight="1">
      <c r="A1622" s="5">
        <v>1620</v>
      </c>
      <c r="B1622" s="5" t="s">
        <v>21</v>
      </c>
      <c r="C1622" s="5" t="str">
        <f>"杨晓雯"</f>
        <v>杨晓雯</v>
      </c>
      <c r="D1622" s="5" t="str">
        <f>"460031199309250448"</f>
        <v>460031199309250448</v>
      </c>
      <c r="E1622" s="5" t="s">
        <v>15</v>
      </c>
      <c r="F1622" s="5" t="str">
        <f>"073105040917"</f>
        <v>073105040917</v>
      </c>
      <c r="G1622" s="7">
        <v>0</v>
      </c>
      <c r="H1622" s="7">
        <f t="shared" si="110"/>
        <v>0</v>
      </c>
      <c r="I1622" s="7">
        <v>0</v>
      </c>
      <c r="J1622" s="7">
        <f t="shared" si="111"/>
        <v>0</v>
      </c>
      <c r="K1622" s="10">
        <f t="shared" si="113"/>
        <v>0</v>
      </c>
      <c r="L1622" s="7">
        <f t="shared" si="112"/>
        <v>86</v>
      </c>
      <c r="M1622" s="13" t="s">
        <v>18</v>
      </c>
      <c r="N1622"/>
    </row>
    <row r="1623" spans="1:14" ht="24.75" customHeight="1">
      <c r="A1623" s="5">
        <v>1621</v>
      </c>
      <c r="B1623" s="5" t="s">
        <v>21</v>
      </c>
      <c r="C1623" s="5" t="str">
        <f>"陈章浩"</f>
        <v>陈章浩</v>
      </c>
      <c r="D1623" s="5" t="str">
        <f>"460031199807184818"</f>
        <v>460031199807184818</v>
      </c>
      <c r="E1623" s="5" t="s">
        <v>15</v>
      </c>
      <c r="F1623" s="5" t="str">
        <f>"073105040918"</f>
        <v>073105040918</v>
      </c>
      <c r="G1623" s="7">
        <v>0</v>
      </c>
      <c r="H1623" s="7">
        <f t="shared" si="110"/>
        <v>0</v>
      </c>
      <c r="I1623" s="7">
        <v>0</v>
      </c>
      <c r="J1623" s="7">
        <f t="shared" si="111"/>
        <v>0</v>
      </c>
      <c r="K1623" s="10">
        <f t="shared" si="113"/>
        <v>0</v>
      </c>
      <c r="L1623" s="7">
        <f t="shared" si="112"/>
        <v>86</v>
      </c>
      <c r="M1623" s="13" t="s">
        <v>18</v>
      </c>
      <c r="N1623"/>
    </row>
    <row r="1624" spans="1:14" ht="24.75" customHeight="1">
      <c r="A1624" s="5">
        <v>1622</v>
      </c>
      <c r="B1624" s="5" t="s">
        <v>21</v>
      </c>
      <c r="C1624" s="5" t="str">
        <f>"符金玲"</f>
        <v>符金玲</v>
      </c>
      <c r="D1624" s="5" t="str">
        <f>"469026199511205226"</f>
        <v>469026199511205226</v>
      </c>
      <c r="E1624" s="5" t="s">
        <v>15</v>
      </c>
      <c r="F1624" s="5" t="str">
        <f>"073105040919"</f>
        <v>073105040919</v>
      </c>
      <c r="G1624" s="7">
        <v>0</v>
      </c>
      <c r="H1624" s="7">
        <f t="shared" si="110"/>
        <v>0</v>
      </c>
      <c r="I1624" s="7">
        <v>0</v>
      </c>
      <c r="J1624" s="7">
        <f t="shared" si="111"/>
        <v>0</v>
      </c>
      <c r="K1624" s="10">
        <f t="shared" si="113"/>
        <v>0</v>
      </c>
      <c r="L1624" s="7">
        <f t="shared" si="112"/>
        <v>86</v>
      </c>
      <c r="M1624" s="13" t="s">
        <v>18</v>
      </c>
      <c r="N1624"/>
    </row>
    <row r="1625" spans="1:14" ht="24.75" customHeight="1">
      <c r="A1625" s="5">
        <v>1623</v>
      </c>
      <c r="B1625" s="5" t="s">
        <v>21</v>
      </c>
      <c r="C1625" s="5" t="str">
        <f>"符敏义"</f>
        <v>符敏义</v>
      </c>
      <c r="D1625" s="5" t="str">
        <f>"469026199611095212"</f>
        <v>469026199611095212</v>
      </c>
      <c r="E1625" s="5" t="s">
        <v>15</v>
      </c>
      <c r="F1625" s="5" t="str">
        <f>"073105040920"</f>
        <v>073105040920</v>
      </c>
      <c r="G1625" s="7">
        <v>0</v>
      </c>
      <c r="H1625" s="7">
        <f t="shared" si="110"/>
        <v>0</v>
      </c>
      <c r="I1625" s="7">
        <v>0</v>
      </c>
      <c r="J1625" s="7">
        <f t="shared" si="111"/>
        <v>0</v>
      </c>
      <c r="K1625" s="10">
        <f t="shared" si="113"/>
        <v>0</v>
      </c>
      <c r="L1625" s="7">
        <f t="shared" si="112"/>
        <v>86</v>
      </c>
      <c r="M1625" s="13" t="s">
        <v>18</v>
      </c>
      <c r="N1625"/>
    </row>
    <row r="1626" spans="1:14" ht="24.75" customHeight="1">
      <c r="A1626" s="5">
        <v>1624</v>
      </c>
      <c r="B1626" s="5" t="s">
        <v>21</v>
      </c>
      <c r="C1626" s="5" t="str">
        <f>"符文强"</f>
        <v>符文强</v>
      </c>
      <c r="D1626" s="5" t="str">
        <f>"460031199210230439"</f>
        <v>460031199210230439</v>
      </c>
      <c r="E1626" s="5" t="s">
        <v>15</v>
      </c>
      <c r="F1626" s="5" t="str">
        <f>"073105040923"</f>
        <v>073105040923</v>
      </c>
      <c r="G1626" s="7">
        <v>0</v>
      </c>
      <c r="H1626" s="7">
        <f t="shared" si="110"/>
        <v>0</v>
      </c>
      <c r="I1626" s="7">
        <v>0</v>
      </c>
      <c r="J1626" s="7">
        <f t="shared" si="111"/>
        <v>0</v>
      </c>
      <c r="K1626" s="10">
        <f t="shared" si="113"/>
        <v>0</v>
      </c>
      <c r="L1626" s="7">
        <f t="shared" si="112"/>
        <v>86</v>
      </c>
      <c r="M1626" s="13" t="s">
        <v>18</v>
      </c>
      <c r="N1626"/>
    </row>
    <row r="1627" spans="1:14" ht="24.75" customHeight="1">
      <c r="A1627" s="5">
        <v>1625</v>
      </c>
      <c r="B1627" s="5" t="s">
        <v>21</v>
      </c>
      <c r="C1627" s="5" t="str">
        <f>"郭宏霞"</f>
        <v>郭宏霞</v>
      </c>
      <c r="D1627" s="5" t="str">
        <f>"460031199402035646"</f>
        <v>460031199402035646</v>
      </c>
      <c r="E1627" s="5" t="s">
        <v>15</v>
      </c>
      <c r="F1627" s="5" t="str">
        <f>"073105040924"</f>
        <v>073105040924</v>
      </c>
      <c r="G1627" s="7">
        <v>0</v>
      </c>
      <c r="H1627" s="7">
        <f t="shared" si="110"/>
        <v>0</v>
      </c>
      <c r="I1627" s="7">
        <v>0</v>
      </c>
      <c r="J1627" s="7">
        <f t="shared" si="111"/>
        <v>0</v>
      </c>
      <c r="K1627" s="10">
        <f t="shared" si="113"/>
        <v>0</v>
      </c>
      <c r="L1627" s="7">
        <f t="shared" si="112"/>
        <v>86</v>
      </c>
      <c r="M1627" s="13" t="s">
        <v>18</v>
      </c>
      <c r="N1627"/>
    </row>
    <row r="1628" spans="1:14" ht="24.75" customHeight="1">
      <c r="A1628" s="5">
        <v>1626</v>
      </c>
      <c r="B1628" s="5" t="s">
        <v>21</v>
      </c>
      <c r="C1628" s="5" t="str">
        <f>"黄苏雅"</f>
        <v>黄苏雅</v>
      </c>
      <c r="D1628" s="5" t="str">
        <f>"460031199309062025"</f>
        <v>460031199309062025</v>
      </c>
      <c r="E1628" s="5" t="s">
        <v>15</v>
      </c>
      <c r="F1628" s="5" t="str">
        <f>"073105040925"</f>
        <v>073105040925</v>
      </c>
      <c r="G1628" s="7">
        <v>0</v>
      </c>
      <c r="H1628" s="7">
        <f t="shared" si="110"/>
        <v>0</v>
      </c>
      <c r="I1628" s="7">
        <v>0</v>
      </c>
      <c r="J1628" s="7">
        <f t="shared" si="111"/>
        <v>0</v>
      </c>
      <c r="K1628" s="10">
        <f t="shared" si="113"/>
        <v>0</v>
      </c>
      <c r="L1628" s="7">
        <f t="shared" si="112"/>
        <v>86</v>
      </c>
      <c r="M1628" s="13" t="s">
        <v>18</v>
      </c>
      <c r="N1628"/>
    </row>
    <row r="1629" spans="1:14" ht="24.75" customHeight="1">
      <c r="A1629" s="5">
        <v>1627</v>
      </c>
      <c r="B1629" s="5" t="s">
        <v>21</v>
      </c>
      <c r="C1629" s="5" t="str">
        <f>"吴琼月"</f>
        <v>吴琼月</v>
      </c>
      <c r="D1629" s="5" t="str">
        <f>"460031199608256823"</f>
        <v>460031199608256823</v>
      </c>
      <c r="E1629" s="5" t="s">
        <v>15</v>
      </c>
      <c r="F1629" s="5" t="str">
        <f>"073105040926"</f>
        <v>073105040926</v>
      </c>
      <c r="G1629" s="7">
        <v>0</v>
      </c>
      <c r="H1629" s="7">
        <f t="shared" si="110"/>
        <v>0</v>
      </c>
      <c r="I1629" s="7">
        <v>0</v>
      </c>
      <c r="J1629" s="7">
        <f t="shared" si="111"/>
        <v>0</v>
      </c>
      <c r="K1629" s="10">
        <f t="shared" si="113"/>
        <v>0</v>
      </c>
      <c r="L1629" s="7">
        <f t="shared" si="112"/>
        <v>86</v>
      </c>
      <c r="M1629" s="13" t="s">
        <v>18</v>
      </c>
      <c r="N1629"/>
    </row>
    <row r="1630" spans="1:14" ht="24.75" customHeight="1">
      <c r="A1630" s="5">
        <v>1628</v>
      </c>
      <c r="B1630" s="5" t="s">
        <v>21</v>
      </c>
      <c r="C1630" s="5" t="str">
        <f>"麦晶晶"</f>
        <v>麦晶晶</v>
      </c>
      <c r="D1630" s="5" t="str">
        <f>"460031199611214448"</f>
        <v>460031199611214448</v>
      </c>
      <c r="E1630" s="5" t="s">
        <v>15</v>
      </c>
      <c r="F1630" s="5" t="str">
        <f>"073105040927"</f>
        <v>073105040927</v>
      </c>
      <c r="G1630" s="7">
        <v>0</v>
      </c>
      <c r="H1630" s="7">
        <f t="shared" si="110"/>
        <v>0</v>
      </c>
      <c r="I1630" s="7">
        <v>0</v>
      </c>
      <c r="J1630" s="7">
        <f t="shared" si="111"/>
        <v>0</v>
      </c>
      <c r="K1630" s="10">
        <f t="shared" si="113"/>
        <v>0</v>
      </c>
      <c r="L1630" s="7">
        <f t="shared" si="112"/>
        <v>86</v>
      </c>
      <c r="M1630" s="13" t="s">
        <v>18</v>
      </c>
      <c r="N1630"/>
    </row>
    <row r="1631" spans="1:14" ht="24.75" customHeight="1">
      <c r="A1631" s="5">
        <v>1629</v>
      </c>
      <c r="B1631" s="5" t="s">
        <v>21</v>
      </c>
      <c r="C1631" s="5" t="str">
        <f>"郭明靓"</f>
        <v>郭明靓</v>
      </c>
      <c r="D1631" s="5" t="str">
        <f>"460031199708125628"</f>
        <v>460031199708125628</v>
      </c>
      <c r="E1631" s="5" t="s">
        <v>15</v>
      </c>
      <c r="F1631" s="5" t="str">
        <f>"073105040930"</f>
        <v>073105040930</v>
      </c>
      <c r="G1631" s="7">
        <v>0</v>
      </c>
      <c r="H1631" s="7">
        <f t="shared" si="110"/>
        <v>0</v>
      </c>
      <c r="I1631" s="7">
        <v>0</v>
      </c>
      <c r="J1631" s="7">
        <f t="shared" si="111"/>
        <v>0</v>
      </c>
      <c r="K1631" s="10">
        <f t="shared" si="113"/>
        <v>0</v>
      </c>
      <c r="L1631" s="7">
        <f t="shared" si="112"/>
        <v>86</v>
      </c>
      <c r="M1631" s="13" t="s">
        <v>18</v>
      </c>
      <c r="N1631"/>
    </row>
    <row r="1632" spans="1:14" ht="24.75" customHeight="1">
      <c r="A1632" s="5">
        <v>1630</v>
      </c>
      <c r="B1632" s="5" t="s">
        <v>21</v>
      </c>
      <c r="C1632" s="5" t="str">
        <f>"吴小慧"</f>
        <v>吴小慧</v>
      </c>
      <c r="D1632" s="5" t="str">
        <f>"460031199807204428"</f>
        <v>460031199807204428</v>
      </c>
      <c r="E1632" s="5" t="s">
        <v>15</v>
      </c>
      <c r="F1632" s="5" t="str">
        <f>"073105040932"</f>
        <v>073105040932</v>
      </c>
      <c r="G1632" s="7">
        <v>0</v>
      </c>
      <c r="H1632" s="7">
        <f t="shared" si="110"/>
        <v>0</v>
      </c>
      <c r="I1632" s="7">
        <v>0</v>
      </c>
      <c r="J1632" s="7">
        <f t="shared" si="111"/>
        <v>0</v>
      </c>
      <c r="K1632" s="10">
        <f t="shared" si="113"/>
        <v>0</v>
      </c>
      <c r="L1632" s="7">
        <f t="shared" si="112"/>
        <v>86</v>
      </c>
      <c r="M1632" s="13" t="s">
        <v>18</v>
      </c>
      <c r="N1632"/>
    </row>
    <row r="1633" spans="1:14" ht="24.75" customHeight="1">
      <c r="A1633" s="5">
        <v>1631</v>
      </c>
      <c r="B1633" s="5" t="s">
        <v>21</v>
      </c>
      <c r="C1633" s="5" t="str">
        <f>"何云娜"</f>
        <v>何云娜</v>
      </c>
      <c r="D1633" s="5" t="str">
        <f>"460031199103045262"</f>
        <v>460031199103045262</v>
      </c>
      <c r="E1633" s="5" t="s">
        <v>15</v>
      </c>
      <c r="F1633" s="5" t="str">
        <f>"073105040933"</f>
        <v>073105040933</v>
      </c>
      <c r="G1633" s="7">
        <v>0</v>
      </c>
      <c r="H1633" s="7">
        <f t="shared" si="110"/>
        <v>0</v>
      </c>
      <c r="I1633" s="7">
        <v>0</v>
      </c>
      <c r="J1633" s="7">
        <f t="shared" si="111"/>
        <v>0</v>
      </c>
      <c r="K1633" s="10">
        <f t="shared" si="113"/>
        <v>0</v>
      </c>
      <c r="L1633" s="7">
        <f t="shared" si="112"/>
        <v>86</v>
      </c>
      <c r="M1633" s="13" t="s">
        <v>18</v>
      </c>
      <c r="N1633"/>
    </row>
    <row r="1634" spans="1:14" ht="24.75" customHeight="1">
      <c r="A1634" s="5">
        <v>1632</v>
      </c>
      <c r="B1634" s="5" t="s">
        <v>21</v>
      </c>
      <c r="C1634" s="5" t="str">
        <f>"张翰珍"</f>
        <v>张翰珍</v>
      </c>
      <c r="D1634" s="5" t="str">
        <f>"460031199302186447"</f>
        <v>460031199302186447</v>
      </c>
      <c r="E1634" s="5" t="s">
        <v>15</v>
      </c>
      <c r="F1634" s="5" t="str">
        <f>"073105040935"</f>
        <v>073105040935</v>
      </c>
      <c r="G1634" s="7">
        <v>0</v>
      </c>
      <c r="H1634" s="7">
        <f t="shared" si="110"/>
        <v>0</v>
      </c>
      <c r="I1634" s="7">
        <v>0</v>
      </c>
      <c r="J1634" s="7">
        <f t="shared" si="111"/>
        <v>0</v>
      </c>
      <c r="K1634" s="10">
        <f t="shared" si="113"/>
        <v>0</v>
      </c>
      <c r="L1634" s="7">
        <f t="shared" si="112"/>
        <v>86</v>
      </c>
      <c r="M1634" s="13" t="s">
        <v>18</v>
      </c>
      <c r="N1634"/>
    </row>
    <row r="1635" spans="1:14" ht="24.75" customHeight="1">
      <c r="A1635" s="5">
        <v>1633</v>
      </c>
      <c r="B1635" s="5" t="s">
        <v>21</v>
      </c>
      <c r="C1635" s="5" t="str">
        <f>"黄芸"</f>
        <v>黄芸</v>
      </c>
      <c r="D1635" s="5" t="str">
        <f>"460031199704100423"</f>
        <v>460031199704100423</v>
      </c>
      <c r="E1635" s="5" t="s">
        <v>15</v>
      </c>
      <c r="F1635" s="5" t="str">
        <f>"073105040936"</f>
        <v>073105040936</v>
      </c>
      <c r="G1635" s="7">
        <v>0</v>
      </c>
      <c r="H1635" s="7">
        <f t="shared" si="110"/>
        <v>0</v>
      </c>
      <c r="I1635" s="7">
        <v>0</v>
      </c>
      <c r="J1635" s="7">
        <f t="shared" si="111"/>
        <v>0</v>
      </c>
      <c r="K1635" s="10">
        <f t="shared" si="113"/>
        <v>0</v>
      </c>
      <c r="L1635" s="7">
        <f t="shared" si="112"/>
        <v>86</v>
      </c>
      <c r="M1635" s="13" t="s">
        <v>18</v>
      </c>
      <c r="N1635"/>
    </row>
    <row r="1636" spans="1:14" ht="24.75" customHeight="1">
      <c r="A1636" s="5">
        <v>1634</v>
      </c>
      <c r="B1636" s="5" t="s">
        <v>22</v>
      </c>
      <c r="C1636" s="5" t="str">
        <f>"王明宝"</f>
        <v>王明宝</v>
      </c>
      <c r="D1636" s="5" t="str">
        <f>"460028199912240035"</f>
        <v>460028199912240035</v>
      </c>
      <c r="E1636" s="5" t="s">
        <v>15</v>
      </c>
      <c r="F1636" s="5" t="str">
        <f>"073106040527"</f>
        <v>073106040527</v>
      </c>
      <c r="G1636" s="7">
        <v>54.1</v>
      </c>
      <c r="H1636" s="7">
        <f t="shared" si="110"/>
        <v>27.05</v>
      </c>
      <c r="I1636" s="7">
        <v>80.998</v>
      </c>
      <c r="J1636" s="7">
        <f t="shared" si="111"/>
        <v>40.499</v>
      </c>
      <c r="K1636" s="10">
        <f t="shared" si="113"/>
        <v>67.549</v>
      </c>
      <c r="L1636" s="7">
        <f aca="true" t="shared" si="114" ref="L1636:L1645">RANK(K1636,$K$1636:$K$1645,0)</f>
        <v>1</v>
      </c>
      <c r="M1636" s="11"/>
      <c r="N1636"/>
    </row>
    <row r="1637" spans="1:14" ht="24.75" customHeight="1">
      <c r="A1637" s="5">
        <v>1635</v>
      </c>
      <c r="B1637" s="5" t="s">
        <v>22</v>
      </c>
      <c r="C1637" s="5" t="str">
        <f>"曾莹颖"</f>
        <v>曾莹颖</v>
      </c>
      <c r="D1637" s="5" t="str">
        <f>"469025199806224524"</f>
        <v>469025199806224524</v>
      </c>
      <c r="E1637" s="5" t="s">
        <v>15</v>
      </c>
      <c r="F1637" s="5" t="str">
        <f>"073106040528"</f>
        <v>073106040528</v>
      </c>
      <c r="G1637" s="7">
        <v>61.7</v>
      </c>
      <c r="H1637" s="7">
        <f t="shared" si="110"/>
        <v>30.85</v>
      </c>
      <c r="I1637" s="7">
        <v>68.745</v>
      </c>
      <c r="J1637" s="7">
        <f t="shared" si="111"/>
        <v>34.3725</v>
      </c>
      <c r="K1637" s="10">
        <f t="shared" si="113"/>
        <v>65.2225</v>
      </c>
      <c r="L1637" s="7">
        <f t="shared" si="114"/>
        <v>2</v>
      </c>
      <c r="M1637" s="11"/>
      <c r="N1637"/>
    </row>
    <row r="1638" spans="1:14" ht="24.75" customHeight="1">
      <c r="A1638" s="5">
        <v>1636</v>
      </c>
      <c r="B1638" s="5" t="s">
        <v>22</v>
      </c>
      <c r="C1638" s="5" t="str">
        <f>"赵日茹"</f>
        <v>赵日茹</v>
      </c>
      <c r="D1638" s="5" t="str">
        <f>"460007199508137229"</f>
        <v>460007199508137229</v>
      </c>
      <c r="E1638" s="5" t="s">
        <v>15</v>
      </c>
      <c r="F1638" s="5" t="str">
        <f>"073106040524"</f>
        <v>073106040524</v>
      </c>
      <c r="G1638" s="7">
        <v>71.7</v>
      </c>
      <c r="H1638" s="7">
        <f t="shared" si="110"/>
        <v>35.85</v>
      </c>
      <c r="I1638" s="7">
        <v>55.099</v>
      </c>
      <c r="J1638" s="7">
        <f t="shared" si="111"/>
        <v>27.5495</v>
      </c>
      <c r="K1638" s="10">
        <f t="shared" si="113"/>
        <v>63.3995</v>
      </c>
      <c r="L1638" s="7">
        <f t="shared" si="114"/>
        <v>3</v>
      </c>
      <c r="M1638" s="11"/>
      <c r="N1638"/>
    </row>
    <row r="1639" spans="1:14" ht="24.75" customHeight="1">
      <c r="A1639" s="5">
        <v>1637</v>
      </c>
      <c r="B1639" s="5" t="s">
        <v>22</v>
      </c>
      <c r="C1639" s="5" t="str">
        <f>"王智冠"</f>
        <v>王智冠</v>
      </c>
      <c r="D1639" s="5" t="str">
        <f>"460030199309190012"</f>
        <v>460030199309190012</v>
      </c>
      <c r="E1639" s="5" t="s">
        <v>15</v>
      </c>
      <c r="F1639" s="5" t="str">
        <f>"073106040529"</f>
        <v>073106040529</v>
      </c>
      <c r="G1639" s="7">
        <v>54.8</v>
      </c>
      <c r="H1639" s="7">
        <f t="shared" si="110"/>
        <v>27.4</v>
      </c>
      <c r="I1639" s="7">
        <v>47.836</v>
      </c>
      <c r="J1639" s="7">
        <f t="shared" si="111"/>
        <v>23.918</v>
      </c>
      <c r="K1639" s="10">
        <f t="shared" si="113"/>
        <v>51.318</v>
      </c>
      <c r="L1639" s="7">
        <f t="shared" si="114"/>
        <v>4</v>
      </c>
      <c r="M1639" s="11"/>
      <c r="N1639"/>
    </row>
    <row r="1640" spans="1:14" ht="24.75" customHeight="1">
      <c r="A1640" s="5">
        <v>1638</v>
      </c>
      <c r="B1640" s="5" t="s">
        <v>22</v>
      </c>
      <c r="C1640" s="5" t="str">
        <f>"羊小芝"</f>
        <v>羊小芝</v>
      </c>
      <c r="D1640" s="5" t="str">
        <f>"469025200001124222"</f>
        <v>469025200001124222</v>
      </c>
      <c r="E1640" s="5" t="s">
        <v>15</v>
      </c>
      <c r="F1640" s="5" t="str">
        <f>"073106040523"</f>
        <v>073106040523</v>
      </c>
      <c r="G1640" s="7">
        <v>50.5</v>
      </c>
      <c r="H1640" s="7">
        <f t="shared" si="110"/>
        <v>25.25</v>
      </c>
      <c r="I1640" s="7">
        <v>46.809</v>
      </c>
      <c r="J1640" s="7">
        <f t="shared" si="111"/>
        <v>23.4045</v>
      </c>
      <c r="K1640" s="10">
        <f t="shared" si="113"/>
        <v>48.6545</v>
      </c>
      <c r="L1640" s="7">
        <f t="shared" si="114"/>
        <v>5</v>
      </c>
      <c r="M1640" s="11"/>
      <c r="N1640"/>
    </row>
    <row r="1641" spans="1:14" ht="24.75" customHeight="1">
      <c r="A1641" s="5">
        <v>1639</v>
      </c>
      <c r="B1641" s="5" t="s">
        <v>22</v>
      </c>
      <c r="C1641" s="5" t="str">
        <f>"麦丽莎"</f>
        <v>麦丽莎</v>
      </c>
      <c r="D1641" s="5" t="str">
        <f>"46003419990318004X"</f>
        <v>46003419990318004X</v>
      </c>
      <c r="E1641" s="5" t="s">
        <v>15</v>
      </c>
      <c r="F1641" s="5" t="str">
        <f>"073106040525"</f>
        <v>073106040525</v>
      </c>
      <c r="G1641" s="7">
        <v>50.5</v>
      </c>
      <c r="H1641" s="7">
        <f t="shared" si="110"/>
        <v>25.25</v>
      </c>
      <c r="I1641" s="7">
        <v>38.004</v>
      </c>
      <c r="J1641" s="7">
        <f t="shared" si="111"/>
        <v>19.002</v>
      </c>
      <c r="K1641" s="10">
        <f t="shared" si="113"/>
        <v>44.251999999999995</v>
      </c>
      <c r="L1641" s="7">
        <f t="shared" si="114"/>
        <v>6</v>
      </c>
      <c r="M1641" s="11"/>
      <c r="N1641"/>
    </row>
    <row r="1642" spans="1:14" ht="24.75" customHeight="1">
      <c r="A1642" s="5">
        <v>1640</v>
      </c>
      <c r="B1642" s="5" t="s">
        <v>22</v>
      </c>
      <c r="C1642" s="5" t="str">
        <f>"陈百合"</f>
        <v>陈百合</v>
      </c>
      <c r="D1642" s="5" t="str">
        <f>"460034199804305521"</f>
        <v>460034199804305521</v>
      </c>
      <c r="E1642" s="5" t="s">
        <v>15</v>
      </c>
      <c r="F1642" s="5" t="str">
        <f>"073106040530"</f>
        <v>073106040530</v>
      </c>
      <c r="G1642" s="7">
        <v>38.9</v>
      </c>
      <c r="H1642" s="7">
        <f t="shared" si="110"/>
        <v>19.45</v>
      </c>
      <c r="I1642" s="7">
        <v>28.98</v>
      </c>
      <c r="J1642" s="7">
        <f t="shared" si="111"/>
        <v>14.49</v>
      </c>
      <c r="K1642" s="10">
        <f t="shared" si="113"/>
        <v>33.94</v>
      </c>
      <c r="L1642" s="7">
        <f t="shared" si="114"/>
        <v>7</v>
      </c>
      <c r="M1642" s="11"/>
      <c r="N1642"/>
    </row>
    <row r="1643" spans="1:14" ht="24.75" customHeight="1">
      <c r="A1643" s="5">
        <v>1641</v>
      </c>
      <c r="B1643" s="5" t="s">
        <v>22</v>
      </c>
      <c r="C1643" s="5" t="str">
        <f>"吴婧雅"</f>
        <v>吴婧雅</v>
      </c>
      <c r="D1643" s="5" t="str">
        <f>"460030199605012421"</f>
        <v>460030199605012421</v>
      </c>
      <c r="E1643" s="5" t="s">
        <v>15</v>
      </c>
      <c r="F1643" s="5" t="str">
        <f>"073106040526"</f>
        <v>073106040526</v>
      </c>
      <c r="G1643" s="7">
        <v>21</v>
      </c>
      <c r="H1643" s="7">
        <f t="shared" si="110"/>
        <v>10.5</v>
      </c>
      <c r="I1643" s="7">
        <v>30.007</v>
      </c>
      <c r="J1643" s="7">
        <f t="shared" si="111"/>
        <v>15.0035</v>
      </c>
      <c r="K1643" s="10">
        <f t="shared" si="113"/>
        <v>25.503500000000003</v>
      </c>
      <c r="L1643" s="7">
        <f t="shared" si="114"/>
        <v>8</v>
      </c>
      <c r="M1643" s="11"/>
      <c r="N1643"/>
    </row>
    <row r="1644" spans="1:14" ht="24.75" customHeight="1">
      <c r="A1644" s="5">
        <v>1642</v>
      </c>
      <c r="B1644" s="5" t="s">
        <v>22</v>
      </c>
      <c r="C1644" s="5" t="str">
        <f>"包秋艳"</f>
        <v>包秋艳</v>
      </c>
      <c r="D1644" s="5" t="str">
        <f>"460030199708283320"</f>
        <v>460030199708283320</v>
      </c>
      <c r="E1644" s="5" t="s">
        <v>15</v>
      </c>
      <c r="F1644" s="5" t="str">
        <f>"073106040521"</f>
        <v>073106040521</v>
      </c>
      <c r="G1644" s="7">
        <v>0</v>
      </c>
      <c r="H1644" s="7">
        <f t="shared" si="110"/>
        <v>0</v>
      </c>
      <c r="I1644" s="7">
        <v>0</v>
      </c>
      <c r="J1644" s="7">
        <f t="shared" si="111"/>
        <v>0</v>
      </c>
      <c r="K1644" s="10">
        <f t="shared" si="113"/>
        <v>0</v>
      </c>
      <c r="L1644" s="7">
        <f t="shared" si="114"/>
        <v>9</v>
      </c>
      <c r="M1644" s="13" t="s">
        <v>18</v>
      </c>
      <c r="N1644"/>
    </row>
    <row r="1645" spans="1:14" ht="24.75" customHeight="1">
      <c r="A1645" s="5">
        <v>1643</v>
      </c>
      <c r="B1645" s="5" t="s">
        <v>22</v>
      </c>
      <c r="C1645" s="5" t="str">
        <f>"陈曼丽"</f>
        <v>陈曼丽</v>
      </c>
      <c r="D1645" s="5" t="str">
        <f>"46003019950512002X"</f>
        <v>46003019950512002X</v>
      </c>
      <c r="E1645" s="5" t="s">
        <v>15</v>
      </c>
      <c r="F1645" s="5" t="str">
        <f>"073106040522"</f>
        <v>073106040522</v>
      </c>
      <c r="G1645" s="7">
        <v>0</v>
      </c>
      <c r="H1645" s="7">
        <f t="shared" si="110"/>
        <v>0</v>
      </c>
      <c r="I1645" s="7">
        <v>0</v>
      </c>
      <c r="J1645" s="7">
        <f t="shared" si="111"/>
        <v>0</v>
      </c>
      <c r="K1645" s="10">
        <f t="shared" si="113"/>
        <v>0</v>
      </c>
      <c r="L1645" s="7">
        <f t="shared" si="114"/>
        <v>9</v>
      </c>
      <c r="M1645" s="13" t="s">
        <v>18</v>
      </c>
      <c r="N1645"/>
    </row>
  </sheetData>
  <sheetProtection/>
  <autoFilter ref="A2:M1645"/>
  <mergeCells count="1">
    <mergeCell ref="A1:M1"/>
  </mergeCells>
  <printOptions/>
  <pageMargins left="0.75" right="0.75" top="1" bottom="1" header="0.5" footer="0.5"/>
  <pageSetup fitToHeight="0" fitToWidth="1"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门户推送</dc:creator>
  <cp:keywords/>
  <dc:description/>
  <cp:lastModifiedBy>lenovo</cp:lastModifiedBy>
  <dcterms:created xsi:type="dcterms:W3CDTF">2021-07-27T08:50:57Z</dcterms:created>
  <dcterms:modified xsi:type="dcterms:W3CDTF">2021-08-05T03:34:27Z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KSOReadingLayo">
    <vt:bool>true</vt:bool>
  </property>
</Properties>
</file>