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240" windowHeight="12540" firstSheet="38" activeTab="44"/>
  </bookViews>
  <sheets>
    <sheet name="0101-高中政治" sheetId="1" r:id="rId1"/>
    <sheet name="0201-高中数学" sheetId="18" r:id="rId2"/>
    <sheet name="0202-高中英语" sheetId="2" r:id="rId3"/>
    <sheet name="0301-高中音乐1" sheetId="3" r:id="rId4"/>
    <sheet name="0302-高中音乐2" sheetId="4" r:id="rId5"/>
    <sheet name="0303-高中历史" sheetId="5" r:id="rId6"/>
    <sheet name="0304-高中地理" sheetId="6" r:id="rId7"/>
    <sheet name="0305-高中美术" sheetId="10" r:id="rId8"/>
    <sheet name="0306-高中生物" sheetId="11" r:id="rId9"/>
    <sheet name="0401-初中数学" sheetId="19" r:id="rId10"/>
    <sheet name="0402-初中历史" sheetId="20" r:id="rId11"/>
    <sheet name="0501-初中英语" sheetId="21" r:id="rId12"/>
    <sheet name="0502-初中政治" sheetId="22" r:id="rId13"/>
    <sheet name="0601-初中数学" sheetId="23" r:id="rId14"/>
    <sheet name="0602-初中地理" sheetId="24" r:id="rId15"/>
    <sheet name="0603-初中美术" sheetId="25" r:id="rId16"/>
    <sheet name="0604-初中体育" sheetId="28" r:id="rId17"/>
    <sheet name="0701-初中数学" sheetId="26" r:id="rId18"/>
    <sheet name="0801-初中语文" sheetId="27" r:id="rId19"/>
    <sheet name="0802-初中音乐" sheetId="29" r:id="rId20"/>
    <sheet name="0803-初中物理" sheetId="37" r:id="rId21"/>
    <sheet name="0901-初中物理" sheetId="30" r:id="rId22"/>
    <sheet name="1001-初中英语" sheetId="38" r:id="rId23"/>
    <sheet name="1002-初中历史" sheetId="39" r:id="rId24"/>
    <sheet name="1101-康复" sheetId="45" r:id="rId25"/>
    <sheet name="1102-体育" sheetId="44" r:id="rId26"/>
    <sheet name="1201-小学语文1" sheetId="43" r:id="rId27"/>
    <sheet name="1202-小学语文2" sheetId="42" r:id="rId28"/>
    <sheet name="1203-小学数学1" sheetId="41" r:id="rId29"/>
    <sheet name="1204-小学数学2" sheetId="40" r:id="rId30"/>
    <sheet name="1205-小学英语1" sheetId="46" r:id="rId31"/>
    <sheet name="1206-小学英语2" sheetId="31" r:id="rId32"/>
    <sheet name="1207-小学音乐1" sheetId="47" r:id="rId33"/>
    <sheet name="1208-小学音乐2" sheetId="48" r:id="rId34"/>
    <sheet name="1209-小学美术1" sheetId="32" r:id="rId35"/>
    <sheet name="1210-小学美术2" sheetId="49" r:id="rId36"/>
    <sheet name="1211-小学体育1" sheetId="33" r:id="rId37"/>
    <sheet name="1212-小学体育2" sheetId="50" r:id="rId38"/>
    <sheet name="1213-小学体育3" sheetId="34" r:id="rId39"/>
    <sheet name="1214-小学体育4" sheetId="35" r:id="rId40"/>
    <sheet name="1215-小学体育5" sheetId="36" r:id="rId41"/>
    <sheet name="1216-小学计算机1" sheetId="51" r:id="rId42"/>
    <sheet name="1217-小学计算机2" sheetId="52" r:id="rId43"/>
    <sheet name="1218-医务人员" sheetId="53" r:id="rId44"/>
    <sheet name="1301-医务人员" sheetId="54" r:id="rId45"/>
  </sheets>
  <definedNames>
    <definedName name="_xlnm.Print_Titles" localSheetId="0">'0101-高中政治'!$1:$3</definedName>
    <definedName name="_xlnm.Print_Titles" localSheetId="1">'0201-高中数学'!$1:$3</definedName>
    <definedName name="_xlnm.Print_Titles" localSheetId="2">'0202-高中英语'!$1:$3</definedName>
    <definedName name="_xlnm.Print_Titles" localSheetId="5">'0303-高中历史'!$1:$3</definedName>
    <definedName name="_xlnm.Print_Titles" localSheetId="6">'0304-高中地理'!$1:$3</definedName>
    <definedName name="_xlnm.Print_Titles" localSheetId="7">'0305-高中美术'!$1:$3</definedName>
    <definedName name="_xlnm.Print_Titles" localSheetId="8">'0306-高中生物'!$1:$3</definedName>
    <definedName name="_xlnm.Print_Titles" localSheetId="9">'0401-初中数学'!$1:$3</definedName>
    <definedName name="_xlnm.Print_Titles" localSheetId="10">'0402-初中历史'!$1:$3</definedName>
    <definedName name="_xlnm.Print_Titles" localSheetId="11">'0501-初中英语'!$1:$3</definedName>
    <definedName name="_xlnm.Print_Titles" localSheetId="12">'0502-初中政治'!$1:$3</definedName>
    <definedName name="_xlnm.Print_Titles" localSheetId="13">'0601-初中数学'!$1:$3</definedName>
    <definedName name="_xlnm.Print_Titles" localSheetId="14">'0602-初中地理'!$1:$3</definedName>
    <definedName name="_xlnm.Print_Titles" localSheetId="16">'0604-初中体育'!$1:$3</definedName>
    <definedName name="_xlnm.Print_Titles" localSheetId="17">'0701-初中数学'!$1:$3</definedName>
    <definedName name="_xlnm.Print_Titles" localSheetId="18">'0801-初中语文'!$1:$3</definedName>
    <definedName name="_xlnm.Print_Titles" localSheetId="20">'0803-初中物理'!$1:$3</definedName>
    <definedName name="_xlnm.Print_Titles" localSheetId="21">'0901-初中物理'!$1:$3</definedName>
    <definedName name="_xlnm.Print_Titles" localSheetId="22">'1001-初中英语'!$1:$3</definedName>
    <definedName name="_xlnm.Print_Titles" localSheetId="23">'1002-初中历史'!$1:$3</definedName>
    <definedName name="_xlnm.Print_Titles" localSheetId="25">'1102-体育'!$1:$3</definedName>
    <definedName name="_xlnm.Print_Titles" localSheetId="26">'1201-小学语文1'!$1:$3</definedName>
    <definedName name="_xlnm.Print_Titles" localSheetId="27">'1202-小学语文2'!$1:$3</definedName>
    <definedName name="_xlnm.Print_Titles" localSheetId="28">'1203-小学数学1'!$1:$3</definedName>
    <definedName name="_xlnm.Print_Titles" localSheetId="29">'1204-小学数学2'!$1:$3</definedName>
    <definedName name="_xlnm.Print_Titles" localSheetId="30">'1205-小学英语1'!$1:$3</definedName>
    <definedName name="_xlnm.Print_Titles" localSheetId="31">'1206-小学英语2'!$1:$3</definedName>
    <definedName name="_xlnm.Print_Titles" localSheetId="32">'1207-小学音乐1'!$1:$3</definedName>
    <definedName name="_xlnm.Print_Titles" localSheetId="34">'1209-小学美术1'!$1:$3</definedName>
    <definedName name="_xlnm.Print_Titles" localSheetId="38">'1213-小学体育3'!$1:$3</definedName>
    <definedName name="_xlnm.Print_Titles" localSheetId="41">'1216-小学计算机1'!$1:$3</definedName>
    <definedName name="_xlnm.Print_Titles" localSheetId="43">'1218-医务人员'!$1:$3</definedName>
  </definedNames>
  <calcPr calcId="145621"/>
</workbook>
</file>

<file path=xl/calcChain.xml><?xml version="1.0" encoding="utf-8"?>
<calcChain xmlns="http://schemas.openxmlformats.org/spreadsheetml/2006/main">
  <c r="E21" i="54" l="1"/>
  <c r="D21" i="54"/>
  <c r="B21" i="54"/>
  <c r="E20" i="54"/>
  <c r="D20" i="54"/>
  <c r="B20" i="54"/>
  <c r="E19" i="54"/>
  <c r="D19" i="54"/>
  <c r="B19" i="54"/>
  <c r="E18" i="54"/>
  <c r="D18" i="54"/>
  <c r="B18" i="54"/>
  <c r="E17" i="54"/>
  <c r="D17" i="54"/>
  <c r="B17" i="54"/>
  <c r="E16" i="54"/>
  <c r="D16" i="54"/>
  <c r="B16" i="54"/>
  <c r="E15" i="54"/>
  <c r="D15" i="54"/>
  <c r="B15" i="54"/>
  <c r="E14" i="54"/>
  <c r="D14" i="54"/>
  <c r="B14" i="54"/>
  <c r="E13" i="54"/>
  <c r="D13" i="54"/>
  <c r="B13" i="54"/>
  <c r="E12" i="54"/>
  <c r="D12" i="54"/>
  <c r="B12" i="54"/>
  <c r="E11" i="54"/>
  <c r="D11" i="54"/>
  <c r="B11" i="54"/>
  <c r="E10" i="54"/>
  <c r="D10" i="54"/>
  <c r="B10" i="54"/>
  <c r="E9" i="54"/>
  <c r="D9" i="54"/>
  <c r="B9" i="54"/>
  <c r="E8" i="54"/>
  <c r="D8" i="54"/>
  <c r="B8" i="54"/>
  <c r="E7" i="54"/>
  <c r="D7" i="54"/>
  <c r="B7" i="54"/>
  <c r="E6" i="54"/>
  <c r="D6" i="54"/>
  <c r="B6" i="54"/>
  <c r="E5" i="54"/>
  <c r="D5" i="54"/>
  <c r="B5" i="54"/>
  <c r="E4" i="54"/>
  <c r="D4" i="54"/>
  <c r="B4" i="54"/>
  <c r="E93" i="53"/>
  <c r="D93" i="53"/>
  <c r="B93" i="53"/>
  <c r="E92" i="53"/>
  <c r="D92" i="53"/>
  <c r="B92" i="53"/>
  <c r="E91" i="53"/>
  <c r="D91" i="53"/>
  <c r="B91" i="53"/>
  <c r="E90" i="53"/>
  <c r="D90" i="53"/>
  <c r="B90" i="53"/>
  <c r="E89" i="53"/>
  <c r="D89" i="53"/>
  <c r="B89" i="53"/>
  <c r="E88" i="53"/>
  <c r="D88" i="53"/>
  <c r="B88" i="53"/>
  <c r="E87" i="53"/>
  <c r="D87" i="53"/>
  <c r="B87" i="53"/>
  <c r="E86" i="53"/>
  <c r="D86" i="53"/>
  <c r="B86" i="53"/>
  <c r="E85" i="53"/>
  <c r="D85" i="53"/>
  <c r="B85" i="53"/>
  <c r="E84" i="53"/>
  <c r="D84" i="53"/>
  <c r="B84" i="53"/>
  <c r="E83" i="53"/>
  <c r="D83" i="53"/>
  <c r="B83" i="53"/>
  <c r="E82" i="53"/>
  <c r="D82" i="53"/>
  <c r="B82" i="53"/>
  <c r="E81" i="53"/>
  <c r="D81" i="53"/>
  <c r="B81" i="53"/>
  <c r="E80" i="53"/>
  <c r="D80" i="53"/>
  <c r="B80" i="53"/>
  <c r="E79" i="53"/>
  <c r="D79" i="53"/>
  <c r="B79" i="53"/>
  <c r="E78" i="53"/>
  <c r="D78" i="53"/>
  <c r="B78" i="53"/>
  <c r="E77" i="53"/>
  <c r="D77" i="53"/>
  <c r="B77" i="53"/>
  <c r="E76" i="53"/>
  <c r="D76" i="53"/>
  <c r="B76" i="53"/>
  <c r="E75" i="53"/>
  <c r="D75" i="53"/>
  <c r="B75" i="53"/>
  <c r="E74" i="53"/>
  <c r="D74" i="53"/>
  <c r="B74" i="53"/>
  <c r="E73" i="53"/>
  <c r="D73" i="53"/>
  <c r="B73" i="53"/>
  <c r="E72" i="53"/>
  <c r="D72" i="53"/>
  <c r="B72" i="53"/>
  <c r="E71" i="53"/>
  <c r="D71" i="53"/>
  <c r="B71" i="53"/>
  <c r="E70" i="53"/>
  <c r="D70" i="53"/>
  <c r="B70" i="53"/>
  <c r="E69" i="53"/>
  <c r="D69" i="53"/>
  <c r="B69" i="53"/>
  <c r="E68" i="53"/>
  <c r="D68" i="53"/>
  <c r="B68" i="53"/>
  <c r="E67" i="53"/>
  <c r="D67" i="53"/>
  <c r="B67" i="53"/>
  <c r="E66" i="53"/>
  <c r="D66" i="53"/>
  <c r="B66" i="53"/>
  <c r="E65" i="53"/>
  <c r="D65" i="53"/>
  <c r="B65" i="53"/>
  <c r="E64" i="53"/>
  <c r="D64" i="53"/>
  <c r="B64" i="53"/>
  <c r="E63" i="53"/>
  <c r="D63" i="53"/>
  <c r="B63" i="53"/>
  <c r="E62" i="53"/>
  <c r="D62" i="53"/>
  <c r="B62" i="53"/>
  <c r="E61" i="53"/>
  <c r="D61" i="53"/>
  <c r="B61" i="53"/>
  <c r="E60" i="53"/>
  <c r="D60" i="53"/>
  <c r="B60" i="53"/>
  <c r="E59" i="53"/>
  <c r="D59" i="53"/>
  <c r="B59" i="53"/>
  <c r="E58" i="53"/>
  <c r="D58" i="53"/>
  <c r="B58" i="53"/>
  <c r="E57" i="53"/>
  <c r="D57" i="53"/>
  <c r="B57" i="53"/>
  <c r="E56" i="53"/>
  <c r="D56" i="53"/>
  <c r="B56" i="53"/>
  <c r="E55" i="53"/>
  <c r="D55" i="53"/>
  <c r="B55" i="53"/>
  <c r="E54" i="53"/>
  <c r="D54" i="53"/>
  <c r="B54" i="53"/>
  <c r="E53" i="53"/>
  <c r="D53" i="53"/>
  <c r="B53" i="53"/>
  <c r="E52" i="53"/>
  <c r="D52" i="53"/>
  <c r="B52" i="53"/>
  <c r="E51" i="53"/>
  <c r="D51" i="53"/>
  <c r="B51" i="53"/>
  <c r="E50" i="53"/>
  <c r="D50" i="53"/>
  <c r="B50" i="53"/>
  <c r="E49" i="53"/>
  <c r="D49" i="53"/>
  <c r="B49" i="53"/>
  <c r="E48" i="53"/>
  <c r="D48" i="53"/>
  <c r="B48" i="53"/>
  <c r="E47" i="53"/>
  <c r="D47" i="53"/>
  <c r="B47" i="53"/>
  <c r="E46" i="53"/>
  <c r="D46" i="53"/>
  <c r="B46" i="53"/>
  <c r="E45" i="53"/>
  <c r="D45" i="53"/>
  <c r="B45" i="53"/>
  <c r="E44" i="53"/>
  <c r="D44" i="53"/>
  <c r="B44" i="53"/>
  <c r="E43" i="53"/>
  <c r="D43" i="53"/>
  <c r="B43" i="53"/>
  <c r="E42" i="53"/>
  <c r="D42" i="53"/>
  <c r="B42" i="53"/>
  <c r="E41" i="53"/>
  <c r="D41" i="53"/>
  <c r="B41" i="53"/>
  <c r="E40" i="53"/>
  <c r="D40" i="53"/>
  <c r="B40" i="53"/>
  <c r="E39" i="53"/>
  <c r="D39" i="53"/>
  <c r="B39" i="53"/>
  <c r="E38" i="53"/>
  <c r="D38" i="53"/>
  <c r="B38" i="53"/>
  <c r="E37" i="53"/>
  <c r="D37" i="53"/>
  <c r="B37" i="53"/>
  <c r="E36" i="53"/>
  <c r="D36" i="53"/>
  <c r="B36" i="53"/>
  <c r="E35" i="53"/>
  <c r="D35" i="53"/>
  <c r="B35" i="53"/>
  <c r="E34" i="53"/>
  <c r="D34" i="53"/>
  <c r="B34" i="53"/>
  <c r="E33" i="53"/>
  <c r="D33" i="53"/>
  <c r="B33" i="53"/>
  <c r="E32" i="53"/>
  <c r="D32" i="53"/>
  <c r="B32" i="53"/>
  <c r="E31" i="53"/>
  <c r="D31" i="53"/>
  <c r="B31" i="53"/>
  <c r="E30" i="53"/>
  <c r="D30" i="53"/>
  <c r="B30" i="53"/>
  <c r="E29" i="53"/>
  <c r="D29" i="53"/>
  <c r="B29" i="53"/>
  <c r="E28" i="53"/>
  <c r="D28" i="53"/>
  <c r="B28" i="53"/>
  <c r="E27" i="53"/>
  <c r="D27" i="53"/>
  <c r="B27" i="53"/>
  <c r="E26" i="53"/>
  <c r="D26" i="53"/>
  <c r="B26" i="53"/>
  <c r="E25" i="53"/>
  <c r="D25" i="53"/>
  <c r="B25" i="53"/>
  <c r="E24" i="53"/>
  <c r="D24" i="53"/>
  <c r="B24" i="53"/>
  <c r="E23" i="53"/>
  <c r="D23" i="53"/>
  <c r="B23" i="53"/>
  <c r="E22" i="53"/>
  <c r="D22" i="53"/>
  <c r="B22" i="53"/>
  <c r="E21" i="53"/>
  <c r="D21" i="53"/>
  <c r="B21" i="53"/>
  <c r="E20" i="53"/>
  <c r="D20" i="53"/>
  <c r="B20" i="53"/>
  <c r="E19" i="53"/>
  <c r="D19" i="53"/>
  <c r="B19" i="53"/>
  <c r="E18" i="53"/>
  <c r="D18" i="53"/>
  <c r="B18" i="53"/>
  <c r="E17" i="53"/>
  <c r="D17" i="53"/>
  <c r="B17" i="53"/>
  <c r="E16" i="53"/>
  <c r="D16" i="53"/>
  <c r="B16" i="53"/>
  <c r="E15" i="53"/>
  <c r="D15" i="53"/>
  <c r="B15" i="53"/>
  <c r="E14" i="53"/>
  <c r="D14" i="53"/>
  <c r="B14" i="53"/>
  <c r="E13" i="53"/>
  <c r="D13" i="53"/>
  <c r="B13" i="53"/>
  <c r="E12" i="53"/>
  <c r="D12" i="53"/>
  <c r="B12" i="53"/>
  <c r="E11" i="53"/>
  <c r="D11" i="53"/>
  <c r="B11" i="53"/>
  <c r="E10" i="53"/>
  <c r="D10" i="53"/>
  <c r="B10" i="53"/>
  <c r="E9" i="53"/>
  <c r="D9" i="53"/>
  <c r="B9" i="53"/>
  <c r="E8" i="53"/>
  <c r="D8" i="53"/>
  <c r="B8" i="53"/>
  <c r="E7" i="53"/>
  <c r="D7" i="53"/>
  <c r="B7" i="53"/>
  <c r="E6" i="53"/>
  <c r="D6" i="53"/>
  <c r="B6" i="53"/>
  <c r="E5" i="53"/>
  <c r="D5" i="53"/>
  <c r="B5" i="53"/>
  <c r="E4" i="53"/>
  <c r="D4" i="53"/>
  <c r="B4" i="53"/>
  <c r="E7" i="52"/>
  <c r="D7" i="52"/>
  <c r="B7" i="52"/>
  <c r="E6" i="52"/>
  <c r="D6" i="52"/>
  <c r="B6" i="52"/>
  <c r="E5" i="52"/>
  <c r="D5" i="52"/>
  <c r="B5" i="52"/>
  <c r="E4" i="52"/>
  <c r="D4" i="52"/>
  <c r="B4" i="52"/>
  <c r="E133" i="51"/>
  <c r="D133" i="51"/>
  <c r="B133" i="51"/>
  <c r="E132" i="51"/>
  <c r="D132" i="51"/>
  <c r="B132" i="51"/>
  <c r="E131" i="51"/>
  <c r="D131" i="51"/>
  <c r="B131" i="51"/>
  <c r="E130" i="51"/>
  <c r="D130" i="51"/>
  <c r="B130" i="51"/>
  <c r="E129" i="51"/>
  <c r="D129" i="51"/>
  <c r="B129" i="51"/>
  <c r="E128" i="51"/>
  <c r="D128" i="51"/>
  <c r="B128" i="51"/>
  <c r="E127" i="51"/>
  <c r="D127" i="51"/>
  <c r="B127" i="51"/>
  <c r="E126" i="51"/>
  <c r="D126" i="51"/>
  <c r="B126" i="51"/>
  <c r="E125" i="51"/>
  <c r="D125" i="51"/>
  <c r="B125" i="51"/>
  <c r="E124" i="51"/>
  <c r="D124" i="51"/>
  <c r="B124" i="51"/>
  <c r="E123" i="51"/>
  <c r="D123" i="51"/>
  <c r="B123" i="51"/>
  <c r="E122" i="51"/>
  <c r="D122" i="51"/>
  <c r="B122" i="51"/>
  <c r="E121" i="51"/>
  <c r="D121" i="51"/>
  <c r="B121" i="51"/>
  <c r="E120" i="51"/>
  <c r="D120" i="51"/>
  <c r="B120" i="51"/>
  <c r="E119" i="51"/>
  <c r="D119" i="51"/>
  <c r="B119" i="51"/>
  <c r="E118" i="51"/>
  <c r="D118" i="51"/>
  <c r="B118" i="51"/>
  <c r="E117" i="51"/>
  <c r="D117" i="51"/>
  <c r="B117" i="51"/>
  <c r="E116" i="51"/>
  <c r="D116" i="51"/>
  <c r="B116" i="51"/>
  <c r="E115" i="51"/>
  <c r="D115" i="51"/>
  <c r="B115" i="51"/>
  <c r="E114" i="51"/>
  <c r="D114" i="51"/>
  <c r="B114" i="51"/>
  <c r="E113" i="51"/>
  <c r="D113" i="51"/>
  <c r="B113" i="51"/>
  <c r="E112" i="51"/>
  <c r="D112" i="51"/>
  <c r="B112" i="51"/>
  <c r="E111" i="51"/>
  <c r="D111" i="51"/>
  <c r="B111" i="51"/>
  <c r="E110" i="51"/>
  <c r="D110" i="51"/>
  <c r="B110" i="51"/>
  <c r="E109" i="51"/>
  <c r="D109" i="51"/>
  <c r="B109" i="51"/>
  <c r="E108" i="51"/>
  <c r="D108" i="51"/>
  <c r="B108" i="51"/>
  <c r="E107" i="51"/>
  <c r="D107" i="51"/>
  <c r="B107" i="51"/>
  <c r="E106" i="51"/>
  <c r="D106" i="51"/>
  <c r="B106" i="51"/>
  <c r="E105" i="51"/>
  <c r="D105" i="51"/>
  <c r="B105" i="51"/>
  <c r="E104" i="51"/>
  <c r="D104" i="51"/>
  <c r="B104" i="51"/>
  <c r="E103" i="51"/>
  <c r="D103" i="51"/>
  <c r="B103" i="51"/>
  <c r="E102" i="51"/>
  <c r="D102" i="51"/>
  <c r="B102" i="51"/>
  <c r="E101" i="51"/>
  <c r="D101" i="51"/>
  <c r="B101" i="51"/>
  <c r="E100" i="51"/>
  <c r="D100" i="51"/>
  <c r="B100" i="51"/>
  <c r="E99" i="51"/>
  <c r="D99" i="51"/>
  <c r="B99" i="51"/>
  <c r="E98" i="51"/>
  <c r="D98" i="51"/>
  <c r="B98" i="51"/>
  <c r="E97" i="51"/>
  <c r="D97" i="51"/>
  <c r="B97" i="51"/>
  <c r="E96" i="51"/>
  <c r="D96" i="51"/>
  <c r="B96" i="51"/>
  <c r="E95" i="51"/>
  <c r="D95" i="51"/>
  <c r="B95" i="51"/>
  <c r="E94" i="51"/>
  <c r="D94" i="51"/>
  <c r="B94" i="51"/>
  <c r="E93" i="51"/>
  <c r="D93" i="51"/>
  <c r="B93" i="51"/>
  <c r="E92" i="51"/>
  <c r="D92" i="51"/>
  <c r="B92" i="51"/>
  <c r="E91" i="51"/>
  <c r="D91" i="51"/>
  <c r="B91" i="51"/>
  <c r="E90" i="51"/>
  <c r="D90" i="51"/>
  <c r="B90" i="51"/>
  <c r="E89" i="51"/>
  <c r="D89" i="51"/>
  <c r="B89" i="51"/>
  <c r="E88" i="51"/>
  <c r="D88" i="51"/>
  <c r="B88" i="51"/>
  <c r="E87" i="51"/>
  <c r="D87" i="51"/>
  <c r="B87" i="51"/>
  <c r="E86" i="51"/>
  <c r="D86" i="51"/>
  <c r="B86" i="51"/>
  <c r="E85" i="51"/>
  <c r="D85" i="51"/>
  <c r="B85" i="51"/>
  <c r="E84" i="51"/>
  <c r="D84" i="51"/>
  <c r="B84" i="51"/>
  <c r="E83" i="51"/>
  <c r="D83" i="51"/>
  <c r="B83" i="51"/>
  <c r="E82" i="51"/>
  <c r="D82" i="51"/>
  <c r="B82" i="51"/>
  <c r="E81" i="51"/>
  <c r="D81" i="51"/>
  <c r="B81" i="51"/>
  <c r="E80" i="51"/>
  <c r="D80" i="51"/>
  <c r="B80" i="51"/>
  <c r="E79" i="51"/>
  <c r="D79" i="51"/>
  <c r="B79" i="51"/>
  <c r="E78" i="51"/>
  <c r="D78" i="51"/>
  <c r="B78" i="51"/>
  <c r="E77" i="51"/>
  <c r="D77" i="51"/>
  <c r="B77" i="51"/>
  <c r="E76" i="51"/>
  <c r="D76" i="51"/>
  <c r="B76" i="51"/>
  <c r="E75" i="51"/>
  <c r="D75" i="51"/>
  <c r="B75" i="51"/>
  <c r="E74" i="51"/>
  <c r="D74" i="51"/>
  <c r="B74" i="51"/>
  <c r="E73" i="51"/>
  <c r="D73" i="51"/>
  <c r="B73" i="51"/>
  <c r="E72" i="51"/>
  <c r="D72" i="51"/>
  <c r="B72" i="51"/>
  <c r="E71" i="51"/>
  <c r="D71" i="51"/>
  <c r="B71" i="51"/>
  <c r="E70" i="51"/>
  <c r="D70" i="51"/>
  <c r="B70" i="51"/>
  <c r="E69" i="51"/>
  <c r="D69" i="51"/>
  <c r="B69" i="51"/>
  <c r="E68" i="51"/>
  <c r="D68" i="51"/>
  <c r="B68" i="51"/>
  <c r="E67" i="51"/>
  <c r="D67" i="51"/>
  <c r="B67" i="51"/>
  <c r="E66" i="51"/>
  <c r="D66" i="51"/>
  <c r="B66" i="51"/>
  <c r="E65" i="51"/>
  <c r="D65" i="51"/>
  <c r="B65" i="51"/>
  <c r="E64" i="51"/>
  <c r="D64" i="51"/>
  <c r="B64" i="51"/>
  <c r="E63" i="51"/>
  <c r="D63" i="51"/>
  <c r="B63" i="51"/>
  <c r="E62" i="51"/>
  <c r="D62" i="51"/>
  <c r="B62" i="51"/>
  <c r="E61" i="51"/>
  <c r="D61" i="51"/>
  <c r="B61" i="51"/>
  <c r="E60" i="51"/>
  <c r="D60" i="51"/>
  <c r="B60" i="51"/>
  <c r="E59" i="51"/>
  <c r="D59" i="51"/>
  <c r="B59" i="51"/>
  <c r="E58" i="51"/>
  <c r="D58" i="51"/>
  <c r="B58" i="51"/>
  <c r="E57" i="51"/>
  <c r="D57" i="51"/>
  <c r="B57" i="51"/>
  <c r="E56" i="51"/>
  <c r="D56" i="51"/>
  <c r="B56" i="51"/>
  <c r="E55" i="51"/>
  <c r="D55" i="51"/>
  <c r="B55" i="51"/>
  <c r="E54" i="51"/>
  <c r="D54" i="51"/>
  <c r="B54" i="51"/>
  <c r="E53" i="51"/>
  <c r="D53" i="51"/>
  <c r="B53" i="51"/>
  <c r="E52" i="51"/>
  <c r="D52" i="51"/>
  <c r="B52" i="51"/>
  <c r="E51" i="51"/>
  <c r="D51" i="51"/>
  <c r="B51" i="51"/>
  <c r="E50" i="51"/>
  <c r="D50" i="51"/>
  <c r="B50" i="51"/>
  <c r="E49" i="51"/>
  <c r="D49" i="51"/>
  <c r="B49" i="51"/>
  <c r="E48" i="51"/>
  <c r="D48" i="51"/>
  <c r="B48" i="51"/>
  <c r="E47" i="51"/>
  <c r="D47" i="51"/>
  <c r="B47" i="51"/>
  <c r="E46" i="51"/>
  <c r="D46" i="51"/>
  <c r="B46" i="51"/>
  <c r="E45" i="51"/>
  <c r="D45" i="51"/>
  <c r="B45" i="51"/>
  <c r="E44" i="51"/>
  <c r="D44" i="51"/>
  <c r="B44" i="51"/>
  <c r="E43" i="51"/>
  <c r="D43" i="51"/>
  <c r="B43" i="51"/>
  <c r="E42" i="51"/>
  <c r="D42" i="51"/>
  <c r="B42" i="51"/>
  <c r="E41" i="51"/>
  <c r="D41" i="51"/>
  <c r="B41" i="51"/>
  <c r="E40" i="51"/>
  <c r="D40" i="51"/>
  <c r="B40" i="51"/>
  <c r="E39" i="51"/>
  <c r="D39" i="51"/>
  <c r="B39" i="51"/>
  <c r="E38" i="51"/>
  <c r="D38" i="51"/>
  <c r="B38" i="51"/>
  <c r="E37" i="51"/>
  <c r="D37" i="51"/>
  <c r="B37" i="51"/>
  <c r="E36" i="51"/>
  <c r="D36" i="51"/>
  <c r="B36" i="51"/>
  <c r="E35" i="51"/>
  <c r="D35" i="51"/>
  <c r="B35" i="51"/>
  <c r="E34" i="51"/>
  <c r="D34" i="51"/>
  <c r="B34" i="51"/>
  <c r="E33" i="51"/>
  <c r="D33" i="51"/>
  <c r="B33" i="51"/>
  <c r="E32" i="51"/>
  <c r="D32" i="51"/>
  <c r="B32" i="51"/>
  <c r="E31" i="51"/>
  <c r="D31" i="51"/>
  <c r="B31" i="51"/>
  <c r="E30" i="51"/>
  <c r="D30" i="51"/>
  <c r="B30" i="51"/>
  <c r="E29" i="51"/>
  <c r="D29" i="51"/>
  <c r="B29" i="51"/>
  <c r="E28" i="51"/>
  <c r="D28" i="51"/>
  <c r="B28" i="51"/>
  <c r="E27" i="51"/>
  <c r="D27" i="51"/>
  <c r="B27" i="51"/>
  <c r="E26" i="51"/>
  <c r="D26" i="51"/>
  <c r="B26" i="51"/>
  <c r="E25" i="51"/>
  <c r="D25" i="51"/>
  <c r="B25" i="51"/>
  <c r="E24" i="51"/>
  <c r="D24" i="51"/>
  <c r="B24" i="51"/>
  <c r="E23" i="51"/>
  <c r="D23" i="51"/>
  <c r="B23" i="51"/>
  <c r="E22" i="51"/>
  <c r="D22" i="51"/>
  <c r="B22" i="51"/>
  <c r="E21" i="51"/>
  <c r="D21" i="51"/>
  <c r="B21" i="51"/>
  <c r="E20" i="51"/>
  <c r="D20" i="51"/>
  <c r="B20" i="51"/>
  <c r="E19" i="51"/>
  <c r="D19" i="51"/>
  <c r="B19" i="51"/>
  <c r="E18" i="51"/>
  <c r="D18" i="51"/>
  <c r="B18" i="51"/>
  <c r="E17" i="51"/>
  <c r="D17" i="51"/>
  <c r="B17" i="51"/>
  <c r="E16" i="51"/>
  <c r="D16" i="51"/>
  <c r="B16" i="51"/>
  <c r="E15" i="51"/>
  <c r="D15" i="51"/>
  <c r="B15" i="51"/>
  <c r="E14" i="51"/>
  <c r="D14" i="51"/>
  <c r="B14" i="51"/>
  <c r="E13" i="51"/>
  <c r="D13" i="51"/>
  <c r="B13" i="51"/>
  <c r="E12" i="51"/>
  <c r="D12" i="51"/>
  <c r="B12" i="51"/>
  <c r="E11" i="51"/>
  <c r="D11" i="51"/>
  <c r="B11" i="51"/>
  <c r="E10" i="51"/>
  <c r="D10" i="51"/>
  <c r="B10" i="51"/>
  <c r="E9" i="51"/>
  <c r="D9" i="51"/>
  <c r="B9" i="51"/>
  <c r="E8" i="51"/>
  <c r="D8" i="51"/>
  <c r="B8" i="51"/>
  <c r="E7" i="51"/>
  <c r="D7" i="51"/>
  <c r="B7" i="51"/>
  <c r="E6" i="51"/>
  <c r="D6" i="51"/>
  <c r="B6" i="51"/>
  <c r="E5" i="51"/>
  <c r="D5" i="51"/>
  <c r="B5" i="51"/>
  <c r="E4" i="51"/>
  <c r="D4" i="51"/>
  <c r="B4" i="51"/>
  <c r="E11" i="36"/>
  <c r="D11" i="36"/>
  <c r="B11" i="36"/>
  <c r="E10" i="36"/>
  <c r="D10" i="36"/>
  <c r="B10" i="36"/>
  <c r="E9" i="36"/>
  <c r="D9" i="36"/>
  <c r="B9" i="36"/>
  <c r="E8" i="36"/>
  <c r="D8" i="36"/>
  <c r="B8" i="36"/>
  <c r="E7" i="36"/>
  <c r="D7" i="36"/>
  <c r="B7" i="36"/>
  <c r="E6" i="36"/>
  <c r="D6" i="36"/>
  <c r="B6" i="36"/>
  <c r="E5" i="36"/>
  <c r="D5" i="36"/>
  <c r="B5" i="36"/>
  <c r="E4" i="36"/>
  <c r="D4" i="36"/>
  <c r="B4" i="36"/>
  <c r="E9" i="35"/>
  <c r="D9" i="35"/>
  <c r="B9" i="35"/>
  <c r="E8" i="35"/>
  <c r="D8" i="35"/>
  <c r="B8" i="35"/>
  <c r="E7" i="35"/>
  <c r="D7" i="35"/>
  <c r="B7" i="35"/>
  <c r="E6" i="35"/>
  <c r="D6" i="35"/>
  <c r="B6" i="35"/>
  <c r="E5" i="35"/>
  <c r="D5" i="35"/>
  <c r="B5" i="35"/>
  <c r="E4" i="35"/>
  <c r="D4" i="35"/>
  <c r="B4" i="35"/>
  <c r="E23" i="34"/>
  <c r="D23" i="34"/>
  <c r="B23" i="34"/>
  <c r="E22" i="34"/>
  <c r="D22" i="34"/>
  <c r="B22" i="34"/>
  <c r="E21" i="34"/>
  <c r="D21" i="34"/>
  <c r="B21" i="34"/>
  <c r="E20" i="34"/>
  <c r="D20" i="34"/>
  <c r="B20" i="34"/>
  <c r="E19" i="34"/>
  <c r="D19" i="34"/>
  <c r="B19" i="34"/>
  <c r="E18" i="34"/>
  <c r="D18" i="34"/>
  <c r="B18" i="34"/>
  <c r="E17" i="34"/>
  <c r="D17" i="34"/>
  <c r="B17" i="34"/>
  <c r="E16" i="34"/>
  <c r="D16" i="34"/>
  <c r="B16" i="34"/>
  <c r="E15" i="34"/>
  <c r="D15" i="34"/>
  <c r="B15" i="34"/>
  <c r="E14" i="34"/>
  <c r="D14" i="34"/>
  <c r="B14" i="34"/>
  <c r="E13" i="34"/>
  <c r="D13" i="34"/>
  <c r="B13" i="34"/>
  <c r="E12" i="34"/>
  <c r="D12" i="34"/>
  <c r="B12" i="34"/>
  <c r="E11" i="34"/>
  <c r="D11" i="34"/>
  <c r="B11" i="34"/>
  <c r="E10" i="34"/>
  <c r="D10" i="34"/>
  <c r="B10" i="34"/>
  <c r="E9" i="34"/>
  <c r="D9" i="34"/>
  <c r="B9" i="34"/>
  <c r="E8" i="34"/>
  <c r="D8" i="34"/>
  <c r="B8" i="34"/>
  <c r="E7" i="34"/>
  <c r="D7" i="34"/>
  <c r="B7" i="34"/>
  <c r="E6" i="34"/>
  <c r="D6" i="34"/>
  <c r="B6" i="34"/>
  <c r="E5" i="34"/>
  <c r="D5" i="34"/>
  <c r="B5" i="34"/>
  <c r="E4" i="34"/>
  <c r="D4" i="34"/>
  <c r="B4" i="34"/>
  <c r="E18" i="50"/>
  <c r="D18" i="50"/>
  <c r="B18" i="50"/>
  <c r="E17" i="50"/>
  <c r="D17" i="50"/>
  <c r="B17" i="50"/>
  <c r="E16" i="50"/>
  <c r="D16" i="50"/>
  <c r="B16" i="50"/>
  <c r="E15" i="50"/>
  <c r="D15" i="50"/>
  <c r="B15" i="50"/>
  <c r="E14" i="50"/>
  <c r="D14" i="50"/>
  <c r="B14" i="50"/>
  <c r="E13" i="50"/>
  <c r="D13" i="50"/>
  <c r="B13" i="50"/>
  <c r="E12" i="50"/>
  <c r="D12" i="50"/>
  <c r="B12" i="50"/>
  <c r="E11" i="50"/>
  <c r="D11" i="50"/>
  <c r="B11" i="50"/>
  <c r="E10" i="50"/>
  <c r="D10" i="50"/>
  <c r="B10" i="50"/>
  <c r="E9" i="50"/>
  <c r="D9" i="50"/>
  <c r="B9" i="50"/>
  <c r="E8" i="50"/>
  <c r="D8" i="50"/>
  <c r="B8" i="50"/>
  <c r="E7" i="50"/>
  <c r="D7" i="50"/>
  <c r="B7" i="50"/>
  <c r="E6" i="50"/>
  <c r="D6" i="50"/>
  <c r="B6" i="50"/>
  <c r="E5" i="50"/>
  <c r="D5" i="50"/>
  <c r="B5" i="50"/>
  <c r="E4" i="50"/>
  <c r="D4" i="50"/>
  <c r="B4" i="50"/>
  <c r="E16" i="33"/>
  <c r="D16" i="33"/>
  <c r="B16" i="33"/>
  <c r="E15" i="33"/>
  <c r="D15" i="33"/>
  <c r="B15" i="33"/>
  <c r="E14" i="33"/>
  <c r="D14" i="33"/>
  <c r="B14" i="33"/>
  <c r="E13" i="33"/>
  <c r="D13" i="33"/>
  <c r="B13" i="33"/>
  <c r="E12" i="33"/>
  <c r="D12" i="33"/>
  <c r="B12" i="33"/>
  <c r="E11" i="33"/>
  <c r="D11" i="33"/>
  <c r="B11" i="33"/>
  <c r="E10" i="33"/>
  <c r="D10" i="33"/>
  <c r="B10" i="33"/>
  <c r="E9" i="33"/>
  <c r="D9" i="33"/>
  <c r="B9" i="33"/>
  <c r="E8" i="33"/>
  <c r="D8" i="33"/>
  <c r="B8" i="33"/>
  <c r="E7" i="33"/>
  <c r="D7" i="33"/>
  <c r="B7" i="33"/>
  <c r="E6" i="33"/>
  <c r="D6" i="33"/>
  <c r="B6" i="33"/>
  <c r="E5" i="33"/>
  <c r="D5" i="33"/>
  <c r="B5" i="33"/>
  <c r="E4" i="33"/>
  <c r="D4" i="33"/>
  <c r="B4" i="33"/>
  <c r="E8" i="49"/>
  <c r="D8" i="49"/>
  <c r="B8" i="49"/>
  <c r="E7" i="49"/>
  <c r="D7" i="49"/>
  <c r="B7" i="49"/>
  <c r="E6" i="49"/>
  <c r="D6" i="49"/>
  <c r="B6" i="49"/>
  <c r="E5" i="49"/>
  <c r="D5" i="49"/>
  <c r="B5" i="49"/>
  <c r="E4" i="49"/>
  <c r="D4" i="49"/>
  <c r="B4" i="49"/>
  <c r="E7" i="48"/>
  <c r="D7" i="48"/>
  <c r="B7" i="48"/>
  <c r="E6" i="48"/>
  <c r="D6" i="48"/>
  <c r="B6" i="48"/>
  <c r="E5" i="48"/>
  <c r="D5" i="48"/>
  <c r="B5" i="48"/>
  <c r="E4" i="48"/>
  <c r="D4" i="48"/>
  <c r="B4" i="48"/>
  <c r="E99" i="47"/>
  <c r="D99" i="47"/>
  <c r="B99" i="47"/>
  <c r="E98" i="47"/>
  <c r="D98" i="47"/>
  <c r="B98" i="47"/>
  <c r="E97" i="47"/>
  <c r="D97" i="47"/>
  <c r="B97" i="47"/>
  <c r="E96" i="47"/>
  <c r="D96" i="47"/>
  <c r="B96" i="47"/>
  <c r="E95" i="47"/>
  <c r="D95" i="47"/>
  <c r="B95" i="47"/>
  <c r="E94" i="47"/>
  <c r="D94" i="47"/>
  <c r="B94" i="47"/>
  <c r="E93" i="47"/>
  <c r="D93" i="47"/>
  <c r="B93" i="47"/>
  <c r="E92" i="47"/>
  <c r="D92" i="47"/>
  <c r="B92" i="47"/>
  <c r="E91" i="47"/>
  <c r="D91" i="47"/>
  <c r="B91" i="47"/>
  <c r="E90" i="47"/>
  <c r="D90" i="47"/>
  <c r="B90" i="47"/>
  <c r="E89" i="47"/>
  <c r="D89" i="47"/>
  <c r="B89" i="47"/>
  <c r="E88" i="47"/>
  <c r="D88" i="47"/>
  <c r="B88" i="47"/>
  <c r="E87" i="47"/>
  <c r="D87" i="47"/>
  <c r="B87" i="47"/>
  <c r="E86" i="47"/>
  <c r="D86" i="47"/>
  <c r="B86" i="47"/>
  <c r="E85" i="47"/>
  <c r="D85" i="47"/>
  <c r="B85" i="47"/>
  <c r="E84" i="47"/>
  <c r="D84" i="47"/>
  <c r="B84" i="47"/>
  <c r="E83" i="47"/>
  <c r="D83" i="47"/>
  <c r="B83" i="47"/>
  <c r="E82" i="47"/>
  <c r="D82" i="47"/>
  <c r="B82" i="47"/>
  <c r="E81" i="47"/>
  <c r="D81" i="47"/>
  <c r="B81" i="47"/>
  <c r="E80" i="47"/>
  <c r="D80" i="47"/>
  <c r="B80" i="47"/>
  <c r="E79" i="47"/>
  <c r="D79" i="47"/>
  <c r="B79" i="47"/>
  <c r="E78" i="47"/>
  <c r="D78" i="47"/>
  <c r="B78" i="47"/>
  <c r="E77" i="47"/>
  <c r="D77" i="47"/>
  <c r="B77" i="47"/>
  <c r="E76" i="47"/>
  <c r="D76" i="47"/>
  <c r="B76" i="47"/>
  <c r="E75" i="47"/>
  <c r="D75" i="47"/>
  <c r="B75" i="47"/>
  <c r="E74" i="47"/>
  <c r="D74" i="47"/>
  <c r="B74" i="47"/>
  <c r="E73" i="47"/>
  <c r="D73" i="47"/>
  <c r="B73" i="47"/>
  <c r="E72" i="47"/>
  <c r="D72" i="47"/>
  <c r="B72" i="47"/>
  <c r="E71" i="47"/>
  <c r="D71" i="47"/>
  <c r="B71" i="47"/>
  <c r="E70" i="47"/>
  <c r="D70" i="47"/>
  <c r="B70" i="47"/>
  <c r="E69" i="47"/>
  <c r="D69" i="47"/>
  <c r="B69" i="47"/>
  <c r="E68" i="47"/>
  <c r="D68" i="47"/>
  <c r="B68" i="47"/>
  <c r="E67" i="47"/>
  <c r="D67" i="47"/>
  <c r="B67" i="47"/>
  <c r="E66" i="47"/>
  <c r="D66" i="47"/>
  <c r="B66" i="47"/>
  <c r="E65" i="47"/>
  <c r="D65" i="47"/>
  <c r="B65" i="47"/>
  <c r="E64" i="47"/>
  <c r="D64" i="47"/>
  <c r="B64" i="47"/>
  <c r="E63" i="47"/>
  <c r="D63" i="47"/>
  <c r="B63" i="47"/>
  <c r="E62" i="47"/>
  <c r="D62" i="47"/>
  <c r="B62" i="47"/>
  <c r="E61" i="47"/>
  <c r="D61" i="47"/>
  <c r="B61" i="47"/>
  <c r="E60" i="47"/>
  <c r="D60" i="47"/>
  <c r="B60" i="47"/>
  <c r="E59" i="47"/>
  <c r="D59" i="47"/>
  <c r="B59" i="47"/>
  <c r="E58" i="47"/>
  <c r="D58" i="47"/>
  <c r="B58" i="47"/>
  <c r="E57" i="47"/>
  <c r="D57" i="47"/>
  <c r="B57" i="47"/>
  <c r="E56" i="47"/>
  <c r="D56" i="47"/>
  <c r="B56" i="47"/>
  <c r="E55" i="47"/>
  <c r="D55" i="47"/>
  <c r="B55" i="47"/>
  <c r="E54" i="47"/>
  <c r="D54" i="47"/>
  <c r="B54" i="47"/>
  <c r="E53" i="47"/>
  <c r="D53" i="47"/>
  <c r="B53" i="47"/>
  <c r="E52" i="47"/>
  <c r="D52" i="47"/>
  <c r="B52" i="47"/>
  <c r="E51" i="47"/>
  <c r="D51" i="47"/>
  <c r="B51" i="47"/>
  <c r="E50" i="47"/>
  <c r="D50" i="47"/>
  <c r="B50" i="47"/>
  <c r="E49" i="47"/>
  <c r="D49" i="47"/>
  <c r="B49" i="47"/>
  <c r="E48" i="47"/>
  <c r="D48" i="47"/>
  <c r="B48" i="47"/>
  <c r="E47" i="47"/>
  <c r="D47" i="47"/>
  <c r="B47" i="47"/>
  <c r="E46" i="47"/>
  <c r="D46" i="47"/>
  <c r="B46" i="47"/>
  <c r="E45" i="47"/>
  <c r="D45" i="47"/>
  <c r="B45" i="47"/>
  <c r="E44" i="47"/>
  <c r="D44" i="47"/>
  <c r="B44" i="47"/>
  <c r="E43" i="47"/>
  <c r="D43" i="47"/>
  <c r="B43" i="47"/>
  <c r="E42" i="47"/>
  <c r="D42" i="47"/>
  <c r="B42" i="47"/>
  <c r="E41" i="47"/>
  <c r="D41" i="47"/>
  <c r="B41" i="47"/>
  <c r="E40" i="47"/>
  <c r="D40" i="47"/>
  <c r="B40" i="47"/>
  <c r="E39" i="47"/>
  <c r="D39" i="47"/>
  <c r="B39" i="47"/>
  <c r="E38" i="47"/>
  <c r="D38" i="47"/>
  <c r="B38" i="47"/>
  <c r="E37" i="47"/>
  <c r="D37" i="47"/>
  <c r="B37" i="47"/>
  <c r="E36" i="47"/>
  <c r="D36" i="47"/>
  <c r="B36" i="47"/>
  <c r="E35" i="47"/>
  <c r="D35" i="47"/>
  <c r="B35" i="47"/>
  <c r="E34" i="47"/>
  <c r="D34" i="47"/>
  <c r="B34" i="47"/>
  <c r="E33" i="47"/>
  <c r="D33" i="47"/>
  <c r="B33" i="47"/>
  <c r="E32" i="47"/>
  <c r="D32" i="47"/>
  <c r="B32" i="47"/>
  <c r="E31" i="47"/>
  <c r="D31" i="47"/>
  <c r="B31" i="47"/>
  <c r="E30" i="47"/>
  <c r="D30" i="47"/>
  <c r="B30" i="47"/>
  <c r="E29" i="47"/>
  <c r="D29" i="47"/>
  <c r="B29" i="47"/>
  <c r="E28" i="47"/>
  <c r="D28" i="47"/>
  <c r="B28" i="47"/>
  <c r="E27" i="47"/>
  <c r="D27" i="47"/>
  <c r="B27" i="47"/>
  <c r="E26" i="47"/>
  <c r="D26" i="47"/>
  <c r="B26" i="47"/>
  <c r="E25" i="47"/>
  <c r="D25" i="47"/>
  <c r="B25" i="47"/>
  <c r="E24" i="47"/>
  <c r="D24" i="47"/>
  <c r="B24" i="47"/>
  <c r="E23" i="47"/>
  <c r="D23" i="47"/>
  <c r="B23" i="47"/>
  <c r="E22" i="47"/>
  <c r="D22" i="47"/>
  <c r="B22" i="47"/>
  <c r="E21" i="47"/>
  <c r="D21" i="47"/>
  <c r="B21" i="47"/>
  <c r="E20" i="47"/>
  <c r="D20" i="47"/>
  <c r="B20" i="47"/>
  <c r="E19" i="47"/>
  <c r="D19" i="47"/>
  <c r="B19" i="47"/>
  <c r="E18" i="47"/>
  <c r="D18" i="47"/>
  <c r="B18" i="47"/>
  <c r="E17" i="47"/>
  <c r="D17" i="47"/>
  <c r="B17" i="47"/>
  <c r="E16" i="47"/>
  <c r="D16" i="47"/>
  <c r="B16" i="47"/>
  <c r="E15" i="47"/>
  <c r="D15" i="47"/>
  <c r="B15" i="47"/>
  <c r="E14" i="47"/>
  <c r="D14" i="47"/>
  <c r="B14" i="47"/>
  <c r="E13" i="47"/>
  <c r="D13" i="47"/>
  <c r="B13" i="47"/>
  <c r="E12" i="47"/>
  <c r="D12" i="47"/>
  <c r="B12" i="47"/>
  <c r="E11" i="47"/>
  <c r="D11" i="47"/>
  <c r="B11" i="47"/>
  <c r="E10" i="47"/>
  <c r="D10" i="47"/>
  <c r="B10" i="47"/>
  <c r="E9" i="47"/>
  <c r="D9" i="47"/>
  <c r="B9" i="47"/>
  <c r="E8" i="47"/>
  <c r="D8" i="47"/>
  <c r="B8" i="47"/>
  <c r="E7" i="47"/>
  <c r="D7" i="47"/>
  <c r="B7" i="47"/>
  <c r="E6" i="47"/>
  <c r="D6" i="47"/>
  <c r="B6" i="47"/>
  <c r="E5" i="47"/>
  <c r="D5" i="47"/>
  <c r="B5" i="47"/>
  <c r="E4" i="47"/>
  <c r="D4" i="47"/>
  <c r="B4" i="47"/>
  <c r="E42" i="31"/>
  <c r="D42" i="31"/>
  <c r="B42" i="31"/>
  <c r="E41" i="31"/>
  <c r="D41" i="31"/>
  <c r="B41" i="31"/>
  <c r="E40" i="31"/>
  <c r="D40" i="31"/>
  <c r="B40" i="31"/>
  <c r="E39" i="31"/>
  <c r="D39" i="31"/>
  <c r="B39" i="31"/>
  <c r="E38" i="31"/>
  <c r="D38" i="31"/>
  <c r="B38" i="31"/>
  <c r="E37" i="31"/>
  <c r="D37" i="31"/>
  <c r="B37" i="31"/>
  <c r="E36" i="31"/>
  <c r="D36" i="31"/>
  <c r="B36" i="31"/>
  <c r="E35" i="31"/>
  <c r="D35" i="31"/>
  <c r="B35" i="31"/>
  <c r="E34" i="31"/>
  <c r="D34" i="31"/>
  <c r="B34" i="31"/>
  <c r="E33" i="31"/>
  <c r="D33" i="31"/>
  <c r="B33" i="31"/>
  <c r="E32" i="31"/>
  <c r="D32" i="31"/>
  <c r="B32" i="31"/>
  <c r="E31" i="31"/>
  <c r="D31" i="31"/>
  <c r="B31" i="31"/>
  <c r="E30" i="31"/>
  <c r="D30" i="31"/>
  <c r="B30" i="31"/>
  <c r="E29" i="31"/>
  <c r="D29" i="31"/>
  <c r="B29" i="31"/>
  <c r="E28" i="31"/>
  <c r="D28" i="31"/>
  <c r="B28" i="31"/>
  <c r="E27" i="31"/>
  <c r="D27" i="31"/>
  <c r="B27" i="31"/>
  <c r="E26" i="31"/>
  <c r="D26" i="31"/>
  <c r="B26" i="31"/>
  <c r="E25" i="31"/>
  <c r="D25" i="31"/>
  <c r="B25" i="31"/>
  <c r="E24" i="31"/>
  <c r="D24" i="31"/>
  <c r="B24" i="31"/>
  <c r="E23" i="31"/>
  <c r="D23" i="31"/>
  <c r="B23" i="31"/>
  <c r="E22" i="31"/>
  <c r="D22" i="31"/>
  <c r="B22" i="31"/>
  <c r="E21" i="31"/>
  <c r="D21" i="31"/>
  <c r="B21" i="31"/>
  <c r="E20" i="31"/>
  <c r="D20" i="31"/>
  <c r="B20" i="31"/>
  <c r="E19" i="31"/>
  <c r="D19" i="31"/>
  <c r="B19" i="31"/>
  <c r="E18" i="31"/>
  <c r="D18" i="31"/>
  <c r="B18" i="31"/>
  <c r="E17" i="31"/>
  <c r="D17" i="31"/>
  <c r="B17" i="31"/>
  <c r="E16" i="31"/>
  <c r="D16" i="31"/>
  <c r="B16" i="31"/>
  <c r="E15" i="31"/>
  <c r="D15" i="31"/>
  <c r="B15" i="31"/>
  <c r="E14" i="31"/>
  <c r="D14" i="31"/>
  <c r="B14" i="31"/>
  <c r="E13" i="31"/>
  <c r="D13" i="31"/>
  <c r="B13" i="31"/>
  <c r="E12" i="31"/>
  <c r="D12" i="31"/>
  <c r="B12" i="31"/>
  <c r="E11" i="31"/>
  <c r="D11" i="31"/>
  <c r="B11" i="31"/>
  <c r="E10" i="31"/>
  <c r="D10" i="31"/>
  <c r="B10" i="31"/>
  <c r="E9" i="31"/>
  <c r="D9" i="31"/>
  <c r="B9" i="31"/>
  <c r="E8" i="31"/>
  <c r="D8" i="31"/>
  <c r="B8" i="31"/>
  <c r="E7" i="31"/>
  <c r="D7" i="31"/>
  <c r="B7" i="31"/>
  <c r="E6" i="31"/>
  <c r="D6" i="31"/>
  <c r="B6" i="31"/>
  <c r="E5" i="31"/>
  <c r="D5" i="31"/>
  <c r="B5" i="31"/>
  <c r="E4" i="31"/>
  <c r="D4" i="31"/>
  <c r="B4" i="31"/>
  <c r="E486" i="46"/>
  <c r="D486" i="46"/>
  <c r="B486" i="46"/>
  <c r="E485" i="46"/>
  <c r="D485" i="46"/>
  <c r="B485" i="46"/>
  <c r="E484" i="46"/>
  <c r="D484" i="46"/>
  <c r="B484" i="46"/>
  <c r="E483" i="46"/>
  <c r="D483" i="46"/>
  <c r="B483" i="46"/>
  <c r="E482" i="46"/>
  <c r="D482" i="46"/>
  <c r="B482" i="46"/>
  <c r="E481" i="46"/>
  <c r="D481" i="46"/>
  <c r="B481" i="46"/>
  <c r="E480" i="46"/>
  <c r="D480" i="46"/>
  <c r="B480" i="46"/>
  <c r="E479" i="46"/>
  <c r="D479" i="46"/>
  <c r="B479" i="46"/>
  <c r="E478" i="46"/>
  <c r="D478" i="46"/>
  <c r="B478" i="46"/>
  <c r="E477" i="46"/>
  <c r="D477" i="46"/>
  <c r="B477" i="46"/>
  <c r="E476" i="46"/>
  <c r="D476" i="46"/>
  <c r="B476" i="46"/>
  <c r="E475" i="46"/>
  <c r="D475" i="46"/>
  <c r="B475" i="46"/>
  <c r="E474" i="46"/>
  <c r="D474" i="46"/>
  <c r="B474" i="46"/>
  <c r="E473" i="46"/>
  <c r="D473" i="46"/>
  <c r="B473" i="46"/>
  <c r="E472" i="46"/>
  <c r="D472" i="46"/>
  <c r="B472" i="46"/>
  <c r="E471" i="46"/>
  <c r="D471" i="46"/>
  <c r="B471" i="46"/>
  <c r="E470" i="46"/>
  <c r="D470" i="46"/>
  <c r="B470" i="46"/>
  <c r="E469" i="46"/>
  <c r="D469" i="46"/>
  <c r="B469" i="46"/>
  <c r="E468" i="46"/>
  <c r="D468" i="46"/>
  <c r="B468" i="46"/>
  <c r="E467" i="46"/>
  <c r="D467" i="46"/>
  <c r="B467" i="46"/>
  <c r="E466" i="46"/>
  <c r="D466" i="46"/>
  <c r="B466" i="46"/>
  <c r="E465" i="46"/>
  <c r="D465" i="46"/>
  <c r="B465" i="46"/>
  <c r="E464" i="46"/>
  <c r="D464" i="46"/>
  <c r="B464" i="46"/>
  <c r="E463" i="46"/>
  <c r="D463" i="46"/>
  <c r="B463" i="46"/>
  <c r="E462" i="46"/>
  <c r="D462" i="46"/>
  <c r="B462" i="46"/>
  <c r="E461" i="46"/>
  <c r="D461" i="46"/>
  <c r="B461" i="46"/>
  <c r="E460" i="46"/>
  <c r="D460" i="46"/>
  <c r="B460" i="46"/>
  <c r="E459" i="46"/>
  <c r="D459" i="46"/>
  <c r="B459" i="46"/>
  <c r="E458" i="46"/>
  <c r="D458" i="46"/>
  <c r="B458" i="46"/>
  <c r="E457" i="46"/>
  <c r="D457" i="46"/>
  <c r="B457" i="46"/>
  <c r="E456" i="46"/>
  <c r="D456" i="46"/>
  <c r="B456" i="46"/>
  <c r="E455" i="46"/>
  <c r="D455" i="46"/>
  <c r="B455" i="46"/>
  <c r="E454" i="46"/>
  <c r="D454" i="46"/>
  <c r="B454" i="46"/>
  <c r="E453" i="46"/>
  <c r="D453" i="46"/>
  <c r="B453" i="46"/>
  <c r="E452" i="46"/>
  <c r="D452" i="46"/>
  <c r="B452" i="46"/>
  <c r="E451" i="46"/>
  <c r="D451" i="46"/>
  <c r="B451" i="46"/>
  <c r="E450" i="46"/>
  <c r="D450" i="46"/>
  <c r="B450" i="46"/>
  <c r="E449" i="46"/>
  <c r="D449" i="46"/>
  <c r="B449" i="46"/>
  <c r="E448" i="46"/>
  <c r="D448" i="46"/>
  <c r="B448" i="46"/>
  <c r="E447" i="46"/>
  <c r="D447" i="46"/>
  <c r="B447" i="46"/>
  <c r="E446" i="46"/>
  <c r="D446" i="46"/>
  <c r="B446" i="46"/>
  <c r="E445" i="46"/>
  <c r="D445" i="46"/>
  <c r="B445" i="46"/>
  <c r="E444" i="46"/>
  <c r="D444" i="46"/>
  <c r="B444" i="46"/>
  <c r="E443" i="46"/>
  <c r="D443" i="46"/>
  <c r="B443" i="46"/>
  <c r="E442" i="46"/>
  <c r="D442" i="46"/>
  <c r="B442" i="46"/>
  <c r="E441" i="46"/>
  <c r="D441" i="46"/>
  <c r="B441" i="46"/>
  <c r="E440" i="46"/>
  <c r="D440" i="46"/>
  <c r="B440" i="46"/>
  <c r="E439" i="46"/>
  <c r="D439" i="46"/>
  <c r="B439" i="46"/>
  <c r="E438" i="46"/>
  <c r="D438" i="46"/>
  <c r="B438" i="46"/>
  <c r="E437" i="46"/>
  <c r="D437" i="46"/>
  <c r="B437" i="46"/>
  <c r="E436" i="46"/>
  <c r="D436" i="46"/>
  <c r="B436" i="46"/>
  <c r="E435" i="46"/>
  <c r="D435" i="46"/>
  <c r="B435" i="46"/>
  <c r="E434" i="46"/>
  <c r="D434" i="46"/>
  <c r="B434" i="46"/>
  <c r="E433" i="46"/>
  <c r="D433" i="46"/>
  <c r="B433" i="46"/>
  <c r="E432" i="46"/>
  <c r="D432" i="46"/>
  <c r="B432" i="46"/>
  <c r="E431" i="46"/>
  <c r="D431" i="46"/>
  <c r="B431" i="46"/>
  <c r="E430" i="46"/>
  <c r="D430" i="46"/>
  <c r="B430" i="46"/>
  <c r="E429" i="46"/>
  <c r="D429" i="46"/>
  <c r="B429" i="46"/>
  <c r="E428" i="46"/>
  <c r="D428" i="46"/>
  <c r="B428" i="46"/>
  <c r="E427" i="46"/>
  <c r="D427" i="46"/>
  <c r="B427" i="46"/>
  <c r="E426" i="46"/>
  <c r="D426" i="46"/>
  <c r="B426" i="46"/>
  <c r="E425" i="46"/>
  <c r="D425" i="46"/>
  <c r="B425" i="46"/>
  <c r="E424" i="46"/>
  <c r="D424" i="46"/>
  <c r="B424" i="46"/>
  <c r="E423" i="46"/>
  <c r="D423" i="46"/>
  <c r="B423" i="46"/>
  <c r="E422" i="46"/>
  <c r="D422" i="46"/>
  <c r="B422" i="46"/>
  <c r="E421" i="46"/>
  <c r="D421" i="46"/>
  <c r="B421" i="46"/>
  <c r="E420" i="46"/>
  <c r="D420" i="46"/>
  <c r="B420" i="46"/>
  <c r="E419" i="46"/>
  <c r="D419" i="46"/>
  <c r="B419" i="46"/>
  <c r="E418" i="46"/>
  <c r="D418" i="46"/>
  <c r="B418" i="46"/>
  <c r="E417" i="46"/>
  <c r="D417" i="46"/>
  <c r="B417" i="46"/>
  <c r="E416" i="46"/>
  <c r="D416" i="46"/>
  <c r="B416" i="46"/>
  <c r="E415" i="46"/>
  <c r="D415" i="46"/>
  <c r="B415" i="46"/>
  <c r="E414" i="46"/>
  <c r="D414" i="46"/>
  <c r="B414" i="46"/>
  <c r="E413" i="46"/>
  <c r="D413" i="46"/>
  <c r="B413" i="46"/>
  <c r="E412" i="46"/>
  <c r="D412" i="46"/>
  <c r="B412" i="46"/>
  <c r="E411" i="46"/>
  <c r="D411" i="46"/>
  <c r="B411" i="46"/>
  <c r="E410" i="46"/>
  <c r="D410" i="46"/>
  <c r="B410" i="46"/>
  <c r="E409" i="46"/>
  <c r="D409" i="46"/>
  <c r="B409" i="46"/>
  <c r="E408" i="46"/>
  <c r="D408" i="46"/>
  <c r="B408" i="46"/>
  <c r="E407" i="46"/>
  <c r="D407" i="46"/>
  <c r="B407" i="46"/>
  <c r="E406" i="46"/>
  <c r="D406" i="46"/>
  <c r="B406" i="46"/>
  <c r="E405" i="46"/>
  <c r="D405" i="46"/>
  <c r="B405" i="46"/>
  <c r="E404" i="46"/>
  <c r="D404" i="46"/>
  <c r="B404" i="46"/>
  <c r="E403" i="46"/>
  <c r="D403" i="46"/>
  <c r="B403" i="46"/>
  <c r="E402" i="46"/>
  <c r="D402" i="46"/>
  <c r="B402" i="46"/>
  <c r="E401" i="46"/>
  <c r="D401" i="46"/>
  <c r="B401" i="46"/>
  <c r="E400" i="46"/>
  <c r="D400" i="46"/>
  <c r="B400" i="46"/>
  <c r="E399" i="46"/>
  <c r="D399" i="46"/>
  <c r="B399" i="46"/>
  <c r="E398" i="46"/>
  <c r="D398" i="46"/>
  <c r="B398" i="46"/>
  <c r="E397" i="46"/>
  <c r="D397" i="46"/>
  <c r="B397" i="46"/>
  <c r="E396" i="46"/>
  <c r="D396" i="46"/>
  <c r="B396" i="46"/>
  <c r="E395" i="46"/>
  <c r="D395" i="46"/>
  <c r="B395" i="46"/>
  <c r="E394" i="46"/>
  <c r="D394" i="46"/>
  <c r="B394" i="46"/>
  <c r="E393" i="46"/>
  <c r="D393" i="46"/>
  <c r="B393" i="46"/>
  <c r="E392" i="46"/>
  <c r="D392" i="46"/>
  <c r="B392" i="46"/>
  <c r="E391" i="46"/>
  <c r="D391" i="46"/>
  <c r="B391" i="46"/>
  <c r="E390" i="46"/>
  <c r="D390" i="46"/>
  <c r="B390" i="46"/>
  <c r="E389" i="46"/>
  <c r="D389" i="46"/>
  <c r="B389" i="46"/>
  <c r="E388" i="46"/>
  <c r="D388" i="46"/>
  <c r="B388" i="46"/>
  <c r="E387" i="46"/>
  <c r="D387" i="46"/>
  <c r="B387" i="46"/>
  <c r="E386" i="46"/>
  <c r="D386" i="46"/>
  <c r="B386" i="46"/>
  <c r="E385" i="46"/>
  <c r="D385" i="46"/>
  <c r="B385" i="46"/>
  <c r="E384" i="46"/>
  <c r="D384" i="46"/>
  <c r="B384" i="46"/>
  <c r="E383" i="46"/>
  <c r="D383" i="46"/>
  <c r="B383" i="46"/>
  <c r="E382" i="46"/>
  <c r="D382" i="46"/>
  <c r="B382" i="46"/>
  <c r="E381" i="46"/>
  <c r="D381" i="46"/>
  <c r="B381" i="46"/>
  <c r="E380" i="46"/>
  <c r="D380" i="46"/>
  <c r="B380" i="46"/>
  <c r="E379" i="46"/>
  <c r="D379" i="46"/>
  <c r="B379" i="46"/>
  <c r="E378" i="46"/>
  <c r="D378" i="46"/>
  <c r="B378" i="46"/>
  <c r="E377" i="46"/>
  <c r="D377" i="46"/>
  <c r="B377" i="46"/>
  <c r="E376" i="46"/>
  <c r="D376" i="46"/>
  <c r="B376" i="46"/>
  <c r="E375" i="46"/>
  <c r="D375" i="46"/>
  <c r="B375" i="46"/>
  <c r="E374" i="46"/>
  <c r="D374" i="46"/>
  <c r="B374" i="46"/>
  <c r="E373" i="46"/>
  <c r="D373" i="46"/>
  <c r="B373" i="46"/>
  <c r="E372" i="46"/>
  <c r="D372" i="46"/>
  <c r="B372" i="46"/>
  <c r="E371" i="46"/>
  <c r="D371" i="46"/>
  <c r="B371" i="46"/>
  <c r="E370" i="46"/>
  <c r="D370" i="46"/>
  <c r="B370" i="46"/>
  <c r="E369" i="46"/>
  <c r="D369" i="46"/>
  <c r="B369" i="46"/>
  <c r="E368" i="46"/>
  <c r="D368" i="46"/>
  <c r="B368" i="46"/>
  <c r="E367" i="46"/>
  <c r="D367" i="46"/>
  <c r="B367" i="46"/>
  <c r="E366" i="46"/>
  <c r="D366" i="46"/>
  <c r="B366" i="46"/>
  <c r="E365" i="46"/>
  <c r="D365" i="46"/>
  <c r="B365" i="46"/>
  <c r="E364" i="46"/>
  <c r="D364" i="46"/>
  <c r="B364" i="46"/>
  <c r="E363" i="46"/>
  <c r="D363" i="46"/>
  <c r="B363" i="46"/>
  <c r="E362" i="46"/>
  <c r="D362" i="46"/>
  <c r="B362" i="46"/>
  <c r="E361" i="46"/>
  <c r="D361" i="46"/>
  <c r="B361" i="46"/>
  <c r="E360" i="46"/>
  <c r="D360" i="46"/>
  <c r="B360" i="46"/>
  <c r="E359" i="46"/>
  <c r="D359" i="46"/>
  <c r="B359" i="46"/>
  <c r="E358" i="46"/>
  <c r="D358" i="46"/>
  <c r="B358" i="46"/>
  <c r="E357" i="46"/>
  <c r="D357" i="46"/>
  <c r="B357" i="46"/>
  <c r="E356" i="46"/>
  <c r="D356" i="46"/>
  <c r="B356" i="46"/>
  <c r="E355" i="46"/>
  <c r="D355" i="46"/>
  <c r="B355" i="46"/>
  <c r="E354" i="46"/>
  <c r="D354" i="46"/>
  <c r="B354" i="46"/>
  <c r="E353" i="46"/>
  <c r="D353" i="46"/>
  <c r="B353" i="46"/>
  <c r="E352" i="46"/>
  <c r="D352" i="46"/>
  <c r="B352" i="46"/>
  <c r="E351" i="46"/>
  <c r="D351" i="46"/>
  <c r="B351" i="46"/>
  <c r="E350" i="46"/>
  <c r="D350" i="46"/>
  <c r="B350" i="46"/>
  <c r="E349" i="46"/>
  <c r="D349" i="46"/>
  <c r="B349" i="46"/>
  <c r="E348" i="46"/>
  <c r="D348" i="46"/>
  <c r="B348" i="46"/>
  <c r="E347" i="46"/>
  <c r="D347" i="46"/>
  <c r="B347" i="46"/>
  <c r="E346" i="46"/>
  <c r="D346" i="46"/>
  <c r="B346" i="46"/>
  <c r="E345" i="46"/>
  <c r="D345" i="46"/>
  <c r="B345" i="46"/>
  <c r="E344" i="46"/>
  <c r="D344" i="46"/>
  <c r="B344" i="46"/>
  <c r="E343" i="46"/>
  <c r="D343" i="46"/>
  <c r="B343" i="46"/>
  <c r="E342" i="46"/>
  <c r="D342" i="46"/>
  <c r="B342" i="46"/>
  <c r="E341" i="46"/>
  <c r="D341" i="46"/>
  <c r="B341" i="46"/>
  <c r="E340" i="46"/>
  <c r="D340" i="46"/>
  <c r="B340" i="46"/>
  <c r="E339" i="46"/>
  <c r="D339" i="46"/>
  <c r="B339" i="46"/>
  <c r="E338" i="46"/>
  <c r="D338" i="46"/>
  <c r="B338" i="46"/>
  <c r="E337" i="46"/>
  <c r="D337" i="46"/>
  <c r="B337" i="46"/>
  <c r="E336" i="46"/>
  <c r="D336" i="46"/>
  <c r="B336" i="46"/>
  <c r="E335" i="46"/>
  <c r="D335" i="46"/>
  <c r="B335" i="46"/>
  <c r="E334" i="46"/>
  <c r="D334" i="46"/>
  <c r="B334" i="46"/>
  <c r="E333" i="46"/>
  <c r="D333" i="46"/>
  <c r="B333" i="46"/>
  <c r="E332" i="46"/>
  <c r="D332" i="46"/>
  <c r="B332" i="46"/>
  <c r="E331" i="46"/>
  <c r="D331" i="46"/>
  <c r="B331" i="46"/>
  <c r="E330" i="46"/>
  <c r="D330" i="46"/>
  <c r="B330" i="46"/>
  <c r="E329" i="46"/>
  <c r="D329" i="46"/>
  <c r="B329" i="46"/>
  <c r="E328" i="46"/>
  <c r="D328" i="46"/>
  <c r="B328" i="46"/>
  <c r="E327" i="46"/>
  <c r="D327" i="46"/>
  <c r="B327" i="46"/>
  <c r="E326" i="46"/>
  <c r="D326" i="46"/>
  <c r="B326" i="46"/>
  <c r="E325" i="46"/>
  <c r="D325" i="46"/>
  <c r="B325" i="46"/>
  <c r="E324" i="46"/>
  <c r="D324" i="46"/>
  <c r="B324" i="46"/>
  <c r="E323" i="46"/>
  <c r="D323" i="46"/>
  <c r="B323" i="46"/>
  <c r="E322" i="46"/>
  <c r="D322" i="46"/>
  <c r="B322" i="46"/>
  <c r="E321" i="46"/>
  <c r="D321" i="46"/>
  <c r="B321" i="46"/>
  <c r="E320" i="46"/>
  <c r="D320" i="46"/>
  <c r="B320" i="46"/>
  <c r="E319" i="46"/>
  <c r="D319" i="46"/>
  <c r="B319" i="46"/>
  <c r="E318" i="46"/>
  <c r="D318" i="46"/>
  <c r="B318" i="46"/>
  <c r="E317" i="46"/>
  <c r="D317" i="46"/>
  <c r="B317" i="46"/>
  <c r="E316" i="46"/>
  <c r="D316" i="46"/>
  <c r="B316" i="46"/>
  <c r="E315" i="46"/>
  <c r="D315" i="46"/>
  <c r="B315" i="46"/>
  <c r="E314" i="46"/>
  <c r="D314" i="46"/>
  <c r="B314" i="46"/>
  <c r="E313" i="46"/>
  <c r="D313" i="46"/>
  <c r="B313" i="46"/>
  <c r="E312" i="46"/>
  <c r="D312" i="46"/>
  <c r="B312" i="46"/>
  <c r="E311" i="46"/>
  <c r="D311" i="46"/>
  <c r="B311" i="46"/>
  <c r="E310" i="46"/>
  <c r="D310" i="46"/>
  <c r="B310" i="46"/>
  <c r="E309" i="46"/>
  <c r="D309" i="46"/>
  <c r="B309" i="46"/>
  <c r="E308" i="46"/>
  <c r="D308" i="46"/>
  <c r="B308" i="46"/>
  <c r="E307" i="46"/>
  <c r="D307" i="46"/>
  <c r="B307" i="46"/>
  <c r="E306" i="46"/>
  <c r="D306" i="46"/>
  <c r="B306" i="46"/>
  <c r="E305" i="46"/>
  <c r="D305" i="46"/>
  <c r="B305" i="46"/>
  <c r="E304" i="46"/>
  <c r="D304" i="46"/>
  <c r="B304" i="46"/>
  <c r="E303" i="46"/>
  <c r="D303" i="46"/>
  <c r="B303" i="46"/>
  <c r="E302" i="46"/>
  <c r="D302" i="46"/>
  <c r="B302" i="46"/>
  <c r="E301" i="46"/>
  <c r="D301" i="46"/>
  <c r="B301" i="46"/>
  <c r="E300" i="46"/>
  <c r="D300" i="46"/>
  <c r="B300" i="46"/>
  <c r="E299" i="46"/>
  <c r="D299" i="46"/>
  <c r="B299" i="46"/>
  <c r="E298" i="46"/>
  <c r="D298" i="46"/>
  <c r="B298" i="46"/>
  <c r="E297" i="46"/>
  <c r="D297" i="46"/>
  <c r="B297" i="46"/>
  <c r="E296" i="46"/>
  <c r="D296" i="46"/>
  <c r="B296" i="46"/>
  <c r="E295" i="46"/>
  <c r="D295" i="46"/>
  <c r="B295" i="46"/>
  <c r="E294" i="46"/>
  <c r="D294" i="46"/>
  <c r="B294" i="46"/>
  <c r="E293" i="46"/>
  <c r="D293" i="46"/>
  <c r="B293" i="46"/>
  <c r="E292" i="46"/>
  <c r="D292" i="46"/>
  <c r="B292" i="46"/>
  <c r="E291" i="46"/>
  <c r="D291" i="46"/>
  <c r="B291" i="46"/>
  <c r="E290" i="46"/>
  <c r="D290" i="46"/>
  <c r="B290" i="46"/>
  <c r="E289" i="46"/>
  <c r="D289" i="46"/>
  <c r="B289" i="46"/>
  <c r="E288" i="46"/>
  <c r="D288" i="46"/>
  <c r="B288" i="46"/>
  <c r="E287" i="46"/>
  <c r="D287" i="46"/>
  <c r="B287" i="46"/>
  <c r="E286" i="46"/>
  <c r="D286" i="46"/>
  <c r="B286" i="46"/>
  <c r="E285" i="46"/>
  <c r="D285" i="46"/>
  <c r="B285" i="46"/>
  <c r="E284" i="46"/>
  <c r="D284" i="46"/>
  <c r="B284" i="46"/>
  <c r="E283" i="46"/>
  <c r="D283" i="46"/>
  <c r="B283" i="46"/>
  <c r="E282" i="46"/>
  <c r="D282" i="46"/>
  <c r="B282" i="46"/>
  <c r="E281" i="46"/>
  <c r="D281" i="46"/>
  <c r="B281" i="46"/>
  <c r="E280" i="46"/>
  <c r="D280" i="46"/>
  <c r="B280" i="46"/>
  <c r="E279" i="46"/>
  <c r="D279" i="46"/>
  <c r="B279" i="46"/>
  <c r="E278" i="46"/>
  <c r="D278" i="46"/>
  <c r="B278" i="46"/>
  <c r="E277" i="46"/>
  <c r="D277" i="46"/>
  <c r="B277" i="46"/>
  <c r="E276" i="46"/>
  <c r="D276" i="46"/>
  <c r="B276" i="46"/>
  <c r="E275" i="46"/>
  <c r="D275" i="46"/>
  <c r="B275" i="46"/>
  <c r="E274" i="46"/>
  <c r="D274" i="46"/>
  <c r="B274" i="46"/>
  <c r="E273" i="46"/>
  <c r="D273" i="46"/>
  <c r="B273" i="46"/>
  <c r="E272" i="46"/>
  <c r="D272" i="46"/>
  <c r="B272" i="46"/>
  <c r="E271" i="46"/>
  <c r="D271" i="46"/>
  <c r="B271" i="46"/>
  <c r="E270" i="46"/>
  <c r="D270" i="46"/>
  <c r="B270" i="46"/>
  <c r="E269" i="46"/>
  <c r="D269" i="46"/>
  <c r="B269" i="46"/>
  <c r="E268" i="46"/>
  <c r="D268" i="46"/>
  <c r="B268" i="46"/>
  <c r="E267" i="46"/>
  <c r="D267" i="46"/>
  <c r="B267" i="46"/>
  <c r="E266" i="46"/>
  <c r="D266" i="46"/>
  <c r="B266" i="46"/>
  <c r="E265" i="46"/>
  <c r="D265" i="46"/>
  <c r="B265" i="46"/>
  <c r="E264" i="46"/>
  <c r="D264" i="46"/>
  <c r="B264" i="46"/>
  <c r="E263" i="46"/>
  <c r="D263" i="46"/>
  <c r="B263" i="46"/>
  <c r="E262" i="46"/>
  <c r="D262" i="46"/>
  <c r="B262" i="46"/>
  <c r="E261" i="46"/>
  <c r="D261" i="46"/>
  <c r="B261" i="46"/>
  <c r="E260" i="46"/>
  <c r="D260" i="46"/>
  <c r="B260" i="46"/>
  <c r="E259" i="46"/>
  <c r="D259" i="46"/>
  <c r="B259" i="46"/>
  <c r="E258" i="46"/>
  <c r="D258" i="46"/>
  <c r="B258" i="46"/>
  <c r="E257" i="46"/>
  <c r="D257" i="46"/>
  <c r="B257" i="46"/>
  <c r="E256" i="46"/>
  <c r="D256" i="46"/>
  <c r="B256" i="46"/>
  <c r="E255" i="46"/>
  <c r="D255" i="46"/>
  <c r="B255" i="46"/>
  <c r="E254" i="46"/>
  <c r="D254" i="46"/>
  <c r="B254" i="46"/>
  <c r="E253" i="46"/>
  <c r="D253" i="46"/>
  <c r="B253" i="46"/>
  <c r="E252" i="46"/>
  <c r="D252" i="46"/>
  <c r="B252" i="46"/>
  <c r="E251" i="46"/>
  <c r="D251" i="46"/>
  <c r="B251" i="46"/>
  <c r="E250" i="46"/>
  <c r="D250" i="46"/>
  <c r="B250" i="46"/>
  <c r="E249" i="46"/>
  <c r="D249" i="46"/>
  <c r="B249" i="46"/>
  <c r="E248" i="46"/>
  <c r="D248" i="46"/>
  <c r="B248" i="46"/>
  <c r="E247" i="46"/>
  <c r="D247" i="46"/>
  <c r="B247" i="46"/>
  <c r="E246" i="46"/>
  <c r="D246" i="46"/>
  <c r="B246" i="46"/>
  <c r="E245" i="46"/>
  <c r="D245" i="46"/>
  <c r="B245" i="46"/>
  <c r="E244" i="46"/>
  <c r="D244" i="46"/>
  <c r="B244" i="46"/>
  <c r="E243" i="46"/>
  <c r="D243" i="46"/>
  <c r="B243" i="46"/>
  <c r="E242" i="46"/>
  <c r="D242" i="46"/>
  <c r="B242" i="46"/>
  <c r="E241" i="46"/>
  <c r="D241" i="46"/>
  <c r="B241" i="46"/>
  <c r="E240" i="46"/>
  <c r="D240" i="46"/>
  <c r="B240" i="46"/>
  <c r="E239" i="46"/>
  <c r="D239" i="46"/>
  <c r="B239" i="46"/>
  <c r="E238" i="46"/>
  <c r="D238" i="46"/>
  <c r="B238" i="46"/>
  <c r="E237" i="46"/>
  <c r="D237" i="46"/>
  <c r="B237" i="46"/>
  <c r="E236" i="46"/>
  <c r="D236" i="46"/>
  <c r="B236" i="46"/>
  <c r="E235" i="46"/>
  <c r="D235" i="46"/>
  <c r="B235" i="46"/>
  <c r="E234" i="46"/>
  <c r="D234" i="46"/>
  <c r="B234" i="46"/>
  <c r="E233" i="46"/>
  <c r="D233" i="46"/>
  <c r="B233" i="46"/>
  <c r="E232" i="46"/>
  <c r="D232" i="46"/>
  <c r="B232" i="46"/>
  <c r="E231" i="46"/>
  <c r="D231" i="46"/>
  <c r="B231" i="46"/>
  <c r="E230" i="46"/>
  <c r="D230" i="46"/>
  <c r="B230" i="46"/>
  <c r="E229" i="46"/>
  <c r="D229" i="46"/>
  <c r="B229" i="46"/>
  <c r="E228" i="46"/>
  <c r="D228" i="46"/>
  <c r="B228" i="46"/>
  <c r="E227" i="46"/>
  <c r="D227" i="46"/>
  <c r="B227" i="46"/>
  <c r="E226" i="46"/>
  <c r="D226" i="46"/>
  <c r="B226" i="46"/>
  <c r="E225" i="46"/>
  <c r="D225" i="46"/>
  <c r="B225" i="46"/>
  <c r="E224" i="46"/>
  <c r="D224" i="46"/>
  <c r="B224" i="46"/>
  <c r="E223" i="46"/>
  <c r="D223" i="46"/>
  <c r="B223" i="46"/>
  <c r="E222" i="46"/>
  <c r="D222" i="46"/>
  <c r="B222" i="46"/>
  <c r="E221" i="46"/>
  <c r="D221" i="46"/>
  <c r="B221" i="46"/>
  <c r="E220" i="46"/>
  <c r="D220" i="46"/>
  <c r="B220" i="46"/>
  <c r="E219" i="46"/>
  <c r="D219" i="46"/>
  <c r="B219" i="46"/>
  <c r="E218" i="46"/>
  <c r="D218" i="46"/>
  <c r="B218" i="46"/>
  <c r="E217" i="46"/>
  <c r="D217" i="46"/>
  <c r="B217" i="46"/>
  <c r="E216" i="46"/>
  <c r="D216" i="46"/>
  <c r="B216" i="46"/>
  <c r="E215" i="46"/>
  <c r="D215" i="46"/>
  <c r="B215" i="46"/>
  <c r="E214" i="46"/>
  <c r="D214" i="46"/>
  <c r="B214" i="46"/>
  <c r="E213" i="46"/>
  <c r="D213" i="46"/>
  <c r="B213" i="46"/>
  <c r="E212" i="46"/>
  <c r="D212" i="46"/>
  <c r="B212" i="46"/>
  <c r="E211" i="46"/>
  <c r="D211" i="46"/>
  <c r="B211" i="46"/>
  <c r="E210" i="46"/>
  <c r="D210" i="46"/>
  <c r="B210" i="46"/>
  <c r="E209" i="46"/>
  <c r="D209" i="46"/>
  <c r="B209" i="46"/>
  <c r="E208" i="46"/>
  <c r="D208" i="46"/>
  <c r="B208" i="46"/>
  <c r="E207" i="46"/>
  <c r="D207" i="46"/>
  <c r="B207" i="46"/>
  <c r="E206" i="46"/>
  <c r="D206" i="46"/>
  <c r="B206" i="46"/>
  <c r="E205" i="46"/>
  <c r="D205" i="46"/>
  <c r="B205" i="46"/>
  <c r="E204" i="46"/>
  <c r="D204" i="46"/>
  <c r="B204" i="46"/>
  <c r="E203" i="46"/>
  <c r="D203" i="46"/>
  <c r="B203" i="46"/>
  <c r="E202" i="46"/>
  <c r="D202" i="46"/>
  <c r="B202" i="46"/>
  <c r="E201" i="46"/>
  <c r="D201" i="46"/>
  <c r="B201" i="46"/>
  <c r="E200" i="46"/>
  <c r="D200" i="46"/>
  <c r="B200" i="46"/>
  <c r="E199" i="46"/>
  <c r="D199" i="46"/>
  <c r="B199" i="46"/>
  <c r="E198" i="46"/>
  <c r="D198" i="46"/>
  <c r="B198" i="46"/>
  <c r="E197" i="46"/>
  <c r="D197" i="46"/>
  <c r="B197" i="46"/>
  <c r="E196" i="46"/>
  <c r="D196" i="46"/>
  <c r="B196" i="46"/>
  <c r="E195" i="46"/>
  <c r="D195" i="46"/>
  <c r="B195" i="46"/>
  <c r="E194" i="46"/>
  <c r="D194" i="46"/>
  <c r="B194" i="46"/>
  <c r="E193" i="46"/>
  <c r="D193" i="46"/>
  <c r="B193" i="46"/>
  <c r="E192" i="46"/>
  <c r="D192" i="46"/>
  <c r="B192" i="46"/>
  <c r="E191" i="46"/>
  <c r="D191" i="46"/>
  <c r="B191" i="46"/>
  <c r="E190" i="46"/>
  <c r="D190" i="46"/>
  <c r="B190" i="46"/>
  <c r="E189" i="46"/>
  <c r="D189" i="46"/>
  <c r="B189" i="46"/>
  <c r="E188" i="46"/>
  <c r="D188" i="46"/>
  <c r="B188" i="46"/>
  <c r="E187" i="46"/>
  <c r="D187" i="46"/>
  <c r="B187" i="46"/>
  <c r="E186" i="46"/>
  <c r="D186" i="46"/>
  <c r="B186" i="46"/>
  <c r="E185" i="46"/>
  <c r="D185" i="46"/>
  <c r="B185" i="46"/>
  <c r="E184" i="46"/>
  <c r="D184" i="46"/>
  <c r="B184" i="46"/>
  <c r="E183" i="46"/>
  <c r="D183" i="46"/>
  <c r="B183" i="46"/>
  <c r="E182" i="46"/>
  <c r="D182" i="46"/>
  <c r="B182" i="46"/>
  <c r="E181" i="46"/>
  <c r="D181" i="46"/>
  <c r="B181" i="46"/>
  <c r="E180" i="46"/>
  <c r="D180" i="46"/>
  <c r="B180" i="46"/>
  <c r="E179" i="46"/>
  <c r="D179" i="46"/>
  <c r="B179" i="46"/>
  <c r="E178" i="46"/>
  <c r="D178" i="46"/>
  <c r="B178" i="46"/>
  <c r="E177" i="46"/>
  <c r="D177" i="46"/>
  <c r="B177" i="46"/>
  <c r="E176" i="46"/>
  <c r="D176" i="46"/>
  <c r="B176" i="46"/>
  <c r="E175" i="46"/>
  <c r="D175" i="46"/>
  <c r="B175" i="46"/>
  <c r="E174" i="46"/>
  <c r="D174" i="46"/>
  <c r="B174" i="46"/>
  <c r="E173" i="46"/>
  <c r="D173" i="46"/>
  <c r="B173" i="46"/>
  <c r="E172" i="46"/>
  <c r="D172" i="46"/>
  <c r="B172" i="46"/>
  <c r="E171" i="46"/>
  <c r="D171" i="46"/>
  <c r="B171" i="46"/>
  <c r="E170" i="46"/>
  <c r="D170" i="46"/>
  <c r="B170" i="46"/>
  <c r="E169" i="46"/>
  <c r="D169" i="46"/>
  <c r="B169" i="46"/>
  <c r="E168" i="46"/>
  <c r="D168" i="46"/>
  <c r="B168" i="46"/>
  <c r="E167" i="46"/>
  <c r="D167" i="46"/>
  <c r="B167" i="46"/>
  <c r="E166" i="46"/>
  <c r="D166" i="46"/>
  <c r="B166" i="46"/>
  <c r="E165" i="46"/>
  <c r="D165" i="46"/>
  <c r="B165" i="46"/>
  <c r="E164" i="46"/>
  <c r="D164" i="46"/>
  <c r="B164" i="46"/>
  <c r="E163" i="46"/>
  <c r="D163" i="46"/>
  <c r="B163" i="46"/>
  <c r="E162" i="46"/>
  <c r="D162" i="46"/>
  <c r="B162" i="46"/>
  <c r="E161" i="46"/>
  <c r="D161" i="46"/>
  <c r="B161" i="46"/>
  <c r="E160" i="46"/>
  <c r="D160" i="46"/>
  <c r="B160" i="46"/>
  <c r="E159" i="46"/>
  <c r="D159" i="46"/>
  <c r="B159" i="46"/>
  <c r="E158" i="46"/>
  <c r="D158" i="46"/>
  <c r="B158" i="46"/>
  <c r="E157" i="46"/>
  <c r="D157" i="46"/>
  <c r="B157" i="46"/>
  <c r="E156" i="46"/>
  <c r="D156" i="46"/>
  <c r="B156" i="46"/>
  <c r="E155" i="46"/>
  <c r="D155" i="46"/>
  <c r="B155" i="46"/>
  <c r="E154" i="46"/>
  <c r="D154" i="46"/>
  <c r="B154" i="46"/>
  <c r="E153" i="46"/>
  <c r="D153" i="46"/>
  <c r="B153" i="46"/>
  <c r="E152" i="46"/>
  <c r="D152" i="46"/>
  <c r="B152" i="46"/>
  <c r="E151" i="46"/>
  <c r="D151" i="46"/>
  <c r="B151" i="46"/>
  <c r="E150" i="46"/>
  <c r="D150" i="46"/>
  <c r="B150" i="46"/>
  <c r="E149" i="46"/>
  <c r="D149" i="46"/>
  <c r="B149" i="46"/>
  <c r="E148" i="46"/>
  <c r="D148" i="46"/>
  <c r="B148" i="46"/>
  <c r="E147" i="46"/>
  <c r="D147" i="46"/>
  <c r="B147" i="46"/>
  <c r="E146" i="46"/>
  <c r="D146" i="46"/>
  <c r="B146" i="46"/>
  <c r="E145" i="46"/>
  <c r="D145" i="46"/>
  <c r="B145" i="46"/>
  <c r="E144" i="46"/>
  <c r="D144" i="46"/>
  <c r="B144" i="46"/>
  <c r="E143" i="46"/>
  <c r="D143" i="46"/>
  <c r="B143" i="46"/>
  <c r="E142" i="46"/>
  <c r="D142" i="46"/>
  <c r="B142" i="46"/>
  <c r="E141" i="46"/>
  <c r="D141" i="46"/>
  <c r="B141" i="46"/>
  <c r="E140" i="46"/>
  <c r="D140" i="46"/>
  <c r="B140" i="46"/>
  <c r="E139" i="46"/>
  <c r="D139" i="46"/>
  <c r="B139" i="46"/>
  <c r="E138" i="46"/>
  <c r="D138" i="46"/>
  <c r="B138" i="46"/>
  <c r="E137" i="46"/>
  <c r="D137" i="46"/>
  <c r="B137" i="46"/>
  <c r="E136" i="46"/>
  <c r="D136" i="46"/>
  <c r="B136" i="46"/>
  <c r="E135" i="46"/>
  <c r="D135" i="46"/>
  <c r="B135" i="46"/>
  <c r="E134" i="46"/>
  <c r="D134" i="46"/>
  <c r="B134" i="46"/>
  <c r="E133" i="46"/>
  <c r="D133" i="46"/>
  <c r="B133" i="46"/>
  <c r="E132" i="46"/>
  <c r="D132" i="46"/>
  <c r="B132" i="46"/>
  <c r="E131" i="46"/>
  <c r="D131" i="46"/>
  <c r="B131" i="46"/>
  <c r="E130" i="46"/>
  <c r="D130" i="46"/>
  <c r="B130" i="46"/>
  <c r="E129" i="46"/>
  <c r="D129" i="46"/>
  <c r="B129" i="46"/>
  <c r="E128" i="46"/>
  <c r="D128" i="46"/>
  <c r="B128" i="46"/>
  <c r="E127" i="46"/>
  <c r="D127" i="46"/>
  <c r="B127" i="46"/>
  <c r="E126" i="46"/>
  <c r="D126" i="46"/>
  <c r="B126" i="46"/>
  <c r="E125" i="46"/>
  <c r="D125" i="46"/>
  <c r="B125" i="46"/>
  <c r="E124" i="46"/>
  <c r="D124" i="46"/>
  <c r="B124" i="46"/>
  <c r="E123" i="46"/>
  <c r="D123" i="46"/>
  <c r="B123" i="46"/>
  <c r="E122" i="46"/>
  <c r="D122" i="46"/>
  <c r="B122" i="46"/>
  <c r="E121" i="46"/>
  <c r="D121" i="46"/>
  <c r="B121" i="46"/>
  <c r="E120" i="46"/>
  <c r="D120" i="46"/>
  <c r="B120" i="46"/>
  <c r="E119" i="46"/>
  <c r="D119" i="46"/>
  <c r="B119" i="46"/>
  <c r="E118" i="46"/>
  <c r="D118" i="46"/>
  <c r="B118" i="46"/>
  <c r="E117" i="46"/>
  <c r="D117" i="46"/>
  <c r="B117" i="46"/>
  <c r="E116" i="46"/>
  <c r="D116" i="46"/>
  <c r="B116" i="46"/>
  <c r="E115" i="46"/>
  <c r="D115" i="46"/>
  <c r="B115" i="46"/>
  <c r="E114" i="46"/>
  <c r="D114" i="46"/>
  <c r="B114" i="46"/>
  <c r="E113" i="46"/>
  <c r="D113" i="46"/>
  <c r="B113" i="46"/>
  <c r="E112" i="46"/>
  <c r="D112" i="46"/>
  <c r="B112" i="46"/>
  <c r="E111" i="46"/>
  <c r="D111" i="46"/>
  <c r="B111" i="46"/>
  <c r="E110" i="46"/>
  <c r="D110" i="46"/>
  <c r="B110" i="46"/>
  <c r="E109" i="46"/>
  <c r="D109" i="46"/>
  <c r="B109" i="46"/>
  <c r="E108" i="46"/>
  <c r="D108" i="46"/>
  <c r="B108" i="46"/>
  <c r="E107" i="46"/>
  <c r="D107" i="46"/>
  <c r="B107" i="46"/>
  <c r="E106" i="46"/>
  <c r="D106" i="46"/>
  <c r="B106" i="46"/>
  <c r="E105" i="46"/>
  <c r="D105" i="46"/>
  <c r="B105" i="46"/>
  <c r="E104" i="46"/>
  <c r="D104" i="46"/>
  <c r="B104" i="46"/>
  <c r="E103" i="46"/>
  <c r="D103" i="46"/>
  <c r="B103" i="46"/>
  <c r="E102" i="46"/>
  <c r="D102" i="46"/>
  <c r="B102" i="46"/>
  <c r="E101" i="46"/>
  <c r="D101" i="46"/>
  <c r="B101" i="46"/>
  <c r="E100" i="46"/>
  <c r="D100" i="46"/>
  <c r="B100" i="46"/>
  <c r="E99" i="46"/>
  <c r="D99" i="46"/>
  <c r="B99" i="46"/>
  <c r="E98" i="46"/>
  <c r="D98" i="46"/>
  <c r="B98" i="46"/>
  <c r="E97" i="46"/>
  <c r="D97" i="46"/>
  <c r="B97" i="46"/>
  <c r="E96" i="46"/>
  <c r="D96" i="46"/>
  <c r="B96" i="46"/>
  <c r="E95" i="46"/>
  <c r="D95" i="46"/>
  <c r="B95" i="46"/>
  <c r="E94" i="46"/>
  <c r="D94" i="46"/>
  <c r="B94" i="46"/>
  <c r="E93" i="46"/>
  <c r="D93" i="46"/>
  <c r="B93" i="46"/>
  <c r="E92" i="46"/>
  <c r="D92" i="46"/>
  <c r="B92" i="46"/>
  <c r="E91" i="46"/>
  <c r="D91" i="46"/>
  <c r="B91" i="46"/>
  <c r="E90" i="46"/>
  <c r="D90" i="46"/>
  <c r="B90" i="46"/>
  <c r="E89" i="46"/>
  <c r="D89" i="46"/>
  <c r="B89" i="46"/>
  <c r="E88" i="46"/>
  <c r="D88" i="46"/>
  <c r="B88" i="46"/>
  <c r="E87" i="46"/>
  <c r="D87" i="46"/>
  <c r="B87" i="46"/>
  <c r="E86" i="46"/>
  <c r="D86" i="46"/>
  <c r="B86" i="46"/>
  <c r="E85" i="46"/>
  <c r="D85" i="46"/>
  <c r="B85" i="46"/>
  <c r="E84" i="46"/>
  <c r="D84" i="46"/>
  <c r="B84" i="46"/>
  <c r="E83" i="46"/>
  <c r="D83" i="46"/>
  <c r="B83" i="46"/>
  <c r="E82" i="46"/>
  <c r="D82" i="46"/>
  <c r="B82" i="46"/>
  <c r="E81" i="46"/>
  <c r="D81" i="46"/>
  <c r="B81" i="46"/>
  <c r="E80" i="46"/>
  <c r="D80" i="46"/>
  <c r="B80" i="46"/>
  <c r="E79" i="46"/>
  <c r="D79" i="46"/>
  <c r="B79" i="46"/>
  <c r="E78" i="46"/>
  <c r="D78" i="46"/>
  <c r="B78" i="46"/>
  <c r="E77" i="46"/>
  <c r="D77" i="46"/>
  <c r="B77" i="46"/>
  <c r="E76" i="46"/>
  <c r="D76" i="46"/>
  <c r="B76" i="46"/>
  <c r="E75" i="46"/>
  <c r="D75" i="46"/>
  <c r="B75" i="46"/>
  <c r="E74" i="46"/>
  <c r="D74" i="46"/>
  <c r="B74" i="46"/>
  <c r="E73" i="46"/>
  <c r="D73" i="46"/>
  <c r="B73" i="46"/>
  <c r="E72" i="46"/>
  <c r="D72" i="46"/>
  <c r="B72" i="46"/>
  <c r="E71" i="46"/>
  <c r="D71" i="46"/>
  <c r="B71" i="46"/>
  <c r="E70" i="46"/>
  <c r="D70" i="46"/>
  <c r="B70" i="46"/>
  <c r="E69" i="46"/>
  <c r="D69" i="46"/>
  <c r="B69" i="46"/>
  <c r="E68" i="46"/>
  <c r="D68" i="46"/>
  <c r="B68" i="46"/>
  <c r="E67" i="46"/>
  <c r="D67" i="46"/>
  <c r="B67" i="46"/>
  <c r="E66" i="46"/>
  <c r="D66" i="46"/>
  <c r="B66" i="46"/>
  <c r="E65" i="46"/>
  <c r="D65" i="46"/>
  <c r="B65" i="46"/>
  <c r="E64" i="46"/>
  <c r="D64" i="46"/>
  <c r="B64" i="46"/>
  <c r="E63" i="46"/>
  <c r="D63" i="46"/>
  <c r="B63" i="46"/>
  <c r="E62" i="46"/>
  <c r="D62" i="46"/>
  <c r="B62" i="46"/>
  <c r="E61" i="46"/>
  <c r="D61" i="46"/>
  <c r="B61" i="46"/>
  <c r="E60" i="46"/>
  <c r="D60" i="46"/>
  <c r="B60" i="46"/>
  <c r="E59" i="46"/>
  <c r="D59" i="46"/>
  <c r="B59" i="46"/>
  <c r="E58" i="46"/>
  <c r="D58" i="46"/>
  <c r="B58" i="46"/>
  <c r="E57" i="46"/>
  <c r="D57" i="46"/>
  <c r="B57" i="46"/>
  <c r="E56" i="46"/>
  <c r="D56" i="46"/>
  <c r="B56" i="46"/>
  <c r="E55" i="46"/>
  <c r="D55" i="46"/>
  <c r="B55" i="46"/>
  <c r="E54" i="46"/>
  <c r="D54" i="46"/>
  <c r="B54" i="46"/>
  <c r="E53" i="46"/>
  <c r="D53" i="46"/>
  <c r="B53" i="46"/>
  <c r="E52" i="46"/>
  <c r="D52" i="46"/>
  <c r="B52" i="46"/>
  <c r="E51" i="46"/>
  <c r="D51" i="46"/>
  <c r="B51" i="46"/>
  <c r="E50" i="46"/>
  <c r="D50" i="46"/>
  <c r="B50" i="46"/>
  <c r="E49" i="46"/>
  <c r="D49" i="46"/>
  <c r="B49" i="46"/>
  <c r="E48" i="46"/>
  <c r="D48" i="46"/>
  <c r="B48" i="46"/>
  <c r="E47" i="46"/>
  <c r="D47" i="46"/>
  <c r="B47" i="46"/>
  <c r="E46" i="46"/>
  <c r="D46" i="46"/>
  <c r="B46" i="46"/>
  <c r="E45" i="46"/>
  <c r="D45" i="46"/>
  <c r="B45" i="46"/>
  <c r="E44" i="46"/>
  <c r="D44" i="46"/>
  <c r="B44" i="46"/>
  <c r="E43" i="46"/>
  <c r="D43" i="46"/>
  <c r="B43" i="46"/>
  <c r="E42" i="46"/>
  <c r="D42" i="46"/>
  <c r="B42" i="46"/>
  <c r="E41" i="46"/>
  <c r="D41" i="46"/>
  <c r="B41" i="46"/>
  <c r="E40" i="46"/>
  <c r="D40" i="46"/>
  <c r="B40" i="46"/>
  <c r="E39" i="46"/>
  <c r="D39" i="46"/>
  <c r="B39" i="46"/>
  <c r="E38" i="46"/>
  <c r="D38" i="46"/>
  <c r="B38" i="46"/>
  <c r="E37" i="46"/>
  <c r="D37" i="46"/>
  <c r="B37" i="46"/>
  <c r="E36" i="46"/>
  <c r="D36" i="46"/>
  <c r="B36" i="46"/>
  <c r="E35" i="46"/>
  <c r="D35" i="46"/>
  <c r="B35" i="46"/>
  <c r="E34" i="46"/>
  <c r="D34" i="46"/>
  <c r="B34" i="46"/>
  <c r="E33" i="46"/>
  <c r="D33" i="46"/>
  <c r="B33" i="46"/>
  <c r="E32" i="46"/>
  <c r="D32" i="46"/>
  <c r="B32" i="46"/>
  <c r="E31" i="46"/>
  <c r="D31" i="46"/>
  <c r="B31" i="46"/>
  <c r="E30" i="46"/>
  <c r="D30" i="46"/>
  <c r="B30" i="46"/>
  <c r="E29" i="46"/>
  <c r="D29" i="46"/>
  <c r="B29" i="46"/>
  <c r="E28" i="46"/>
  <c r="D28" i="46"/>
  <c r="B28" i="46"/>
  <c r="E27" i="46"/>
  <c r="D27" i="46"/>
  <c r="B27" i="46"/>
  <c r="E26" i="46"/>
  <c r="D26" i="46"/>
  <c r="B26" i="46"/>
  <c r="E25" i="46"/>
  <c r="D25" i="46"/>
  <c r="B25" i="46"/>
  <c r="E24" i="46"/>
  <c r="D24" i="46"/>
  <c r="B24" i="46"/>
  <c r="E23" i="46"/>
  <c r="D23" i="46"/>
  <c r="B23" i="46"/>
  <c r="E22" i="46"/>
  <c r="D22" i="46"/>
  <c r="B22" i="46"/>
  <c r="E21" i="46"/>
  <c r="D21" i="46"/>
  <c r="B21" i="46"/>
  <c r="E20" i="46"/>
  <c r="D20" i="46"/>
  <c r="B20" i="46"/>
  <c r="E19" i="46"/>
  <c r="D19" i="46"/>
  <c r="B19" i="46"/>
  <c r="E18" i="46"/>
  <c r="D18" i="46"/>
  <c r="B18" i="46"/>
  <c r="E17" i="46"/>
  <c r="D17" i="46"/>
  <c r="B17" i="46"/>
  <c r="E16" i="46"/>
  <c r="D16" i="46"/>
  <c r="B16" i="46"/>
  <c r="E15" i="46"/>
  <c r="D15" i="46"/>
  <c r="B15" i="46"/>
  <c r="E14" i="46"/>
  <c r="D14" i="46"/>
  <c r="B14" i="46"/>
  <c r="E13" i="46"/>
  <c r="D13" i="46"/>
  <c r="B13" i="46"/>
  <c r="E12" i="46"/>
  <c r="D12" i="46"/>
  <c r="B12" i="46"/>
  <c r="E11" i="46"/>
  <c r="D11" i="46"/>
  <c r="B11" i="46"/>
  <c r="E10" i="46"/>
  <c r="D10" i="46"/>
  <c r="B10" i="46"/>
  <c r="E9" i="46"/>
  <c r="D9" i="46"/>
  <c r="B9" i="46"/>
  <c r="E8" i="46"/>
  <c r="D8" i="46"/>
  <c r="B8" i="46"/>
  <c r="E7" i="46"/>
  <c r="D7" i="46"/>
  <c r="B7" i="46"/>
  <c r="E6" i="46"/>
  <c r="D6" i="46"/>
  <c r="B6" i="46"/>
  <c r="E5" i="46"/>
  <c r="D5" i="46"/>
  <c r="B5" i="46"/>
  <c r="E4" i="46"/>
  <c r="D4" i="46"/>
  <c r="B4" i="46"/>
  <c r="E39" i="40"/>
  <c r="D39" i="40"/>
  <c r="B39" i="40"/>
  <c r="E38" i="40"/>
  <c r="D38" i="40"/>
  <c r="B38" i="40"/>
  <c r="E37" i="40"/>
  <c r="D37" i="40"/>
  <c r="B37" i="40"/>
  <c r="E36" i="40"/>
  <c r="D36" i="40"/>
  <c r="B36" i="40"/>
  <c r="E35" i="40"/>
  <c r="D35" i="40"/>
  <c r="B35" i="40"/>
  <c r="E34" i="40"/>
  <c r="D34" i="40"/>
  <c r="B34" i="40"/>
  <c r="E33" i="40"/>
  <c r="D33" i="40"/>
  <c r="B33" i="40"/>
  <c r="E32" i="40"/>
  <c r="D32" i="40"/>
  <c r="B32" i="40"/>
  <c r="E31" i="40"/>
  <c r="D31" i="40"/>
  <c r="B31" i="40"/>
  <c r="E30" i="40"/>
  <c r="D30" i="40"/>
  <c r="B30" i="40"/>
  <c r="E29" i="40"/>
  <c r="D29" i="40"/>
  <c r="B29" i="40"/>
  <c r="E28" i="40"/>
  <c r="D28" i="40"/>
  <c r="B28" i="40"/>
  <c r="E27" i="40"/>
  <c r="D27" i="40"/>
  <c r="B27" i="40"/>
  <c r="E26" i="40"/>
  <c r="D26" i="40"/>
  <c r="B26" i="40"/>
  <c r="E25" i="40"/>
  <c r="D25" i="40"/>
  <c r="B25" i="40"/>
  <c r="E24" i="40"/>
  <c r="D24" i="40"/>
  <c r="B24" i="40"/>
  <c r="E23" i="40"/>
  <c r="D23" i="40"/>
  <c r="B23" i="40"/>
  <c r="E22" i="40"/>
  <c r="D22" i="40"/>
  <c r="B22" i="40"/>
  <c r="E21" i="40"/>
  <c r="D21" i="40"/>
  <c r="B21" i="40"/>
  <c r="E20" i="40"/>
  <c r="D20" i="40"/>
  <c r="B20" i="40"/>
  <c r="E19" i="40"/>
  <c r="D19" i="40"/>
  <c r="B19" i="40"/>
  <c r="E18" i="40"/>
  <c r="D18" i="40"/>
  <c r="B18" i="40"/>
  <c r="E17" i="40"/>
  <c r="D17" i="40"/>
  <c r="B17" i="40"/>
  <c r="E16" i="40"/>
  <c r="D16" i="40"/>
  <c r="B16" i="40"/>
  <c r="E15" i="40"/>
  <c r="D15" i="40"/>
  <c r="B15" i="40"/>
  <c r="E14" i="40"/>
  <c r="D14" i="40"/>
  <c r="B14" i="40"/>
  <c r="E13" i="40"/>
  <c r="D13" i="40"/>
  <c r="B13" i="40"/>
  <c r="E12" i="40"/>
  <c r="D12" i="40"/>
  <c r="B12" i="40"/>
  <c r="E11" i="40"/>
  <c r="D11" i="40"/>
  <c r="B11" i="40"/>
  <c r="E10" i="40"/>
  <c r="D10" i="40"/>
  <c r="B10" i="40"/>
  <c r="E9" i="40"/>
  <c r="D9" i="40"/>
  <c r="B9" i="40"/>
  <c r="E8" i="40"/>
  <c r="D8" i="40"/>
  <c r="B8" i="40"/>
  <c r="E7" i="40"/>
  <c r="D7" i="40"/>
  <c r="B7" i="40"/>
  <c r="E6" i="40"/>
  <c r="D6" i="40"/>
  <c r="B6" i="40"/>
  <c r="E5" i="40"/>
  <c r="D5" i="40"/>
  <c r="B5" i="40"/>
  <c r="E4" i="40"/>
  <c r="D4" i="40"/>
  <c r="B4" i="40"/>
  <c r="E991" i="41"/>
  <c r="D991" i="41"/>
  <c r="B991" i="41"/>
  <c r="E990" i="41"/>
  <c r="D990" i="41"/>
  <c r="B990" i="41"/>
  <c r="E989" i="41"/>
  <c r="D989" i="41"/>
  <c r="B989" i="41"/>
  <c r="E988" i="41"/>
  <c r="D988" i="41"/>
  <c r="B988" i="41"/>
  <c r="E987" i="41"/>
  <c r="D987" i="41"/>
  <c r="B987" i="41"/>
  <c r="E986" i="41"/>
  <c r="D986" i="41"/>
  <c r="B986" i="41"/>
  <c r="E985" i="41"/>
  <c r="D985" i="41"/>
  <c r="B985" i="41"/>
  <c r="E984" i="41"/>
  <c r="D984" i="41"/>
  <c r="B984" i="41"/>
  <c r="E983" i="41"/>
  <c r="D983" i="41"/>
  <c r="B983" i="41"/>
  <c r="E982" i="41"/>
  <c r="D982" i="41"/>
  <c r="B982" i="41"/>
  <c r="E981" i="41"/>
  <c r="D981" i="41"/>
  <c r="B981" i="41"/>
  <c r="E980" i="41"/>
  <c r="D980" i="41"/>
  <c r="B980" i="41"/>
  <c r="E979" i="41"/>
  <c r="D979" i="41"/>
  <c r="B979" i="41"/>
  <c r="E978" i="41"/>
  <c r="D978" i="41"/>
  <c r="B978" i="41"/>
  <c r="E977" i="41"/>
  <c r="D977" i="41"/>
  <c r="B977" i="41"/>
  <c r="E976" i="41"/>
  <c r="D976" i="41"/>
  <c r="B976" i="41"/>
  <c r="E975" i="41"/>
  <c r="D975" i="41"/>
  <c r="B975" i="41"/>
  <c r="E974" i="41"/>
  <c r="D974" i="41"/>
  <c r="B974" i="41"/>
  <c r="E973" i="41"/>
  <c r="D973" i="41"/>
  <c r="B973" i="41"/>
  <c r="E972" i="41"/>
  <c r="D972" i="41"/>
  <c r="B972" i="41"/>
  <c r="E971" i="41"/>
  <c r="D971" i="41"/>
  <c r="B971" i="41"/>
  <c r="E970" i="41"/>
  <c r="D970" i="41"/>
  <c r="B970" i="41"/>
  <c r="E969" i="41"/>
  <c r="D969" i="41"/>
  <c r="B969" i="41"/>
  <c r="E968" i="41"/>
  <c r="D968" i="41"/>
  <c r="B968" i="41"/>
  <c r="E967" i="41"/>
  <c r="D967" i="41"/>
  <c r="B967" i="41"/>
  <c r="E966" i="41"/>
  <c r="D966" i="41"/>
  <c r="B966" i="41"/>
  <c r="E965" i="41"/>
  <c r="D965" i="41"/>
  <c r="B965" i="41"/>
  <c r="E964" i="41"/>
  <c r="D964" i="41"/>
  <c r="B964" i="41"/>
  <c r="E963" i="41"/>
  <c r="D963" i="41"/>
  <c r="B963" i="41"/>
  <c r="E962" i="41"/>
  <c r="D962" i="41"/>
  <c r="B962" i="41"/>
  <c r="E961" i="41"/>
  <c r="D961" i="41"/>
  <c r="B961" i="41"/>
  <c r="E960" i="41"/>
  <c r="D960" i="41"/>
  <c r="B960" i="41"/>
  <c r="E959" i="41"/>
  <c r="D959" i="41"/>
  <c r="B959" i="41"/>
  <c r="E958" i="41"/>
  <c r="D958" i="41"/>
  <c r="B958" i="41"/>
  <c r="E957" i="41"/>
  <c r="D957" i="41"/>
  <c r="B957" i="41"/>
  <c r="E956" i="41"/>
  <c r="D956" i="41"/>
  <c r="B956" i="41"/>
  <c r="E955" i="41"/>
  <c r="D955" i="41"/>
  <c r="B955" i="41"/>
  <c r="E954" i="41"/>
  <c r="D954" i="41"/>
  <c r="B954" i="41"/>
  <c r="E953" i="41"/>
  <c r="D953" i="41"/>
  <c r="B953" i="41"/>
  <c r="E952" i="41"/>
  <c r="D952" i="41"/>
  <c r="B952" i="41"/>
  <c r="E951" i="41"/>
  <c r="D951" i="41"/>
  <c r="B951" i="41"/>
  <c r="E950" i="41"/>
  <c r="D950" i="41"/>
  <c r="B950" i="41"/>
  <c r="E949" i="41"/>
  <c r="D949" i="41"/>
  <c r="B949" i="41"/>
  <c r="E948" i="41"/>
  <c r="D948" i="41"/>
  <c r="B948" i="41"/>
  <c r="E947" i="41"/>
  <c r="D947" i="41"/>
  <c r="B947" i="41"/>
  <c r="E946" i="41"/>
  <c r="D946" i="41"/>
  <c r="B946" i="41"/>
  <c r="E945" i="41"/>
  <c r="D945" i="41"/>
  <c r="B945" i="41"/>
  <c r="E944" i="41"/>
  <c r="D944" i="41"/>
  <c r="B944" i="41"/>
  <c r="E943" i="41"/>
  <c r="D943" i="41"/>
  <c r="B943" i="41"/>
  <c r="E942" i="41"/>
  <c r="D942" i="41"/>
  <c r="B942" i="41"/>
  <c r="E941" i="41"/>
  <c r="D941" i="41"/>
  <c r="B941" i="41"/>
  <c r="E940" i="41"/>
  <c r="D940" i="41"/>
  <c r="B940" i="41"/>
  <c r="E939" i="41"/>
  <c r="D939" i="41"/>
  <c r="B939" i="41"/>
  <c r="E938" i="41"/>
  <c r="D938" i="41"/>
  <c r="B938" i="41"/>
  <c r="E937" i="41"/>
  <c r="D937" i="41"/>
  <c r="B937" i="41"/>
  <c r="E936" i="41"/>
  <c r="D936" i="41"/>
  <c r="B936" i="41"/>
  <c r="E935" i="41"/>
  <c r="D935" i="41"/>
  <c r="B935" i="41"/>
  <c r="E934" i="41"/>
  <c r="D934" i="41"/>
  <c r="B934" i="41"/>
  <c r="E933" i="41"/>
  <c r="D933" i="41"/>
  <c r="B933" i="41"/>
  <c r="E932" i="41"/>
  <c r="D932" i="41"/>
  <c r="B932" i="41"/>
  <c r="E931" i="41"/>
  <c r="D931" i="41"/>
  <c r="B931" i="41"/>
  <c r="E930" i="41"/>
  <c r="D930" i="41"/>
  <c r="B930" i="41"/>
  <c r="E929" i="41"/>
  <c r="D929" i="41"/>
  <c r="B929" i="41"/>
  <c r="E928" i="41"/>
  <c r="D928" i="41"/>
  <c r="B928" i="41"/>
  <c r="E927" i="41"/>
  <c r="D927" i="41"/>
  <c r="B927" i="41"/>
  <c r="E926" i="41"/>
  <c r="D926" i="41"/>
  <c r="B926" i="41"/>
  <c r="E925" i="41"/>
  <c r="D925" i="41"/>
  <c r="B925" i="41"/>
  <c r="E924" i="41"/>
  <c r="D924" i="41"/>
  <c r="B924" i="41"/>
  <c r="E923" i="41"/>
  <c r="D923" i="41"/>
  <c r="B923" i="41"/>
  <c r="E922" i="41"/>
  <c r="D922" i="41"/>
  <c r="B922" i="41"/>
  <c r="E921" i="41"/>
  <c r="D921" i="41"/>
  <c r="B921" i="41"/>
  <c r="E920" i="41"/>
  <c r="D920" i="41"/>
  <c r="B920" i="41"/>
  <c r="E919" i="41"/>
  <c r="D919" i="41"/>
  <c r="B919" i="41"/>
  <c r="E918" i="41"/>
  <c r="D918" i="41"/>
  <c r="B918" i="41"/>
  <c r="E917" i="41"/>
  <c r="D917" i="41"/>
  <c r="B917" i="41"/>
  <c r="E916" i="41"/>
  <c r="D916" i="41"/>
  <c r="B916" i="41"/>
  <c r="E915" i="41"/>
  <c r="D915" i="41"/>
  <c r="B915" i="41"/>
  <c r="E914" i="41"/>
  <c r="D914" i="41"/>
  <c r="B914" i="41"/>
  <c r="E913" i="41"/>
  <c r="D913" i="41"/>
  <c r="B913" i="41"/>
  <c r="E912" i="41"/>
  <c r="D912" i="41"/>
  <c r="B912" i="41"/>
  <c r="E911" i="41"/>
  <c r="D911" i="41"/>
  <c r="B911" i="41"/>
  <c r="E910" i="41"/>
  <c r="D910" i="41"/>
  <c r="B910" i="41"/>
  <c r="E909" i="41"/>
  <c r="D909" i="41"/>
  <c r="B909" i="41"/>
  <c r="E908" i="41"/>
  <c r="D908" i="41"/>
  <c r="B908" i="41"/>
  <c r="E907" i="41"/>
  <c r="D907" i="41"/>
  <c r="B907" i="41"/>
  <c r="E906" i="41"/>
  <c r="D906" i="41"/>
  <c r="B906" i="41"/>
  <c r="E905" i="41"/>
  <c r="D905" i="41"/>
  <c r="B905" i="41"/>
  <c r="E904" i="41"/>
  <c r="D904" i="41"/>
  <c r="B904" i="41"/>
  <c r="E903" i="41"/>
  <c r="D903" i="41"/>
  <c r="B903" i="41"/>
  <c r="E902" i="41"/>
  <c r="D902" i="41"/>
  <c r="B902" i="41"/>
  <c r="E901" i="41"/>
  <c r="D901" i="41"/>
  <c r="B901" i="41"/>
  <c r="E900" i="41"/>
  <c r="D900" i="41"/>
  <c r="B900" i="41"/>
  <c r="E899" i="41"/>
  <c r="D899" i="41"/>
  <c r="B899" i="41"/>
  <c r="E898" i="41"/>
  <c r="D898" i="41"/>
  <c r="B898" i="41"/>
  <c r="E897" i="41"/>
  <c r="D897" i="41"/>
  <c r="B897" i="41"/>
  <c r="E896" i="41"/>
  <c r="D896" i="41"/>
  <c r="B896" i="41"/>
  <c r="E895" i="41"/>
  <c r="D895" i="41"/>
  <c r="B895" i="41"/>
  <c r="E894" i="41"/>
  <c r="D894" i="41"/>
  <c r="B894" i="41"/>
  <c r="E893" i="41"/>
  <c r="D893" i="41"/>
  <c r="B893" i="41"/>
  <c r="E892" i="41"/>
  <c r="D892" i="41"/>
  <c r="B892" i="41"/>
  <c r="E891" i="41"/>
  <c r="D891" i="41"/>
  <c r="B891" i="41"/>
  <c r="E890" i="41"/>
  <c r="D890" i="41"/>
  <c r="B890" i="41"/>
  <c r="E889" i="41"/>
  <c r="D889" i="41"/>
  <c r="B889" i="41"/>
  <c r="E888" i="41"/>
  <c r="D888" i="41"/>
  <c r="B888" i="41"/>
  <c r="E887" i="41"/>
  <c r="D887" i="41"/>
  <c r="B887" i="41"/>
  <c r="E886" i="41"/>
  <c r="D886" i="41"/>
  <c r="B886" i="41"/>
  <c r="E885" i="41"/>
  <c r="D885" i="41"/>
  <c r="B885" i="41"/>
  <c r="E884" i="41"/>
  <c r="D884" i="41"/>
  <c r="B884" i="41"/>
  <c r="E883" i="41"/>
  <c r="D883" i="41"/>
  <c r="B883" i="41"/>
  <c r="E882" i="41"/>
  <c r="D882" i="41"/>
  <c r="B882" i="41"/>
  <c r="E881" i="41"/>
  <c r="D881" i="41"/>
  <c r="B881" i="41"/>
  <c r="E880" i="41"/>
  <c r="D880" i="41"/>
  <c r="B880" i="41"/>
  <c r="E879" i="41"/>
  <c r="D879" i="41"/>
  <c r="B879" i="41"/>
  <c r="E878" i="41"/>
  <c r="D878" i="41"/>
  <c r="B878" i="41"/>
  <c r="E877" i="41"/>
  <c r="D877" i="41"/>
  <c r="B877" i="41"/>
  <c r="E876" i="41"/>
  <c r="D876" i="41"/>
  <c r="B876" i="41"/>
  <c r="E875" i="41"/>
  <c r="D875" i="41"/>
  <c r="B875" i="41"/>
  <c r="E874" i="41"/>
  <c r="D874" i="41"/>
  <c r="B874" i="41"/>
  <c r="E873" i="41"/>
  <c r="D873" i="41"/>
  <c r="B873" i="41"/>
  <c r="E872" i="41"/>
  <c r="D872" i="41"/>
  <c r="B872" i="41"/>
  <c r="E871" i="41"/>
  <c r="D871" i="41"/>
  <c r="B871" i="41"/>
  <c r="E870" i="41"/>
  <c r="D870" i="41"/>
  <c r="B870" i="41"/>
  <c r="E869" i="41"/>
  <c r="D869" i="41"/>
  <c r="B869" i="41"/>
  <c r="E868" i="41"/>
  <c r="D868" i="41"/>
  <c r="B868" i="41"/>
  <c r="E867" i="41"/>
  <c r="D867" i="41"/>
  <c r="B867" i="41"/>
  <c r="E866" i="41"/>
  <c r="D866" i="41"/>
  <c r="B866" i="41"/>
  <c r="E865" i="41"/>
  <c r="D865" i="41"/>
  <c r="B865" i="41"/>
  <c r="E864" i="41"/>
  <c r="D864" i="41"/>
  <c r="B864" i="41"/>
  <c r="E863" i="41"/>
  <c r="D863" i="41"/>
  <c r="B863" i="41"/>
  <c r="E862" i="41"/>
  <c r="D862" i="41"/>
  <c r="B862" i="41"/>
  <c r="E861" i="41"/>
  <c r="D861" i="41"/>
  <c r="B861" i="41"/>
  <c r="E860" i="41"/>
  <c r="D860" i="41"/>
  <c r="B860" i="41"/>
  <c r="E859" i="41"/>
  <c r="D859" i="41"/>
  <c r="B859" i="41"/>
  <c r="E858" i="41"/>
  <c r="D858" i="41"/>
  <c r="B858" i="41"/>
  <c r="E857" i="41"/>
  <c r="D857" i="41"/>
  <c r="B857" i="41"/>
  <c r="E856" i="41"/>
  <c r="D856" i="41"/>
  <c r="B856" i="41"/>
  <c r="E855" i="41"/>
  <c r="D855" i="41"/>
  <c r="B855" i="41"/>
  <c r="E854" i="41"/>
  <c r="D854" i="41"/>
  <c r="B854" i="41"/>
  <c r="E853" i="41"/>
  <c r="D853" i="41"/>
  <c r="B853" i="41"/>
  <c r="E852" i="41"/>
  <c r="D852" i="41"/>
  <c r="B852" i="41"/>
  <c r="E851" i="41"/>
  <c r="D851" i="41"/>
  <c r="B851" i="41"/>
  <c r="E850" i="41"/>
  <c r="D850" i="41"/>
  <c r="B850" i="41"/>
  <c r="E849" i="41"/>
  <c r="D849" i="41"/>
  <c r="B849" i="41"/>
  <c r="E848" i="41"/>
  <c r="D848" i="41"/>
  <c r="B848" i="41"/>
  <c r="E847" i="41"/>
  <c r="D847" i="41"/>
  <c r="B847" i="41"/>
  <c r="E846" i="41"/>
  <c r="D846" i="41"/>
  <c r="B846" i="41"/>
  <c r="E845" i="41"/>
  <c r="D845" i="41"/>
  <c r="B845" i="41"/>
  <c r="E844" i="41"/>
  <c r="D844" i="41"/>
  <c r="B844" i="41"/>
  <c r="E843" i="41"/>
  <c r="D843" i="41"/>
  <c r="B843" i="41"/>
  <c r="E842" i="41"/>
  <c r="D842" i="41"/>
  <c r="B842" i="41"/>
  <c r="E841" i="41"/>
  <c r="D841" i="41"/>
  <c r="B841" i="41"/>
  <c r="E840" i="41"/>
  <c r="D840" i="41"/>
  <c r="B840" i="41"/>
  <c r="E839" i="41"/>
  <c r="D839" i="41"/>
  <c r="B839" i="41"/>
  <c r="E838" i="41"/>
  <c r="D838" i="41"/>
  <c r="B838" i="41"/>
  <c r="E837" i="41"/>
  <c r="D837" i="41"/>
  <c r="B837" i="41"/>
  <c r="E836" i="41"/>
  <c r="D836" i="41"/>
  <c r="B836" i="41"/>
  <c r="E835" i="41"/>
  <c r="D835" i="41"/>
  <c r="B835" i="41"/>
  <c r="E834" i="41"/>
  <c r="D834" i="41"/>
  <c r="B834" i="41"/>
  <c r="E833" i="41"/>
  <c r="D833" i="41"/>
  <c r="B833" i="41"/>
  <c r="E832" i="41"/>
  <c r="D832" i="41"/>
  <c r="B832" i="41"/>
  <c r="E831" i="41"/>
  <c r="D831" i="41"/>
  <c r="B831" i="41"/>
  <c r="E830" i="41"/>
  <c r="D830" i="41"/>
  <c r="B830" i="41"/>
  <c r="E829" i="41"/>
  <c r="D829" i="41"/>
  <c r="B829" i="41"/>
  <c r="E828" i="41"/>
  <c r="D828" i="41"/>
  <c r="B828" i="41"/>
  <c r="E827" i="41"/>
  <c r="D827" i="41"/>
  <c r="B827" i="41"/>
  <c r="E826" i="41"/>
  <c r="D826" i="41"/>
  <c r="B826" i="41"/>
  <c r="E825" i="41"/>
  <c r="D825" i="41"/>
  <c r="B825" i="41"/>
  <c r="E824" i="41"/>
  <c r="D824" i="41"/>
  <c r="B824" i="41"/>
  <c r="E823" i="41"/>
  <c r="D823" i="41"/>
  <c r="B823" i="41"/>
  <c r="E822" i="41"/>
  <c r="D822" i="41"/>
  <c r="B822" i="41"/>
  <c r="E821" i="41"/>
  <c r="D821" i="41"/>
  <c r="B821" i="41"/>
  <c r="E820" i="41"/>
  <c r="D820" i="41"/>
  <c r="B820" i="41"/>
  <c r="E819" i="41"/>
  <c r="D819" i="41"/>
  <c r="B819" i="41"/>
  <c r="E818" i="41"/>
  <c r="D818" i="41"/>
  <c r="B818" i="41"/>
  <c r="E817" i="41"/>
  <c r="D817" i="41"/>
  <c r="B817" i="41"/>
  <c r="E816" i="41"/>
  <c r="D816" i="41"/>
  <c r="B816" i="41"/>
  <c r="E815" i="41"/>
  <c r="D815" i="41"/>
  <c r="B815" i="41"/>
  <c r="E814" i="41"/>
  <c r="D814" i="41"/>
  <c r="B814" i="41"/>
  <c r="E813" i="41"/>
  <c r="D813" i="41"/>
  <c r="B813" i="41"/>
  <c r="E812" i="41"/>
  <c r="D812" i="41"/>
  <c r="B812" i="41"/>
  <c r="E811" i="41"/>
  <c r="D811" i="41"/>
  <c r="B811" i="41"/>
  <c r="E810" i="41"/>
  <c r="D810" i="41"/>
  <c r="B810" i="41"/>
  <c r="E809" i="41"/>
  <c r="D809" i="41"/>
  <c r="B809" i="41"/>
  <c r="E808" i="41"/>
  <c r="D808" i="41"/>
  <c r="B808" i="41"/>
  <c r="E807" i="41"/>
  <c r="D807" i="41"/>
  <c r="B807" i="41"/>
  <c r="E806" i="41"/>
  <c r="D806" i="41"/>
  <c r="B806" i="41"/>
  <c r="E805" i="41"/>
  <c r="D805" i="41"/>
  <c r="B805" i="41"/>
  <c r="E804" i="41"/>
  <c r="D804" i="41"/>
  <c r="B804" i="41"/>
  <c r="E803" i="41"/>
  <c r="D803" i="41"/>
  <c r="B803" i="41"/>
  <c r="E802" i="41"/>
  <c r="D802" i="41"/>
  <c r="B802" i="41"/>
  <c r="E801" i="41"/>
  <c r="D801" i="41"/>
  <c r="B801" i="41"/>
  <c r="E800" i="41"/>
  <c r="D800" i="41"/>
  <c r="B800" i="41"/>
  <c r="E799" i="41"/>
  <c r="D799" i="41"/>
  <c r="B799" i="41"/>
  <c r="E798" i="41"/>
  <c r="D798" i="41"/>
  <c r="B798" i="41"/>
  <c r="E797" i="41"/>
  <c r="D797" i="41"/>
  <c r="B797" i="41"/>
  <c r="E796" i="41"/>
  <c r="D796" i="41"/>
  <c r="B796" i="41"/>
  <c r="E795" i="41"/>
  <c r="D795" i="41"/>
  <c r="B795" i="41"/>
  <c r="E794" i="41"/>
  <c r="D794" i="41"/>
  <c r="B794" i="41"/>
  <c r="E793" i="41"/>
  <c r="D793" i="41"/>
  <c r="B793" i="41"/>
  <c r="E792" i="41"/>
  <c r="D792" i="41"/>
  <c r="B792" i="41"/>
  <c r="E791" i="41"/>
  <c r="D791" i="41"/>
  <c r="B791" i="41"/>
  <c r="E790" i="41"/>
  <c r="D790" i="41"/>
  <c r="B790" i="41"/>
  <c r="E789" i="41"/>
  <c r="D789" i="41"/>
  <c r="B789" i="41"/>
  <c r="E788" i="41"/>
  <c r="D788" i="41"/>
  <c r="B788" i="41"/>
  <c r="E787" i="41"/>
  <c r="D787" i="41"/>
  <c r="B787" i="41"/>
  <c r="E786" i="41"/>
  <c r="D786" i="41"/>
  <c r="B786" i="41"/>
  <c r="E785" i="41"/>
  <c r="D785" i="41"/>
  <c r="B785" i="41"/>
  <c r="E784" i="41"/>
  <c r="D784" i="41"/>
  <c r="B784" i="41"/>
  <c r="E783" i="41"/>
  <c r="D783" i="41"/>
  <c r="B783" i="41"/>
  <c r="E782" i="41"/>
  <c r="D782" i="41"/>
  <c r="B782" i="41"/>
  <c r="E781" i="41"/>
  <c r="D781" i="41"/>
  <c r="B781" i="41"/>
  <c r="E780" i="41"/>
  <c r="D780" i="41"/>
  <c r="B780" i="41"/>
  <c r="E779" i="41"/>
  <c r="D779" i="41"/>
  <c r="B779" i="41"/>
  <c r="E778" i="41"/>
  <c r="D778" i="41"/>
  <c r="B778" i="41"/>
  <c r="E777" i="41"/>
  <c r="D777" i="41"/>
  <c r="B777" i="41"/>
  <c r="E776" i="41"/>
  <c r="D776" i="41"/>
  <c r="B776" i="41"/>
  <c r="E775" i="41"/>
  <c r="D775" i="41"/>
  <c r="B775" i="41"/>
  <c r="E774" i="41"/>
  <c r="D774" i="41"/>
  <c r="B774" i="41"/>
  <c r="E773" i="41"/>
  <c r="D773" i="41"/>
  <c r="B773" i="41"/>
  <c r="E772" i="41"/>
  <c r="D772" i="41"/>
  <c r="B772" i="41"/>
  <c r="E771" i="41"/>
  <c r="D771" i="41"/>
  <c r="B771" i="41"/>
  <c r="E770" i="41"/>
  <c r="D770" i="41"/>
  <c r="B770" i="41"/>
  <c r="E769" i="41"/>
  <c r="D769" i="41"/>
  <c r="B769" i="41"/>
  <c r="E768" i="41"/>
  <c r="D768" i="41"/>
  <c r="B768" i="41"/>
  <c r="E767" i="41"/>
  <c r="D767" i="41"/>
  <c r="B767" i="41"/>
  <c r="E766" i="41"/>
  <c r="D766" i="41"/>
  <c r="B766" i="41"/>
  <c r="E765" i="41"/>
  <c r="D765" i="41"/>
  <c r="B765" i="41"/>
  <c r="E764" i="41"/>
  <c r="D764" i="41"/>
  <c r="B764" i="41"/>
  <c r="E763" i="41"/>
  <c r="D763" i="41"/>
  <c r="B763" i="41"/>
  <c r="E762" i="41"/>
  <c r="D762" i="41"/>
  <c r="B762" i="41"/>
  <c r="E761" i="41"/>
  <c r="D761" i="41"/>
  <c r="B761" i="41"/>
  <c r="E760" i="41"/>
  <c r="D760" i="41"/>
  <c r="B760" i="41"/>
  <c r="E759" i="41"/>
  <c r="D759" i="41"/>
  <c r="B759" i="41"/>
  <c r="E758" i="41"/>
  <c r="D758" i="41"/>
  <c r="B758" i="41"/>
  <c r="E757" i="41"/>
  <c r="D757" i="41"/>
  <c r="B757" i="41"/>
  <c r="E756" i="41"/>
  <c r="D756" i="41"/>
  <c r="B756" i="41"/>
  <c r="E755" i="41"/>
  <c r="D755" i="41"/>
  <c r="B755" i="41"/>
  <c r="E754" i="41"/>
  <c r="D754" i="41"/>
  <c r="B754" i="41"/>
  <c r="E753" i="41"/>
  <c r="D753" i="41"/>
  <c r="B753" i="41"/>
  <c r="E752" i="41"/>
  <c r="D752" i="41"/>
  <c r="B752" i="41"/>
  <c r="E751" i="41"/>
  <c r="D751" i="41"/>
  <c r="B751" i="41"/>
  <c r="E750" i="41"/>
  <c r="D750" i="41"/>
  <c r="B750" i="41"/>
  <c r="E749" i="41"/>
  <c r="D749" i="41"/>
  <c r="B749" i="41"/>
  <c r="E748" i="41"/>
  <c r="D748" i="41"/>
  <c r="B748" i="41"/>
  <c r="E747" i="41"/>
  <c r="D747" i="41"/>
  <c r="B747" i="41"/>
  <c r="E746" i="41"/>
  <c r="D746" i="41"/>
  <c r="B746" i="41"/>
  <c r="E745" i="41"/>
  <c r="D745" i="41"/>
  <c r="B745" i="41"/>
  <c r="E744" i="41"/>
  <c r="D744" i="41"/>
  <c r="B744" i="41"/>
  <c r="E743" i="41"/>
  <c r="D743" i="41"/>
  <c r="B743" i="41"/>
  <c r="E742" i="41"/>
  <c r="D742" i="41"/>
  <c r="B742" i="41"/>
  <c r="E741" i="41"/>
  <c r="D741" i="41"/>
  <c r="B741" i="41"/>
  <c r="E740" i="41"/>
  <c r="D740" i="41"/>
  <c r="B740" i="41"/>
  <c r="E739" i="41"/>
  <c r="D739" i="41"/>
  <c r="B739" i="41"/>
  <c r="E738" i="41"/>
  <c r="D738" i="41"/>
  <c r="B738" i="41"/>
  <c r="E737" i="41"/>
  <c r="D737" i="41"/>
  <c r="B737" i="41"/>
  <c r="E736" i="41"/>
  <c r="D736" i="41"/>
  <c r="B736" i="41"/>
  <c r="E735" i="41"/>
  <c r="D735" i="41"/>
  <c r="B735" i="41"/>
  <c r="E734" i="41"/>
  <c r="D734" i="41"/>
  <c r="B734" i="41"/>
  <c r="E733" i="41"/>
  <c r="D733" i="41"/>
  <c r="B733" i="41"/>
  <c r="E732" i="41"/>
  <c r="D732" i="41"/>
  <c r="B732" i="41"/>
  <c r="E731" i="41"/>
  <c r="D731" i="41"/>
  <c r="B731" i="41"/>
  <c r="E730" i="41"/>
  <c r="D730" i="41"/>
  <c r="B730" i="41"/>
  <c r="E729" i="41"/>
  <c r="D729" i="41"/>
  <c r="B729" i="41"/>
  <c r="E728" i="41"/>
  <c r="D728" i="41"/>
  <c r="B728" i="41"/>
  <c r="E727" i="41"/>
  <c r="D727" i="41"/>
  <c r="B727" i="41"/>
  <c r="E726" i="41"/>
  <c r="D726" i="41"/>
  <c r="B726" i="41"/>
  <c r="E725" i="41"/>
  <c r="D725" i="41"/>
  <c r="B725" i="41"/>
  <c r="E724" i="41"/>
  <c r="D724" i="41"/>
  <c r="B724" i="41"/>
  <c r="E723" i="41"/>
  <c r="D723" i="41"/>
  <c r="B723" i="41"/>
  <c r="E722" i="41"/>
  <c r="D722" i="41"/>
  <c r="B722" i="41"/>
  <c r="E721" i="41"/>
  <c r="D721" i="41"/>
  <c r="B721" i="41"/>
  <c r="E720" i="41"/>
  <c r="D720" i="41"/>
  <c r="B720" i="41"/>
  <c r="E719" i="41"/>
  <c r="D719" i="41"/>
  <c r="B719" i="41"/>
  <c r="E718" i="41"/>
  <c r="D718" i="41"/>
  <c r="B718" i="41"/>
  <c r="E717" i="41"/>
  <c r="D717" i="41"/>
  <c r="B717" i="41"/>
  <c r="E716" i="41"/>
  <c r="D716" i="41"/>
  <c r="B716" i="41"/>
  <c r="E715" i="41"/>
  <c r="D715" i="41"/>
  <c r="B715" i="41"/>
  <c r="E714" i="41"/>
  <c r="D714" i="41"/>
  <c r="B714" i="41"/>
  <c r="E713" i="41"/>
  <c r="D713" i="41"/>
  <c r="B713" i="41"/>
  <c r="E712" i="41"/>
  <c r="D712" i="41"/>
  <c r="B712" i="41"/>
  <c r="E711" i="41"/>
  <c r="D711" i="41"/>
  <c r="B711" i="41"/>
  <c r="E710" i="41"/>
  <c r="D710" i="41"/>
  <c r="B710" i="41"/>
  <c r="E709" i="41"/>
  <c r="D709" i="41"/>
  <c r="B709" i="41"/>
  <c r="E708" i="41"/>
  <c r="D708" i="41"/>
  <c r="B708" i="41"/>
  <c r="E707" i="41"/>
  <c r="D707" i="41"/>
  <c r="B707" i="41"/>
  <c r="E706" i="41"/>
  <c r="D706" i="41"/>
  <c r="B706" i="41"/>
  <c r="E705" i="41"/>
  <c r="D705" i="41"/>
  <c r="B705" i="41"/>
  <c r="E704" i="41"/>
  <c r="D704" i="41"/>
  <c r="B704" i="41"/>
  <c r="E703" i="41"/>
  <c r="D703" i="41"/>
  <c r="B703" i="41"/>
  <c r="E702" i="41"/>
  <c r="D702" i="41"/>
  <c r="B702" i="41"/>
  <c r="E701" i="41"/>
  <c r="D701" i="41"/>
  <c r="B701" i="41"/>
  <c r="E700" i="41"/>
  <c r="D700" i="41"/>
  <c r="B700" i="41"/>
  <c r="E699" i="41"/>
  <c r="D699" i="41"/>
  <c r="B699" i="41"/>
  <c r="E698" i="41"/>
  <c r="D698" i="41"/>
  <c r="B698" i="41"/>
  <c r="E697" i="41"/>
  <c r="D697" i="41"/>
  <c r="B697" i="41"/>
  <c r="E696" i="41"/>
  <c r="D696" i="41"/>
  <c r="B696" i="41"/>
  <c r="E695" i="41"/>
  <c r="D695" i="41"/>
  <c r="B695" i="41"/>
  <c r="E694" i="41"/>
  <c r="D694" i="41"/>
  <c r="B694" i="41"/>
  <c r="E693" i="41"/>
  <c r="D693" i="41"/>
  <c r="B693" i="41"/>
  <c r="E692" i="41"/>
  <c r="D692" i="41"/>
  <c r="B692" i="41"/>
  <c r="E691" i="41"/>
  <c r="D691" i="41"/>
  <c r="B691" i="41"/>
  <c r="E690" i="41"/>
  <c r="D690" i="41"/>
  <c r="B690" i="41"/>
  <c r="E689" i="41"/>
  <c r="D689" i="41"/>
  <c r="B689" i="41"/>
  <c r="E688" i="41"/>
  <c r="D688" i="41"/>
  <c r="B688" i="41"/>
  <c r="E687" i="41"/>
  <c r="D687" i="41"/>
  <c r="B687" i="41"/>
  <c r="E686" i="41"/>
  <c r="D686" i="41"/>
  <c r="B686" i="41"/>
  <c r="E685" i="41"/>
  <c r="D685" i="41"/>
  <c r="B685" i="41"/>
  <c r="E684" i="41"/>
  <c r="D684" i="41"/>
  <c r="B684" i="41"/>
  <c r="E683" i="41"/>
  <c r="D683" i="41"/>
  <c r="B683" i="41"/>
  <c r="E682" i="41"/>
  <c r="D682" i="41"/>
  <c r="B682" i="41"/>
  <c r="E681" i="41"/>
  <c r="D681" i="41"/>
  <c r="B681" i="41"/>
  <c r="E680" i="41"/>
  <c r="D680" i="41"/>
  <c r="B680" i="41"/>
  <c r="E679" i="41"/>
  <c r="D679" i="41"/>
  <c r="B679" i="41"/>
  <c r="E678" i="41"/>
  <c r="D678" i="41"/>
  <c r="B678" i="41"/>
  <c r="E677" i="41"/>
  <c r="D677" i="41"/>
  <c r="B677" i="41"/>
  <c r="E676" i="41"/>
  <c r="D676" i="41"/>
  <c r="B676" i="41"/>
  <c r="E675" i="41"/>
  <c r="D675" i="41"/>
  <c r="B675" i="41"/>
  <c r="E674" i="41"/>
  <c r="D674" i="41"/>
  <c r="B674" i="41"/>
  <c r="E673" i="41"/>
  <c r="D673" i="41"/>
  <c r="B673" i="41"/>
  <c r="E672" i="41"/>
  <c r="D672" i="41"/>
  <c r="B672" i="41"/>
  <c r="E671" i="41"/>
  <c r="D671" i="41"/>
  <c r="B671" i="41"/>
  <c r="E670" i="41"/>
  <c r="D670" i="41"/>
  <c r="B670" i="41"/>
  <c r="E669" i="41"/>
  <c r="D669" i="41"/>
  <c r="B669" i="41"/>
  <c r="E668" i="41"/>
  <c r="D668" i="41"/>
  <c r="B668" i="41"/>
  <c r="E667" i="41"/>
  <c r="D667" i="41"/>
  <c r="B667" i="41"/>
  <c r="E666" i="41"/>
  <c r="D666" i="41"/>
  <c r="B666" i="41"/>
  <c r="E665" i="41"/>
  <c r="D665" i="41"/>
  <c r="B665" i="41"/>
  <c r="E664" i="41"/>
  <c r="D664" i="41"/>
  <c r="B664" i="41"/>
  <c r="E663" i="41"/>
  <c r="D663" i="41"/>
  <c r="B663" i="41"/>
  <c r="E662" i="41"/>
  <c r="D662" i="41"/>
  <c r="B662" i="41"/>
  <c r="E661" i="41"/>
  <c r="D661" i="41"/>
  <c r="B661" i="41"/>
  <c r="E660" i="41"/>
  <c r="D660" i="41"/>
  <c r="B660" i="41"/>
  <c r="E659" i="41"/>
  <c r="D659" i="41"/>
  <c r="B659" i="41"/>
  <c r="E658" i="41"/>
  <c r="D658" i="41"/>
  <c r="B658" i="41"/>
  <c r="E657" i="41"/>
  <c r="D657" i="41"/>
  <c r="B657" i="41"/>
  <c r="E656" i="41"/>
  <c r="D656" i="41"/>
  <c r="B656" i="41"/>
  <c r="E655" i="41"/>
  <c r="D655" i="41"/>
  <c r="B655" i="41"/>
  <c r="E654" i="41"/>
  <c r="D654" i="41"/>
  <c r="B654" i="41"/>
  <c r="E653" i="41"/>
  <c r="D653" i="41"/>
  <c r="B653" i="41"/>
  <c r="E652" i="41"/>
  <c r="D652" i="41"/>
  <c r="B652" i="41"/>
  <c r="E651" i="41"/>
  <c r="D651" i="41"/>
  <c r="B651" i="41"/>
  <c r="E650" i="41"/>
  <c r="D650" i="41"/>
  <c r="B650" i="41"/>
  <c r="E649" i="41"/>
  <c r="D649" i="41"/>
  <c r="B649" i="41"/>
  <c r="E648" i="41"/>
  <c r="D648" i="41"/>
  <c r="B648" i="41"/>
  <c r="E647" i="41"/>
  <c r="D647" i="41"/>
  <c r="B647" i="41"/>
  <c r="E646" i="41"/>
  <c r="D646" i="41"/>
  <c r="B646" i="41"/>
  <c r="E645" i="41"/>
  <c r="D645" i="41"/>
  <c r="B645" i="41"/>
  <c r="E644" i="41"/>
  <c r="D644" i="41"/>
  <c r="B644" i="41"/>
  <c r="E643" i="41"/>
  <c r="D643" i="41"/>
  <c r="B643" i="41"/>
  <c r="E642" i="41"/>
  <c r="D642" i="41"/>
  <c r="B642" i="41"/>
  <c r="E641" i="41"/>
  <c r="D641" i="41"/>
  <c r="B641" i="41"/>
  <c r="E640" i="41"/>
  <c r="D640" i="41"/>
  <c r="B640" i="41"/>
  <c r="E639" i="41"/>
  <c r="D639" i="41"/>
  <c r="B639" i="41"/>
  <c r="E638" i="41"/>
  <c r="D638" i="41"/>
  <c r="B638" i="41"/>
  <c r="E637" i="41"/>
  <c r="D637" i="41"/>
  <c r="B637" i="41"/>
  <c r="E636" i="41"/>
  <c r="D636" i="41"/>
  <c r="B636" i="41"/>
  <c r="E635" i="41"/>
  <c r="D635" i="41"/>
  <c r="B635" i="41"/>
  <c r="E634" i="41"/>
  <c r="D634" i="41"/>
  <c r="B634" i="41"/>
  <c r="E633" i="41"/>
  <c r="D633" i="41"/>
  <c r="B633" i="41"/>
  <c r="E632" i="41"/>
  <c r="D632" i="41"/>
  <c r="B632" i="41"/>
  <c r="E631" i="41"/>
  <c r="D631" i="41"/>
  <c r="B631" i="41"/>
  <c r="E630" i="41"/>
  <c r="D630" i="41"/>
  <c r="B630" i="41"/>
  <c r="E629" i="41"/>
  <c r="D629" i="41"/>
  <c r="B629" i="41"/>
  <c r="E628" i="41"/>
  <c r="D628" i="41"/>
  <c r="B628" i="41"/>
  <c r="E627" i="41"/>
  <c r="D627" i="41"/>
  <c r="B627" i="41"/>
  <c r="E626" i="41"/>
  <c r="D626" i="41"/>
  <c r="B626" i="41"/>
  <c r="E625" i="41"/>
  <c r="D625" i="41"/>
  <c r="B625" i="41"/>
  <c r="E624" i="41"/>
  <c r="D624" i="41"/>
  <c r="B624" i="41"/>
  <c r="E623" i="41"/>
  <c r="D623" i="41"/>
  <c r="B623" i="41"/>
  <c r="E622" i="41"/>
  <c r="D622" i="41"/>
  <c r="B622" i="41"/>
  <c r="E621" i="41"/>
  <c r="D621" i="41"/>
  <c r="B621" i="41"/>
  <c r="E620" i="41"/>
  <c r="D620" i="41"/>
  <c r="B620" i="41"/>
  <c r="E619" i="41"/>
  <c r="D619" i="41"/>
  <c r="B619" i="41"/>
  <c r="E618" i="41"/>
  <c r="D618" i="41"/>
  <c r="B618" i="41"/>
  <c r="E617" i="41"/>
  <c r="D617" i="41"/>
  <c r="B617" i="41"/>
  <c r="E616" i="41"/>
  <c r="D616" i="41"/>
  <c r="B616" i="41"/>
  <c r="E615" i="41"/>
  <c r="D615" i="41"/>
  <c r="B615" i="41"/>
  <c r="E614" i="41"/>
  <c r="D614" i="41"/>
  <c r="B614" i="41"/>
  <c r="E613" i="41"/>
  <c r="D613" i="41"/>
  <c r="B613" i="41"/>
  <c r="E612" i="41"/>
  <c r="D612" i="41"/>
  <c r="B612" i="41"/>
  <c r="E611" i="41"/>
  <c r="D611" i="41"/>
  <c r="B611" i="41"/>
  <c r="E610" i="41"/>
  <c r="D610" i="41"/>
  <c r="B610" i="41"/>
  <c r="E609" i="41"/>
  <c r="D609" i="41"/>
  <c r="B609" i="41"/>
  <c r="E608" i="41"/>
  <c r="D608" i="41"/>
  <c r="B608" i="41"/>
  <c r="E607" i="41"/>
  <c r="D607" i="41"/>
  <c r="B607" i="41"/>
  <c r="E606" i="41"/>
  <c r="D606" i="41"/>
  <c r="B606" i="41"/>
  <c r="E605" i="41"/>
  <c r="D605" i="41"/>
  <c r="B605" i="41"/>
  <c r="E604" i="41"/>
  <c r="D604" i="41"/>
  <c r="B604" i="41"/>
  <c r="E603" i="41"/>
  <c r="D603" i="41"/>
  <c r="B603" i="41"/>
  <c r="E602" i="41"/>
  <c r="D602" i="41"/>
  <c r="B602" i="41"/>
  <c r="E601" i="41"/>
  <c r="D601" i="41"/>
  <c r="B601" i="41"/>
  <c r="E600" i="41"/>
  <c r="D600" i="41"/>
  <c r="B600" i="41"/>
  <c r="E599" i="41"/>
  <c r="D599" i="41"/>
  <c r="B599" i="41"/>
  <c r="E598" i="41"/>
  <c r="D598" i="41"/>
  <c r="B598" i="41"/>
  <c r="E597" i="41"/>
  <c r="D597" i="41"/>
  <c r="B597" i="41"/>
  <c r="E596" i="41"/>
  <c r="D596" i="41"/>
  <c r="B596" i="41"/>
  <c r="E595" i="41"/>
  <c r="D595" i="41"/>
  <c r="B595" i="41"/>
  <c r="E594" i="41"/>
  <c r="D594" i="41"/>
  <c r="B594" i="41"/>
  <c r="E593" i="41"/>
  <c r="D593" i="41"/>
  <c r="B593" i="41"/>
  <c r="E592" i="41"/>
  <c r="D592" i="41"/>
  <c r="B592" i="41"/>
  <c r="E591" i="41"/>
  <c r="D591" i="41"/>
  <c r="B591" i="41"/>
  <c r="E590" i="41"/>
  <c r="D590" i="41"/>
  <c r="B590" i="41"/>
  <c r="E589" i="41"/>
  <c r="D589" i="41"/>
  <c r="B589" i="41"/>
  <c r="E588" i="41"/>
  <c r="D588" i="41"/>
  <c r="B588" i="41"/>
  <c r="E587" i="41"/>
  <c r="D587" i="41"/>
  <c r="B587" i="41"/>
  <c r="E586" i="41"/>
  <c r="D586" i="41"/>
  <c r="B586" i="41"/>
  <c r="E585" i="41"/>
  <c r="D585" i="41"/>
  <c r="B585" i="41"/>
  <c r="E584" i="41"/>
  <c r="D584" i="41"/>
  <c r="B584" i="41"/>
  <c r="E583" i="41"/>
  <c r="D583" i="41"/>
  <c r="B583" i="41"/>
  <c r="E582" i="41"/>
  <c r="D582" i="41"/>
  <c r="B582" i="41"/>
  <c r="E581" i="41"/>
  <c r="D581" i="41"/>
  <c r="B581" i="41"/>
  <c r="E580" i="41"/>
  <c r="D580" i="41"/>
  <c r="B580" i="41"/>
  <c r="E579" i="41"/>
  <c r="D579" i="41"/>
  <c r="B579" i="41"/>
  <c r="E578" i="41"/>
  <c r="D578" i="41"/>
  <c r="B578" i="41"/>
  <c r="E577" i="41"/>
  <c r="D577" i="41"/>
  <c r="B577" i="41"/>
  <c r="E576" i="41"/>
  <c r="D576" i="41"/>
  <c r="B576" i="41"/>
  <c r="E575" i="41"/>
  <c r="D575" i="41"/>
  <c r="B575" i="41"/>
  <c r="E574" i="41"/>
  <c r="D574" i="41"/>
  <c r="B574" i="41"/>
  <c r="E573" i="41"/>
  <c r="D573" i="41"/>
  <c r="B573" i="41"/>
  <c r="E572" i="41"/>
  <c r="D572" i="41"/>
  <c r="B572" i="41"/>
  <c r="E571" i="41"/>
  <c r="D571" i="41"/>
  <c r="B571" i="41"/>
  <c r="E570" i="41"/>
  <c r="D570" i="41"/>
  <c r="B570" i="41"/>
  <c r="E569" i="41"/>
  <c r="D569" i="41"/>
  <c r="B569" i="41"/>
  <c r="E568" i="41"/>
  <c r="D568" i="41"/>
  <c r="B568" i="41"/>
  <c r="E567" i="41"/>
  <c r="D567" i="41"/>
  <c r="B567" i="41"/>
  <c r="E566" i="41"/>
  <c r="D566" i="41"/>
  <c r="B566" i="41"/>
  <c r="E565" i="41"/>
  <c r="D565" i="41"/>
  <c r="B565" i="41"/>
  <c r="E564" i="41"/>
  <c r="D564" i="41"/>
  <c r="B564" i="41"/>
  <c r="E563" i="41"/>
  <c r="D563" i="41"/>
  <c r="B563" i="41"/>
  <c r="E562" i="41"/>
  <c r="D562" i="41"/>
  <c r="B562" i="41"/>
  <c r="E561" i="41"/>
  <c r="D561" i="41"/>
  <c r="B561" i="41"/>
  <c r="E560" i="41"/>
  <c r="D560" i="41"/>
  <c r="B560" i="41"/>
  <c r="E559" i="41"/>
  <c r="D559" i="41"/>
  <c r="B559" i="41"/>
  <c r="E558" i="41"/>
  <c r="D558" i="41"/>
  <c r="B558" i="41"/>
  <c r="E557" i="41"/>
  <c r="D557" i="41"/>
  <c r="B557" i="41"/>
  <c r="E556" i="41"/>
  <c r="D556" i="41"/>
  <c r="B556" i="41"/>
  <c r="E555" i="41"/>
  <c r="D555" i="41"/>
  <c r="B555" i="41"/>
  <c r="E554" i="41"/>
  <c r="D554" i="41"/>
  <c r="B554" i="41"/>
  <c r="E553" i="41"/>
  <c r="D553" i="41"/>
  <c r="B553" i="41"/>
  <c r="E552" i="41"/>
  <c r="D552" i="41"/>
  <c r="B552" i="41"/>
  <c r="E551" i="41"/>
  <c r="D551" i="41"/>
  <c r="B551" i="41"/>
  <c r="E550" i="41"/>
  <c r="D550" i="41"/>
  <c r="B550" i="41"/>
  <c r="E549" i="41"/>
  <c r="D549" i="41"/>
  <c r="B549" i="41"/>
  <c r="E548" i="41"/>
  <c r="D548" i="41"/>
  <c r="B548" i="41"/>
  <c r="E547" i="41"/>
  <c r="D547" i="41"/>
  <c r="B547" i="41"/>
  <c r="E546" i="41"/>
  <c r="D546" i="41"/>
  <c r="B546" i="41"/>
  <c r="E545" i="41"/>
  <c r="D545" i="41"/>
  <c r="B545" i="41"/>
  <c r="E544" i="41"/>
  <c r="D544" i="41"/>
  <c r="B544" i="41"/>
  <c r="E543" i="41"/>
  <c r="D543" i="41"/>
  <c r="B543" i="41"/>
  <c r="E542" i="41"/>
  <c r="D542" i="41"/>
  <c r="B542" i="41"/>
  <c r="E541" i="41"/>
  <c r="D541" i="41"/>
  <c r="B541" i="41"/>
  <c r="E540" i="41"/>
  <c r="D540" i="41"/>
  <c r="B540" i="41"/>
  <c r="E539" i="41"/>
  <c r="D539" i="41"/>
  <c r="B539" i="41"/>
  <c r="E538" i="41"/>
  <c r="D538" i="41"/>
  <c r="B538" i="41"/>
  <c r="E537" i="41"/>
  <c r="D537" i="41"/>
  <c r="B537" i="41"/>
  <c r="E536" i="41"/>
  <c r="D536" i="41"/>
  <c r="B536" i="41"/>
  <c r="E535" i="41"/>
  <c r="D535" i="41"/>
  <c r="B535" i="41"/>
  <c r="E534" i="41"/>
  <c r="D534" i="41"/>
  <c r="B534" i="41"/>
  <c r="E533" i="41"/>
  <c r="D533" i="41"/>
  <c r="B533" i="41"/>
  <c r="E532" i="41"/>
  <c r="D532" i="41"/>
  <c r="B532" i="41"/>
  <c r="E531" i="41"/>
  <c r="D531" i="41"/>
  <c r="B531" i="41"/>
  <c r="E530" i="41"/>
  <c r="D530" i="41"/>
  <c r="B530" i="41"/>
  <c r="E529" i="41"/>
  <c r="D529" i="41"/>
  <c r="B529" i="41"/>
  <c r="E528" i="41"/>
  <c r="D528" i="41"/>
  <c r="B528" i="41"/>
  <c r="E527" i="41"/>
  <c r="D527" i="41"/>
  <c r="B527" i="41"/>
  <c r="E526" i="41"/>
  <c r="D526" i="41"/>
  <c r="B526" i="41"/>
  <c r="E525" i="41"/>
  <c r="D525" i="41"/>
  <c r="B525" i="41"/>
  <c r="E524" i="41"/>
  <c r="D524" i="41"/>
  <c r="B524" i="41"/>
  <c r="E523" i="41"/>
  <c r="D523" i="41"/>
  <c r="B523" i="41"/>
  <c r="E522" i="41"/>
  <c r="D522" i="41"/>
  <c r="B522" i="41"/>
  <c r="E521" i="41"/>
  <c r="D521" i="41"/>
  <c r="B521" i="41"/>
  <c r="E520" i="41"/>
  <c r="D520" i="41"/>
  <c r="B520" i="41"/>
  <c r="E519" i="41"/>
  <c r="D519" i="41"/>
  <c r="B519" i="41"/>
  <c r="E518" i="41"/>
  <c r="D518" i="41"/>
  <c r="B518" i="41"/>
  <c r="E517" i="41"/>
  <c r="D517" i="41"/>
  <c r="B517" i="41"/>
  <c r="E516" i="41"/>
  <c r="D516" i="41"/>
  <c r="B516" i="41"/>
  <c r="E515" i="41"/>
  <c r="D515" i="41"/>
  <c r="B515" i="41"/>
  <c r="E514" i="41"/>
  <c r="D514" i="41"/>
  <c r="B514" i="41"/>
  <c r="E513" i="41"/>
  <c r="D513" i="41"/>
  <c r="B513" i="41"/>
  <c r="E512" i="41"/>
  <c r="D512" i="41"/>
  <c r="B512" i="41"/>
  <c r="E511" i="41"/>
  <c r="D511" i="41"/>
  <c r="B511" i="41"/>
  <c r="E510" i="41"/>
  <c r="D510" i="41"/>
  <c r="B510" i="41"/>
  <c r="E509" i="41"/>
  <c r="D509" i="41"/>
  <c r="B509" i="41"/>
  <c r="E508" i="41"/>
  <c r="D508" i="41"/>
  <c r="B508" i="41"/>
  <c r="E507" i="41"/>
  <c r="D507" i="41"/>
  <c r="B507" i="41"/>
  <c r="E506" i="41"/>
  <c r="D506" i="41"/>
  <c r="B506" i="41"/>
  <c r="E505" i="41"/>
  <c r="D505" i="41"/>
  <c r="B505" i="41"/>
  <c r="E504" i="41"/>
  <c r="D504" i="41"/>
  <c r="B504" i="41"/>
  <c r="E503" i="41"/>
  <c r="D503" i="41"/>
  <c r="B503" i="41"/>
  <c r="E502" i="41"/>
  <c r="D502" i="41"/>
  <c r="B502" i="41"/>
  <c r="E501" i="41"/>
  <c r="D501" i="41"/>
  <c r="B501" i="41"/>
  <c r="E500" i="41"/>
  <c r="D500" i="41"/>
  <c r="B500" i="41"/>
  <c r="E499" i="41"/>
  <c r="D499" i="41"/>
  <c r="B499" i="41"/>
  <c r="E498" i="41"/>
  <c r="D498" i="41"/>
  <c r="B498" i="41"/>
  <c r="E497" i="41"/>
  <c r="D497" i="41"/>
  <c r="B497" i="41"/>
  <c r="E496" i="41"/>
  <c r="D496" i="41"/>
  <c r="B496" i="41"/>
  <c r="E495" i="41"/>
  <c r="D495" i="41"/>
  <c r="B495" i="41"/>
  <c r="E494" i="41"/>
  <c r="D494" i="41"/>
  <c r="B494" i="41"/>
  <c r="E493" i="41"/>
  <c r="D493" i="41"/>
  <c r="B493" i="41"/>
  <c r="E492" i="41"/>
  <c r="D492" i="41"/>
  <c r="B492" i="41"/>
  <c r="E491" i="41"/>
  <c r="D491" i="41"/>
  <c r="B491" i="41"/>
  <c r="E490" i="41"/>
  <c r="D490" i="41"/>
  <c r="B490" i="41"/>
  <c r="E489" i="41"/>
  <c r="D489" i="41"/>
  <c r="B489" i="41"/>
  <c r="E488" i="41"/>
  <c r="D488" i="41"/>
  <c r="B488" i="41"/>
  <c r="E487" i="41"/>
  <c r="D487" i="41"/>
  <c r="B487" i="41"/>
  <c r="E486" i="41"/>
  <c r="D486" i="41"/>
  <c r="B486" i="41"/>
  <c r="E485" i="41"/>
  <c r="D485" i="41"/>
  <c r="B485" i="41"/>
  <c r="E484" i="41"/>
  <c r="D484" i="41"/>
  <c r="B484" i="41"/>
  <c r="E483" i="41"/>
  <c r="D483" i="41"/>
  <c r="B483" i="41"/>
  <c r="E482" i="41"/>
  <c r="D482" i="41"/>
  <c r="B482" i="41"/>
  <c r="E481" i="41"/>
  <c r="D481" i="41"/>
  <c r="B481" i="41"/>
  <c r="E480" i="41"/>
  <c r="D480" i="41"/>
  <c r="B480" i="41"/>
  <c r="E479" i="41"/>
  <c r="D479" i="41"/>
  <c r="B479" i="41"/>
  <c r="E478" i="41"/>
  <c r="D478" i="41"/>
  <c r="B478" i="41"/>
  <c r="E477" i="41"/>
  <c r="D477" i="41"/>
  <c r="B477" i="41"/>
  <c r="E476" i="41"/>
  <c r="D476" i="41"/>
  <c r="B476" i="41"/>
  <c r="E475" i="41"/>
  <c r="D475" i="41"/>
  <c r="B475" i="41"/>
  <c r="E474" i="41"/>
  <c r="D474" i="41"/>
  <c r="B474" i="41"/>
  <c r="E473" i="41"/>
  <c r="D473" i="41"/>
  <c r="B473" i="41"/>
  <c r="E472" i="41"/>
  <c r="D472" i="41"/>
  <c r="B472" i="41"/>
  <c r="E471" i="41"/>
  <c r="D471" i="41"/>
  <c r="B471" i="41"/>
  <c r="E470" i="41"/>
  <c r="D470" i="41"/>
  <c r="B470" i="41"/>
  <c r="E469" i="41"/>
  <c r="D469" i="41"/>
  <c r="B469" i="41"/>
  <c r="E468" i="41"/>
  <c r="D468" i="41"/>
  <c r="B468" i="41"/>
  <c r="E467" i="41"/>
  <c r="D467" i="41"/>
  <c r="B467" i="41"/>
  <c r="E466" i="41"/>
  <c r="D466" i="41"/>
  <c r="B466" i="41"/>
  <c r="E465" i="41"/>
  <c r="D465" i="41"/>
  <c r="B465" i="41"/>
  <c r="E464" i="41"/>
  <c r="D464" i="41"/>
  <c r="B464" i="41"/>
  <c r="E463" i="41"/>
  <c r="D463" i="41"/>
  <c r="B463" i="41"/>
  <c r="E462" i="41"/>
  <c r="D462" i="41"/>
  <c r="B462" i="41"/>
  <c r="E461" i="41"/>
  <c r="D461" i="41"/>
  <c r="B461" i="41"/>
  <c r="E460" i="41"/>
  <c r="D460" i="41"/>
  <c r="B460" i="41"/>
  <c r="E459" i="41"/>
  <c r="D459" i="41"/>
  <c r="B459" i="41"/>
  <c r="E458" i="41"/>
  <c r="D458" i="41"/>
  <c r="B458" i="41"/>
  <c r="E457" i="41"/>
  <c r="D457" i="41"/>
  <c r="B457" i="41"/>
  <c r="E456" i="41"/>
  <c r="D456" i="41"/>
  <c r="B456" i="41"/>
  <c r="E455" i="41"/>
  <c r="D455" i="41"/>
  <c r="B455" i="41"/>
  <c r="E454" i="41"/>
  <c r="D454" i="41"/>
  <c r="B454" i="41"/>
  <c r="E453" i="41"/>
  <c r="D453" i="41"/>
  <c r="B453" i="41"/>
  <c r="E452" i="41"/>
  <c r="D452" i="41"/>
  <c r="B452" i="41"/>
  <c r="E451" i="41"/>
  <c r="D451" i="41"/>
  <c r="B451" i="41"/>
  <c r="E450" i="41"/>
  <c r="D450" i="41"/>
  <c r="B450" i="41"/>
  <c r="E449" i="41"/>
  <c r="D449" i="41"/>
  <c r="B449" i="41"/>
  <c r="E448" i="41"/>
  <c r="D448" i="41"/>
  <c r="B448" i="41"/>
  <c r="E447" i="41"/>
  <c r="D447" i="41"/>
  <c r="B447" i="41"/>
  <c r="E446" i="41"/>
  <c r="D446" i="41"/>
  <c r="B446" i="41"/>
  <c r="E445" i="41"/>
  <c r="D445" i="41"/>
  <c r="B445" i="41"/>
  <c r="E444" i="41"/>
  <c r="D444" i="41"/>
  <c r="B444" i="41"/>
  <c r="E443" i="41"/>
  <c r="D443" i="41"/>
  <c r="B443" i="41"/>
  <c r="E442" i="41"/>
  <c r="D442" i="41"/>
  <c r="B442" i="41"/>
  <c r="E441" i="41"/>
  <c r="D441" i="41"/>
  <c r="B441" i="41"/>
  <c r="E440" i="41"/>
  <c r="D440" i="41"/>
  <c r="B440" i="41"/>
  <c r="E439" i="41"/>
  <c r="D439" i="41"/>
  <c r="B439" i="41"/>
  <c r="E438" i="41"/>
  <c r="D438" i="41"/>
  <c r="B438" i="41"/>
  <c r="E437" i="41"/>
  <c r="D437" i="41"/>
  <c r="B437" i="41"/>
  <c r="E436" i="41"/>
  <c r="D436" i="41"/>
  <c r="B436" i="41"/>
  <c r="E435" i="41"/>
  <c r="D435" i="41"/>
  <c r="B435" i="41"/>
  <c r="E434" i="41"/>
  <c r="D434" i="41"/>
  <c r="B434" i="41"/>
  <c r="E433" i="41"/>
  <c r="D433" i="41"/>
  <c r="B433" i="41"/>
  <c r="E432" i="41"/>
  <c r="D432" i="41"/>
  <c r="B432" i="41"/>
  <c r="E431" i="41"/>
  <c r="D431" i="41"/>
  <c r="B431" i="41"/>
  <c r="E430" i="41"/>
  <c r="D430" i="41"/>
  <c r="B430" i="41"/>
  <c r="E429" i="41"/>
  <c r="D429" i="41"/>
  <c r="B429" i="41"/>
  <c r="E428" i="41"/>
  <c r="D428" i="41"/>
  <c r="B428" i="41"/>
  <c r="E427" i="41"/>
  <c r="D427" i="41"/>
  <c r="B427" i="41"/>
  <c r="E426" i="41"/>
  <c r="D426" i="41"/>
  <c r="B426" i="41"/>
  <c r="E425" i="41"/>
  <c r="D425" i="41"/>
  <c r="B425" i="41"/>
  <c r="E424" i="41"/>
  <c r="D424" i="41"/>
  <c r="B424" i="41"/>
  <c r="E423" i="41"/>
  <c r="D423" i="41"/>
  <c r="B423" i="41"/>
  <c r="E422" i="41"/>
  <c r="D422" i="41"/>
  <c r="B422" i="41"/>
  <c r="E421" i="41"/>
  <c r="D421" i="41"/>
  <c r="B421" i="41"/>
  <c r="E420" i="41"/>
  <c r="D420" i="41"/>
  <c r="B420" i="41"/>
  <c r="E419" i="41"/>
  <c r="D419" i="41"/>
  <c r="B419" i="41"/>
  <c r="E418" i="41"/>
  <c r="D418" i="41"/>
  <c r="B418" i="41"/>
  <c r="E417" i="41"/>
  <c r="D417" i="41"/>
  <c r="B417" i="41"/>
  <c r="E416" i="41"/>
  <c r="D416" i="41"/>
  <c r="B416" i="41"/>
  <c r="E415" i="41"/>
  <c r="D415" i="41"/>
  <c r="B415" i="41"/>
  <c r="E414" i="41"/>
  <c r="D414" i="41"/>
  <c r="B414" i="41"/>
  <c r="E413" i="41"/>
  <c r="D413" i="41"/>
  <c r="B413" i="41"/>
  <c r="E412" i="41"/>
  <c r="D412" i="41"/>
  <c r="B412" i="41"/>
  <c r="E411" i="41"/>
  <c r="D411" i="41"/>
  <c r="B411" i="41"/>
  <c r="E410" i="41"/>
  <c r="D410" i="41"/>
  <c r="B410" i="41"/>
  <c r="E409" i="41"/>
  <c r="D409" i="41"/>
  <c r="B409" i="41"/>
  <c r="E408" i="41"/>
  <c r="D408" i="41"/>
  <c r="B408" i="41"/>
  <c r="E407" i="41"/>
  <c r="D407" i="41"/>
  <c r="B407" i="41"/>
  <c r="E406" i="41"/>
  <c r="D406" i="41"/>
  <c r="B406" i="41"/>
  <c r="E405" i="41"/>
  <c r="D405" i="41"/>
  <c r="B405" i="41"/>
  <c r="E404" i="41"/>
  <c r="D404" i="41"/>
  <c r="B404" i="41"/>
  <c r="E403" i="41"/>
  <c r="D403" i="41"/>
  <c r="B403" i="41"/>
  <c r="E402" i="41"/>
  <c r="D402" i="41"/>
  <c r="B402" i="41"/>
  <c r="E401" i="41"/>
  <c r="D401" i="41"/>
  <c r="B401" i="41"/>
  <c r="E400" i="41"/>
  <c r="D400" i="41"/>
  <c r="B400" i="41"/>
  <c r="E399" i="41"/>
  <c r="D399" i="41"/>
  <c r="B399" i="41"/>
  <c r="E398" i="41"/>
  <c r="D398" i="41"/>
  <c r="B398" i="41"/>
  <c r="E397" i="41"/>
  <c r="D397" i="41"/>
  <c r="B397" i="41"/>
  <c r="E396" i="41"/>
  <c r="D396" i="41"/>
  <c r="B396" i="41"/>
  <c r="E395" i="41"/>
  <c r="D395" i="41"/>
  <c r="B395" i="41"/>
  <c r="E394" i="41"/>
  <c r="D394" i="41"/>
  <c r="B394" i="41"/>
  <c r="E393" i="41"/>
  <c r="D393" i="41"/>
  <c r="B393" i="41"/>
  <c r="E392" i="41"/>
  <c r="D392" i="41"/>
  <c r="B392" i="41"/>
  <c r="E391" i="41"/>
  <c r="D391" i="41"/>
  <c r="B391" i="41"/>
  <c r="E390" i="41"/>
  <c r="D390" i="41"/>
  <c r="B390" i="41"/>
  <c r="E389" i="41"/>
  <c r="D389" i="41"/>
  <c r="B389" i="41"/>
  <c r="E388" i="41"/>
  <c r="D388" i="41"/>
  <c r="B388" i="41"/>
  <c r="E387" i="41"/>
  <c r="D387" i="41"/>
  <c r="B387" i="41"/>
  <c r="E386" i="41"/>
  <c r="D386" i="41"/>
  <c r="B386" i="41"/>
  <c r="E385" i="41"/>
  <c r="D385" i="41"/>
  <c r="B385" i="41"/>
  <c r="E384" i="41"/>
  <c r="D384" i="41"/>
  <c r="B384" i="41"/>
  <c r="E383" i="41"/>
  <c r="D383" i="41"/>
  <c r="B383" i="41"/>
  <c r="E382" i="41"/>
  <c r="D382" i="41"/>
  <c r="B382" i="41"/>
  <c r="E381" i="41"/>
  <c r="D381" i="41"/>
  <c r="B381" i="41"/>
  <c r="E380" i="41"/>
  <c r="D380" i="41"/>
  <c r="B380" i="41"/>
  <c r="E379" i="41"/>
  <c r="D379" i="41"/>
  <c r="B379" i="41"/>
  <c r="E378" i="41"/>
  <c r="D378" i="41"/>
  <c r="B378" i="41"/>
  <c r="E377" i="41"/>
  <c r="D377" i="41"/>
  <c r="B377" i="41"/>
  <c r="E376" i="41"/>
  <c r="D376" i="41"/>
  <c r="B376" i="41"/>
  <c r="E375" i="41"/>
  <c r="D375" i="41"/>
  <c r="B375" i="41"/>
  <c r="E374" i="41"/>
  <c r="D374" i="41"/>
  <c r="B374" i="41"/>
  <c r="E373" i="41"/>
  <c r="D373" i="41"/>
  <c r="B373" i="41"/>
  <c r="E372" i="41"/>
  <c r="D372" i="41"/>
  <c r="B372" i="41"/>
  <c r="E371" i="41"/>
  <c r="D371" i="41"/>
  <c r="B371" i="41"/>
  <c r="E370" i="41"/>
  <c r="D370" i="41"/>
  <c r="B370" i="41"/>
  <c r="E369" i="41"/>
  <c r="D369" i="41"/>
  <c r="B369" i="41"/>
  <c r="E368" i="41"/>
  <c r="D368" i="41"/>
  <c r="B368" i="41"/>
  <c r="E367" i="41"/>
  <c r="D367" i="41"/>
  <c r="B367" i="41"/>
  <c r="E366" i="41"/>
  <c r="D366" i="41"/>
  <c r="B366" i="41"/>
  <c r="E365" i="41"/>
  <c r="D365" i="41"/>
  <c r="B365" i="41"/>
  <c r="E364" i="41"/>
  <c r="D364" i="41"/>
  <c r="B364" i="41"/>
  <c r="E363" i="41"/>
  <c r="D363" i="41"/>
  <c r="B363" i="41"/>
  <c r="E362" i="41"/>
  <c r="D362" i="41"/>
  <c r="B362" i="41"/>
  <c r="E361" i="41"/>
  <c r="D361" i="41"/>
  <c r="B361" i="41"/>
  <c r="E360" i="41"/>
  <c r="D360" i="41"/>
  <c r="B360" i="41"/>
  <c r="E359" i="41"/>
  <c r="D359" i="41"/>
  <c r="B359" i="41"/>
  <c r="E358" i="41"/>
  <c r="D358" i="41"/>
  <c r="B358" i="41"/>
  <c r="E357" i="41"/>
  <c r="D357" i="41"/>
  <c r="B357" i="41"/>
  <c r="E356" i="41"/>
  <c r="D356" i="41"/>
  <c r="B356" i="41"/>
  <c r="E355" i="41"/>
  <c r="D355" i="41"/>
  <c r="B355" i="41"/>
  <c r="E354" i="41"/>
  <c r="D354" i="41"/>
  <c r="B354" i="41"/>
  <c r="E353" i="41"/>
  <c r="D353" i="41"/>
  <c r="B353" i="41"/>
  <c r="E352" i="41"/>
  <c r="D352" i="41"/>
  <c r="B352" i="41"/>
  <c r="E351" i="41"/>
  <c r="D351" i="41"/>
  <c r="B351" i="41"/>
  <c r="E350" i="41"/>
  <c r="D350" i="41"/>
  <c r="B350" i="41"/>
  <c r="E349" i="41"/>
  <c r="D349" i="41"/>
  <c r="B349" i="41"/>
  <c r="E348" i="41"/>
  <c r="D348" i="41"/>
  <c r="B348" i="41"/>
  <c r="E347" i="41"/>
  <c r="D347" i="41"/>
  <c r="B347" i="41"/>
  <c r="E346" i="41"/>
  <c r="D346" i="41"/>
  <c r="B346" i="41"/>
  <c r="E345" i="41"/>
  <c r="D345" i="41"/>
  <c r="B345" i="41"/>
  <c r="E344" i="41"/>
  <c r="D344" i="41"/>
  <c r="B344" i="41"/>
  <c r="E343" i="41"/>
  <c r="D343" i="41"/>
  <c r="B343" i="41"/>
  <c r="E342" i="41"/>
  <c r="D342" i="41"/>
  <c r="B342" i="41"/>
  <c r="E341" i="41"/>
  <c r="D341" i="41"/>
  <c r="B341" i="41"/>
  <c r="E340" i="41"/>
  <c r="D340" i="41"/>
  <c r="B340" i="41"/>
  <c r="E339" i="41"/>
  <c r="D339" i="41"/>
  <c r="B339" i="41"/>
  <c r="E338" i="41"/>
  <c r="D338" i="41"/>
  <c r="B338" i="41"/>
  <c r="E337" i="41"/>
  <c r="D337" i="41"/>
  <c r="B337" i="41"/>
  <c r="E336" i="41"/>
  <c r="D336" i="41"/>
  <c r="B336" i="41"/>
  <c r="E335" i="41"/>
  <c r="D335" i="41"/>
  <c r="B335" i="41"/>
  <c r="E334" i="41"/>
  <c r="D334" i="41"/>
  <c r="B334" i="41"/>
  <c r="E333" i="41"/>
  <c r="D333" i="41"/>
  <c r="B333" i="41"/>
  <c r="E332" i="41"/>
  <c r="D332" i="41"/>
  <c r="B332" i="41"/>
  <c r="E331" i="41"/>
  <c r="D331" i="41"/>
  <c r="B331" i="41"/>
  <c r="E330" i="41"/>
  <c r="D330" i="41"/>
  <c r="B330" i="41"/>
  <c r="E329" i="41"/>
  <c r="D329" i="41"/>
  <c r="B329" i="41"/>
  <c r="E328" i="41"/>
  <c r="D328" i="41"/>
  <c r="B328" i="41"/>
  <c r="E327" i="41"/>
  <c r="D327" i="41"/>
  <c r="B327" i="41"/>
  <c r="E326" i="41"/>
  <c r="D326" i="41"/>
  <c r="B326" i="41"/>
  <c r="E325" i="41"/>
  <c r="D325" i="41"/>
  <c r="B325" i="41"/>
  <c r="E324" i="41"/>
  <c r="D324" i="41"/>
  <c r="B324" i="41"/>
  <c r="E323" i="41"/>
  <c r="D323" i="41"/>
  <c r="B323" i="41"/>
  <c r="E322" i="41"/>
  <c r="D322" i="41"/>
  <c r="B322" i="41"/>
  <c r="E321" i="41"/>
  <c r="D321" i="41"/>
  <c r="B321" i="41"/>
  <c r="E320" i="41"/>
  <c r="D320" i="41"/>
  <c r="B320" i="41"/>
  <c r="E319" i="41"/>
  <c r="D319" i="41"/>
  <c r="B319" i="41"/>
  <c r="E318" i="41"/>
  <c r="D318" i="41"/>
  <c r="B318" i="41"/>
  <c r="E317" i="41"/>
  <c r="D317" i="41"/>
  <c r="B317" i="41"/>
  <c r="E316" i="41"/>
  <c r="D316" i="41"/>
  <c r="B316" i="41"/>
  <c r="E315" i="41"/>
  <c r="D315" i="41"/>
  <c r="B315" i="41"/>
  <c r="E314" i="41"/>
  <c r="D314" i="41"/>
  <c r="B314" i="41"/>
  <c r="E313" i="41"/>
  <c r="D313" i="41"/>
  <c r="B313" i="41"/>
  <c r="E312" i="41"/>
  <c r="D312" i="41"/>
  <c r="B312" i="41"/>
  <c r="E311" i="41"/>
  <c r="D311" i="41"/>
  <c r="B311" i="41"/>
  <c r="E310" i="41"/>
  <c r="D310" i="41"/>
  <c r="B310" i="41"/>
  <c r="E309" i="41"/>
  <c r="D309" i="41"/>
  <c r="B309" i="41"/>
  <c r="E308" i="41"/>
  <c r="D308" i="41"/>
  <c r="B308" i="41"/>
  <c r="E307" i="41"/>
  <c r="D307" i="41"/>
  <c r="B307" i="41"/>
  <c r="E306" i="41"/>
  <c r="D306" i="41"/>
  <c r="B306" i="41"/>
  <c r="E305" i="41"/>
  <c r="D305" i="41"/>
  <c r="B305" i="41"/>
  <c r="E304" i="41"/>
  <c r="D304" i="41"/>
  <c r="B304" i="41"/>
  <c r="E303" i="41"/>
  <c r="D303" i="41"/>
  <c r="B303" i="41"/>
  <c r="E302" i="41"/>
  <c r="D302" i="41"/>
  <c r="B302" i="41"/>
  <c r="E301" i="41"/>
  <c r="D301" i="41"/>
  <c r="B301" i="41"/>
  <c r="E300" i="41"/>
  <c r="D300" i="41"/>
  <c r="B300" i="41"/>
  <c r="E299" i="41"/>
  <c r="D299" i="41"/>
  <c r="B299" i="41"/>
  <c r="E298" i="41"/>
  <c r="D298" i="41"/>
  <c r="B298" i="41"/>
  <c r="E297" i="41"/>
  <c r="D297" i="41"/>
  <c r="B297" i="41"/>
  <c r="E296" i="41"/>
  <c r="D296" i="41"/>
  <c r="B296" i="41"/>
  <c r="E295" i="41"/>
  <c r="D295" i="41"/>
  <c r="B295" i="41"/>
  <c r="E294" i="41"/>
  <c r="D294" i="41"/>
  <c r="B294" i="41"/>
  <c r="E293" i="41"/>
  <c r="D293" i="41"/>
  <c r="B293" i="41"/>
  <c r="E292" i="41"/>
  <c r="D292" i="41"/>
  <c r="B292" i="41"/>
  <c r="E291" i="41"/>
  <c r="D291" i="41"/>
  <c r="B291" i="41"/>
  <c r="E290" i="41"/>
  <c r="D290" i="41"/>
  <c r="B290" i="41"/>
  <c r="E289" i="41"/>
  <c r="D289" i="41"/>
  <c r="B289" i="41"/>
  <c r="E288" i="41"/>
  <c r="D288" i="41"/>
  <c r="B288" i="41"/>
  <c r="E287" i="41"/>
  <c r="D287" i="41"/>
  <c r="B287" i="41"/>
  <c r="E286" i="41"/>
  <c r="D286" i="41"/>
  <c r="B286" i="41"/>
  <c r="E285" i="41"/>
  <c r="D285" i="41"/>
  <c r="B285" i="41"/>
  <c r="E284" i="41"/>
  <c r="D284" i="41"/>
  <c r="B284" i="41"/>
  <c r="E283" i="41"/>
  <c r="D283" i="41"/>
  <c r="B283" i="41"/>
  <c r="E282" i="41"/>
  <c r="D282" i="41"/>
  <c r="B282" i="41"/>
  <c r="E281" i="41"/>
  <c r="D281" i="41"/>
  <c r="B281" i="41"/>
  <c r="E280" i="41"/>
  <c r="D280" i="41"/>
  <c r="B280" i="41"/>
  <c r="E279" i="41"/>
  <c r="D279" i="41"/>
  <c r="B279" i="41"/>
  <c r="E278" i="41"/>
  <c r="D278" i="41"/>
  <c r="B278" i="41"/>
  <c r="E277" i="41"/>
  <c r="D277" i="41"/>
  <c r="B277" i="41"/>
  <c r="E276" i="41"/>
  <c r="D276" i="41"/>
  <c r="B276" i="41"/>
  <c r="E275" i="41"/>
  <c r="D275" i="41"/>
  <c r="B275" i="41"/>
  <c r="E274" i="41"/>
  <c r="D274" i="41"/>
  <c r="B274" i="41"/>
  <c r="E273" i="41"/>
  <c r="D273" i="41"/>
  <c r="B273" i="41"/>
  <c r="E272" i="41"/>
  <c r="D272" i="41"/>
  <c r="B272" i="41"/>
  <c r="E271" i="41"/>
  <c r="D271" i="41"/>
  <c r="B271" i="41"/>
  <c r="E270" i="41"/>
  <c r="D270" i="41"/>
  <c r="B270" i="41"/>
  <c r="E269" i="41"/>
  <c r="D269" i="41"/>
  <c r="B269" i="41"/>
  <c r="E268" i="41"/>
  <c r="D268" i="41"/>
  <c r="B268" i="41"/>
  <c r="E267" i="41"/>
  <c r="D267" i="41"/>
  <c r="B267" i="41"/>
  <c r="E266" i="41"/>
  <c r="D266" i="41"/>
  <c r="B266" i="41"/>
  <c r="E265" i="41"/>
  <c r="D265" i="41"/>
  <c r="B265" i="41"/>
  <c r="E264" i="41"/>
  <c r="D264" i="41"/>
  <c r="B264" i="41"/>
  <c r="E263" i="41"/>
  <c r="D263" i="41"/>
  <c r="B263" i="41"/>
  <c r="E262" i="41"/>
  <c r="D262" i="41"/>
  <c r="B262" i="41"/>
  <c r="E261" i="41"/>
  <c r="D261" i="41"/>
  <c r="B261" i="41"/>
  <c r="E260" i="41"/>
  <c r="D260" i="41"/>
  <c r="B260" i="41"/>
  <c r="E259" i="41"/>
  <c r="D259" i="41"/>
  <c r="B259" i="41"/>
  <c r="E258" i="41"/>
  <c r="D258" i="41"/>
  <c r="B258" i="41"/>
  <c r="E257" i="41"/>
  <c r="D257" i="41"/>
  <c r="B257" i="41"/>
  <c r="E256" i="41"/>
  <c r="D256" i="41"/>
  <c r="B256" i="41"/>
  <c r="E255" i="41"/>
  <c r="D255" i="41"/>
  <c r="B255" i="41"/>
  <c r="E254" i="41"/>
  <c r="D254" i="41"/>
  <c r="B254" i="41"/>
  <c r="E253" i="41"/>
  <c r="D253" i="41"/>
  <c r="B253" i="41"/>
  <c r="E252" i="41"/>
  <c r="D252" i="41"/>
  <c r="B252" i="41"/>
  <c r="E251" i="41"/>
  <c r="D251" i="41"/>
  <c r="B251" i="41"/>
  <c r="E250" i="41"/>
  <c r="D250" i="41"/>
  <c r="B250" i="41"/>
  <c r="E249" i="41"/>
  <c r="D249" i="41"/>
  <c r="B249" i="41"/>
  <c r="E248" i="41"/>
  <c r="D248" i="41"/>
  <c r="B248" i="41"/>
  <c r="E247" i="41"/>
  <c r="D247" i="41"/>
  <c r="B247" i="41"/>
  <c r="E246" i="41"/>
  <c r="D246" i="41"/>
  <c r="B246" i="41"/>
  <c r="E245" i="41"/>
  <c r="D245" i="41"/>
  <c r="B245" i="41"/>
  <c r="E244" i="41"/>
  <c r="D244" i="41"/>
  <c r="B244" i="41"/>
  <c r="E243" i="41"/>
  <c r="D243" i="41"/>
  <c r="B243" i="41"/>
  <c r="E242" i="41"/>
  <c r="D242" i="41"/>
  <c r="B242" i="41"/>
  <c r="E241" i="41"/>
  <c r="D241" i="41"/>
  <c r="B241" i="41"/>
  <c r="E240" i="41"/>
  <c r="D240" i="41"/>
  <c r="B240" i="41"/>
  <c r="E239" i="41"/>
  <c r="D239" i="41"/>
  <c r="B239" i="41"/>
  <c r="E238" i="41"/>
  <c r="D238" i="41"/>
  <c r="B238" i="41"/>
  <c r="E237" i="41"/>
  <c r="D237" i="41"/>
  <c r="B237" i="41"/>
  <c r="E236" i="41"/>
  <c r="D236" i="41"/>
  <c r="B236" i="41"/>
  <c r="E235" i="41"/>
  <c r="D235" i="41"/>
  <c r="B235" i="41"/>
  <c r="E234" i="41"/>
  <c r="D234" i="41"/>
  <c r="B234" i="41"/>
  <c r="E233" i="41"/>
  <c r="D233" i="41"/>
  <c r="B233" i="41"/>
  <c r="E232" i="41"/>
  <c r="D232" i="41"/>
  <c r="B232" i="41"/>
  <c r="E231" i="41"/>
  <c r="D231" i="41"/>
  <c r="B231" i="41"/>
  <c r="E230" i="41"/>
  <c r="D230" i="41"/>
  <c r="B230" i="41"/>
  <c r="E229" i="41"/>
  <c r="D229" i="41"/>
  <c r="B229" i="41"/>
  <c r="E228" i="41"/>
  <c r="D228" i="41"/>
  <c r="B228" i="41"/>
  <c r="E227" i="41"/>
  <c r="D227" i="41"/>
  <c r="B227" i="41"/>
  <c r="E226" i="41"/>
  <c r="D226" i="41"/>
  <c r="B226" i="41"/>
  <c r="E225" i="41"/>
  <c r="D225" i="41"/>
  <c r="B225" i="41"/>
  <c r="E224" i="41"/>
  <c r="D224" i="41"/>
  <c r="B224" i="41"/>
  <c r="E223" i="41"/>
  <c r="D223" i="41"/>
  <c r="B223" i="41"/>
  <c r="E222" i="41"/>
  <c r="D222" i="41"/>
  <c r="B222" i="41"/>
  <c r="E221" i="41"/>
  <c r="D221" i="41"/>
  <c r="B221" i="41"/>
  <c r="E220" i="41"/>
  <c r="D220" i="41"/>
  <c r="B220" i="41"/>
  <c r="E219" i="41"/>
  <c r="D219" i="41"/>
  <c r="B219" i="41"/>
  <c r="E218" i="41"/>
  <c r="D218" i="41"/>
  <c r="B218" i="41"/>
  <c r="E217" i="41"/>
  <c r="D217" i="41"/>
  <c r="B217" i="41"/>
  <c r="E216" i="41"/>
  <c r="D216" i="41"/>
  <c r="B216" i="41"/>
  <c r="E215" i="41"/>
  <c r="D215" i="41"/>
  <c r="B215" i="41"/>
  <c r="E214" i="41"/>
  <c r="D214" i="41"/>
  <c r="B214" i="41"/>
  <c r="E213" i="41"/>
  <c r="D213" i="41"/>
  <c r="B213" i="41"/>
  <c r="E212" i="41"/>
  <c r="D212" i="41"/>
  <c r="B212" i="41"/>
  <c r="E211" i="41"/>
  <c r="D211" i="41"/>
  <c r="B211" i="41"/>
  <c r="E210" i="41"/>
  <c r="D210" i="41"/>
  <c r="B210" i="41"/>
  <c r="E209" i="41"/>
  <c r="D209" i="41"/>
  <c r="B209" i="41"/>
  <c r="E208" i="41"/>
  <c r="D208" i="41"/>
  <c r="B208" i="41"/>
  <c r="E207" i="41"/>
  <c r="D207" i="41"/>
  <c r="B207" i="41"/>
  <c r="E206" i="41"/>
  <c r="D206" i="41"/>
  <c r="B206" i="41"/>
  <c r="E205" i="41"/>
  <c r="D205" i="41"/>
  <c r="B205" i="41"/>
  <c r="E204" i="41"/>
  <c r="D204" i="41"/>
  <c r="B204" i="41"/>
  <c r="E203" i="41"/>
  <c r="D203" i="41"/>
  <c r="B203" i="41"/>
  <c r="E202" i="41"/>
  <c r="D202" i="41"/>
  <c r="B202" i="41"/>
  <c r="E201" i="41"/>
  <c r="D201" i="41"/>
  <c r="B201" i="41"/>
  <c r="E200" i="41"/>
  <c r="D200" i="41"/>
  <c r="B200" i="41"/>
  <c r="E199" i="41"/>
  <c r="D199" i="41"/>
  <c r="B199" i="41"/>
  <c r="E198" i="41"/>
  <c r="D198" i="41"/>
  <c r="B198" i="41"/>
  <c r="E197" i="41"/>
  <c r="D197" i="41"/>
  <c r="B197" i="41"/>
  <c r="E196" i="41"/>
  <c r="D196" i="41"/>
  <c r="B196" i="41"/>
  <c r="E195" i="41"/>
  <c r="D195" i="41"/>
  <c r="B195" i="41"/>
  <c r="E194" i="41"/>
  <c r="D194" i="41"/>
  <c r="B194" i="41"/>
  <c r="E193" i="41"/>
  <c r="D193" i="41"/>
  <c r="B193" i="41"/>
  <c r="E192" i="41"/>
  <c r="D192" i="41"/>
  <c r="B192" i="41"/>
  <c r="E191" i="41"/>
  <c r="D191" i="41"/>
  <c r="B191" i="41"/>
  <c r="E190" i="41"/>
  <c r="D190" i="41"/>
  <c r="B190" i="41"/>
  <c r="E189" i="41"/>
  <c r="D189" i="41"/>
  <c r="B189" i="41"/>
  <c r="E188" i="41"/>
  <c r="D188" i="41"/>
  <c r="B188" i="41"/>
  <c r="E187" i="41"/>
  <c r="D187" i="41"/>
  <c r="B187" i="41"/>
  <c r="E186" i="41"/>
  <c r="D186" i="41"/>
  <c r="B186" i="41"/>
  <c r="E185" i="41"/>
  <c r="D185" i="41"/>
  <c r="B185" i="41"/>
  <c r="E184" i="41"/>
  <c r="D184" i="41"/>
  <c r="B184" i="41"/>
  <c r="E183" i="41"/>
  <c r="D183" i="41"/>
  <c r="B183" i="41"/>
  <c r="E182" i="41"/>
  <c r="D182" i="41"/>
  <c r="B182" i="41"/>
  <c r="E181" i="41"/>
  <c r="D181" i="41"/>
  <c r="B181" i="41"/>
  <c r="E180" i="41"/>
  <c r="D180" i="41"/>
  <c r="B180" i="41"/>
  <c r="E179" i="41"/>
  <c r="D179" i="41"/>
  <c r="B179" i="41"/>
  <c r="E178" i="41"/>
  <c r="D178" i="41"/>
  <c r="B178" i="41"/>
  <c r="E177" i="41"/>
  <c r="D177" i="41"/>
  <c r="B177" i="41"/>
  <c r="E176" i="41"/>
  <c r="D176" i="41"/>
  <c r="B176" i="41"/>
  <c r="E175" i="41"/>
  <c r="D175" i="41"/>
  <c r="B175" i="41"/>
  <c r="E174" i="41"/>
  <c r="D174" i="41"/>
  <c r="B174" i="41"/>
  <c r="E173" i="41"/>
  <c r="D173" i="41"/>
  <c r="B173" i="41"/>
  <c r="E172" i="41"/>
  <c r="D172" i="41"/>
  <c r="B172" i="41"/>
  <c r="E171" i="41"/>
  <c r="D171" i="41"/>
  <c r="B171" i="41"/>
  <c r="E170" i="41"/>
  <c r="D170" i="41"/>
  <c r="B170" i="41"/>
  <c r="E169" i="41"/>
  <c r="D169" i="41"/>
  <c r="B169" i="41"/>
  <c r="E168" i="41"/>
  <c r="D168" i="41"/>
  <c r="B168" i="41"/>
  <c r="E167" i="41"/>
  <c r="D167" i="41"/>
  <c r="B167" i="41"/>
  <c r="E166" i="41"/>
  <c r="D166" i="41"/>
  <c r="B166" i="41"/>
  <c r="E165" i="41"/>
  <c r="D165" i="41"/>
  <c r="B165" i="41"/>
  <c r="E164" i="41"/>
  <c r="D164" i="41"/>
  <c r="B164" i="41"/>
  <c r="E163" i="41"/>
  <c r="D163" i="41"/>
  <c r="B163" i="41"/>
  <c r="E162" i="41"/>
  <c r="D162" i="41"/>
  <c r="B162" i="41"/>
  <c r="E161" i="41"/>
  <c r="D161" i="41"/>
  <c r="B161" i="41"/>
  <c r="E160" i="41"/>
  <c r="D160" i="41"/>
  <c r="B160" i="41"/>
  <c r="E159" i="41"/>
  <c r="D159" i="41"/>
  <c r="B159" i="41"/>
  <c r="E158" i="41"/>
  <c r="D158" i="41"/>
  <c r="B158" i="41"/>
  <c r="E157" i="41"/>
  <c r="D157" i="41"/>
  <c r="B157" i="41"/>
  <c r="E156" i="41"/>
  <c r="D156" i="41"/>
  <c r="B156" i="41"/>
  <c r="E155" i="41"/>
  <c r="D155" i="41"/>
  <c r="B155" i="41"/>
  <c r="E154" i="41"/>
  <c r="D154" i="41"/>
  <c r="B154" i="41"/>
  <c r="E153" i="41"/>
  <c r="D153" i="41"/>
  <c r="B153" i="41"/>
  <c r="E152" i="41"/>
  <c r="D152" i="41"/>
  <c r="B152" i="41"/>
  <c r="E151" i="41"/>
  <c r="D151" i="41"/>
  <c r="B151" i="41"/>
  <c r="E150" i="41"/>
  <c r="D150" i="41"/>
  <c r="B150" i="41"/>
  <c r="E149" i="41"/>
  <c r="D149" i="41"/>
  <c r="B149" i="41"/>
  <c r="E148" i="41"/>
  <c r="D148" i="41"/>
  <c r="B148" i="41"/>
  <c r="E147" i="41"/>
  <c r="D147" i="41"/>
  <c r="B147" i="41"/>
  <c r="E146" i="41"/>
  <c r="D146" i="41"/>
  <c r="B146" i="41"/>
  <c r="E145" i="41"/>
  <c r="D145" i="41"/>
  <c r="B145" i="41"/>
  <c r="E144" i="41"/>
  <c r="D144" i="41"/>
  <c r="B144" i="41"/>
  <c r="E143" i="41"/>
  <c r="D143" i="41"/>
  <c r="B143" i="41"/>
  <c r="E142" i="41"/>
  <c r="D142" i="41"/>
  <c r="B142" i="41"/>
  <c r="E141" i="41"/>
  <c r="D141" i="41"/>
  <c r="B141" i="41"/>
  <c r="E140" i="41"/>
  <c r="D140" i="41"/>
  <c r="B140" i="41"/>
  <c r="E139" i="41"/>
  <c r="D139" i="41"/>
  <c r="B139" i="41"/>
  <c r="E138" i="41"/>
  <c r="D138" i="41"/>
  <c r="B138" i="41"/>
  <c r="E137" i="41"/>
  <c r="D137" i="41"/>
  <c r="B137" i="41"/>
  <c r="E136" i="41"/>
  <c r="D136" i="41"/>
  <c r="B136" i="41"/>
  <c r="E135" i="41"/>
  <c r="D135" i="41"/>
  <c r="B135" i="41"/>
  <c r="E134" i="41"/>
  <c r="D134" i="41"/>
  <c r="B134" i="41"/>
  <c r="E133" i="41"/>
  <c r="D133" i="41"/>
  <c r="B133" i="41"/>
  <c r="E132" i="41"/>
  <c r="D132" i="41"/>
  <c r="B132" i="41"/>
  <c r="E131" i="41"/>
  <c r="D131" i="41"/>
  <c r="B131" i="41"/>
  <c r="E130" i="41"/>
  <c r="D130" i="41"/>
  <c r="B130" i="41"/>
  <c r="E129" i="41"/>
  <c r="D129" i="41"/>
  <c r="B129" i="41"/>
  <c r="E128" i="41"/>
  <c r="D128" i="41"/>
  <c r="B128" i="41"/>
  <c r="E127" i="41"/>
  <c r="D127" i="41"/>
  <c r="B127" i="41"/>
  <c r="E126" i="41"/>
  <c r="D126" i="41"/>
  <c r="B126" i="41"/>
  <c r="E125" i="41"/>
  <c r="D125" i="41"/>
  <c r="B125" i="41"/>
  <c r="E124" i="41"/>
  <c r="D124" i="41"/>
  <c r="B124" i="41"/>
  <c r="E123" i="41"/>
  <c r="D123" i="41"/>
  <c r="B123" i="41"/>
  <c r="E122" i="41"/>
  <c r="D122" i="41"/>
  <c r="B122" i="41"/>
  <c r="E121" i="41"/>
  <c r="D121" i="41"/>
  <c r="B121" i="41"/>
  <c r="E120" i="41"/>
  <c r="D120" i="41"/>
  <c r="B120" i="41"/>
  <c r="E119" i="41"/>
  <c r="D119" i="41"/>
  <c r="B119" i="41"/>
  <c r="E118" i="41"/>
  <c r="D118" i="41"/>
  <c r="B118" i="41"/>
  <c r="E117" i="41"/>
  <c r="D117" i="41"/>
  <c r="B117" i="41"/>
  <c r="E116" i="41"/>
  <c r="D116" i="41"/>
  <c r="B116" i="41"/>
  <c r="E115" i="41"/>
  <c r="D115" i="41"/>
  <c r="B115" i="41"/>
  <c r="E114" i="41"/>
  <c r="D114" i="41"/>
  <c r="B114" i="41"/>
  <c r="E113" i="41"/>
  <c r="D113" i="41"/>
  <c r="B113" i="41"/>
  <c r="E112" i="41"/>
  <c r="D112" i="41"/>
  <c r="B112" i="41"/>
  <c r="E111" i="41"/>
  <c r="D111" i="41"/>
  <c r="B111" i="41"/>
  <c r="E110" i="41"/>
  <c r="D110" i="41"/>
  <c r="B110" i="41"/>
  <c r="E109" i="41"/>
  <c r="D109" i="41"/>
  <c r="B109" i="41"/>
  <c r="E108" i="41"/>
  <c r="D108" i="41"/>
  <c r="B108" i="41"/>
  <c r="E107" i="41"/>
  <c r="D107" i="41"/>
  <c r="B107" i="41"/>
  <c r="E106" i="41"/>
  <c r="D106" i="41"/>
  <c r="B106" i="41"/>
  <c r="E105" i="41"/>
  <c r="D105" i="41"/>
  <c r="B105" i="41"/>
  <c r="E104" i="41"/>
  <c r="D104" i="41"/>
  <c r="B104" i="41"/>
  <c r="E103" i="41"/>
  <c r="D103" i="41"/>
  <c r="B103" i="41"/>
  <c r="E102" i="41"/>
  <c r="D102" i="41"/>
  <c r="B102" i="41"/>
  <c r="E101" i="41"/>
  <c r="D101" i="41"/>
  <c r="B101" i="41"/>
  <c r="E100" i="41"/>
  <c r="D100" i="41"/>
  <c r="B100" i="41"/>
  <c r="E99" i="41"/>
  <c r="D99" i="41"/>
  <c r="B99" i="41"/>
  <c r="E98" i="41"/>
  <c r="D98" i="41"/>
  <c r="B98" i="41"/>
  <c r="E97" i="41"/>
  <c r="D97" i="41"/>
  <c r="B97" i="41"/>
  <c r="E96" i="41"/>
  <c r="D96" i="41"/>
  <c r="B96" i="41"/>
  <c r="E95" i="41"/>
  <c r="D95" i="41"/>
  <c r="B95" i="41"/>
  <c r="E94" i="41"/>
  <c r="D94" i="41"/>
  <c r="B94" i="41"/>
  <c r="E93" i="41"/>
  <c r="D93" i="41"/>
  <c r="B93" i="41"/>
  <c r="E92" i="41"/>
  <c r="D92" i="41"/>
  <c r="B92" i="41"/>
  <c r="E91" i="41"/>
  <c r="D91" i="41"/>
  <c r="B91" i="41"/>
  <c r="E90" i="41"/>
  <c r="D90" i="41"/>
  <c r="B90" i="41"/>
  <c r="E89" i="41"/>
  <c r="D89" i="41"/>
  <c r="B89" i="41"/>
  <c r="E88" i="41"/>
  <c r="D88" i="41"/>
  <c r="B88" i="41"/>
  <c r="E87" i="41"/>
  <c r="D87" i="41"/>
  <c r="B87" i="41"/>
  <c r="E86" i="41"/>
  <c r="D86" i="41"/>
  <c r="B86" i="41"/>
  <c r="E85" i="41"/>
  <c r="D85" i="41"/>
  <c r="B85" i="41"/>
  <c r="E84" i="41"/>
  <c r="D84" i="41"/>
  <c r="B84" i="41"/>
  <c r="E83" i="41"/>
  <c r="D83" i="41"/>
  <c r="B83" i="41"/>
  <c r="E82" i="41"/>
  <c r="D82" i="41"/>
  <c r="B82" i="41"/>
  <c r="E81" i="41"/>
  <c r="D81" i="41"/>
  <c r="B81" i="41"/>
  <c r="E80" i="41"/>
  <c r="D80" i="41"/>
  <c r="B80" i="41"/>
  <c r="E79" i="41"/>
  <c r="D79" i="41"/>
  <c r="B79" i="41"/>
  <c r="E78" i="41"/>
  <c r="D78" i="41"/>
  <c r="B78" i="41"/>
  <c r="E77" i="41"/>
  <c r="D77" i="41"/>
  <c r="B77" i="41"/>
  <c r="E76" i="41"/>
  <c r="D76" i="41"/>
  <c r="B76" i="41"/>
  <c r="E75" i="41"/>
  <c r="D75" i="41"/>
  <c r="B75" i="41"/>
  <c r="E74" i="41"/>
  <c r="D74" i="41"/>
  <c r="B74" i="41"/>
  <c r="E73" i="41"/>
  <c r="D73" i="41"/>
  <c r="B73" i="41"/>
  <c r="E72" i="41"/>
  <c r="D72" i="41"/>
  <c r="B72" i="41"/>
  <c r="E71" i="41"/>
  <c r="D71" i="41"/>
  <c r="B71" i="41"/>
  <c r="E70" i="41"/>
  <c r="D70" i="41"/>
  <c r="B70" i="41"/>
  <c r="E69" i="41"/>
  <c r="D69" i="41"/>
  <c r="B69" i="41"/>
  <c r="E68" i="41"/>
  <c r="D68" i="41"/>
  <c r="B68" i="41"/>
  <c r="E67" i="41"/>
  <c r="D67" i="41"/>
  <c r="B67" i="41"/>
  <c r="E66" i="41"/>
  <c r="D66" i="41"/>
  <c r="B66" i="41"/>
  <c r="E65" i="41"/>
  <c r="D65" i="41"/>
  <c r="B65" i="41"/>
  <c r="E64" i="41"/>
  <c r="D64" i="41"/>
  <c r="B64" i="41"/>
  <c r="E63" i="41"/>
  <c r="D63" i="41"/>
  <c r="B63" i="41"/>
  <c r="E62" i="41"/>
  <c r="D62" i="41"/>
  <c r="B62" i="41"/>
  <c r="E61" i="41"/>
  <c r="D61" i="41"/>
  <c r="B61" i="41"/>
  <c r="E60" i="41"/>
  <c r="D60" i="41"/>
  <c r="B60" i="41"/>
  <c r="E59" i="41"/>
  <c r="D59" i="41"/>
  <c r="B59" i="41"/>
  <c r="E58" i="41"/>
  <c r="D58" i="41"/>
  <c r="B58" i="41"/>
  <c r="E57" i="41"/>
  <c r="D57" i="41"/>
  <c r="B57" i="41"/>
  <c r="E56" i="41"/>
  <c r="D56" i="41"/>
  <c r="B56" i="41"/>
  <c r="E55" i="41"/>
  <c r="D55" i="41"/>
  <c r="B55" i="41"/>
  <c r="E54" i="41"/>
  <c r="D54" i="41"/>
  <c r="B54" i="41"/>
  <c r="E53" i="41"/>
  <c r="D53" i="41"/>
  <c r="B53" i="41"/>
  <c r="E52" i="41"/>
  <c r="D52" i="41"/>
  <c r="B52" i="41"/>
  <c r="E51" i="41"/>
  <c r="D51" i="41"/>
  <c r="B51" i="41"/>
  <c r="E50" i="41"/>
  <c r="D50" i="41"/>
  <c r="B50" i="41"/>
  <c r="E49" i="41"/>
  <c r="D49" i="41"/>
  <c r="B49" i="41"/>
  <c r="E48" i="41"/>
  <c r="D48" i="41"/>
  <c r="B48" i="41"/>
  <c r="E47" i="41"/>
  <c r="D47" i="41"/>
  <c r="B47" i="41"/>
  <c r="E46" i="41"/>
  <c r="D46" i="41"/>
  <c r="B46" i="41"/>
  <c r="E45" i="41"/>
  <c r="D45" i="41"/>
  <c r="B45" i="41"/>
  <c r="E44" i="41"/>
  <c r="D44" i="41"/>
  <c r="B44" i="41"/>
  <c r="E43" i="41"/>
  <c r="D43" i="41"/>
  <c r="B43" i="41"/>
  <c r="E42" i="41"/>
  <c r="D42" i="41"/>
  <c r="B42" i="41"/>
  <c r="E41" i="41"/>
  <c r="D41" i="41"/>
  <c r="B41" i="41"/>
  <c r="E40" i="41"/>
  <c r="D40" i="41"/>
  <c r="B40" i="41"/>
  <c r="E39" i="41"/>
  <c r="D39" i="41"/>
  <c r="B39" i="41"/>
  <c r="E38" i="41"/>
  <c r="D38" i="41"/>
  <c r="B38" i="41"/>
  <c r="E37" i="41"/>
  <c r="D37" i="41"/>
  <c r="B37" i="41"/>
  <c r="E36" i="41"/>
  <c r="D36" i="41"/>
  <c r="B36" i="41"/>
  <c r="E35" i="41"/>
  <c r="D35" i="41"/>
  <c r="B35" i="41"/>
  <c r="E34" i="41"/>
  <c r="D34" i="41"/>
  <c r="B34" i="41"/>
  <c r="E33" i="41"/>
  <c r="D33" i="41"/>
  <c r="B33" i="41"/>
  <c r="E32" i="41"/>
  <c r="D32" i="41"/>
  <c r="B32" i="41"/>
  <c r="E31" i="41"/>
  <c r="D31" i="41"/>
  <c r="B31" i="41"/>
  <c r="E30" i="41"/>
  <c r="D30" i="41"/>
  <c r="B30" i="41"/>
  <c r="E29" i="41"/>
  <c r="D29" i="41"/>
  <c r="B29" i="41"/>
  <c r="E28" i="41"/>
  <c r="D28" i="41"/>
  <c r="B28" i="41"/>
  <c r="E27" i="41"/>
  <c r="D27" i="41"/>
  <c r="B27" i="41"/>
  <c r="E26" i="41"/>
  <c r="D26" i="41"/>
  <c r="B26" i="41"/>
  <c r="E25" i="41"/>
  <c r="D25" i="41"/>
  <c r="B25" i="41"/>
  <c r="E24" i="41"/>
  <c r="D24" i="41"/>
  <c r="B24" i="41"/>
  <c r="E23" i="41"/>
  <c r="D23" i="41"/>
  <c r="B23" i="41"/>
  <c r="E22" i="41"/>
  <c r="D22" i="41"/>
  <c r="B22" i="41"/>
  <c r="E21" i="41"/>
  <c r="D21" i="41"/>
  <c r="B21" i="41"/>
  <c r="E20" i="41"/>
  <c r="D20" i="41"/>
  <c r="B20" i="41"/>
  <c r="E19" i="41"/>
  <c r="D19" i="41"/>
  <c r="B19" i="41"/>
  <c r="E18" i="41"/>
  <c r="D18" i="41"/>
  <c r="B18" i="41"/>
  <c r="E17" i="41"/>
  <c r="D17" i="41"/>
  <c r="B17" i="41"/>
  <c r="E16" i="41"/>
  <c r="D16" i="41"/>
  <c r="B16" i="41"/>
  <c r="E15" i="41"/>
  <c r="D15" i="41"/>
  <c r="B15" i="41"/>
  <c r="E14" i="41"/>
  <c r="D14" i="41"/>
  <c r="B14" i="41"/>
  <c r="E13" i="41"/>
  <c r="D13" i="41"/>
  <c r="B13" i="41"/>
  <c r="E12" i="41"/>
  <c r="D12" i="41"/>
  <c r="B12" i="41"/>
  <c r="E11" i="41"/>
  <c r="D11" i="41"/>
  <c r="B11" i="41"/>
  <c r="E10" i="41"/>
  <c r="D10" i="41"/>
  <c r="B10" i="41"/>
  <c r="E9" i="41"/>
  <c r="D9" i="41"/>
  <c r="B9" i="41"/>
  <c r="E8" i="41"/>
  <c r="D8" i="41"/>
  <c r="B8" i="41"/>
  <c r="E7" i="41"/>
  <c r="D7" i="41"/>
  <c r="B7" i="41"/>
  <c r="E6" i="41"/>
  <c r="D6" i="41"/>
  <c r="B6" i="41"/>
  <c r="E5" i="41"/>
  <c r="D5" i="41"/>
  <c r="B5" i="41"/>
  <c r="E4" i="41"/>
  <c r="D4" i="41"/>
  <c r="B4" i="41"/>
  <c r="E48" i="42"/>
  <c r="D48" i="42"/>
  <c r="B48" i="42"/>
  <c r="E47" i="42"/>
  <c r="D47" i="42"/>
  <c r="B47" i="42"/>
  <c r="E46" i="42"/>
  <c r="D46" i="42"/>
  <c r="B46" i="42"/>
  <c r="E45" i="42"/>
  <c r="D45" i="42"/>
  <c r="B45" i="42"/>
  <c r="E44" i="42"/>
  <c r="D44" i="42"/>
  <c r="B44" i="42"/>
  <c r="E43" i="42"/>
  <c r="D43" i="42"/>
  <c r="B43" i="42"/>
  <c r="E42" i="42"/>
  <c r="D42" i="42"/>
  <c r="B42" i="42"/>
  <c r="E41" i="42"/>
  <c r="D41" i="42"/>
  <c r="B41" i="42"/>
  <c r="E40" i="42"/>
  <c r="D40" i="42"/>
  <c r="B40" i="42"/>
  <c r="E39" i="42"/>
  <c r="D39" i="42"/>
  <c r="B39" i="42"/>
  <c r="E38" i="42"/>
  <c r="D38" i="42"/>
  <c r="B38" i="42"/>
  <c r="E37" i="42"/>
  <c r="D37" i="42"/>
  <c r="B37" i="42"/>
  <c r="E36" i="42"/>
  <c r="D36" i="42"/>
  <c r="B36" i="42"/>
  <c r="E35" i="42"/>
  <c r="D35" i="42"/>
  <c r="B35" i="42"/>
  <c r="E34" i="42"/>
  <c r="D34" i="42"/>
  <c r="B34" i="42"/>
  <c r="E33" i="42"/>
  <c r="D33" i="42"/>
  <c r="B33" i="42"/>
  <c r="E32" i="42"/>
  <c r="D32" i="42"/>
  <c r="B32" i="42"/>
  <c r="E31" i="42"/>
  <c r="D31" i="42"/>
  <c r="B31" i="42"/>
  <c r="E30" i="42"/>
  <c r="D30" i="42"/>
  <c r="B30" i="42"/>
  <c r="E29" i="42"/>
  <c r="D29" i="42"/>
  <c r="B29" i="42"/>
  <c r="E28" i="42"/>
  <c r="D28" i="42"/>
  <c r="B28" i="42"/>
  <c r="E27" i="42"/>
  <c r="D27" i="42"/>
  <c r="B27" i="42"/>
  <c r="E26" i="42"/>
  <c r="D26" i="42"/>
  <c r="B26" i="42"/>
  <c r="E25" i="42"/>
  <c r="D25" i="42"/>
  <c r="B25" i="42"/>
  <c r="E24" i="42"/>
  <c r="D24" i="42"/>
  <c r="B24" i="42"/>
  <c r="E23" i="42"/>
  <c r="D23" i="42"/>
  <c r="B23" i="42"/>
  <c r="E22" i="42"/>
  <c r="D22" i="42"/>
  <c r="B22" i="42"/>
  <c r="E21" i="42"/>
  <c r="D21" i="42"/>
  <c r="B21" i="42"/>
  <c r="E20" i="42"/>
  <c r="D20" i="42"/>
  <c r="B20" i="42"/>
  <c r="E19" i="42"/>
  <c r="D19" i="42"/>
  <c r="B19" i="42"/>
  <c r="E18" i="42"/>
  <c r="D18" i="42"/>
  <c r="B18" i="42"/>
  <c r="E17" i="42"/>
  <c r="D17" i="42"/>
  <c r="B17" i="42"/>
  <c r="E16" i="42"/>
  <c r="D16" i="42"/>
  <c r="B16" i="42"/>
  <c r="E15" i="42"/>
  <c r="D15" i="42"/>
  <c r="B15" i="42"/>
  <c r="E14" i="42"/>
  <c r="D14" i="42"/>
  <c r="B14" i="42"/>
  <c r="E13" i="42"/>
  <c r="D13" i="42"/>
  <c r="B13" i="42"/>
  <c r="E12" i="42"/>
  <c r="D12" i="42"/>
  <c r="B12" i="42"/>
  <c r="E11" i="42"/>
  <c r="D11" i="42"/>
  <c r="B11" i="42"/>
  <c r="E10" i="42"/>
  <c r="D10" i="42"/>
  <c r="B10" i="42"/>
  <c r="E9" i="42"/>
  <c r="D9" i="42"/>
  <c r="B9" i="42"/>
  <c r="E8" i="42"/>
  <c r="D8" i="42"/>
  <c r="B8" i="42"/>
  <c r="E7" i="42"/>
  <c r="D7" i="42"/>
  <c r="B7" i="42"/>
  <c r="E6" i="42"/>
  <c r="D6" i="42"/>
  <c r="B6" i="42"/>
  <c r="E5" i="42"/>
  <c r="D5" i="42"/>
  <c r="B5" i="42"/>
  <c r="E4" i="42"/>
  <c r="D4" i="42"/>
  <c r="B4" i="42"/>
  <c r="E1210" i="43"/>
  <c r="D1210" i="43"/>
  <c r="B1210" i="43"/>
  <c r="E1209" i="43"/>
  <c r="D1209" i="43"/>
  <c r="B1209" i="43"/>
  <c r="E1208" i="43"/>
  <c r="D1208" i="43"/>
  <c r="B1208" i="43"/>
  <c r="E1207" i="43"/>
  <c r="D1207" i="43"/>
  <c r="B1207" i="43"/>
  <c r="E1206" i="43"/>
  <c r="D1206" i="43"/>
  <c r="B1206" i="43"/>
  <c r="E1205" i="43"/>
  <c r="D1205" i="43"/>
  <c r="B1205" i="43"/>
  <c r="E1204" i="43"/>
  <c r="D1204" i="43"/>
  <c r="B1204" i="43"/>
  <c r="E1203" i="43"/>
  <c r="D1203" i="43"/>
  <c r="B1203" i="43"/>
  <c r="E1202" i="43"/>
  <c r="D1202" i="43"/>
  <c r="B1202" i="43"/>
  <c r="E1201" i="43"/>
  <c r="D1201" i="43"/>
  <c r="B1201" i="43"/>
  <c r="E1200" i="43"/>
  <c r="D1200" i="43"/>
  <c r="B1200" i="43"/>
  <c r="E1199" i="43"/>
  <c r="D1199" i="43"/>
  <c r="B1199" i="43"/>
  <c r="E1198" i="43"/>
  <c r="D1198" i="43"/>
  <c r="B1198" i="43"/>
  <c r="E1197" i="43"/>
  <c r="D1197" i="43"/>
  <c r="B1197" i="43"/>
  <c r="E1196" i="43"/>
  <c r="D1196" i="43"/>
  <c r="B1196" i="43"/>
  <c r="E1195" i="43"/>
  <c r="D1195" i="43"/>
  <c r="B1195" i="43"/>
  <c r="E1194" i="43"/>
  <c r="D1194" i="43"/>
  <c r="B1194" i="43"/>
  <c r="E1193" i="43"/>
  <c r="D1193" i="43"/>
  <c r="B1193" i="43"/>
  <c r="E1192" i="43"/>
  <c r="D1192" i="43"/>
  <c r="B1192" i="43"/>
  <c r="E1191" i="43"/>
  <c r="D1191" i="43"/>
  <c r="B1191" i="43"/>
  <c r="E1190" i="43"/>
  <c r="D1190" i="43"/>
  <c r="B1190" i="43"/>
  <c r="E1189" i="43"/>
  <c r="D1189" i="43"/>
  <c r="B1189" i="43"/>
  <c r="E1188" i="43"/>
  <c r="D1188" i="43"/>
  <c r="B1188" i="43"/>
  <c r="E1187" i="43"/>
  <c r="D1187" i="43"/>
  <c r="B1187" i="43"/>
  <c r="E1186" i="43"/>
  <c r="D1186" i="43"/>
  <c r="B1186" i="43"/>
  <c r="E1185" i="43"/>
  <c r="D1185" i="43"/>
  <c r="B1185" i="43"/>
  <c r="E1184" i="43"/>
  <c r="D1184" i="43"/>
  <c r="B1184" i="43"/>
  <c r="E1183" i="43"/>
  <c r="D1183" i="43"/>
  <c r="B1183" i="43"/>
  <c r="E1182" i="43"/>
  <c r="D1182" i="43"/>
  <c r="B1182" i="43"/>
  <c r="E1181" i="43"/>
  <c r="D1181" i="43"/>
  <c r="B1181" i="43"/>
  <c r="E1180" i="43"/>
  <c r="D1180" i="43"/>
  <c r="B1180" i="43"/>
  <c r="E1179" i="43"/>
  <c r="D1179" i="43"/>
  <c r="B1179" i="43"/>
  <c r="E1178" i="43"/>
  <c r="D1178" i="43"/>
  <c r="B1178" i="43"/>
  <c r="E1177" i="43"/>
  <c r="D1177" i="43"/>
  <c r="B1177" i="43"/>
  <c r="E1176" i="43"/>
  <c r="D1176" i="43"/>
  <c r="B1176" i="43"/>
  <c r="E1175" i="43"/>
  <c r="D1175" i="43"/>
  <c r="B1175" i="43"/>
  <c r="E1174" i="43"/>
  <c r="D1174" i="43"/>
  <c r="B1174" i="43"/>
  <c r="E1173" i="43"/>
  <c r="D1173" i="43"/>
  <c r="B1173" i="43"/>
  <c r="E1172" i="43"/>
  <c r="D1172" i="43"/>
  <c r="B1172" i="43"/>
  <c r="E1171" i="43"/>
  <c r="D1171" i="43"/>
  <c r="B1171" i="43"/>
  <c r="E1170" i="43"/>
  <c r="D1170" i="43"/>
  <c r="B1170" i="43"/>
  <c r="E1169" i="43"/>
  <c r="D1169" i="43"/>
  <c r="B1169" i="43"/>
  <c r="E1168" i="43"/>
  <c r="D1168" i="43"/>
  <c r="B1168" i="43"/>
  <c r="E1167" i="43"/>
  <c r="D1167" i="43"/>
  <c r="B1167" i="43"/>
  <c r="E1166" i="43"/>
  <c r="D1166" i="43"/>
  <c r="B1166" i="43"/>
  <c r="E1165" i="43"/>
  <c r="D1165" i="43"/>
  <c r="B1165" i="43"/>
  <c r="E1164" i="43"/>
  <c r="D1164" i="43"/>
  <c r="B1164" i="43"/>
  <c r="E1163" i="43"/>
  <c r="D1163" i="43"/>
  <c r="B1163" i="43"/>
  <c r="E1162" i="43"/>
  <c r="D1162" i="43"/>
  <c r="B1162" i="43"/>
  <c r="E1161" i="43"/>
  <c r="D1161" i="43"/>
  <c r="B1161" i="43"/>
  <c r="E1160" i="43"/>
  <c r="D1160" i="43"/>
  <c r="B1160" i="43"/>
  <c r="E1159" i="43"/>
  <c r="D1159" i="43"/>
  <c r="B1159" i="43"/>
  <c r="E1158" i="43"/>
  <c r="D1158" i="43"/>
  <c r="B1158" i="43"/>
  <c r="E1157" i="43"/>
  <c r="D1157" i="43"/>
  <c r="B1157" i="43"/>
  <c r="E1156" i="43"/>
  <c r="D1156" i="43"/>
  <c r="B1156" i="43"/>
  <c r="E1155" i="43"/>
  <c r="D1155" i="43"/>
  <c r="B1155" i="43"/>
  <c r="E1154" i="43"/>
  <c r="D1154" i="43"/>
  <c r="B1154" i="43"/>
  <c r="E1153" i="43"/>
  <c r="D1153" i="43"/>
  <c r="B1153" i="43"/>
  <c r="E1152" i="43"/>
  <c r="D1152" i="43"/>
  <c r="B1152" i="43"/>
  <c r="E1151" i="43"/>
  <c r="D1151" i="43"/>
  <c r="B1151" i="43"/>
  <c r="E1150" i="43"/>
  <c r="D1150" i="43"/>
  <c r="B1150" i="43"/>
  <c r="E1149" i="43"/>
  <c r="D1149" i="43"/>
  <c r="B1149" i="43"/>
  <c r="E1148" i="43"/>
  <c r="D1148" i="43"/>
  <c r="B1148" i="43"/>
  <c r="E1147" i="43"/>
  <c r="D1147" i="43"/>
  <c r="B1147" i="43"/>
  <c r="E1146" i="43"/>
  <c r="D1146" i="43"/>
  <c r="B1146" i="43"/>
  <c r="E1145" i="43"/>
  <c r="D1145" i="43"/>
  <c r="B1145" i="43"/>
  <c r="E1144" i="43"/>
  <c r="D1144" i="43"/>
  <c r="B1144" i="43"/>
  <c r="E1143" i="43"/>
  <c r="D1143" i="43"/>
  <c r="B1143" i="43"/>
  <c r="E1142" i="43"/>
  <c r="D1142" i="43"/>
  <c r="B1142" i="43"/>
  <c r="E1141" i="43"/>
  <c r="D1141" i="43"/>
  <c r="B1141" i="43"/>
  <c r="E1140" i="43"/>
  <c r="D1140" i="43"/>
  <c r="B1140" i="43"/>
  <c r="E1139" i="43"/>
  <c r="D1139" i="43"/>
  <c r="B1139" i="43"/>
  <c r="E1138" i="43"/>
  <c r="D1138" i="43"/>
  <c r="B1138" i="43"/>
  <c r="E1137" i="43"/>
  <c r="D1137" i="43"/>
  <c r="B1137" i="43"/>
  <c r="E1136" i="43"/>
  <c r="D1136" i="43"/>
  <c r="B1136" i="43"/>
  <c r="E1135" i="43"/>
  <c r="D1135" i="43"/>
  <c r="B1135" i="43"/>
  <c r="E1134" i="43"/>
  <c r="D1134" i="43"/>
  <c r="B1134" i="43"/>
  <c r="E1133" i="43"/>
  <c r="D1133" i="43"/>
  <c r="B1133" i="43"/>
  <c r="E1132" i="43"/>
  <c r="D1132" i="43"/>
  <c r="B1132" i="43"/>
  <c r="E1131" i="43"/>
  <c r="D1131" i="43"/>
  <c r="B1131" i="43"/>
  <c r="E1130" i="43"/>
  <c r="D1130" i="43"/>
  <c r="B1130" i="43"/>
  <c r="E1129" i="43"/>
  <c r="D1129" i="43"/>
  <c r="B1129" i="43"/>
  <c r="E1128" i="43"/>
  <c r="D1128" i="43"/>
  <c r="B1128" i="43"/>
  <c r="E1127" i="43"/>
  <c r="D1127" i="43"/>
  <c r="B1127" i="43"/>
  <c r="E1126" i="43"/>
  <c r="D1126" i="43"/>
  <c r="B1126" i="43"/>
  <c r="E1125" i="43"/>
  <c r="D1125" i="43"/>
  <c r="B1125" i="43"/>
  <c r="E1124" i="43"/>
  <c r="D1124" i="43"/>
  <c r="B1124" i="43"/>
  <c r="E1123" i="43"/>
  <c r="D1123" i="43"/>
  <c r="B1123" i="43"/>
  <c r="E1122" i="43"/>
  <c r="D1122" i="43"/>
  <c r="B1122" i="43"/>
  <c r="E1121" i="43"/>
  <c r="D1121" i="43"/>
  <c r="B1121" i="43"/>
  <c r="E1120" i="43"/>
  <c r="D1120" i="43"/>
  <c r="B1120" i="43"/>
  <c r="E1119" i="43"/>
  <c r="D1119" i="43"/>
  <c r="B1119" i="43"/>
  <c r="E1118" i="43"/>
  <c r="D1118" i="43"/>
  <c r="B1118" i="43"/>
  <c r="E1117" i="43"/>
  <c r="D1117" i="43"/>
  <c r="B1117" i="43"/>
  <c r="E1116" i="43"/>
  <c r="D1116" i="43"/>
  <c r="B1116" i="43"/>
  <c r="E1115" i="43"/>
  <c r="D1115" i="43"/>
  <c r="B1115" i="43"/>
  <c r="E1114" i="43"/>
  <c r="D1114" i="43"/>
  <c r="B1114" i="43"/>
  <c r="E1113" i="43"/>
  <c r="D1113" i="43"/>
  <c r="B1113" i="43"/>
  <c r="E1112" i="43"/>
  <c r="D1112" i="43"/>
  <c r="B1112" i="43"/>
  <c r="E1111" i="43"/>
  <c r="D1111" i="43"/>
  <c r="B1111" i="43"/>
  <c r="E1110" i="43"/>
  <c r="D1110" i="43"/>
  <c r="B1110" i="43"/>
  <c r="E1109" i="43"/>
  <c r="D1109" i="43"/>
  <c r="B1109" i="43"/>
  <c r="E1108" i="43"/>
  <c r="D1108" i="43"/>
  <c r="B1108" i="43"/>
  <c r="E1107" i="43"/>
  <c r="D1107" i="43"/>
  <c r="B1107" i="43"/>
  <c r="E1106" i="43"/>
  <c r="D1106" i="43"/>
  <c r="B1106" i="43"/>
  <c r="E1105" i="43"/>
  <c r="D1105" i="43"/>
  <c r="B1105" i="43"/>
  <c r="E1104" i="43"/>
  <c r="D1104" i="43"/>
  <c r="B1104" i="43"/>
  <c r="E1103" i="43"/>
  <c r="D1103" i="43"/>
  <c r="B1103" i="43"/>
  <c r="E1102" i="43"/>
  <c r="D1102" i="43"/>
  <c r="B1102" i="43"/>
  <c r="E1101" i="43"/>
  <c r="D1101" i="43"/>
  <c r="B1101" i="43"/>
  <c r="E1100" i="43"/>
  <c r="D1100" i="43"/>
  <c r="B1100" i="43"/>
  <c r="E1099" i="43"/>
  <c r="D1099" i="43"/>
  <c r="B1099" i="43"/>
  <c r="E1098" i="43"/>
  <c r="D1098" i="43"/>
  <c r="B1098" i="43"/>
  <c r="E1097" i="43"/>
  <c r="D1097" i="43"/>
  <c r="B1097" i="43"/>
  <c r="E1096" i="43"/>
  <c r="D1096" i="43"/>
  <c r="B1096" i="43"/>
  <c r="E1095" i="43"/>
  <c r="D1095" i="43"/>
  <c r="B1095" i="43"/>
  <c r="E1094" i="43"/>
  <c r="D1094" i="43"/>
  <c r="B1094" i="43"/>
  <c r="E1093" i="43"/>
  <c r="D1093" i="43"/>
  <c r="B1093" i="43"/>
  <c r="E1092" i="43"/>
  <c r="D1092" i="43"/>
  <c r="B1092" i="43"/>
  <c r="E1091" i="43"/>
  <c r="D1091" i="43"/>
  <c r="B1091" i="43"/>
  <c r="E1090" i="43"/>
  <c r="D1090" i="43"/>
  <c r="B1090" i="43"/>
  <c r="E1089" i="43"/>
  <c r="D1089" i="43"/>
  <c r="B1089" i="43"/>
  <c r="E1088" i="43"/>
  <c r="D1088" i="43"/>
  <c r="B1088" i="43"/>
  <c r="E1087" i="43"/>
  <c r="D1087" i="43"/>
  <c r="B1087" i="43"/>
  <c r="E1086" i="43"/>
  <c r="D1086" i="43"/>
  <c r="B1086" i="43"/>
  <c r="E1085" i="43"/>
  <c r="D1085" i="43"/>
  <c r="B1085" i="43"/>
  <c r="E1084" i="43"/>
  <c r="D1084" i="43"/>
  <c r="B1084" i="43"/>
  <c r="E1083" i="43"/>
  <c r="D1083" i="43"/>
  <c r="B1083" i="43"/>
  <c r="E1082" i="43"/>
  <c r="D1082" i="43"/>
  <c r="B1082" i="43"/>
  <c r="E1081" i="43"/>
  <c r="D1081" i="43"/>
  <c r="B1081" i="43"/>
  <c r="E1080" i="43"/>
  <c r="D1080" i="43"/>
  <c r="B1080" i="43"/>
  <c r="E1079" i="43"/>
  <c r="D1079" i="43"/>
  <c r="B1079" i="43"/>
  <c r="E1078" i="43"/>
  <c r="D1078" i="43"/>
  <c r="B1078" i="43"/>
  <c r="E1077" i="43"/>
  <c r="D1077" i="43"/>
  <c r="B1077" i="43"/>
  <c r="E1076" i="43"/>
  <c r="D1076" i="43"/>
  <c r="B1076" i="43"/>
  <c r="E1075" i="43"/>
  <c r="D1075" i="43"/>
  <c r="B1075" i="43"/>
  <c r="E1074" i="43"/>
  <c r="D1074" i="43"/>
  <c r="B1074" i="43"/>
  <c r="E1073" i="43"/>
  <c r="D1073" i="43"/>
  <c r="B1073" i="43"/>
  <c r="E1072" i="43"/>
  <c r="D1072" i="43"/>
  <c r="B1072" i="43"/>
  <c r="E1071" i="43"/>
  <c r="D1071" i="43"/>
  <c r="B1071" i="43"/>
  <c r="E1070" i="43"/>
  <c r="D1070" i="43"/>
  <c r="B1070" i="43"/>
  <c r="E1069" i="43"/>
  <c r="D1069" i="43"/>
  <c r="B1069" i="43"/>
  <c r="E1068" i="43"/>
  <c r="D1068" i="43"/>
  <c r="B1068" i="43"/>
  <c r="E1067" i="43"/>
  <c r="D1067" i="43"/>
  <c r="B1067" i="43"/>
  <c r="E1066" i="43"/>
  <c r="D1066" i="43"/>
  <c r="B1066" i="43"/>
  <c r="E1065" i="43"/>
  <c r="D1065" i="43"/>
  <c r="B1065" i="43"/>
  <c r="E1064" i="43"/>
  <c r="D1064" i="43"/>
  <c r="B1064" i="43"/>
  <c r="E1063" i="43"/>
  <c r="D1063" i="43"/>
  <c r="B1063" i="43"/>
  <c r="E1062" i="43"/>
  <c r="D1062" i="43"/>
  <c r="B1062" i="43"/>
  <c r="E1061" i="43"/>
  <c r="D1061" i="43"/>
  <c r="B1061" i="43"/>
  <c r="E1060" i="43"/>
  <c r="D1060" i="43"/>
  <c r="B1060" i="43"/>
  <c r="E1059" i="43"/>
  <c r="D1059" i="43"/>
  <c r="B1059" i="43"/>
  <c r="E1058" i="43"/>
  <c r="D1058" i="43"/>
  <c r="B1058" i="43"/>
  <c r="E1057" i="43"/>
  <c r="D1057" i="43"/>
  <c r="B1057" i="43"/>
  <c r="E1056" i="43"/>
  <c r="D1056" i="43"/>
  <c r="B1056" i="43"/>
  <c r="E1055" i="43"/>
  <c r="D1055" i="43"/>
  <c r="B1055" i="43"/>
  <c r="E1054" i="43"/>
  <c r="D1054" i="43"/>
  <c r="B1054" i="43"/>
  <c r="E1053" i="43"/>
  <c r="D1053" i="43"/>
  <c r="B1053" i="43"/>
  <c r="E1052" i="43"/>
  <c r="D1052" i="43"/>
  <c r="B1052" i="43"/>
  <c r="E1051" i="43"/>
  <c r="D1051" i="43"/>
  <c r="B1051" i="43"/>
  <c r="E1050" i="43"/>
  <c r="D1050" i="43"/>
  <c r="B1050" i="43"/>
  <c r="E1049" i="43"/>
  <c r="D1049" i="43"/>
  <c r="B1049" i="43"/>
  <c r="E1048" i="43"/>
  <c r="D1048" i="43"/>
  <c r="B1048" i="43"/>
  <c r="E1047" i="43"/>
  <c r="D1047" i="43"/>
  <c r="B1047" i="43"/>
  <c r="E1046" i="43"/>
  <c r="D1046" i="43"/>
  <c r="B1046" i="43"/>
  <c r="E1045" i="43"/>
  <c r="D1045" i="43"/>
  <c r="B1045" i="43"/>
  <c r="E1044" i="43"/>
  <c r="D1044" i="43"/>
  <c r="B1044" i="43"/>
  <c r="E1043" i="43"/>
  <c r="D1043" i="43"/>
  <c r="B1043" i="43"/>
  <c r="E1042" i="43"/>
  <c r="D1042" i="43"/>
  <c r="B1042" i="43"/>
  <c r="E1041" i="43"/>
  <c r="D1041" i="43"/>
  <c r="B1041" i="43"/>
  <c r="E1040" i="43"/>
  <c r="D1040" i="43"/>
  <c r="B1040" i="43"/>
  <c r="E1039" i="43"/>
  <c r="D1039" i="43"/>
  <c r="B1039" i="43"/>
  <c r="E1038" i="43"/>
  <c r="D1038" i="43"/>
  <c r="B1038" i="43"/>
  <c r="E1037" i="43"/>
  <c r="D1037" i="43"/>
  <c r="B1037" i="43"/>
  <c r="E1036" i="43"/>
  <c r="D1036" i="43"/>
  <c r="B1036" i="43"/>
  <c r="E1035" i="43"/>
  <c r="D1035" i="43"/>
  <c r="B1035" i="43"/>
  <c r="E1034" i="43"/>
  <c r="D1034" i="43"/>
  <c r="B1034" i="43"/>
  <c r="E1033" i="43"/>
  <c r="D1033" i="43"/>
  <c r="B1033" i="43"/>
  <c r="E1032" i="43"/>
  <c r="D1032" i="43"/>
  <c r="B1032" i="43"/>
  <c r="E1031" i="43"/>
  <c r="D1031" i="43"/>
  <c r="B1031" i="43"/>
  <c r="E1030" i="43"/>
  <c r="D1030" i="43"/>
  <c r="B1030" i="43"/>
  <c r="E1029" i="43"/>
  <c r="D1029" i="43"/>
  <c r="B1029" i="43"/>
  <c r="E1028" i="43"/>
  <c r="D1028" i="43"/>
  <c r="B1028" i="43"/>
  <c r="E1027" i="43"/>
  <c r="D1027" i="43"/>
  <c r="B1027" i="43"/>
  <c r="E1026" i="43"/>
  <c r="D1026" i="43"/>
  <c r="B1026" i="43"/>
  <c r="E1025" i="43"/>
  <c r="D1025" i="43"/>
  <c r="B1025" i="43"/>
  <c r="E1024" i="43"/>
  <c r="D1024" i="43"/>
  <c r="B1024" i="43"/>
  <c r="E1023" i="43"/>
  <c r="D1023" i="43"/>
  <c r="B1023" i="43"/>
  <c r="E1022" i="43"/>
  <c r="D1022" i="43"/>
  <c r="B1022" i="43"/>
  <c r="E1021" i="43"/>
  <c r="D1021" i="43"/>
  <c r="B1021" i="43"/>
  <c r="E1020" i="43"/>
  <c r="D1020" i="43"/>
  <c r="B1020" i="43"/>
  <c r="E1019" i="43"/>
  <c r="D1019" i="43"/>
  <c r="B1019" i="43"/>
  <c r="E1018" i="43"/>
  <c r="D1018" i="43"/>
  <c r="B1018" i="43"/>
  <c r="E1017" i="43"/>
  <c r="D1017" i="43"/>
  <c r="B1017" i="43"/>
  <c r="E1016" i="43"/>
  <c r="D1016" i="43"/>
  <c r="B1016" i="43"/>
  <c r="E1015" i="43"/>
  <c r="D1015" i="43"/>
  <c r="B1015" i="43"/>
  <c r="E1014" i="43"/>
  <c r="D1014" i="43"/>
  <c r="B1014" i="43"/>
  <c r="E1013" i="43"/>
  <c r="D1013" i="43"/>
  <c r="B1013" i="43"/>
  <c r="E1012" i="43"/>
  <c r="D1012" i="43"/>
  <c r="B1012" i="43"/>
  <c r="E1011" i="43"/>
  <c r="D1011" i="43"/>
  <c r="B1011" i="43"/>
  <c r="E1010" i="43"/>
  <c r="D1010" i="43"/>
  <c r="B1010" i="43"/>
  <c r="E1009" i="43"/>
  <c r="D1009" i="43"/>
  <c r="B1009" i="43"/>
  <c r="E1008" i="43"/>
  <c r="D1008" i="43"/>
  <c r="B1008" i="43"/>
  <c r="E1007" i="43"/>
  <c r="D1007" i="43"/>
  <c r="B1007" i="43"/>
  <c r="E1006" i="43"/>
  <c r="D1006" i="43"/>
  <c r="B1006" i="43"/>
  <c r="E1005" i="43"/>
  <c r="D1005" i="43"/>
  <c r="B1005" i="43"/>
  <c r="E1004" i="43"/>
  <c r="D1004" i="43"/>
  <c r="B1004" i="43"/>
  <c r="E1003" i="43"/>
  <c r="D1003" i="43"/>
  <c r="B1003" i="43"/>
  <c r="E1002" i="43"/>
  <c r="D1002" i="43"/>
  <c r="B1002" i="43"/>
  <c r="E1001" i="43"/>
  <c r="D1001" i="43"/>
  <c r="B1001" i="43"/>
  <c r="E1000" i="43"/>
  <c r="D1000" i="43"/>
  <c r="B1000" i="43"/>
  <c r="E999" i="43"/>
  <c r="D999" i="43"/>
  <c r="B999" i="43"/>
  <c r="E998" i="43"/>
  <c r="D998" i="43"/>
  <c r="B998" i="43"/>
  <c r="E997" i="43"/>
  <c r="D997" i="43"/>
  <c r="B997" i="43"/>
  <c r="E996" i="43"/>
  <c r="D996" i="43"/>
  <c r="B996" i="43"/>
  <c r="E995" i="43"/>
  <c r="D995" i="43"/>
  <c r="B995" i="43"/>
  <c r="E994" i="43"/>
  <c r="D994" i="43"/>
  <c r="B994" i="43"/>
  <c r="E993" i="43"/>
  <c r="D993" i="43"/>
  <c r="B993" i="43"/>
  <c r="E992" i="43"/>
  <c r="D992" i="43"/>
  <c r="B992" i="43"/>
  <c r="E991" i="43"/>
  <c r="D991" i="43"/>
  <c r="B991" i="43"/>
  <c r="E990" i="43"/>
  <c r="D990" i="43"/>
  <c r="B990" i="43"/>
  <c r="E989" i="43"/>
  <c r="D989" i="43"/>
  <c r="B989" i="43"/>
  <c r="E988" i="43"/>
  <c r="D988" i="43"/>
  <c r="B988" i="43"/>
  <c r="E987" i="43"/>
  <c r="D987" i="43"/>
  <c r="B987" i="43"/>
  <c r="E986" i="43"/>
  <c r="D986" i="43"/>
  <c r="B986" i="43"/>
  <c r="E985" i="43"/>
  <c r="D985" i="43"/>
  <c r="B985" i="43"/>
  <c r="E984" i="43"/>
  <c r="D984" i="43"/>
  <c r="B984" i="43"/>
  <c r="E983" i="43"/>
  <c r="D983" i="43"/>
  <c r="B983" i="43"/>
  <c r="E982" i="43"/>
  <c r="D982" i="43"/>
  <c r="B982" i="43"/>
  <c r="E981" i="43"/>
  <c r="D981" i="43"/>
  <c r="B981" i="43"/>
  <c r="E980" i="43"/>
  <c r="D980" i="43"/>
  <c r="B980" i="43"/>
  <c r="E979" i="43"/>
  <c r="D979" i="43"/>
  <c r="B979" i="43"/>
  <c r="E978" i="43"/>
  <c r="D978" i="43"/>
  <c r="B978" i="43"/>
  <c r="E977" i="43"/>
  <c r="D977" i="43"/>
  <c r="B977" i="43"/>
  <c r="E976" i="43"/>
  <c r="D976" i="43"/>
  <c r="B976" i="43"/>
  <c r="E975" i="43"/>
  <c r="D975" i="43"/>
  <c r="B975" i="43"/>
  <c r="E974" i="43"/>
  <c r="D974" i="43"/>
  <c r="B974" i="43"/>
  <c r="E973" i="43"/>
  <c r="D973" i="43"/>
  <c r="B973" i="43"/>
  <c r="E972" i="43"/>
  <c r="D972" i="43"/>
  <c r="B972" i="43"/>
  <c r="E971" i="43"/>
  <c r="D971" i="43"/>
  <c r="B971" i="43"/>
  <c r="E970" i="43"/>
  <c r="D970" i="43"/>
  <c r="B970" i="43"/>
  <c r="E969" i="43"/>
  <c r="D969" i="43"/>
  <c r="B969" i="43"/>
  <c r="E968" i="43"/>
  <c r="D968" i="43"/>
  <c r="B968" i="43"/>
  <c r="E967" i="43"/>
  <c r="D967" i="43"/>
  <c r="B967" i="43"/>
  <c r="E966" i="43"/>
  <c r="D966" i="43"/>
  <c r="B966" i="43"/>
  <c r="E965" i="43"/>
  <c r="D965" i="43"/>
  <c r="B965" i="43"/>
  <c r="E964" i="43"/>
  <c r="D964" i="43"/>
  <c r="B964" i="43"/>
  <c r="E963" i="43"/>
  <c r="D963" i="43"/>
  <c r="B963" i="43"/>
  <c r="E962" i="43"/>
  <c r="D962" i="43"/>
  <c r="B962" i="43"/>
  <c r="E961" i="43"/>
  <c r="D961" i="43"/>
  <c r="B961" i="43"/>
  <c r="E960" i="43"/>
  <c r="D960" i="43"/>
  <c r="B960" i="43"/>
  <c r="E959" i="43"/>
  <c r="D959" i="43"/>
  <c r="B959" i="43"/>
  <c r="E958" i="43"/>
  <c r="D958" i="43"/>
  <c r="B958" i="43"/>
  <c r="E957" i="43"/>
  <c r="D957" i="43"/>
  <c r="B957" i="43"/>
  <c r="E956" i="43"/>
  <c r="D956" i="43"/>
  <c r="B956" i="43"/>
  <c r="E955" i="43"/>
  <c r="D955" i="43"/>
  <c r="B955" i="43"/>
  <c r="E954" i="43"/>
  <c r="D954" i="43"/>
  <c r="B954" i="43"/>
  <c r="E953" i="43"/>
  <c r="D953" i="43"/>
  <c r="B953" i="43"/>
  <c r="E952" i="43"/>
  <c r="D952" i="43"/>
  <c r="B952" i="43"/>
  <c r="E951" i="43"/>
  <c r="D951" i="43"/>
  <c r="B951" i="43"/>
  <c r="E950" i="43"/>
  <c r="D950" i="43"/>
  <c r="B950" i="43"/>
  <c r="E949" i="43"/>
  <c r="D949" i="43"/>
  <c r="B949" i="43"/>
  <c r="E948" i="43"/>
  <c r="D948" i="43"/>
  <c r="B948" i="43"/>
  <c r="E947" i="43"/>
  <c r="D947" i="43"/>
  <c r="B947" i="43"/>
  <c r="E946" i="43"/>
  <c r="D946" i="43"/>
  <c r="B946" i="43"/>
  <c r="E945" i="43"/>
  <c r="D945" i="43"/>
  <c r="B945" i="43"/>
  <c r="E944" i="43"/>
  <c r="D944" i="43"/>
  <c r="B944" i="43"/>
  <c r="E943" i="43"/>
  <c r="D943" i="43"/>
  <c r="B943" i="43"/>
  <c r="E942" i="43"/>
  <c r="D942" i="43"/>
  <c r="B942" i="43"/>
  <c r="E941" i="43"/>
  <c r="D941" i="43"/>
  <c r="B941" i="43"/>
  <c r="E940" i="43"/>
  <c r="D940" i="43"/>
  <c r="B940" i="43"/>
  <c r="E939" i="43"/>
  <c r="D939" i="43"/>
  <c r="B939" i="43"/>
  <c r="E938" i="43"/>
  <c r="D938" i="43"/>
  <c r="B938" i="43"/>
  <c r="E937" i="43"/>
  <c r="D937" i="43"/>
  <c r="B937" i="43"/>
  <c r="E936" i="43"/>
  <c r="D936" i="43"/>
  <c r="B936" i="43"/>
  <c r="E935" i="43"/>
  <c r="D935" i="43"/>
  <c r="B935" i="43"/>
  <c r="E934" i="43"/>
  <c r="D934" i="43"/>
  <c r="B934" i="43"/>
  <c r="E933" i="43"/>
  <c r="D933" i="43"/>
  <c r="B933" i="43"/>
  <c r="E932" i="43"/>
  <c r="D932" i="43"/>
  <c r="B932" i="43"/>
  <c r="E931" i="43"/>
  <c r="D931" i="43"/>
  <c r="B931" i="43"/>
  <c r="E930" i="43"/>
  <c r="D930" i="43"/>
  <c r="B930" i="43"/>
  <c r="E929" i="43"/>
  <c r="D929" i="43"/>
  <c r="B929" i="43"/>
  <c r="E928" i="43"/>
  <c r="D928" i="43"/>
  <c r="B928" i="43"/>
  <c r="E927" i="43"/>
  <c r="D927" i="43"/>
  <c r="B927" i="43"/>
  <c r="E926" i="43"/>
  <c r="D926" i="43"/>
  <c r="B926" i="43"/>
  <c r="E925" i="43"/>
  <c r="D925" i="43"/>
  <c r="B925" i="43"/>
  <c r="E924" i="43"/>
  <c r="D924" i="43"/>
  <c r="B924" i="43"/>
  <c r="E923" i="43"/>
  <c r="D923" i="43"/>
  <c r="B923" i="43"/>
  <c r="E922" i="43"/>
  <c r="D922" i="43"/>
  <c r="B922" i="43"/>
  <c r="E921" i="43"/>
  <c r="D921" i="43"/>
  <c r="B921" i="43"/>
  <c r="E920" i="43"/>
  <c r="D920" i="43"/>
  <c r="B920" i="43"/>
  <c r="E919" i="43"/>
  <c r="D919" i="43"/>
  <c r="B919" i="43"/>
  <c r="E918" i="43"/>
  <c r="D918" i="43"/>
  <c r="B918" i="43"/>
  <c r="E917" i="43"/>
  <c r="D917" i="43"/>
  <c r="B917" i="43"/>
  <c r="E916" i="43"/>
  <c r="D916" i="43"/>
  <c r="B916" i="43"/>
  <c r="E915" i="43"/>
  <c r="D915" i="43"/>
  <c r="B915" i="43"/>
  <c r="E914" i="43"/>
  <c r="D914" i="43"/>
  <c r="B914" i="43"/>
  <c r="E913" i="43"/>
  <c r="D913" i="43"/>
  <c r="B913" i="43"/>
  <c r="E912" i="43"/>
  <c r="D912" i="43"/>
  <c r="B912" i="43"/>
  <c r="E911" i="43"/>
  <c r="D911" i="43"/>
  <c r="B911" i="43"/>
  <c r="E910" i="43"/>
  <c r="D910" i="43"/>
  <c r="B910" i="43"/>
  <c r="E909" i="43"/>
  <c r="D909" i="43"/>
  <c r="B909" i="43"/>
  <c r="E908" i="43"/>
  <c r="D908" i="43"/>
  <c r="B908" i="43"/>
  <c r="E907" i="43"/>
  <c r="D907" i="43"/>
  <c r="B907" i="43"/>
  <c r="E906" i="43"/>
  <c r="D906" i="43"/>
  <c r="B906" i="43"/>
  <c r="E905" i="43"/>
  <c r="D905" i="43"/>
  <c r="B905" i="43"/>
  <c r="E904" i="43"/>
  <c r="D904" i="43"/>
  <c r="B904" i="43"/>
  <c r="E903" i="43"/>
  <c r="D903" i="43"/>
  <c r="B903" i="43"/>
  <c r="E902" i="43"/>
  <c r="D902" i="43"/>
  <c r="B902" i="43"/>
  <c r="E901" i="43"/>
  <c r="D901" i="43"/>
  <c r="B901" i="43"/>
  <c r="E900" i="43"/>
  <c r="D900" i="43"/>
  <c r="B900" i="43"/>
  <c r="E899" i="43"/>
  <c r="D899" i="43"/>
  <c r="B899" i="43"/>
  <c r="E898" i="43"/>
  <c r="D898" i="43"/>
  <c r="B898" i="43"/>
  <c r="E897" i="43"/>
  <c r="D897" i="43"/>
  <c r="B897" i="43"/>
  <c r="E896" i="43"/>
  <c r="D896" i="43"/>
  <c r="B896" i="43"/>
  <c r="E895" i="43"/>
  <c r="D895" i="43"/>
  <c r="B895" i="43"/>
  <c r="E894" i="43"/>
  <c r="D894" i="43"/>
  <c r="B894" i="43"/>
  <c r="E893" i="43"/>
  <c r="D893" i="43"/>
  <c r="B893" i="43"/>
  <c r="E892" i="43"/>
  <c r="D892" i="43"/>
  <c r="B892" i="43"/>
  <c r="E891" i="43"/>
  <c r="D891" i="43"/>
  <c r="B891" i="43"/>
  <c r="E890" i="43"/>
  <c r="D890" i="43"/>
  <c r="B890" i="43"/>
  <c r="E889" i="43"/>
  <c r="D889" i="43"/>
  <c r="B889" i="43"/>
  <c r="E888" i="43"/>
  <c r="D888" i="43"/>
  <c r="B888" i="43"/>
  <c r="E887" i="43"/>
  <c r="D887" i="43"/>
  <c r="B887" i="43"/>
  <c r="E886" i="43"/>
  <c r="D886" i="43"/>
  <c r="B886" i="43"/>
  <c r="E885" i="43"/>
  <c r="D885" i="43"/>
  <c r="B885" i="43"/>
  <c r="E884" i="43"/>
  <c r="D884" i="43"/>
  <c r="B884" i="43"/>
  <c r="E883" i="43"/>
  <c r="D883" i="43"/>
  <c r="B883" i="43"/>
  <c r="E882" i="43"/>
  <c r="D882" i="43"/>
  <c r="B882" i="43"/>
  <c r="E881" i="43"/>
  <c r="D881" i="43"/>
  <c r="B881" i="43"/>
  <c r="E880" i="43"/>
  <c r="D880" i="43"/>
  <c r="B880" i="43"/>
  <c r="E879" i="43"/>
  <c r="D879" i="43"/>
  <c r="B879" i="43"/>
  <c r="E878" i="43"/>
  <c r="D878" i="43"/>
  <c r="B878" i="43"/>
  <c r="E877" i="43"/>
  <c r="D877" i="43"/>
  <c r="B877" i="43"/>
  <c r="E876" i="43"/>
  <c r="D876" i="43"/>
  <c r="B876" i="43"/>
  <c r="E875" i="43"/>
  <c r="D875" i="43"/>
  <c r="B875" i="43"/>
  <c r="E874" i="43"/>
  <c r="D874" i="43"/>
  <c r="B874" i="43"/>
  <c r="E873" i="43"/>
  <c r="D873" i="43"/>
  <c r="B873" i="43"/>
  <c r="E872" i="43"/>
  <c r="D872" i="43"/>
  <c r="B872" i="43"/>
  <c r="E871" i="43"/>
  <c r="D871" i="43"/>
  <c r="B871" i="43"/>
  <c r="E870" i="43"/>
  <c r="D870" i="43"/>
  <c r="B870" i="43"/>
  <c r="E869" i="43"/>
  <c r="D869" i="43"/>
  <c r="B869" i="43"/>
  <c r="E868" i="43"/>
  <c r="D868" i="43"/>
  <c r="B868" i="43"/>
  <c r="E867" i="43"/>
  <c r="D867" i="43"/>
  <c r="B867" i="43"/>
  <c r="E866" i="43"/>
  <c r="D866" i="43"/>
  <c r="B866" i="43"/>
  <c r="E865" i="43"/>
  <c r="D865" i="43"/>
  <c r="B865" i="43"/>
  <c r="E864" i="43"/>
  <c r="D864" i="43"/>
  <c r="B864" i="43"/>
  <c r="E863" i="43"/>
  <c r="D863" i="43"/>
  <c r="B863" i="43"/>
  <c r="E862" i="43"/>
  <c r="D862" i="43"/>
  <c r="B862" i="43"/>
  <c r="E861" i="43"/>
  <c r="D861" i="43"/>
  <c r="B861" i="43"/>
  <c r="E860" i="43"/>
  <c r="D860" i="43"/>
  <c r="B860" i="43"/>
  <c r="E859" i="43"/>
  <c r="D859" i="43"/>
  <c r="B859" i="43"/>
  <c r="E858" i="43"/>
  <c r="D858" i="43"/>
  <c r="B858" i="43"/>
  <c r="E857" i="43"/>
  <c r="D857" i="43"/>
  <c r="B857" i="43"/>
  <c r="E856" i="43"/>
  <c r="D856" i="43"/>
  <c r="B856" i="43"/>
  <c r="E855" i="43"/>
  <c r="D855" i="43"/>
  <c r="B855" i="43"/>
  <c r="E854" i="43"/>
  <c r="D854" i="43"/>
  <c r="B854" i="43"/>
  <c r="E853" i="43"/>
  <c r="D853" i="43"/>
  <c r="B853" i="43"/>
  <c r="E852" i="43"/>
  <c r="D852" i="43"/>
  <c r="B852" i="43"/>
  <c r="E851" i="43"/>
  <c r="D851" i="43"/>
  <c r="B851" i="43"/>
  <c r="E850" i="43"/>
  <c r="D850" i="43"/>
  <c r="B850" i="43"/>
  <c r="E849" i="43"/>
  <c r="D849" i="43"/>
  <c r="B849" i="43"/>
  <c r="E848" i="43"/>
  <c r="D848" i="43"/>
  <c r="B848" i="43"/>
  <c r="E847" i="43"/>
  <c r="D847" i="43"/>
  <c r="B847" i="43"/>
  <c r="E846" i="43"/>
  <c r="D846" i="43"/>
  <c r="B846" i="43"/>
  <c r="E845" i="43"/>
  <c r="D845" i="43"/>
  <c r="B845" i="43"/>
  <c r="E844" i="43"/>
  <c r="D844" i="43"/>
  <c r="B844" i="43"/>
  <c r="E843" i="43"/>
  <c r="D843" i="43"/>
  <c r="B843" i="43"/>
  <c r="E842" i="43"/>
  <c r="D842" i="43"/>
  <c r="B842" i="43"/>
  <c r="E841" i="43"/>
  <c r="D841" i="43"/>
  <c r="B841" i="43"/>
  <c r="E840" i="43"/>
  <c r="D840" i="43"/>
  <c r="B840" i="43"/>
  <c r="E839" i="43"/>
  <c r="D839" i="43"/>
  <c r="B839" i="43"/>
  <c r="E838" i="43"/>
  <c r="D838" i="43"/>
  <c r="B838" i="43"/>
  <c r="E837" i="43"/>
  <c r="D837" i="43"/>
  <c r="B837" i="43"/>
  <c r="E836" i="43"/>
  <c r="D836" i="43"/>
  <c r="B836" i="43"/>
  <c r="E835" i="43"/>
  <c r="D835" i="43"/>
  <c r="B835" i="43"/>
  <c r="E834" i="43"/>
  <c r="D834" i="43"/>
  <c r="B834" i="43"/>
  <c r="E833" i="43"/>
  <c r="D833" i="43"/>
  <c r="B833" i="43"/>
  <c r="E832" i="43"/>
  <c r="D832" i="43"/>
  <c r="B832" i="43"/>
  <c r="E831" i="43"/>
  <c r="D831" i="43"/>
  <c r="B831" i="43"/>
  <c r="E830" i="43"/>
  <c r="D830" i="43"/>
  <c r="B830" i="43"/>
  <c r="E829" i="43"/>
  <c r="D829" i="43"/>
  <c r="B829" i="43"/>
  <c r="E828" i="43"/>
  <c r="D828" i="43"/>
  <c r="B828" i="43"/>
  <c r="E827" i="43"/>
  <c r="D827" i="43"/>
  <c r="B827" i="43"/>
  <c r="E826" i="43"/>
  <c r="D826" i="43"/>
  <c r="B826" i="43"/>
  <c r="E825" i="43"/>
  <c r="D825" i="43"/>
  <c r="B825" i="43"/>
  <c r="E824" i="43"/>
  <c r="D824" i="43"/>
  <c r="B824" i="43"/>
  <c r="E823" i="43"/>
  <c r="D823" i="43"/>
  <c r="B823" i="43"/>
  <c r="E822" i="43"/>
  <c r="D822" i="43"/>
  <c r="B822" i="43"/>
  <c r="E821" i="43"/>
  <c r="D821" i="43"/>
  <c r="B821" i="43"/>
  <c r="E820" i="43"/>
  <c r="D820" i="43"/>
  <c r="B820" i="43"/>
  <c r="E819" i="43"/>
  <c r="D819" i="43"/>
  <c r="B819" i="43"/>
  <c r="E818" i="43"/>
  <c r="D818" i="43"/>
  <c r="B818" i="43"/>
  <c r="E817" i="43"/>
  <c r="D817" i="43"/>
  <c r="B817" i="43"/>
  <c r="E816" i="43"/>
  <c r="D816" i="43"/>
  <c r="B816" i="43"/>
  <c r="E815" i="43"/>
  <c r="D815" i="43"/>
  <c r="B815" i="43"/>
  <c r="E814" i="43"/>
  <c r="D814" i="43"/>
  <c r="B814" i="43"/>
  <c r="E813" i="43"/>
  <c r="D813" i="43"/>
  <c r="B813" i="43"/>
  <c r="E812" i="43"/>
  <c r="D812" i="43"/>
  <c r="B812" i="43"/>
  <c r="E811" i="43"/>
  <c r="D811" i="43"/>
  <c r="B811" i="43"/>
  <c r="E810" i="43"/>
  <c r="D810" i="43"/>
  <c r="B810" i="43"/>
  <c r="E809" i="43"/>
  <c r="D809" i="43"/>
  <c r="B809" i="43"/>
  <c r="E808" i="43"/>
  <c r="D808" i="43"/>
  <c r="B808" i="43"/>
  <c r="E807" i="43"/>
  <c r="D807" i="43"/>
  <c r="B807" i="43"/>
  <c r="E806" i="43"/>
  <c r="D806" i="43"/>
  <c r="B806" i="43"/>
  <c r="E805" i="43"/>
  <c r="D805" i="43"/>
  <c r="B805" i="43"/>
  <c r="E804" i="43"/>
  <c r="D804" i="43"/>
  <c r="B804" i="43"/>
  <c r="E803" i="43"/>
  <c r="D803" i="43"/>
  <c r="B803" i="43"/>
  <c r="E802" i="43"/>
  <c r="D802" i="43"/>
  <c r="B802" i="43"/>
  <c r="E801" i="43"/>
  <c r="D801" i="43"/>
  <c r="B801" i="43"/>
  <c r="E800" i="43"/>
  <c r="D800" i="43"/>
  <c r="B800" i="43"/>
  <c r="E799" i="43"/>
  <c r="D799" i="43"/>
  <c r="B799" i="43"/>
  <c r="E798" i="43"/>
  <c r="D798" i="43"/>
  <c r="B798" i="43"/>
  <c r="E797" i="43"/>
  <c r="D797" i="43"/>
  <c r="B797" i="43"/>
  <c r="E796" i="43"/>
  <c r="D796" i="43"/>
  <c r="B796" i="43"/>
  <c r="E795" i="43"/>
  <c r="D795" i="43"/>
  <c r="B795" i="43"/>
  <c r="E794" i="43"/>
  <c r="D794" i="43"/>
  <c r="B794" i="43"/>
  <c r="E793" i="43"/>
  <c r="D793" i="43"/>
  <c r="B793" i="43"/>
  <c r="E792" i="43"/>
  <c r="D792" i="43"/>
  <c r="B792" i="43"/>
  <c r="E791" i="43"/>
  <c r="D791" i="43"/>
  <c r="B791" i="43"/>
  <c r="E790" i="43"/>
  <c r="D790" i="43"/>
  <c r="B790" i="43"/>
  <c r="E789" i="43"/>
  <c r="D789" i="43"/>
  <c r="B789" i="43"/>
  <c r="E788" i="43"/>
  <c r="D788" i="43"/>
  <c r="B788" i="43"/>
  <c r="E787" i="43"/>
  <c r="D787" i="43"/>
  <c r="B787" i="43"/>
  <c r="E786" i="43"/>
  <c r="D786" i="43"/>
  <c r="B786" i="43"/>
  <c r="E785" i="43"/>
  <c r="D785" i="43"/>
  <c r="B785" i="43"/>
  <c r="E784" i="43"/>
  <c r="D784" i="43"/>
  <c r="B784" i="43"/>
  <c r="E783" i="43"/>
  <c r="D783" i="43"/>
  <c r="B783" i="43"/>
  <c r="E782" i="43"/>
  <c r="D782" i="43"/>
  <c r="B782" i="43"/>
  <c r="E781" i="43"/>
  <c r="D781" i="43"/>
  <c r="B781" i="43"/>
  <c r="E780" i="43"/>
  <c r="D780" i="43"/>
  <c r="B780" i="43"/>
  <c r="E779" i="43"/>
  <c r="D779" i="43"/>
  <c r="B779" i="43"/>
  <c r="E778" i="43"/>
  <c r="D778" i="43"/>
  <c r="B778" i="43"/>
  <c r="E777" i="43"/>
  <c r="D777" i="43"/>
  <c r="B777" i="43"/>
  <c r="E776" i="43"/>
  <c r="D776" i="43"/>
  <c r="B776" i="43"/>
  <c r="E775" i="43"/>
  <c r="D775" i="43"/>
  <c r="B775" i="43"/>
  <c r="E774" i="43"/>
  <c r="D774" i="43"/>
  <c r="B774" i="43"/>
  <c r="E773" i="43"/>
  <c r="D773" i="43"/>
  <c r="B773" i="43"/>
  <c r="E772" i="43"/>
  <c r="D772" i="43"/>
  <c r="B772" i="43"/>
  <c r="E771" i="43"/>
  <c r="D771" i="43"/>
  <c r="B771" i="43"/>
  <c r="E770" i="43"/>
  <c r="D770" i="43"/>
  <c r="B770" i="43"/>
  <c r="E769" i="43"/>
  <c r="D769" i="43"/>
  <c r="B769" i="43"/>
  <c r="E768" i="43"/>
  <c r="D768" i="43"/>
  <c r="B768" i="43"/>
  <c r="E767" i="43"/>
  <c r="D767" i="43"/>
  <c r="B767" i="43"/>
  <c r="E766" i="43"/>
  <c r="D766" i="43"/>
  <c r="B766" i="43"/>
  <c r="E765" i="43"/>
  <c r="D765" i="43"/>
  <c r="B765" i="43"/>
  <c r="E764" i="43"/>
  <c r="D764" i="43"/>
  <c r="B764" i="43"/>
  <c r="E763" i="43"/>
  <c r="D763" i="43"/>
  <c r="B763" i="43"/>
  <c r="E762" i="43"/>
  <c r="D762" i="43"/>
  <c r="B762" i="43"/>
  <c r="E761" i="43"/>
  <c r="D761" i="43"/>
  <c r="B761" i="43"/>
  <c r="E760" i="43"/>
  <c r="D760" i="43"/>
  <c r="B760" i="43"/>
  <c r="E759" i="43"/>
  <c r="D759" i="43"/>
  <c r="B759" i="43"/>
  <c r="E758" i="43"/>
  <c r="D758" i="43"/>
  <c r="B758" i="43"/>
  <c r="E757" i="43"/>
  <c r="D757" i="43"/>
  <c r="B757" i="43"/>
  <c r="E756" i="43"/>
  <c r="D756" i="43"/>
  <c r="B756" i="43"/>
  <c r="E755" i="43"/>
  <c r="D755" i="43"/>
  <c r="B755" i="43"/>
  <c r="E754" i="43"/>
  <c r="D754" i="43"/>
  <c r="B754" i="43"/>
  <c r="E753" i="43"/>
  <c r="D753" i="43"/>
  <c r="B753" i="43"/>
  <c r="E752" i="43"/>
  <c r="D752" i="43"/>
  <c r="B752" i="43"/>
  <c r="E751" i="43"/>
  <c r="D751" i="43"/>
  <c r="B751" i="43"/>
  <c r="E750" i="43"/>
  <c r="D750" i="43"/>
  <c r="B750" i="43"/>
  <c r="E749" i="43"/>
  <c r="D749" i="43"/>
  <c r="B749" i="43"/>
  <c r="E748" i="43"/>
  <c r="D748" i="43"/>
  <c r="B748" i="43"/>
  <c r="E747" i="43"/>
  <c r="D747" i="43"/>
  <c r="B747" i="43"/>
  <c r="E746" i="43"/>
  <c r="D746" i="43"/>
  <c r="B746" i="43"/>
  <c r="E745" i="43"/>
  <c r="D745" i="43"/>
  <c r="B745" i="43"/>
  <c r="E744" i="43"/>
  <c r="D744" i="43"/>
  <c r="B744" i="43"/>
  <c r="E743" i="43"/>
  <c r="D743" i="43"/>
  <c r="B743" i="43"/>
  <c r="E742" i="43"/>
  <c r="D742" i="43"/>
  <c r="B742" i="43"/>
  <c r="E741" i="43"/>
  <c r="D741" i="43"/>
  <c r="B741" i="43"/>
  <c r="E740" i="43"/>
  <c r="D740" i="43"/>
  <c r="B740" i="43"/>
  <c r="E739" i="43"/>
  <c r="D739" i="43"/>
  <c r="B739" i="43"/>
  <c r="E738" i="43"/>
  <c r="D738" i="43"/>
  <c r="B738" i="43"/>
  <c r="E737" i="43"/>
  <c r="D737" i="43"/>
  <c r="B737" i="43"/>
  <c r="E736" i="43"/>
  <c r="D736" i="43"/>
  <c r="B736" i="43"/>
  <c r="E735" i="43"/>
  <c r="D735" i="43"/>
  <c r="B735" i="43"/>
  <c r="E734" i="43"/>
  <c r="D734" i="43"/>
  <c r="B734" i="43"/>
  <c r="E733" i="43"/>
  <c r="D733" i="43"/>
  <c r="B733" i="43"/>
  <c r="E732" i="43"/>
  <c r="D732" i="43"/>
  <c r="B732" i="43"/>
  <c r="E731" i="43"/>
  <c r="D731" i="43"/>
  <c r="B731" i="43"/>
  <c r="E730" i="43"/>
  <c r="D730" i="43"/>
  <c r="B730" i="43"/>
  <c r="E729" i="43"/>
  <c r="D729" i="43"/>
  <c r="B729" i="43"/>
  <c r="E728" i="43"/>
  <c r="D728" i="43"/>
  <c r="B728" i="43"/>
  <c r="E727" i="43"/>
  <c r="D727" i="43"/>
  <c r="B727" i="43"/>
  <c r="E726" i="43"/>
  <c r="D726" i="43"/>
  <c r="B726" i="43"/>
  <c r="E725" i="43"/>
  <c r="D725" i="43"/>
  <c r="B725" i="43"/>
  <c r="E724" i="43"/>
  <c r="D724" i="43"/>
  <c r="B724" i="43"/>
  <c r="E723" i="43"/>
  <c r="D723" i="43"/>
  <c r="B723" i="43"/>
  <c r="E722" i="43"/>
  <c r="D722" i="43"/>
  <c r="B722" i="43"/>
  <c r="E721" i="43"/>
  <c r="D721" i="43"/>
  <c r="B721" i="43"/>
  <c r="E720" i="43"/>
  <c r="D720" i="43"/>
  <c r="B720" i="43"/>
  <c r="E719" i="43"/>
  <c r="D719" i="43"/>
  <c r="B719" i="43"/>
  <c r="E718" i="43"/>
  <c r="D718" i="43"/>
  <c r="B718" i="43"/>
  <c r="E717" i="43"/>
  <c r="D717" i="43"/>
  <c r="B717" i="43"/>
  <c r="E716" i="43"/>
  <c r="D716" i="43"/>
  <c r="B716" i="43"/>
  <c r="E715" i="43"/>
  <c r="D715" i="43"/>
  <c r="B715" i="43"/>
  <c r="E714" i="43"/>
  <c r="D714" i="43"/>
  <c r="B714" i="43"/>
  <c r="E713" i="43"/>
  <c r="D713" i="43"/>
  <c r="B713" i="43"/>
  <c r="E712" i="43"/>
  <c r="D712" i="43"/>
  <c r="B712" i="43"/>
  <c r="E711" i="43"/>
  <c r="D711" i="43"/>
  <c r="B711" i="43"/>
  <c r="E710" i="43"/>
  <c r="D710" i="43"/>
  <c r="B710" i="43"/>
  <c r="E709" i="43"/>
  <c r="D709" i="43"/>
  <c r="B709" i="43"/>
  <c r="E708" i="43"/>
  <c r="D708" i="43"/>
  <c r="B708" i="43"/>
  <c r="E707" i="43"/>
  <c r="D707" i="43"/>
  <c r="B707" i="43"/>
  <c r="E706" i="43"/>
  <c r="D706" i="43"/>
  <c r="B706" i="43"/>
  <c r="E705" i="43"/>
  <c r="D705" i="43"/>
  <c r="B705" i="43"/>
  <c r="E704" i="43"/>
  <c r="D704" i="43"/>
  <c r="B704" i="43"/>
  <c r="E703" i="43"/>
  <c r="D703" i="43"/>
  <c r="B703" i="43"/>
  <c r="E702" i="43"/>
  <c r="D702" i="43"/>
  <c r="B702" i="43"/>
  <c r="E701" i="43"/>
  <c r="D701" i="43"/>
  <c r="B701" i="43"/>
  <c r="E700" i="43"/>
  <c r="D700" i="43"/>
  <c r="B700" i="43"/>
  <c r="E699" i="43"/>
  <c r="D699" i="43"/>
  <c r="B699" i="43"/>
  <c r="E698" i="43"/>
  <c r="D698" i="43"/>
  <c r="B698" i="43"/>
  <c r="E697" i="43"/>
  <c r="D697" i="43"/>
  <c r="B697" i="43"/>
  <c r="E696" i="43"/>
  <c r="D696" i="43"/>
  <c r="B696" i="43"/>
  <c r="E695" i="43"/>
  <c r="D695" i="43"/>
  <c r="B695" i="43"/>
  <c r="E694" i="43"/>
  <c r="D694" i="43"/>
  <c r="B694" i="43"/>
  <c r="E693" i="43"/>
  <c r="D693" i="43"/>
  <c r="B693" i="43"/>
  <c r="E692" i="43"/>
  <c r="D692" i="43"/>
  <c r="B692" i="43"/>
  <c r="E691" i="43"/>
  <c r="D691" i="43"/>
  <c r="B691" i="43"/>
  <c r="E690" i="43"/>
  <c r="D690" i="43"/>
  <c r="B690" i="43"/>
  <c r="E689" i="43"/>
  <c r="D689" i="43"/>
  <c r="B689" i="43"/>
  <c r="E688" i="43"/>
  <c r="D688" i="43"/>
  <c r="B688" i="43"/>
  <c r="E687" i="43"/>
  <c r="D687" i="43"/>
  <c r="B687" i="43"/>
  <c r="E686" i="43"/>
  <c r="D686" i="43"/>
  <c r="B686" i="43"/>
  <c r="E685" i="43"/>
  <c r="D685" i="43"/>
  <c r="B685" i="43"/>
  <c r="E684" i="43"/>
  <c r="D684" i="43"/>
  <c r="B684" i="43"/>
  <c r="E683" i="43"/>
  <c r="D683" i="43"/>
  <c r="B683" i="43"/>
  <c r="E682" i="43"/>
  <c r="D682" i="43"/>
  <c r="B682" i="43"/>
  <c r="E681" i="43"/>
  <c r="D681" i="43"/>
  <c r="B681" i="43"/>
  <c r="E680" i="43"/>
  <c r="D680" i="43"/>
  <c r="B680" i="43"/>
  <c r="E679" i="43"/>
  <c r="D679" i="43"/>
  <c r="B679" i="43"/>
  <c r="E678" i="43"/>
  <c r="D678" i="43"/>
  <c r="B678" i="43"/>
  <c r="E677" i="43"/>
  <c r="D677" i="43"/>
  <c r="B677" i="43"/>
  <c r="E676" i="43"/>
  <c r="D676" i="43"/>
  <c r="B676" i="43"/>
  <c r="E675" i="43"/>
  <c r="D675" i="43"/>
  <c r="B675" i="43"/>
  <c r="E674" i="43"/>
  <c r="D674" i="43"/>
  <c r="B674" i="43"/>
  <c r="E673" i="43"/>
  <c r="D673" i="43"/>
  <c r="B673" i="43"/>
  <c r="E672" i="43"/>
  <c r="D672" i="43"/>
  <c r="B672" i="43"/>
  <c r="E671" i="43"/>
  <c r="D671" i="43"/>
  <c r="B671" i="43"/>
  <c r="E670" i="43"/>
  <c r="D670" i="43"/>
  <c r="B670" i="43"/>
  <c r="E669" i="43"/>
  <c r="D669" i="43"/>
  <c r="B669" i="43"/>
  <c r="E668" i="43"/>
  <c r="D668" i="43"/>
  <c r="B668" i="43"/>
  <c r="E667" i="43"/>
  <c r="D667" i="43"/>
  <c r="B667" i="43"/>
  <c r="E666" i="43"/>
  <c r="D666" i="43"/>
  <c r="B666" i="43"/>
  <c r="E665" i="43"/>
  <c r="D665" i="43"/>
  <c r="B665" i="43"/>
  <c r="E664" i="43"/>
  <c r="D664" i="43"/>
  <c r="B664" i="43"/>
  <c r="E663" i="43"/>
  <c r="D663" i="43"/>
  <c r="B663" i="43"/>
  <c r="E662" i="43"/>
  <c r="D662" i="43"/>
  <c r="B662" i="43"/>
  <c r="E661" i="43"/>
  <c r="D661" i="43"/>
  <c r="B661" i="43"/>
  <c r="E660" i="43"/>
  <c r="D660" i="43"/>
  <c r="B660" i="43"/>
  <c r="E659" i="43"/>
  <c r="D659" i="43"/>
  <c r="B659" i="43"/>
  <c r="E658" i="43"/>
  <c r="D658" i="43"/>
  <c r="B658" i="43"/>
  <c r="E657" i="43"/>
  <c r="D657" i="43"/>
  <c r="B657" i="43"/>
  <c r="E656" i="43"/>
  <c r="D656" i="43"/>
  <c r="B656" i="43"/>
  <c r="E655" i="43"/>
  <c r="D655" i="43"/>
  <c r="B655" i="43"/>
  <c r="E654" i="43"/>
  <c r="D654" i="43"/>
  <c r="B654" i="43"/>
  <c r="E653" i="43"/>
  <c r="D653" i="43"/>
  <c r="B653" i="43"/>
  <c r="E652" i="43"/>
  <c r="D652" i="43"/>
  <c r="B652" i="43"/>
  <c r="E651" i="43"/>
  <c r="D651" i="43"/>
  <c r="B651" i="43"/>
  <c r="E650" i="43"/>
  <c r="D650" i="43"/>
  <c r="B650" i="43"/>
  <c r="E649" i="43"/>
  <c r="D649" i="43"/>
  <c r="B649" i="43"/>
  <c r="E648" i="43"/>
  <c r="D648" i="43"/>
  <c r="B648" i="43"/>
  <c r="E647" i="43"/>
  <c r="D647" i="43"/>
  <c r="B647" i="43"/>
  <c r="E646" i="43"/>
  <c r="D646" i="43"/>
  <c r="B646" i="43"/>
  <c r="E645" i="43"/>
  <c r="D645" i="43"/>
  <c r="B645" i="43"/>
  <c r="E644" i="43"/>
  <c r="D644" i="43"/>
  <c r="B644" i="43"/>
  <c r="E643" i="43"/>
  <c r="D643" i="43"/>
  <c r="B643" i="43"/>
  <c r="E642" i="43"/>
  <c r="D642" i="43"/>
  <c r="B642" i="43"/>
  <c r="E641" i="43"/>
  <c r="D641" i="43"/>
  <c r="B641" i="43"/>
  <c r="E640" i="43"/>
  <c r="D640" i="43"/>
  <c r="B640" i="43"/>
  <c r="E639" i="43"/>
  <c r="D639" i="43"/>
  <c r="B639" i="43"/>
  <c r="E638" i="43"/>
  <c r="D638" i="43"/>
  <c r="B638" i="43"/>
  <c r="E637" i="43"/>
  <c r="D637" i="43"/>
  <c r="B637" i="43"/>
  <c r="E636" i="43"/>
  <c r="D636" i="43"/>
  <c r="B636" i="43"/>
  <c r="E635" i="43"/>
  <c r="D635" i="43"/>
  <c r="B635" i="43"/>
  <c r="E634" i="43"/>
  <c r="D634" i="43"/>
  <c r="B634" i="43"/>
  <c r="E633" i="43"/>
  <c r="D633" i="43"/>
  <c r="B633" i="43"/>
  <c r="E632" i="43"/>
  <c r="D632" i="43"/>
  <c r="B632" i="43"/>
  <c r="E631" i="43"/>
  <c r="D631" i="43"/>
  <c r="B631" i="43"/>
  <c r="E630" i="43"/>
  <c r="D630" i="43"/>
  <c r="B630" i="43"/>
  <c r="E629" i="43"/>
  <c r="D629" i="43"/>
  <c r="B629" i="43"/>
  <c r="E628" i="43"/>
  <c r="D628" i="43"/>
  <c r="B628" i="43"/>
  <c r="E627" i="43"/>
  <c r="D627" i="43"/>
  <c r="B627" i="43"/>
  <c r="E626" i="43"/>
  <c r="D626" i="43"/>
  <c r="B626" i="43"/>
  <c r="E625" i="43"/>
  <c r="D625" i="43"/>
  <c r="B625" i="43"/>
  <c r="E624" i="43"/>
  <c r="D624" i="43"/>
  <c r="B624" i="43"/>
  <c r="E623" i="43"/>
  <c r="D623" i="43"/>
  <c r="B623" i="43"/>
  <c r="E622" i="43"/>
  <c r="D622" i="43"/>
  <c r="B622" i="43"/>
  <c r="E621" i="43"/>
  <c r="D621" i="43"/>
  <c r="B621" i="43"/>
  <c r="E620" i="43"/>
  <c r="D620" i="43"/>
  <c r="B620" i="43"/>
  <c r="E619" i="43"/>
  <c r="D619" i="43"/>
  <c r="B619" i="43"/>
  <c r="E618" i="43"/>
  <c r="D618" i="43"/>
  <c r="B618" i="43"/>
  <c r="E617" i="43"/>
  <c r="D617" i="43"/>
  <c r="B617" i="43"/>
  <c r="E616" i="43"/>
  <c r="D616" i="43"/>
  <c r="B616" i="43"/>
  <c r="E615" i="43"/>
  <c r="D615" i="43"/>
  <c r="B615" i="43"/>
  <c r="E614" i="43"/>
  <c r="D614" i="43"/>
  <c r="B614" i="43"/>
  <c r="E613" i="43"/>
  <c r="D613" i="43"/>
  <c r="B613" i="43"/>
  <c r="E612" i="43"/>
  <c r="D612" i="43"/>
  <c r="B612" i="43"/>
  <c r="E611" i="43"/>
  <c r="D611" i="43"/>
  <c r="B611" i="43"/>
  <c r="E610" i="43"/>
  <c r="D610" i="43"/>
  <c r="B610" i="43"/>
  <c r="E609" i="43"/>
  <c r="D609" i="43"/>
  <c r="B609" i="43"/>
  <c r="E608" i="43"/>
  <c r="D608" i="43"/>
  <c r="B608" i="43"/>
  <c r="E607" i="43"/>
  <c r="D607" i="43"/>
  <c r="B607" i="43"/>
  <c r="E606" i="43"/>
  <c r="D606" i="43"/>
  <c r="B606" i="43"/>
  <c r="E605" i="43"/>
  <c r="D605" i="43"/>
  <c r="B605" i="43"/>
  <c r="E604" i="43"/>
  <c r="D604" i="43"/>
  <c r="B604" i="43"/>
  <c r="E603" i="43"/>
  <c r="D603" i="43"/>
  <c r="B603" i="43"/>
  <c r="E602" i="43"/>
  <c r="D602" i="43"/>
  <c r="B602" i="43"/>
  <c r="E601" i="43"/>
  <c r="D601" i="43"/>
  <c r="B601" i="43"/>
  <c r="E600" i="43"/>
  <c r="D600" i="43"/>
  <c r="B600" i="43"/>
  <c r="E599" i="43"/>
  <c r="D599" i="43"/>
  <c r="B599" i="43"/>
  <c r="E598" i="43"/>
  <c r="D598" i="43"/>
  <c r="B598" i="43"/>
  <c r="E597" i="43"/>
  <c r="D597" i="43"/>
  <c r="B597" i="43"/>
  <c r="E596" i="43"/>
  <c r="D596" i="43"/>
  <c r="B596" i="43"/>
  <c r="E595" i="43"/>
  <c r="D595" i="43"/>
  <c r="B595" i="43"/>
  <c r="E594" i="43"/>
  <c r="D594" i="43"/>
  <c r="B594" i="43"/>
  <c r="E593" i="43"/>
  <c r="D593" i="43"/>
  <c r="B593" i="43"/>
  <c r="E592" i="43"/>
  <c r="D592" i="43"/>
  <c r="B592" i="43"/>
  <c r="E591" i="43"/>
  <c r="D591" i="43"/>
  <c r="B591" i="43"/>
  <c r="E590" i="43"/>
  <c r="D590" i="43"/>
  <c r="B590" i="43"/>
  <c r="E589" i="43"/>
  <c r="D589" i="43"/>
  <c r="B589" i="43"/>
  <c r="E588" i="43"/>
  <c r="D588" i="43"/>
  <c r="B588" i="43"/>
  <c r="E587" i="43"/>
  <c r="D587" i="43"/>
  <c r="B587" i="43"/>
  <c r="E586" i="43"/>
  <c r="D586" i="43"/>
  <c r="B586" i="43"/>
  <c r="E585" i="43"/>
  <c r="D585" i="43"/>
  <c r="B585" i="43"/>
  <c r="E584" i="43"/>
  <c r="D584" i="43"/>
  <c r="B584" i="43"/>
  <c r="E583" i="43"/>
  <c r="D583" i="43"/>
  <c r="B583" i="43"/>
  <c r="E582" i="43"/>
  <c r="D582" i="43"/>
  <c r="B582" i="43"/>
  <c r="E581" i="43"/>
  <c r="D581" i="43"/>
  <c r="B581" i="43"/>
  <c r="E580" i="43"/>
  <c r="D580" i="43"/>
  <c r="B580" i="43"/>
  <c r="E579" i="43"/>
  <c r="D579" i="43"/>
  <c r="B579" i="43"/>
  <c r="E578" i="43"/>
  <c r="D578" i="43"/>
  <c r="B578" i="43"/>
  <c r="E577" i="43"/>
  <c r="D577" i="43"/>
  <c r="B577" i="43"/>
  <c r="E576" i="43"/>
  <c r="D576" i="43"/>
  <c r="B576" i="43"/>
  <c r="E575" i="43"/>
  <c r="D575" i="43"/>
  <c r="B575" i="43"/>
  <c r="E574" i="43"/>
  <c r="D574" i="43"/>
  <c r="B574" i="43"/>
  <c r="E573" i="43"/>
  <c r="D573" i="43"/>
  <c r="B573" i="43"/>
  <c r="E572" i="43"/>
  <c r="D572" i="43"/>
  <c r="B572" i="43"/>
  <c r="E571" i="43"/>
  <c r="D571" i="43"/>
  <c r="B571" i="43"/>
  <c r="E570" i="43"/>
  <c r="D570" i="43"/>
  <c r="B570" i="43"/>
  <c r="E569" i="43"/>
  <c r="D569" i="43"/>
  <c r="B569" i="43"/>
  <c r="E568" i="43"/>
  <c r="D568" i="43"/>
  <c r="B568" i="43"/>
  <c r="E567" i="43"/>
  <c r="D567" i="43"/>
  <c r="B567" i="43"/>
  <c r="E566" i="43"/>
  <c r="D566" i="43"/>
  <c r="B566" i="43"/>
  <c r="E565" i="43"/>
  <c r="D565" i="43"/>
  <c r="B565" i="43"/>
  <c r="E564" i="43"/>
  <c r="D564" i="43"/>
  <c r="B564" i="43"/>
  <c r="E563" i="43"/>
  <c r="D563" i="43"/>
  <c r="B563" i="43"/>
  <c r="E562" i="43"/>
  <c r="D562" i="43"/>
  <c r="B562" i="43"/>
  <c r="E561" i="43"/>
  <c r="D561" i="43"/>
  <c r="B561" i="43"/>
  <c r="E560" i="43"/>
  <c r="D560" i="43"/>
  <c r="B560" i="43"/>
  <c r="E559" i="43"/>
  <c r="D559" i="43"/>
  <c r="B559" i="43"/>
  <c r="E558" i="43"/>
  <c r="D558" i="43"/>
  <c r="B558" i="43"/>
  <c r="E557" i="43"/>
  <c r="D557" i="43"/>
  <c r="B557" i="43"/>
  <c r="E556" i="43"/>
  <c r="D556" i="43"/>
  <c r="B556" i="43"/>
  <c r="E555" i="43"/>
  <c r="D555" i="43"/>
  <c r="B555" i="43"/>
  <c r="E554" i="43"/>
  <c r="D554" i="43"/>
  <c r="B554" i="43"/>
  <c r="E553" i="43"/>
  <c r="D553" i="43"/>
  <c r="B553" i="43"/>
  <c r="E552" i="43"/>
  <c r="D552" i="43"/>
  <c r="B552" i="43"/>
  <c r="E551" i="43"/>
  <c r="D551" i="43"/>
  <c r="B551" i="43"/>
  <c r="E550" i="43"/>
  <c r="D550" i="43"/>
  <c r="B550" i="43"/>
  <c r="E549" i="43"/>
  <c r="D549" i="43"/>
  <c r="B549" i="43"/>
  <c r="E548" i="43"/>
  <c r="D548" i="43"/>
  <c r="B548" i="43"/>
  <c r="E547" i="43"/>
  <c r="D547" i="43"/>
  <c r="B547" i="43"/>
  <c r="E546" i="43"/>
  <c r="D546" i="43"/>
  <c r="B546" i="43"/>
  <c r="E545" i="43"/>
  <c r="D545" i="43"/>
  <c r="B545" i="43"/>
  <c r="E544" i="43"/>
  <c r="D544" i="43"/>
  <c r="B544" i="43"/>
  <c r="E543" i="43"/>
  <c r="D543" i="43"/>
  <c r="B543" i="43"/>
  <c r="E542" i="43"/>
  <c r="D542" i="43"/>
  <c r="B542" i="43"/>
  <c r="E541" i="43"/>
  <c r="D541" i="43"/>
  <c r="B541" i="43"/>
  <c r="E540" i="43"/>
  <c r="D540" i="43"/>
  <c r="B540" i="43"/>
  <c r="E539" i="43"/>
  <c r="D539" i="43"/>
  <c r="B539" i="43"/>
  <c r="E538" i="43"/>
  <c r="D538" i="43"/>
  <c r="B538" i="43"/>
  <c r="E537" i="43"/>
  <c r="D537" i="43"/>
  <c r="B537" i="43"/>
  <c r="E536" i="43"/>
  <c r="D536" i="43"/>
  <c r="B536" i="43"/>
  <c r="E535" i="43"/>
  <c r="D535" i="43"/>
  <c r="B535" i="43"/>
  <c r="E534" i="43"/>
  <c r="D534" i="43"/>
  <c r="B534" i="43"/>
  <c r="E533" i="43"/>
  <c r="D533" i="43"/>
  <c r="B533" i="43"/>
  <c r="E532" i="43"/>
  <c r="D532" i="43"/>
  <c r="B532" i="43"/>
  <c r="E531" i="43"/>
  <c r="D531" i="43"/>
  <c r="B531" i="43"/>
  <c r="E530" i="43"/>
  <c r="D530" i="43"/>
  <c r="B530" i="43"/>
  <c r="E529" i="43"/>
  <c r="D529" i="43"/>
  <c r="B529" i="43"/>
  <c r="E528" i="43"/>
  <c r="D528" i="43"/>
  <c r="B528" i="43"/>
  <c r="E527" i="43"/>
  <c r="D527" i="43"/>
  <c r="B527" i="43"/>
  <c r="E526" i="43"/>
  <c r="D526" i="43"/>
  <c r="B526" i="43"/>
  <c r="E525" i="43"/>
  <c r="D525" i="43"/>
  <c r="B525" i="43"/>
  <c r="E524" i="43"/>
  <c r="D524" i="43"/>
  <c r="B524" i="43"/>
  <c r="E523" i="43"/>
  <c r="D523" i="43"/>
  <c r="B523" i="43"/>
  <c r="E522" i="43"/>
  <c r="D522" i="43"/>
  <c r="B522" i="43"/>
  <c r="E521" i="43"/>
  <c r="D521" i="43"/>
  <c r="B521" i="43"/>
  <c r="E520" i="43"/>
  <c r="D520" i="43"/>
  <c r="B520" i="43"/>
  <c r="E519" i="43"/>
  <c r="D519" i="43"/>
  <c r="B519" i="43"/>
  <c r="E518" i="43"/>
  <c r="D518" i="43"/>
  <c r="B518" i="43"/>
  <c r="E517" i="43"/>
  <c r="D517" i="43"/>
  <c r="B517" i="43"/>
  <c r="E516" i="43"/>
  <c r="D516" i="43"/>
  <c r="B516" i="43"/>
  <c r="E515" i="43"/>
  <c r="D515" i="43"/>
  <c r="B515" i="43"/>
  <c r="E514" i="43"/>
  <c r="D514" i="43"/>
  <c r="B514" i="43"/>
  <c r="E513" i="43"/>
  <c r="D513" i="43"/>
  <c r="B513" i="43"/>
  <c r="E512" i="43"/>
  <c r="D512" i="43"/>
  <c r="B512" i="43"/>
  <c r="E511" i="43"/>
  <c r="D511" i="43"/>
  <c r="B511" i="43"/>
  <c r="E510" i="43"/>
  <c r="D510" i="43"/>
  <c r="B510" i="43"/>
  <c r="E509" i="43"/>
  <c r="D509" i="43"/>
  <c r="B509" i="43"/>
  <c r="E508" i="43"/>
  <c r="D508" i="43"/>
  <c r="B508" i="43"/>
  <c r="E507" i="43"/>
  <c r="D507" i="43"/>
  <c r="B507" i="43"/>
  <c r="E506" i="43"/>
  <c r="D506" i="43"/>
  <c r="B506" i="43"/>
  <c r="E505" i="43"/>
  <c r="D505" i="43"/>
  <c r="B505" i="43"/>
  <c r="E504" i="43"/>
  <c r="D504" i="43"/>
  <c r="B504" i="43"/>
  <c r="E503" i="43"/>
  <c r="D503" i="43"/>
  <c r="B503" i="43"/>
  <c r="E502" i="43"/>
  <c r="D502" i="43"/>
  <c r="B502" i="43"/>
  <c r="E501" i="43"/>
  <c r="D501" i="43"/>
  <c r="B501" i="43"/>
  <c r="E500" i="43"/>
  <c r="D500" i="43"/>
  <c r="B500" i="43"/>
  <c r="E499" i="43"/>
  <c r="D499" i="43"/>
  <c r="B499" i="43"/>
  <c r="E498" i="43"/>
  <c r="D498" i="43"/>
  <c r="B498" i="43"/>
  <c r="E497" i="43"/>
  <c r="D497" i="43"/>
  <c r="B497" i="43"/>
  <c r="E496" i="43"/>
  <c r="D496" i="43"/>
  <c r="B496" i="43"/>
  <c r="E495" i="43"/>
  <c r="D495" i="43"/>
  <c r="B495" i="43"/>
  <c r="E494" i="43"/>
  <c r="D494" i="43"/>
  <c r="B494" i="43"/>
  <c r="E493" i="43"/>
  <c r="D493" i="43"/>
  <c r="B493" i="43"/>
  <c r="E492" i="43"/>
  <c r="D492" i="43"/>
  <c r="B492" i="43"/>
  <c r="E491" i="43"/>
  <c r="D491" i="43"/>
  <c r="B491" i="43"/>
  <c r="E490" i="43"/>
  <c r="D490" i="43"/>
  <c r="B490" i="43"/>
  <c r="E489" i="43"/>
  <c r="D489" i="43"/>
  <c r="B489" i="43"/>
  <c r="E488" i="43"/>
  <c r="D488" i="43"/>
  <c r="B488" i="43"/>
  <c r="E487" i="43"/>
  <c r="D487" i="43"/>
  <c r="B487" i="43"/>
  <c r="E486" i="43"/>
  <c r="D486" i="43"/>
  <c r="B486" i="43"/>
  <c r="E485" i="43"/>
  <c r="D485" i="43"/>
  <c r="B485" i="43"/>
  <c r="E484" i="43"/>
  <c r="D484" i="43"/>
  <c r="B484" i="43"/>
  <c r="E483" i="43"/>
  <c r="D483" i="43"/>
  <c r="B483" i="43"/>
  <c r="E482" i="43"/>
  <c r="D482" i="43"/>
  <c r="B482" i="43"/>
  <c r="E481" i="43"/>
  <c r="D481" i="43"/>
  <c r="B481" i="43"/>
  <c r="E480" i="43"/>
  <c r="D480" i="43"/>
  <c r="B480" i="43"/>
  <c r="E479" i="43"/>
  <c r="D479" i="43"/>
  <c r="B479" i="43"/>
  <c r="E478" i="43"/>
  <c r="D478" i="43"/>
  <c r="B478" i="43"/>
  <c r="E477" i="43"/>
  <c r="D477" i="43"/>
  <c r="B477" i="43"/>
  <c r="E476" i="43"/>
  <c r="D476" i="43"/>
  <c r="B476" i="43"/>
  <c r="E475" i="43"/>
  <c r="D475" i="43"/>
  <c r="B475" i="43"/>
  <c r="E474" i="43"/>
  <c r="D474" i="43"/>
  <c r="B474" i="43"/>
  <c r="E473" i="43"/>
  <c r="D473" i="43"/>
  <c r="B473" i="43"/>
  <c r="E472" i="43"/>
  <c r="D472" i="43"/>
  <c r="B472" i="43"/>
  <c r="E471" i="43"/>
  <c r="D471" i="43"/>
  <c r="B471" i="43"/>
  <c r="E470" i="43"/>
  <c r="D470" i="43"/>
  <c r="B470" i="43"/>
  <c r="E469" i="43"/>
  <c r="D469" i="43"/>
  <c r="B469" i="43"/>
  <c r="E468" i="43"/>
  <c r="D468" i="43"/>
  <c r="B468" i="43"/>
  <c r="E467" i="43"/>
  <c r="D467" i="43"/>
  <c r="B467" i="43"/>
  <c r="E466" i="43"/>
  <c r="D466" i="43"/>
  <c r="B466" i="43"/>
  <c r="E465" i="43"/>
  <c r="D465" i="43"/>
  <c r="B465" i="43"/>
  <c r="E464" i="43"/>
  <c r="D464" i="43"/>
  <c r="B464" i="43"/>
  <c r="E463" i="43"/>
  <c r="D463" i="43"/>
  <c r="B463" i="43"/>
  <c r="E462" i="43"/>
  <c r="D462" i="43"/>
  <c r="B462" i="43"/>
  <c r="E461" i="43"/>
  <c r="D461" i="43"/>
  <c r="B461" i="43"/>
  <c r="E460" i="43"/>
  <c r="D460" i="43"/>
  <c r="B460" i="43"/>
  <c r="E459" i="43"/>
  <c r="D459" i="43"/>
  <c r="B459" i="43"/>
  <c r="E458" i="43"/>
  <c r="D458" i="43"/>
  <c r="B458" i="43"/>
  <c r="E457" i="43"/>
  <c r="D457" i="43"/>
  <c r="B457" i="43"/>
  <c r="E456" i="43"/>
  <c r="D456" i="43"/>
  <c r="B456" i="43"/>
  <c r="E455" i="43"/>
  <c r="D455" i="43"/>
  <c r="B455" i="43"/>
  <c r="E454" i="43"/>
  <c r="D454" i="43"/>
  <c r="B454" i="43"/>
  <c r="E453" i="43"/>
  <c r="D453" i="43"/>
  <c r="B453" i="43"/>
  <c r="E452" i="43"/>
  <c r="D452" i="43"/>
  <c r="B452" i="43"/>
  <c r="E451" i="43"/>
  <c r="D451" i="43"/>
  <c r="B451" i="43"/>
  <c r="E450" i="43"/>
  <c r="D450" i="43"/>
  <c r="B450" i="43"/>
  <c r="E449" i="43"/>
  <c r="D449" i="43"/>
  <c r="B449" i="43"/>
  <c r="E448" i="43"/>
  <c r="D448" i="43"/>
  <c r="B448" i="43"/>
  <c r="E447" i="43"/>
  <c r="D447" i="43"/>
  <c r="B447" i="43"/>
  <c r="E446" i="43"/>
  <c r="D446" i="43"/>
  <c r="B446" i="43"/>
  <c r="E445" i="43"/>
  <c r="D445" i="43"/>
  <c r="B445" i="43"/>
  <c r="E444" i="43"/>
  <c r="D444" i="43"/>
  <c r="B444" i="43"/>
  <c r="E443" i="43"/>
  <c r="D443" i="43"/>
  <c r="B443" i="43"/>
  <c r="E442" i="43"/>
  <c r="D442" i="43"/>
  <c r="B442" i="43"/>
  <c r="E441" i="43"/>
  <c r="D441" i="43"/>
  <c r="B441" i="43"/>
  <c r="E440" i="43"/>
  <c r="D440" i="43"/>
  <c r="B440" i="43"/>
  <c r="E439" i="43"/>
  <c r="D439" i="43"/>
  <c r="B439" i="43"/>
  <c r="E438" i="43"/>
  <c r="D438" i="43"/>
  <c r="B438" i="43"/>
  <c r="E437" i="43"/>
  <c r="D437" i="43"/>
  <c r="B437" i="43"/>
  <c r="E436" i="43"/>
  <c r="D436" i="43"/>
  <c r="B436" i="43"/>
  <c r="E435" i="43"/>
  <c r="D435" i="43"/>
  <c r="B435" i="43"/>
  <c r="E434" i="43"/>
  <c r="D434" i="43"/>
  <c r="B434" i="43"/>
  <c r="E433" i="43"/>
  <c r="D433" i="43"/>
  <c r="B433" i="43"/>
  <c r="E432" i="43"/>
  <c r="D432" i="43"/>
  <c r="B432" i="43"/>
  <c r="E431" i="43"/>
  <c r="D431" i="43"/>
  <c r="B431" i="43"/>
  <c r="E430" i="43"/>
  <c r="D430" i="43"/>
  <c r="B430" i="43"/>
  <c r="E429" i="43"/>
  <c r="D429" i="43"/>
  <c r="B429" i="43"/>
  <c r="E428" i="43"/>
  <c r="D428" i="43"/>
  <c r="B428" i="43"/>
  <c r="E427" i="43"/>
  <c r="D427" i="43"/>
  <c r="B427" i="43"/>
  <c r="E426" i="43"/>
  <c r="D426" i="43"/>
  <c r="B426" i="43"/>
  <c r="E425" i="43"/>
  <c r="D425" i="43"/>
  <c r="B425" i="43"/>
  <c r="E424" i="43"/>
  <c r="D424" i="43"/>
  <c r="B424" i="43"/>
  <c r="E423" i="43"/>
  <c r="D423" i="43"/>
  <c r="B423" i="43"/>
  <c r="E422" i="43"/>
  <c r="D422" i="43"/>
  <c r="B422" i="43"/>
  <c r="E421" i="43"/>
  <c r="D421" i="43"/>
  <c r="B421" i="43"/>
  <c r="E420" i="43"/>
  <c r="D420" i="43"/>
  <c r="B420" i="43"/>
  <c r="E419" i="43"/>
  <c r="D419" i="43"/>
  <c r="B419" i="43"/>
  <c r="E418" i="43"/>
  <c r="D418" i="43"/>
  <c r="B418" i="43"/>
  <c r="E417" i="43"/>
  <c r="D417" i="43"/>
  <c r="B417" i="43"/>
  <c r="E416" i="43"/>
  <c r="D416" i="43"/>
  <c r="B416" i="43"/>
  <c r="E415" i="43"/>
  <c r="D415" i="43"/>
  <c r="B415" i="43"/>
  <c r="E414" i="43"/>
  <c r="D414" i="43"/>
  <c r="B414" i="43"/>
  <c r="E413" i="43"/>
  <c r="D413" i="43"/>
  <c r="B413" i="43"/>
  <c r="E412" i="43"/>
  <c r="D412" i="43"/>
  <c r="B412" i="43"/>
  <c r="E411" i="43"/>
  <c r="D411" i="43"/>
  <c r="B411" i="43"/>
  <c r="E410" i="43"/>
  <c r="D410" i="43"/>
  <c r="B410" i="43"/>
  <c r="E409" i="43"/>
  <c r="D409" i="43"/>
  <c r="B409" i="43"/>
  <c r="E408" i="43"/>
  <c r="D408" i="43"/>
  <c r="B408" i="43"/>
  <c r="E407" i="43"/>
  <c r="D407" i="43"/>
  <c r="B407" i="43"/>
  <c r="E406" i="43"/>
  <c r="D406" i="43"/>
  <c r="B406" i="43"/>
  <c r="E405" i="43"/>
  <c r="D405" i="43"/>
  <c r="B405" i="43"/>
  <c r="E404" i="43"/>
  <c r="D404" i="43"/>
  <c r="B404" i="43"/>
  <c r="E403" i="43"/>
  <c r="D403" i="43"/>
  <c r="B403" i="43"/>
  <c r="E402" i="43"/>
  <c r="D402" i="43"/>
  <c r="B402" i="43"/>
  <c r="E401" i="43"/>
  <c r="D401" i="43"/>
  <c r="B401" i="43"/>
  <c r="E400" i="43"/>
  <c r="D400" i="43"/>
  <c r="B400" i="43"/>
  <c r="E399" i="43"/>
  <c r="D399" i="43"/>
  <c r="B399" i="43"/>
  <c r="E398" i="43"/>
  <c r="D398" i="43"/>
  <c r="B398" i="43"/>
  <c r="E397" i="43"/>
  <c r="D397" i="43"/>
  <c r="B397" i="43"/>
  <c r="E396" i="43"/>
  <c r="D396" i="43"/>
  <c r="B396" i="43"/>
  <c r="E395" i="43"/>
  <c r="D395" i="43"/>
  <c r="B395" i="43"/>
  <c r="E394" i="43"/>
  <c r="D394" i="43"/>
  <c r="B394" i="43"/>
  <c r="E393" i="43"/>
  <c r="D393" i="43"/>
  <c r="B393" i="43"/>
  <c r="E392" i="43"/>
  <c r="D392" i="43"/>
  <c r="B392" i="43"/>
  <c r="E391" i="43"/>
  <c r="D391" i="43"/>
  <c r="B391" i="43"/>
  <c r="E390" i="43"/>
  <c r="D390" i="43"/>
  <c r="B390" i="43"/>
  <c r="E389" i="43"/>
  <c r="D389" i="43"/>
  <c r="B389" i="43"/>
  <c r="E388" i="43"/>
  <c r="D388" i="43"/>
  <c r="B388" i="43"/>
  <c r="E387" i="43"/>
  <c r="D387" i="43"/>
  <c r="B387" i="43"/>
  <c r="E386" i="43"/>
  <c r="D386" i="43"/>
  <c r="B386" i="43"/>
  <c r="E385" i="43"/>
  <c r="D385" i="43"/>
  <c r="B385" i="43"/>
  <c r="E384" i="43"/>
  <c r="D384" i="43"/>
  <c r="B384" i="43"/>
  <c r="E383" i="43"/>
  <c r="D383" i="43"/>
  <c r="B383" i="43"/>
  <c r="E382" i="43"/>
  <c r="D382" i="43"/>
  <c r="B382" i="43"/>
  <c r="E381" i="43"/>
  <c r="D381" i="43"/>
  <c r="B381" i="43"/>
  <c r="E380" i="43"/>
  <c r="D380" i="43"/>
  <c r="B380" i="43"/>
  <c r="E379" i="43"/>
  <c r="D379" i="43"/>
  <c r="B379" i="43"/>
  <c r="E378" i="43"/>
  <c r="D378" i="43"/>
  <c r="B378" i="43"/>
  <c r="E377" i="43"/>
  <c r="D377" i="43"/>
  <c r="B377" i="43"/>
  <c r="E376" i="43"/>
  <c r="D376" i="43"/>
  <c r="B376" i="43"/>
  <c r="E375" i="43"/>
  <c r="D375" i="43"/>
  <c r="B375" i="43"/>
  <c r="E374" i="43"/>
  <c r="D374" i="43"/>
  <c r="B374" i="43"/>
  <c r="E373" i="43"/>
  <c r="D373" i="43"/>
  <c r="B373" i="43"/>
  <c r="E372" i="43"/>
  <c r="D372" i="43"/>
  <c r="B372" i="43"/>
  <c r="E371" i="43"/>
  <c r="D371" i="43"/>
  <c r="B371" i="43"/>
  <c r="E370" i="43"/>
  <c r="D370" i="43"/>
  <c r="B370" i="43"/>
  <c r="E369" i="43"/>
  <c r="D369" i="43"/>
  <c r="B369" i="43"/>
  <c r="E368" i="43"/>
  <c r="D368" i="43"/>
  <c r="B368" i="43"/>
  <c r="E367" i="43"/>
  <c r="D367" i="43"/>
  <c r="B367" i="43"/>
  <c r="E366" i="43"/>
  <c r="D366" i="43"/>
  <c r="B366" i="43"/>
  <c r="E365" i="43"/>
  <c r="D365" i="43"/>
  <c r="B365" i="43"/>
  <c r="E364" i="43"/>
  <c r="D364" i="43"/>
  <c r="B364" i="43"/>
  <c r="E363" i="43"/>
  <c r="D363" i="43"/>
  <c r="B363" i="43"/>
  <c r="E362" i="43"/>
  <c r="D362" i="43"/>
  <c r="B362" i="43"/>
  <c r="E361" i="43"/>
  <c r="D361" i="43"/>
  <c r="B361" i="43"/>
  <c r="E360" i="43"/>
  <c r="D360" i="43"/>
  <c r="B360" i="43"/>
  <c r="E359" i="43"/>
  <c r="D359" i="43"/>
  <c r="B359" i="43"/>
  <c r="E358" i="43"/>
  <c r="D358" i="43"/>
  <c r="B358" i="43"/>
  <c r="E357" i="43"/>
  <c r="D357" i="43"/>
  <c r="B357" i="43"/>
  <c r="E356" i="43"/>
  <c r="D356" i="43"/>
  <c r="B356" i="43"/>
  <c r="E355" i="43"/>
  <c r="D355" i="43"/>
  <c r="B355" i="43"/>
  <c r="E354" i="43"/>
  <c r="D354" i="43"/>
  <c r="B354" i="43"/>
  <c r="E353" i="43"/>
  <c r="D353" i="43"/>
  <c r="B353" i="43"/>
  <c r="E352" i="43"/>
  <c r="D352" i="43"/>
  <c r="B352" i="43"/>
  <c r="E351" i="43"/>
  <c r="D351" i="43"/>
  <c r="B351" i="43"/>
  <c r="E350" i="43"/>
  <c r="D350" i="43"/>
  <c r="B350" i="43"/>
  <c r="E349" i="43"/>
  <c r="D349" i="43"/>
  <c r="B349" i="43"/>
  <c r="E348" i="43"/>
  <c r="D348" i="43"/>
  <c r="B348" i="43"/>
  <c r="E347" i="43"/>
  <c r="D347" i="43"/>
  <c r="B347" i="43"/>
  <c r="E346" i="43"/>
  <c r="D346" i="43"/>
  <c r="B346" i="43"/>
  <c r="E345" i="43"/>
  <c r="D345" i="43"/>
  <c r="B345" i="43"/>
  <c r="E344" i="43"/>
  <c r="D344" i="43"/>
  <c r="B344" i="43"/>
  <c r="E343" i="43"/>
  <c r="D343" i="43"/>
  <c r="B343" i="43"/>
  <c r="E342" i="43"/>
  <c r="D342" i="43"/>
  <c r="B342" i="43"/>
  <c r="E341" i="43"/>
  <c r="D341" i="43"/>
  <c r="B341" i="43"/>
  <c r="E340" i="43"/>
  <c r="D340" i="43"/>
  <c r="B340" i="43"/>
  <c r="E339" i="43"/>
  <c r="D339" i="43"/>
  <c r="B339" i="43"/>
  <c r="E338" i="43"/>
  <c r="D338" i="43"/>
  <c r="B338" i="43"/>
  <c r="E337" i="43"/>
  <c r="D337" i="43"/>
  <c r="B337" i="43"/>
  <c r="E336" i="43"/>
  <c r="D336" i="43"/>
  <c r="B336" i="43"/>
  <c r="E335" i="43"/>
  <c r="D335" i="43"/>
  <c r="B335" i="43"/>
  <c r="E334" i="43"/>
  <c r="D334" i="43"/>
  <c r="B334" i="43"/>
  <c r="E333" i="43"/>
  <c r="D333" i="43"/>
  <c r="B333" i="43"/>
  <c r="E332" i="43"/>
  <c r="D332" i="43"/>
  <c r="B332" i="43"/>
  <c r="E331" i="43"/>
  <c r="D331" i="43"/>
  <c r="B331" i="43"/>
  <c r="E330" i="43"/>
  <c r="D330" i="43"/>
  <c r="B330" i="43"/>
  <c r="E329" i="43"/>
  <c r="D329" i="43"/>
  <c r="B329" i="43"/>
  <c r="E328" i="43"/>
  <c r="D328" i="43"/>
  <c r="B328" i="43"/>
  <c r="E327" i="43"/>
  <c r="D327" i="43"/>
  <c r="B327" i="43"/>
  <c r="E326" i="43"/>
  <c r="D326" i="43"/>
  <c r="B326" i="43"/>
  <c r="E325" i="43"/>
  <c r="D325" i="43"/>
  <c r="B325" i="43"/>
  <c r="E324" i="43"/>
  <c r="D324" i="43"/>
  <c r="B324" i="43"/>
  <c r="E323" i="43"/>
  <c r="D323" i="43"/>
  <c r="B323" i="43"/>
  <c r="E322" i="43"/>
  <c r="D322" i="43"/>
  <c r="B322" i="43"/>
  <c r="E321" i="43"/>
  <c r="D321" i="43"/>
  <c r="B321" i="43"/>
  <c r="E320" i="43"/>
  <c r="D320" i="43"/>
  <c r="B320" i="43"/>
  <c r="E319" i="43"/>
  <c r="D319" i="43"/>
  <c r="B319" i="43"/>
  <c r="E318" i="43"/>
  <c r="D318" i="43"/>
  <c r="B318" i="43"/>
  <c r="E317" i="43"/>
  <c r="D317" i="43"/>
  <c r="B317" i="43"/>
  <c r="E316" i="43"/>
  <c r="D316" i="43"/>
  <c r="B316" i="43"/>
  <c r="E315" i="43"/>
  <c r="D315" i="43"/>
  <c r="B315" i="43"/>
  <c r="E314" i="43"/>
  <c r="D314" i="43"/>
  <c r="B314" i="43"/>
  <c r="E313" i="43"/>
  <c r="D313" i="43"/>
  <c r="B313" i="43"/>
  <c r="E312" i="43"/>
  <c r="D312" i="43"/>
  <c r="B312" i="43"/>
  <c r="E311" i="43"/>
  <c r="D311" i="43"/>
  <c r="B311" i="43"/>
  <c r="E310" i="43"/>
  <c r="D310" i="43"/>
  <c r="B310" i="43"/>
  <c r="E309" i="43"/>
  <c r="D309" i="43"/>
  <c r="B309" i="43"/>
  <c r="E308" i="43"/>
  <c r="D308" i="43"/>
  <c r="B308" i="43"/>
  <c r="E307" i="43"/>
  <c r="D307" i="43"/>
  <c r="B307" i="43"/>
  <c r="E306" i="43"/>
  <c r="D306" i="43"/>
  <c r="B306" i="43"/>
  <c r="E305" i="43"/>
  <c r="D305" i="43"/>
  <c r="B305" i="43"/>
  <c r="E304" i="43"/>
  <c r="D304" i="43"/>
  <c r="B304" i="43"/>
  <c r="E303" i="43"/>
  <c r="D303" i="43"/>
  <c r="B303" i="43"/>
  <c r="E302" i="43"/>
  <c r="D302" i="43"/>
  <c r="B302" i="43"/>
  <c r="E301" i="43"/>
  <c r="D301" i="43"/>
  <c r="B301" i="43"/>
  <c r="E300" i="43"/>
  <c r="D300" i="43"/>
  <c r="B300" i="43"/>
  <c r="E299" i="43"/>
  <c r="D299" i="43"/>
  <c r="B299" i="43"/>
  <c r="E298" i="43"/>
  <c r="D298" i="43"/>
  <c r="B298" i="43"/>
  <c r="E297" i="43"/>
  <c r="D297" i="43"/>
  <c r="B297" i="43"/>
  <c r="E296" i="43"/>
  <c r="D296" i="43"/>
  <c r="B296" i="43"/>
  <c r="E295" i="43"/>
  <c r="D295" i="43"/>
  <c r="B295" i="43"/>
  <c r="E294" i="43"/>
  <c r="D294" i="43"/>
  <c r="B294" i="43"/>
  <c r="E293" i="43"/>
  <c r="D293" i="43"/>
  <c r="B293" i="43"/>
  <c r="E292" i="43"/>
  <c r="D292" i="43"/>
  <c r="B292" i="43"/>
  <c r="E291" i="43"/>
  <c r="D291" i="43"/>
  <c r="B291" i="43"/>
  <c r="E290" i="43"/>
  <c r="D290" i="43"/>
  <c r="B290" i="43"/>
  <c r="E289" i="43"/>
  <c r="D289" i="43"/>
  <c r="B289" i="43"/>
  <c r="E288" i="43"/>
  <c r="D288" i="43"/>
  <c r="B288" i="43"/>
  <c r="E287" i="43"/>
  <c r="D287" i="43"/>
  <c r="B287" i="43"/>
  <c r="E286" i="43"/>
  <c r="D286" i="43"/>
  <c r="B286" i="43"/>
  <c r="E285" i="43"/>
  <c r="D285" i="43"/>
  <c r="B285" i="43"/>
  <c r="E284" i="43"/>
  <c r="D284" i="43"/>
  <c r="B284" i="43"/>
  <c r="E283" i="43"/>
  <c r="D283" i="43"/>
  <c r="B283" i="43"/>
  <c r="E282" i="43"/>
  <c r="D282" i="43"/>
  <c r="B282" i="43"/>
  <c r="E281" i="43"/>
  <c r="D281" i="43"/>
  <c r="B281" i="43"/>
  <c r="E280" i="43"/>
  <c r="D280" i="43"/>
  <c r="B280" i="43"/>
  <c r="E279" i="43"/>
  <c r="D279" i="43"/>
  <c r="B279" i="43"/>
  <c r="E278" i="43"/>
  <c r="D278" i="43"/>
  <c r="B278" i="43"/>
  <c r="E277" i="43"/>
  <c r="D277" i="43"/>
  <c r="B277" i="43"/>
  <c r="E276" i="43"/>
  <c r="D276" i="43"/>
  <c r="B276" i="43"/>
  <c r="E275" i="43"/>
  <c r="D275" i="43"/>
  <c r="B275" i="43"/>
  <c r="E274" i="43"/>
  <c r="D274" i="43"/>
  <c r="B274" i="43"/>
  <c r="E273" i="43"/>
  <c r="D273" i="43"/>
  <c r="B273" i="43"/>
  <c r="E272" i="43"/>
  <c r="D272" i="43"/>
  <c r="B272" i="43"/>
  <c r="E271" i="43"/>
  <c r="D271" i="43"/>
  <c r="B271" i="43"/>
  <c r="E270" i="43"/>
  <c r="D270" i="43"/>
  <c r="B270" i="43"/>
  <c r="E269" i="43"/>
  <c r="D269" i="43"/>
  <c r="B269" i="43"/>
  <c r="E268" i="43"/>
  <c r="D268" i="43"/>
  <c r="B268" i="43"/>
  <c r="E267" i="43"/>
  <c r="D267" i="43"/>
  <c r="B267" i="43"/>
  <c r="E266" i="43"/>
  <c r="D266" i="43"/>
  <c r="B266" i="43"/>
  <c r="E265" i="43"/>
  <c r="D265" i="43"/>
  <c r="B265" i="43"/>
  <c r="E264" i="43"/>
  <c r="D264" i="43"/>
  <c r="B264" i="43"/>
  <c r="E263" i="43"/>
  <c r="D263" i="43"/>
  <c r="B263" i="43"/>
  <c r="E262" i="43"/>
  <c r="D262" i="43"/>
  <c r="B262" i="43"/>
  <c r="E261" i="43"/>
  <c r="D261" i="43"/>
  <c r="B261" i="43"/>
  <c r="E260" i="43"/>
  <c r="D260" i="43"/>
  <c r="B260" i="43"/>
  <c r="E259" i="43"/>
  <c r="D259" i="43"/>
  <c r="B259" i="43"/>
  <c r="E258" i="43"/>
  <c r="D258" i="43"/>
  <c r="B258" i="43"/>
  <c r="E257" i="43"/>
  <c r="D257" i="43"/>
  <c r="B257" i="43"/>
  <c r="E256" i="43"/>
  <c r="D256" i="43"/>
  <c r="B256" i="43"/>
  <c r="E255" i="43"/>
  <c r="D255" i="43"/>
  <c r="B255" i="43"/>
  <c r="E254" i="43"/>
  <c r="D254" i="43"/>
  <c r="B254" i="43"/>
  <c r="E253" i="43"/>
  <c r="D253" i="43"/>
  <c r="B253" i="43"/>
  <c r="E252" i="43"/>
  <c r="D252" i="43"/>
  <c r="B252" i="43"/>
  <c r="E251" i="43"/>
  <c r="D251" i="43"/>
  <c r="B251" i="43"/>
  <c r="E250" i="43"/>
  <c r="D250" i="43"/>
  <c r="B250" i="43"/>
  <c r="E249" i="43"/>
  <c r="D249" i="43"/>
  <c r="B249" i="43"/>
  <c r="E248" i="43"/>
  <c r="D248" i="43"/>
  <c r="B248" i="43"/>
  <c r="E247" i="43"/>
  <c r="D247" i="43"/>
  <c r="B247" i="43"/>
  <c r="E246" i="43"/>
  <c r="D246" i="43"/>
  <c r="B246" i="43"/>
  <c r="E245" i="43"/>
  <c r="D245" i="43"/>
  <c r="B245" i="43"/>
  <c r="E244" i="43"/>
  <c r="D244" i="43"/>
  <c r="B244" i="43"/>
  <c r="E243" i="43"/>
  <c r="D243" i="43"/>
  <c r="B243" i="43"/>
  <c r="E242" i="43"/>
  <c r="D242" i="43"/>
  <c r="B242" i="43"/>
  <c r="E241" i="43"/>
  <c r="D241" i="43"/>
  <c r="B241" i="43"/>
  <c r="E240" i="43"/>
  <c r="D240" i="43"/>
  <c r="B240" i="43"/>
  <c r="E239" i="43"/>
  <c r="D239" i="43"/>
  <c r="B239" i="43"/>
  <c r="E238" i="43"/>
  <c r="D238" i="43"/>
  <c r="B238" i="43"/>
  <c r="E237" i="43"/>
  <c r="D237" i="43"/>
  <c r="B237" i="43"/>
  <c r="E236" i="43"/>
  <c r="D236" i="43"/>
  <c r="B236" i="43"/>
  <c r="E235" i="43"/>
  <c r="D235" i="43"/>
  <c r="B235" i="43"/>
  <c r="E234" i="43"/>
  <c r="D234" i="43"/>
  <c r="B234" i="43"/>
  <c r="E233" i="43"/>
  <c r="D233" i="43"/>
  <c r="B233" i="43"/>
  <c r="E232" i="43"/>
  <c r="D232" i="43"/>
  <c r="B232" i="43"/>
  <c r="E231" i="43"/>
  <c r="D231" i="43"/>
  <c r="B231" i="43"/>
  <c r="E230" i="43"/>
  <c r="D230" i="43"/>
  <c r="B230" i="43"/>
  <c r="E229" i="43"/>
  <c r="D229" i="43"/>
  <c r="B229" i="43"/>
  <c r="E228" i="43"/>
  <c r="D228" i="43"/>
  <c r="B228" i="43"/>
  <c r="E227" i="43"/>
  <c r="D227" i="43"/>
  <c r="B227" i="43"/>
  <c r="E226" i="43"/>
  <c r="D226" i="43"/>
  <c r="B226" i="43"/>
  <c r="E225" i="43"/>
  <c r="D225" i="43"/>
  <c r="B225" i="43"/>
  <c r="E224" i="43"/>
  <c r="D224" i="43"/>
  <c r="B224" i="43"/>
  <c r="E223" i="43"/>
  <c r="D223" i="43"/>
  <c r="B223" i="43"/>
  <c r="E222" i="43"/>
  <c r="D222" i="43"/>
  <c r="B222" i="43"/>
  <c r="E221" i="43"/>
  <c r="D221" i="43"/>
  <c r="B221" i="43"/>
  <c r="E220" i="43"/>
  <c r="D220" i="43"/>
  <c r="B220" i="43"/>
  <c r="E219" i="43"/>
  <c r="D219" i="43"/>
  <c r="B219" i="43"/>
  <c r="E218" i="43"/>
  <c r="D218" i="43"/>
  <c r="B218" i="43"/>
  <c r="E217" i="43"/>
  <c r="D217" i="43"/>
  <c r="B217" i="43"/>
  <c r="E216" i="43"/>
  <c r="D216" i="43"/>
  <c r="B216" i="43"/>
  <c r="E215" i="43"/>
  <c r="D215" i="43"/>
  <c r="B215" i="43"/>
  <c r="E214" i="43"/>
  <c r="D214" i="43"/>
  <c r="B214" i="43"/>
  <c r="E213" i="43"/>
  <c r="D213" i="43"/>
  <c r="B213" i="43"/>
  <c r="E212" i="43"/>
  <c r="D212" i="43"/>
  <c r="B212" i="43"/>
  <c r="E211" i="43"/>
  <c r="D211" i="43"/>
  <c r="B211" i="43"/>
  <c r="E210" i="43"/>
  <c r="D210" i="43"/>
  <c r="B210" i="43"/>
  <c r="E209" i="43"/>
  <c r="D209" i="43"/>
  <c r="B209" i="43"/>
  <c r="E208" i="43"/>
  <c r="D208" i="43"/>
  <c r="B208" i="43"/>
  <c r="E207" i="43"/>
  <c r="D207" i="43"/>
  <c r="B207" i="43"/>
  <c r="E206" i="43"/>
  <c r="D206" i="43"/>
  <c r="B206" i="43"/>
  <c r="E205" i="43"/>
  <c r="D205" i="43"/>
  <c r="B205" i="43"/>
  <c r="E204" i="43"/>
  <c r="D204" i="43"/>
  <c r="B204" i="43"/>
  <c r="E203" i="43"/>
  <c r="D203" i="43"/>
  <c r="B203" i="43"/>
  <c r="E202" i="43"/>
  <c r="D202" i="43"/>
  <c r="B202" i="43"/>
  <c r="E201" i="43"/>
  <c r="D201" i="43"/>
  <c r="B201" i="43"/>
  <c r="E200" i="43"/>
  <c r="D200" i="43"/>
  <c r="B200" i="43"/>
  <c r="E199" i="43"/>
  <c r="D199" i="43"/>
  <c r="B199" i="43"/>
  <c r="E198" i="43"/>
  <c r="D198" i="43"/>
  <c r="B198" i="43"/>
  <c r="E197" i="43"/>
  <c r="D197" i="43"/>
  <c r="B197" i="43"/>
  <c r="E196" i="43"/>
  <c r="D196" i="43"/>
  <c r="B196" i="43"/>
  <c r="E195" i="43"/>
  <c r="D195" i="43"/>
  <c r="B195" i="43"/>
  <c r="E194" i="43"/>
  <c r="D194" i="43"/>
  <c r="B194" i="43"/>
  <c r="E193" i="43"/>
  <c r="D193" i="43"/>
  <c r="B193" i="43"/>
  <c r="E192" i="43"/>
  <c r="D192" i="43"/>
  <c r="B192" i="43"/>
  <c r="E191" i="43"/>
  <c r="D191" i="43"/>
  <c r="B191" i="43"/>
  <c r="E190" i="43"/>
  <c r="D190" i="43"/>
  <c r="B190" i="43"/>
  <c r="E189" i="43"/>
  <c r="D189" i="43"/>
  <c r="B189" i="43"/>
  <c r="E188" i="43"/>
  <c r="D188" i="43"/>
  <c r="B188" i="43"/>
  <c r="E187" i="43"/>
  <c r="D187" i="43"/>
  <c r="B187" i="43"/>
  <c r="E186" i="43"/>
  <c r="D186" i="43"/>
  <c r="B186" i="43"/>
  <c r="E185" i="43"/>
  <c r="D185" i="43"/>
  <c r="B185" i="43"/>
  <c r="E184" i="43"/>
  <c r="D184" i="43"/>
  <c r="B184" i="43"/>
  <c r="E183" i="43"/>
  <c r="D183" i="43"/>
  <c r="B183" i="43"/>
  <c r="E182" i="43"/>
  <c r="D182" i="43"/>
  <c r="B182" i="43"/>
  <c r="E181" i="43"/>
  <c r="D181" i="43"/>
  <c r="B181" i="43"/>
  <c r="E180" i="43"/>
  <c r="D180" i="43"/>
  <c r="B180" i="43"/>
  <c r="E179" i="43"/>
  <c r="D179" i="43"/>
  <c r="B179" i="43"/>
  <c r="E178" i="43"/>
  <c r="D178" i="43"/>
  <c r="B178" i="43"/>
  <c r="E177" i="43"/>
  <c r="D177" i="43"/>
  <c r="B177" i="43"/>
  <c r="E176" i="43"/>
  <c r="D176" i="43"/>
  <c r="B176" i="43"/>
  <c r="E175" i="43"/>
  <c r="D175" i="43"/>
  <c r="B175" i="43"/>
  <c r="E174" i="43"/>
  <c r="D174" i="43"/>
  <c r="B174" i="43"/>
  <c r="E173" i="43"/>
  <c r="D173" i="43"/>
  <c r="B173" i="43"/>
  <c r="E172" i="43"/>
  <c r="D172" i="43"/>
  <c r="B172" i="43"/>
  <c r="E171" i="43"/>
  <c r="D171" i="43"/>
  <c r="B171" i="43"/>
  <c r="E170" i="43"/>
  <c r="D170" i="43"/>
  <c r="B170" i="43"/>
  <c r="E169" i="43"/>
  <c r="D169" i="43"/>
  <c r="B169" i="43"/>
  <c r="E168" i="43"/>
  <c r="D168" i="43"/>
  <c r="B168" i="43"/>
  <c r="E167" i="43"/>
  <c r="D167" i="43"/>
  <c r="B167" i="43"/>
  <c r="E166" i="43"/>
  <c r="D166" i="43"/>
  <c r="B166" i="43"/>
  <c r="E165" i="43"/>
  <c r="D165" i="43"/>
  <c r="B165" i="43"/>
  <c r="E164" i="43"/>
  <c r="D164" i="43"/>
  <c r="B164" i="43"/>
  <c r="E163" i="43"/>
  <c r="D163" i="43"/>
  <c r="B163" i="43"/>
  <c r="E162" i="43"/>
  <c r="D162" i="43"/>
  <c r="B162" i="43"/>
  <c r="E161" i="43"/>
  <c r="D161" i="43"/>
  <c r="B161" i="43"/>
  <c r="E160" i="43"/>
  <c r="D160" i="43"/>
  <c r="B160" i="43"/>
  <c r="E159" i="43"/>
  <c r="D159" i="43"/>
  <c r="B159" i="43"/>
  <c r="E158" i="43"/>
  <c r="D158" i="43"/>
  <c r="B158" i="43"/>
  <c r="E157" i="43"/>
  <c r="D157" i="43"/>
  <c r="B157" i="43"/>
  <c r="E156" i="43"/>
  <c r="D156" i="43"/>
  <c r="B156" i="43"/>
  <c r="E155" i="43"/>
  <c r="D155" i="43"/>
  <c r="B155" i="43"/>
  <c r="E154" i="43"/>
  <c r="D154" i="43"/>
  <c r="B154" i="43"/>
  <c r="E153" i="43"/>
  <c r="D153" i="43"/>
  <c r="B153" i="43"/>
  <c r="E152" i="43"/>
  <c r="D152" i="43"/>
  <c r="B152" i="43"/>
  <c r="E151" i="43"/>
  <c r="D151" i="43"/>
  <c r="B151" i="43"/>
  <c r="E150" i="43"/>
  <c r="D150" i="43"/>
  <c r="B150" i="43"/>
  <c r="E149" i="43"/>
  <c r="D149" i="43"/>
  <c r="B149" i="43"/>
  <c r="E148" i="43"/>
  <c r="D148" i="43"/>
  <c r="B148" i="43"/>
  <c r="E147" i="43"/>
  <c r="D147" i="43"/>
  <c r="B147" i="43"/>
  <c r="E146" i="43"/>
  <c r="D146" i="43"/>
  <c r="B146" i="43"/>
  <c r="E145" i="43"/>
  <c r="D145" i="43"/>
  <c r="B145" i="43"/>
  <c r="E144" i="43"/>
  <c r="D144" i="43"/>
  <c r="B144" i="43"/>
  <c r="E143" i="43"/>
  <c r="D143" i="43"/>
  <c r="B143" i="43"/>
  <c r="E142" i="43"/>
  <c r="D142" i="43"/>
  <c r="B142" i="43"/>
  <c r="E141" i="43"/>
  <c r="D141" i="43"/>
  <c r="B141" i="43"/>
  <c r="E140" i="43"/>
  <c r="D140" i="43"/>
  <c r="B140" i="43"/>
  <c r="E139" i="43"/>
  <c r="D139" i="43"/>
  <c r="B139" i="43"/>
  <c r="E138" i="43"/>
  <c r="D138" i="43"/>
  <c r="B138" i="43"/>
  <c r="E137" i="43"/>
  <c r="D137" i="43"/>
  <c r="B137" i="43"/>
  <c r="E136" i="43"/>
  <c r="D136" i="43"/>
  <c r="B136" i="43"/>
  <c r="E135" i="43"/>
  <c r="D135" i="43"/>
  <c r="B135" i="43"/>
  <c r="E134" i="43"/>
  <c r="D134" i="43"/>
  <c r="B134" i="43"/>
  <c r="E133" i="43"/>
  <c r="D133" i="43"/>
  <c r="B133" i="43"/>
  <c r="E132" i="43"/>
  <c r="D132" i="43"/>
  <c r="B132" i="43"/>
  <c r="E131" i="43"/>
  <c r="D131" i="43"/>
  <c r="B131" i="43"/>
  <c r="E130" i="43"/>
  <c r="D130" i="43"/>
  <c r="B130" i="43"/>
  <c r="E129" i="43"/>
  <c r="D129" i="43"/>
  <c r="B129" i="43"/>
  <c r="E128" i="43"/>
  <c r="D128" i="43"/>
  <c r="B128" i="43"/>
  <c r="E127" i="43"/>
  <c r="D127" i="43"/>
  <c r="B127" i="43"/>
  <c r="E126" i="43"/>
  <c r="D126" i="43"/>
  <c r="B126" i="43"/>
  <c r="E125" i="43"/>
  <c r="D125" i="43"/>
  <c r="B125" i="43"/>
  <c r="E124" i="43"/>
  <c r="D124" i="43"/>
  <c r="B124" i="43"/>
  <c r="E123" i="43"/>
  <c r="D123" i="43"/>
  <c r="B123" i="43"/>
  <c r="E122" i="43"/>
  <c r="D122" i="43"/>
  <c r="B122" i="43"/>
  <c r="E121" i="43"/>
  <c r="D121" i="43"/>
  <c r="B121" i="43"/>
  <c r="E120" i="43"/>
  <c r="D120" i="43"/>
  <c r="B120" i="43"/>
  <c r="E119" i="43"/>
  <c r="D119" i="43"/>
  <c r="B119" i="43"/>
  <c r="E118" i="43"/>
  <c r="D118" i="43"/>
  <c r="B118" i="43"/>
  <c r="E117" i="43"/>
  <c r="D117" i="43"/>
  <c r="B117" i="43"/>
  <c r="E116" i="43"/>
  <c r="D116" i="43"/>
  <c r="B116" i="43"/>
  <c r="E115" i="43"/>
  <c r="D115" i="43"/>
  <c r="B115" i="43"/>
  <c r="E114" i="43"/>
  <c r="D114" i="43"/>
  <c r="B114" i="43"/>
  <c r="E113" i="43"/>
  <c r="D113" i="43"/>
  <c r="B113" i="43"/>
  <c r="E112" i="43"/>
  <c r="D112" i="43"/>
  <c r="B112" i="43"/>
  <c r="E111" i="43"/>
  <c r="D111" i="43"/>
  <c r="B111" i="43"/>
  <c r="E110" i="43"/>
  <c r="D110" i="43"/>
  <c r="B110" i="43"/>
  <c r="E109" i="43"/>
  <c r="D109" i="43"/>
  <c r="B109" i="43"/>
  <c r="E108" i="43"/>
  <c r="D108" i="43"/>
  <c r="B108" i="43"/>
  <c r="E107" i="43"/>
  <c r="D107" i="43"/>
  <c r="B107" i="43"/>
  <c r="E106" i="43"/>
  <c r="D106" i="43"/>
  <c r="B106" i="43"/>
  <c r="E105" i="43"/>
  <c r="D105" i="43"/>
  <c r="B105" i="43"/>
  <c r="E104" i="43"/>
  <c r="D104" i="43"/>
  <c r="B104" i="43"/>
  <c r="E103" i="43"/>
  <c r="D103" i="43"/>
  <c r="B103" i="43"/>
  <c r="E102" i="43"/>
  <c r="D102" i="43"/>
  <c r="B102" i="43"/>
  <c r="E101" i="43"/>
  <c r="D101" i="43"/>
  <c r="B101" i="43"/>
  <c r="E100" i="43"/>
  <c r="D100" i="43"/>
  <c r="B100" i="43"/>
  <c r="E99" i="43"/>
  <c r="D99" i="43"/>
  <c r="B99" i="43"/>
  <c r="E98" i="43"/>
  <c r="D98" i="43"/>
  <c r="B98" i="43"/>
  <c r="E97" i="43"/>
  <c r="D97" i="43"/>
  <c r="B97" i="43"/>
  <c r="E96" i="43"/>
  <c r="D96" i="43"/>
  <c r="B96" i="43"/>
  <c r="E95" i="43"/>
  <c r="D95" i="43"/>
  <c r="B95" i="43"/>
  <c r="E94" i="43"/>
  <c r="D94" i="43"/>
  <c r="B94" i="43"/>
  <c r="E93" i="43"/>
  <c r="D93" i="43"/>
  <c r="B93" i="43"/>
  <c r="E92" i="43"/>
  <c r="D92" i="43"/>
  <c r="B92" i="43"/>
  <c r="E91" i="43"/>
  <c r="D91" i="43"/>
  <c r="B91" i="43"/>
  <c r="E90" i="43"/>
  <c r="D90" i="43"/>
  <c r="B90" i="43"/>
  <c r="E89" i="43"/>
  <c r="D89" i="43"/>
  <c r="B89" i="43"/>
  <c r="E88" i="43"/>
  <c r="D88" i="43"/>
  <c r="B88" i="43"/>
  <c r="E87" i="43"/>
  <c r="D87" i="43"/>
  <c r="B87" i="43"/>
  <c r="E86" i="43"/>
  <c r="D86" i="43"/>
  <c r="B86" i="43"/>
  <c r="E85" i="43"/>
  <c r="D85" i="43"/>
  <c r="B85" i="43"/>
  <c r="E84" i="43"/>
  <c r="D84" i="43"/>
  <c r="B84" i="43"/>
  <c r="E83" i="43"/>
  <c r="D83" i="43"/>
  <c r="B83" i="43"/>
  <c r="E82" i="43"/>
  <c r="D82" i="43"/>
  <c r="B82" i="43"/>
  <c r="E81" i="43"/>
  <c r="D81" i="43"/>
  <c r="B81" i="43"/>
  <c r="E80" i="43"/>
  <c r="D80" i="43"/>
  <c r="B80" i="43"/>
  <c r="E79" i="43"/>
  <c r="D79" i="43"/>
  <c r="B79" i="43"/>
  <c r="E78" i="43"/>
  <c r="D78" i="43"/>
  <c r="B78" i="43"/>
  <c r="E77" i="43"/>
  <c r="D77" i="43"/>
  <c r="B77" i="43"/>
  <c r="E76" i="43"/>
  <c r="D76" i="43"/>
  <c r="B76" i="43"/>
  <c r="E75" i="43"/>
  <c r="D75" i="43"/>
  <c r="B75" i="43"/>
  <c r="E74" i="43"/>
  <c r="D74" i="43"/>
  <c r="B74" i="43"/>
  <c r="E73" i="43"/>
  <c r="D73" i="43"/>
  <c r="B73" i="43"/>
  <c r="E72" i="43"/>
  <c r="D72" i="43"/>
  <c r="B72" i="43"/>
  <c r="E71" i="43"/>
  <c r="D71" i="43"/>
  <c r="B71" i="43"/>
  <c r="E70" i="43"/>
  <c r="D70" i="43"/>
  <c r="B70" i="43"/>
  <c r="E69" i="43"/>
  <c r="D69" i="43"/>
  <c r="B69" i="43"/>
  <c r="E68" i="43"/>
  <c r="D68" i="43"/>
  <c r="B68" i="43"/>
  <c r="E67" i="43"/>
  <c r="D67" i="43"/>
  <c r="B67" i="43"/>
  <c r="E66" i="43"/>
  <c r="D66" i="43"/>
  <c r="B66" i="43"/>
  <c r="E65" i="43"/>
  <c r="D65" i="43"/>
  <c r="B65" i="43"/>
  <c r="E64" i="43"/>
  <c r="D64" i="43"/>
  <c r="B64" i="43"/>
  <c r="E63" i="43"/>
  <c r="D63" i="43"/>
  <c r="B63" i="43"/>
  <c r="E62" i="43"/>
  <c r="D62" i="43"/>
  <c r="B62" i="43"/>
  <c r="E61" i="43"/>
  <c r="D61" i="43"/>
  <c r="B61" i="43"/>
  <c r="E60" i="43"/>
  <c r="D60" i="43"/>
  <c r="B60" i="43"/>
  <c r="E59" i="43"/>
  <c r="D59" i="43"/>
  <c r="B59" i="43"/>
  <c r="E58" i="43"/>
  <c r="D58" i="43"/>
  <c r="B58" i="43"/>
  <c r="E57" i="43"/>
  <c r="D57" i="43"/>
  <c r="B57" i="43"/>
  <c r="E56" i="43"/>
  <c r="D56" i="43"/>
  <c r="B56" i="43"/>
  <c r="E55" i="43"/>
  <c r="D55" i="43"/>
  <c r="B55" i="43"/>
  <c r="E54" i="43"/>
  <c r="D54" i="43"/>
  <c r="B54" i="43"/>
  <c r="E53" i="43"/>
  <c r="D53" i="43"/>
  <c r="B53" i="43"/>
  <c r="E52" i="43"/>
  <c r="D52" i="43"/>
  <c r="B52" i="43"/>
  <c r="E51" i="43"/>
  <c r="D51" i="43"/>
  <c r="B51" i="43"/>
  <c r="E50" i="43"/>
  <c r="D50" i="43"/>
  <c r="B50" i="43"/>
  <c r="E49" i="43"/>
  <c r="D49" i="43"/>
  <c r="B49" i="43"/>
  <c r="E48" i="43"/>
  <c r="D48" i="43"/>
  <c r="B48" i="43"/>
  <c r="E47" i="43"/>
  <c r="D47" i="43"/>
  <c r="B47" i="43"/>
  <c r="E46" i="43"/>
  <c r="D46" i="43"/>
  <c r="B46" i="43"/>
  <c r="E45" i="43"/>
  <c r="D45" i="43"/>
  <c r="B45" i="43"/>
  <c r="E44" i="43"/>
  <c r="D44" i="43"/>
  <c r="B44" i="43"/>
  <c r="E43" i="43"/>
  <c r="D43" i="43"/>
  <c r="B43" i="43"/>
  <c r="E42" i="43"/>
  <c r="D42" i="43"/>
  <c r="B42" i="43"/>
  <c r="E41" i="43"/>
  <c r="D41" i="43"/>
  <c r="B41" i="43"/>
  <c r="E40" i="43"/>
  <c r="D40" i="43"/>
  <c r="B40" i="43"/>
  <c r="E39" i="43"/>
  <c r="D39" i="43"/>
  <c r="B39" i="43"/>
  <c r="E38" i="43"/>
  <c r="D38" i="43"/>
  <c r="B38" i="43"/>
  <c r="E37" i="43"/>
  <c r="D37" i="43"/>
  <c r="B37" i="43"/>
  <c r="E36" i="43"/>
  <c r="D36" i="43"/>
  <c r="B36" i="43"/>
  <c r="E35" i="43"/>
  <c r="D35" i="43"/>
  <c r="B35" i="43"/>
  <c r="E34" i="43"/>
  <c r="D34" i="43"/>
  <c r="B34" i="43"/>
  <c r="E33" i="43"/>
  <c r="D33" i="43"/>
  <c r="B33" i="43"/>
  <c r="E32" i="43"/>
  <c r="D32" i="43"/>
  <c r="B32" i="43"/>
  <c r="E31" i="43"/>
  <c r="D31" i="43"/>
  <c r="B31" i="43"/>
  <c r="E30" i="43"/>
  <c r="D30" i="43"/>
  <c r="B30" i="43"/>
  <c r="E29" i="43"/>
  <c r="D29" i="43"/>
  <c r="B29" i="43"/>
  <c r="E28" i="43"/>
  <c r="D28" i="43"/>
  <c r="B28" i="43"/>
  <c r="E27" i="43"/>
  <c r="D27" i="43"/>
  <c r="B27" i="43"/>
  <c r="E26" i="43"/>
  <c r="D26" i="43"/>
  <c r="B26" i="43"/>
  <c r="E25" i="43"/>
  <c r="D25" i="43"/>
  <c r="B25" i="43"/>
  <c r="E24" i="43"/>
  <c r="D24" i="43"/>
  <c r="B24" i="43"/>
  <c r="E23" i="43"/>
  <c r="D23" i="43"/>
  <c r="B23" i="43"/>
  <c r="E22" i="43"/>
  <c r="D22" i="43"/>
  <c r="B22" i="43"/>
  <c r="E21" i="43"/>
  <c r="D21" i="43"/>
  <c r="B21" i="43"/>
  <c r="E20" i="43"/>
  <c r="D20" i="43"/>
  <c r="B20" i="43"/>
  <c r="E19" i="43"/>
  <c r="D19" i="43"/>
  <c r="B19" i="43"/>
  <c r="E18" i="43"/>
  <c r="D18" i="43"/>
  <c r="B18" i="43"/>
  <c r="E17" i="43"/>
  <c r="D17" i="43"/>
  <c r="B17" i="43"/>
  <c r="E16" i="43"/>
  <c r="D16" i="43"/>
  <c r="B16" i="43"/>
  <c r="E15" i="43"/>
  <c r="D15" i="43"/>
  <c r="B15" i="43"/>
  <c r="E14" i="43"/>
  <c r="D14" i="43"/>
  <c r="B14" i="43"/>
  <c r="E13" i="43"/>
  <c r="D13" i="43"/>
  <c r="B13" i="43"/>
  <c r="E12" i="43"/>
  <c r="D12" i="43"/>
  <c r="B12" i="43"/>
  <c r="E11" i="43"/>
  <c r="D11" i="43"/>
  <c r="B11" i="43"/>
  <c r="E10" i="43"/>
  <c r="D10" i="43"/>
  <c r="B10" i="43"/>
  <c r="E9" i="43"/>
  <c r="D9" i="43"/>
  <c r="B9" i="43"/>
  <c r="E8" i="43"/>
  <c r="D8" i="43"/>
  <c r="B8" i="43"/>
  <c r="E7" i="43"/>
  <c r="D7" i="43"/>
  <c r="B7" i="43"/>
  <c r="E6" i="43"/>
  <c r="D6" i="43"/>
  <c r="B6" i="43"/>
  <c r="E5" i="43"/>
  <c r="D5" i="43"/>
  <c r="B5" i="43"/>
  <c r="E4" i="43"/>
  <c r="D4" i="43"/>
  <c r="B4" i="43"/>
  <c r="E35" i="44"/>
  <c r="D35" i="44"/>
  <c r="B35" i="44"/>
  <c r="E34" i="44"/>
  <c r="D34" i="44"/>
  <c r="B34" i="44"/>
  <c r="E33" i="44"/>
  <c r="D33" i="44"/>
  <c r="B33" i="44"/>
  <c r="E32" i="44"/>
  <c r="D32" i="44"/>
  <c r="B32" i="44"/>
  <c r="E31" i="44"/>
  <c r="D31" i="44"/>
  <c r="B31" i="44"/>
  <c r="E30" i="44"/>
  <c r="D30" i="44"/>
  <c r="B30" i="44"/>
  <c r="E29" i="44"/>
  <c r="D29" i="44"/>
  <c r="B29" i="44"/>
  <c r="E28" i="44"/>
  <c r="D28" i="44"/>
  <c r="B28" i="44"/>
  <c r="E27" i="44"/>
  <c r="D27" i="44"/>
  <c r="B27" i="44"/>
  <c r="E26" i="44"/>
  <c r="D26" i="44"/>
  <c r="B26" i="44"/>
  <c r="E25" i="44"/>
  <c r="D25" i="44"/>
  <c r="B25" i="44"/>
  <c r="E24" i="44"/>
  <c r="D24" i="44"/>
  <c r="B24" i="44"/>
  <c r="E23" i="44"/>
  <c r="D23" i="44"/>
  <c r="B23" i="44"/>
  <c r="E22" i="44"/>
  <c r="D22" i="44"/>
  <c r="B22" i="44"/>
  <c r="E21" i="44"/>
  <c r="D21" i="44"/>
  <c r="B21" i="44"/>
  <c r="E20" i="44"/>
  <c r="D20" i="44"/>
  <c r="B20" i="44"/>
  <c r="E19" i="44"/>
  <c r="D19" i="44"/>
  <c r="B19" i="44"/>
  <c r="E18" i="44"/>
  <c r="D18" i="44"/>
  <c r="B18" i="44"/>
  <c r="E17" i="44"/>
  <c r="D17" i="44"/>
  <c r="B17" i="44"/>
  <c r="E16" i="44"/>
  <c r="D16" i="44"/>
  <c r="B16" i="44"/>
  <c r="E15" i="44"/>
  <c r="D15" i="44"/>
  <c r="B15" i="44"/>
  <c r="E14" i="44"/>
  <c r="D14" i="44"/>
  <c r="B14" i="44"/>
  <c r="E13" i="44"/>
  <c r="D13" i="44"/>
  <c r="B13" i="44"/>
  <c r="E12" i="44"/>
  <c r="D12" i="44"/>
  <c r="B12" i="44"/>
  <c r="E11" i="44"/>
  <c r="D11" i="44"/>
  <c r="B11" i="44"/>
  <c r="E10" i="44"/>
  <c r="D10" i="44"/>
  <c r="B10" i="44"/>
  <c r="E9" i="44"/>
  <c r="D9" i="44"/>
  <c r="B9" i="44"/>
  <c r="E8" i="44"/>
  <c r="D8" i="44"/>
  <c r="B8" i="44"/>
  <c r="E7" i="44"/>
  <c r="D7" i="44"/>
  <c r="B7" i="44"/>
  <c r="E6" i="44"/>
  <c r="D6" i="44"/>
  <c r="B6" i="44"/>
  <c r="E5" i="44"/>
  <c r="D5" i="44"/>
  <c r="B5" i="44"/>
  <c r="E4" i="44"/>
  <c r="D4" i="44"/>
  <c r="B4" i="44"/>
  <c r="E6" i="45"/>
  <c r="D6" i="45"/>
  <c r="B6" i="45"/>
  <c r="E5" i="45"/>
  <c r="D5" i="45"/>
  <c r="B5" i="45"/>
  <c r="E4" i="45"/>
  <c r="D4" i="45"/>
  <c r="B4" i="45"/>
  <c r="E66" i="39"/>
  <c r="D66" i="39"/>
  <c r="B66" i="39"/>
  <c r="E65" i="39"/>
  <c r="D65" i="39"/>
  <c r="B65" i="39"/>
  <c r="E64" i="39"/>
  <c r="D64" i="39"/>
  <c r="B64" i="39"/>
  <c r="E63" i="39"/>
  <c r="D63" i="39"/>
  <c r="B63" i="39"/>
  <c r="E62" i="39"/>
  <c r="D62" i="39"/>
  <c r="B62" i="39"/>
  <c r="E61" i="39"/>
  <c r="D61" i="39"/>
  <c r="B61" i="39"/>
  <c r="E60" i="39"/>
  <c r="D60" i="39"/>
  <c r="B60" i="39"/>
  <c r="E59" i="39"/>
  <c r="D59" i="39"/>
  <c r="B59" i="39"/>
  <c r="E58" i="39"/>
  <c r="D58" i="39"/>
  <c r="B58" i="39"/>
  <c r="E57" i="39"/>
  <c r="D57" i="39"/>
  <c r="B57" i="39"/>
  <c r="E56" i="39"/>
  <c r="D56" i="39"/>
  <c r="B56" i="39"/>
  <c r="E55" i="39"/>
  <c r="D55" i="39"/>
  <c r="B55" i="39"/>
  <c r="E54" i="39"/>
  <c r="D54" i="39"/>
  <c r="B54" i="39"/>
  <c r="E53" i="39"/>
  <c r="D53" i="39"/>
  <c r="B53" i="39"/>
  <c r="E52" i="39"/>
  <c r="D52" i="39"/>
  <c r="B52" i="39"/>
  <c r="E51" i="39"/>
  <c r="D51" i="39"/>
  <c r="B51" i="39"/>
  <c r="E50" i="39"/>
  <c r="D50" i="39"/>
  <c r="B50" i="39"/>
  <c r="E49" i="39"/>
  <c r="D49" i="39"/>
  <c r="B49" i="39"/>
  <c r="E48" i="39"/>
  <c r="D48" i="39"/>
  <c r="B48" i="39"/>
  <c r="E47" i="39"/>
  <c r="D47" i="39"/>
  <c r="B47" i="39"/>
  <c r="E46" i="39"/>
  <c r="D46" i="39"/>
  <c r="B46" i="39"/>
  <c r="E45" i="39"/>
  <c r="D45" i="39"/>
  <c r="B45" i="39"/>
  <c r="E44" i="39"/>
  <c r="D44" i="39"/>
  <c r="B44" i="39"/>
  <c r="E43" i="39"/>
  <c r="D43" i="39"/>
  <c r="B43" i="39"/>
  <c r="E42" i="39"/>
  <c r="D42" i="39"/>
  <c r="B42" i="39"/>
  <c r="E41" i="39"/>
  <c r="D41" i="39"/>
  <c r="B41" i="39"/>
  <c r="E40" i="39"/>
  <c r="D40" i="39"/>
  <c r="B40" i="39"/>
  <c r="E39" i="39"/>
  <c r="D39" i="39"/>
  <c r="B39" i="39"/>
  <c r="E38" i="39"/>
  <c r="D38" i="39"/>
  <c r="B38" i="39"/>
  <c r="E37" i="39"/>
  <c r="D37" i="39"/>
  <c r="B37" i="39"/>
  <c r="E36" i="39"/>
  <c r="D36" i="39"/>
  <c r="B36" i="39"/>
  <c r="E35" i="39"/>
  <c r="D35" i="39"/>
  <c r="B35" i="39"/>
  <c r="E34" i="39"/>
  <c r="D34" i="39"/>
  <c r="B34" i="39"/>
  <c r="E33" i="39"/>
  <c r="D33" i="39"/>
  <c r="B33" i="39"/>
  <c r="E32" i="39"/>
  <c r="D32" i="39"/>
  <c r="B32" i="39"/>
  <c r="E31" i="39"/>
  <c r="D31" i="39"/>
  <c r="B31" i="39"/>
  <c r="E30" i="39"/>
  <c r="D30" i="39"/>
  <c r="B30" i="39"/>
  <c r="E29" i="39"/>
  <c r="D29" i="39"/>
  <c r="B29" i="39"/>
  <c r="E28" i="39"/>
  <c r="D28" i="39"/>
  <c r="B28" i="39"/>
  <c r="E27" i="39"/>
  <c r="D27" i="39"/>
  <c r="B27" i="39"/>
  <c r="E26" i="39"/>
  <c r="D26" i="39"/>
  <c r="B26" i="39"/>
  <c r="E25" i="39"/>
  <c r="D25" i="39"/>
  <c r="B25" i="39"/>
  <c r="E24" i="39"/>
  <c r="D24" i="39"/>
  <c r="B24" i="39"/>
  <c r="E23" i="39"/>
  <c r="D23" i="39"/>
  <c r="B23" i="39"/>
  <c r="E22" i="39"/>
  <c r="D22" i="39"/>
  <c r="B22" i="39"/>
  <c r="E21" i="39"/>
  <c r="D21" i="39"/>
  <c r="B21" i="39"/>
  <c r="E20" i="39"/>
  <c r="D20" i="39"/>
  <c r="B20" i="39"/>
  <c r="E19" i="39"/>
  <c r="D19" i="39"/>
  <c r="B19" i="39"/>
  <c r="E18" i="39"/>
  <c r="D18" i="39"/>
  <c r="B18" i="39"/>
  <c r="E17" i="39"/>
  <c r="D17" i="39"/>
  <c r="B17" i="39"/>
  <c r="E16" i="39"/>
  <c r="D16" i="39"/>
  <c r="B16" i="39"/>
  <c r="E15" i="39"/>
  <c r="D15" i="39"/>
  <c r="B15" i="39"/>
  <c r="E14" i="39"/>
  <c r="D14" i="39"/>
  <c r="B14" i="39"/>
  <c r="E13" i="39"/>
  <c r="D13" i="39"/>
  <c r="B13" i="39"/>
  <c r="E12" i="39"/>
  <c r="D12" i="39"/>
  <c r="B12" i="39"/>
  <c r="E11" i="39"/>
  <c r="D11" i="39"/>
  <c r="B11" i="39"/>
  <c r="E10" i="39"/>
  <c r="D10" i="39"/>
  <c r="B10" i="39"/>
  <c r="E9" i="39"/>
  <c r="D9" i="39"/>
  <c r="B9" i="39"/>
  <c r="E8" i="39"/>
  <c r="D8" i="39"/>
  <c r="B8" i="39"/>
  <c r="E7" i="39"/>
  <c r="D7" i="39"/>
  <c r="B7" i="39"/>
  <c r="E6" i="39"/>
  <c r="D6" i="39"/>
  <c r="B6" i="39"/>
  <c r="E5" i="39"/>
  <c r="D5" i="39"/>
  <c r="B5" i="39"/>
  <c r="E4" i="39"/>
  <c r="D4" i="39"/>
  <c r="B4" i="39"/>
  <c r="E40" i="38"/>
  <c r="D40" i="38"/>
  <c r="B40" i="38"/>
  <c r="E39" i="38"/>
  <c r="D39" i="38"/>
  <c r="B39" i="38"/>
  <c r="E38" i="38"/>
  <c r="D38" i="38"/>
  <c r="B38" i="38"/>
  <c r="E37" i="38"/>
  <c r="D37" i="38"/>
  <c r="B37" i="38"/>
  <c r="E36" i="38"/>
  <c r="D36" i="38"/>
  <c r="B36" i="38"/>
  <c r="E35" i="38"/>
  <c r="D35" i="38"/>
  <c r="B35" i="38"/>
  <c r="E34" i="38"/>
  <c r="D34" i="38"/>
  <c r="B34" i="38"/>
  <c r="E33" i="38"/>
  <c r="D33" i="38"/>
  <c r="B33" i="38"/>
  <c r="E32" i="38"/>
  <c r="D32" i="38"/>
  <c r="B32" i="38"/>
  <c r="E31" i="38"/>
  <c r="D31" i="38"/>
  <c r="B31" i="38"/>
  <c r="E30" i="38"/>
  <c r="D30" i="38"/>
  <c r="B30" i="38"/>
  <c r="E29" i="38"/>
  <c r="D29" i="38"/>
  <c r="B29" i="38"/>
  <c r="E28" i="38"/>
  <c r="D28" i="38"/>
  <c r="B28" i="38"/>
  <c r="E27" i="38"/>
  <c r="D27" i="38"/>
  <c r="B27" i="38"/>
  <c r="E26" i="38"/>
  <c r="D26" i="38"/>
  <c r="B26" i="38"/>
  <c r="E25" i="38"/>
  <c r="D25" i="38"/>
  <c r="B25" i="38"/>
  <c r="E24" i="38"/>
  <c r="D24" i="38"/>
  <c r="B24" i="38"/>
  <c r="E23" i="38"/>
  <c r="D23" i="38"/>
  <c r="B23" i="38"/>
  <c r="E22" i="38"/>
  <c r="D22" i="38"/>
  <c r="B22" i="38"/>
  <c r="E21" i="38"/>
  <c r="D21" i="38"/>
  <c r="B21" i="38"/>
  <c r="E20" i="38"/>
  <c r="D20" i="38"/>
  <c r="B20" i="38"/>
  <c r="E19" i="38"/>
  <c r="D19" i="38"/>
  <c r="B19" i="38"/>
  <c r="E18" i="38"/>
  <c r="D18" i="38"/>
  <c r="B18" i="38"/>
  <c r="E17" i="38"/>
  <c r="D17" i="38"/>
  <c r="B17" i="38"/>
  <c r="E16" i="38"/>
  <c r="D16" i="38"/>
  <c r="B16" i="38"/>
  <c r="E15" i="38"/>
  <c r="D15" i="38"/>
  <c r="B15" i="38"/>
  <c r="E14" i="38"/>
  <c r="D14" i="38"/>
  <c r="B14" i="38"/>
  <c r="E13" i="38"/>
  <c r="D13" i="38"/>
  <c r="B13" i="38"/>
  <c r="E12" i="38"/>
  <c r="D12" i="38"/>
  <c r="B12" i="38"/>
  <c r="E11" i="38"/>
  <c r="D11" i="38"/>
  <c r="B11" i="38"/>
  <c r="E10" i="38"/>
  <c r="D10" i="38"/>
  <c r="B10" i="38"/>
  <c r="E9" i="38"/>
  <c r="D9" i="38"/>
  <c r="B9" i="38"/>
  <c r="E8" i="38"/>
  <c r="D8" i="38"/>
  <c r="B8" i="38"/>
  <c r="E7" i="38"/>
  <c r="D7" i="38"/>
  <c r="B7" i="38"/>
  <c r="E6" i="38"/>
  <c r="D6" i="38"/>
  <c r="B6" i="38"/>
  <c r="E5" i="38"/>
  <c r="D5" i="38"/>
  <c r="B5" i="38"/>
  <c r="E4" i="38"/>
  <c r="D4" i="38"/>
  <c r="B4" i="38"/>
  <c r="E85" i="30"/>
  <c r="D85" i="30"/>
  <c r="B85" i="30"/>
  <c r="E84" i="30"/>
  <c r="D84" i="30"/>
  <c r="B84" i="30"/>
  <c r="E83" i="30"/>
  <c r="D83" i="30"/>
  <c r="B83" i="30"/>
  <c r="E82" i="30"/>
  <c r="D82" i="30"/>
  <c r="B82" i="30"/>
  <c r="E81" i="30"/>
  <c r="D81" i="30"/>
  <c r="B81" i="30"/>
  <c r="E80" i="30"/>
  <c r="D80" i="30"/>
  <c r="B80" i="30"/>
  <c r="E79" i="30"/>
  <c r="D79" i="30"/>
  <c r="B79" i="30"/>
  <c r="E78" i="30"/>
  <c r="D78" i="30"/>
  <c r="B78" i="30"/>
  <c r="E77" i="30"/>
  <c r="D77" i="30"/>
  <c r="B77" i="30"/>
  <c r="E76" i="30"/>
  <c r="D76" i="30"/>
  <c r="B76" i="30"/>
  <c r="E75" i="30"/>
  <c r="D75" i="30"/>
  <c r="B75" i="30"/>
  <c r="E74" i="30"/>
  <c r="D74" i="30"/>
  <c r="B74" i="30"/>
  <c r="E73" i="30"/>
  <c r="D73" i="30"/>
  <c r="B73" i="30"/>
  <c r="E72" i="30"/>
  <c r="D72" i="30"/>
  <c r="B72" i="30"/>
  <c r="E71" i="30"/>
  <c r="D71" i="30"/>
  <c r="B71" i="30"/>
  <c r="E70" i="30"/>
  <c r="D70" i="30"/>
  <c r="B70" i="30"/>
  <c r="E69" i="30"/>
  <c r="D69" i="30"/>
  <c r="B69" i="30"/>
  <c r="E68" i="30"/>
  <c r="D68" i="30"/>
  <c r="B68" i="30"/>
  <c r="E67" i="30"/>
  <c r="D67" i="30"/>
  <c r="B67" i="30"/>
  <c r="E66" i="30"/>
  <c r="D66" i="30"/>
  <c r="B66" i="30"/>
  <c r="E65" i="30"/>
  <c r="D65" i="30"/>
  <c r="B65" i="30"/>
  <c r="E64" i="30"/>
  <c r="D64" i="30"/>
  <c r="B64" i="30"/>
  <c r="E63" i="30"/>
  <c r="D63" i="30"/>
  <c r="B63" i="30"/>
  <c r="E62" i="30"/>
  <c r="D62" i="30"/>
  <c r="B62" i="30"/>
  <c r="E61" i="30"/>
  <c r="D61" i="30"/>
  <c r="B61" i="30"/>
  <c r="E60" i="30"/>
  <c r="D60" i="30"/>
  <c r="B60" i="30"/>
  <c r="E59" i="30"/>
  <c r="D59" i="30"/>
  <c r="B59" i="30"/>
  <c r="E58" i="30"/>
  <c r="D58" i="30"/>
  <c r="B58" i="30"/>
  <c r="E57" i="30"/>
  <c r="D57" i="30"/>
  <c r="B57" i="30"/>
  <c r="E56" i="30"/>
  <c r="D56" i="30"/>
  <c r="B56" i="30"/>
  <c r="E55" i="30"/>
  <c r="D55" i="30"/>
  <c r="B55" i="30"/>
  <c r="E54" i="30"/>
  <c r="D54" i="30"/>
  <c r="B54" i="30"/>
  <c r="E53" i="30"/>
  <c r="D53" i="30"/>
  <c r="B53" i="30"/>
  <c r="E52" i="30"/>
  <c r="D52" i="30"/>
  <c r="B52" i="30"/>
  <c r="E51" i="30"/>
  <c r="D51" i="30"/>
  <c r="B51" i="30"/>
  <c r="E50" i="30"/>
  <c r="D50" i="30"/>
  <c r="B50" i="30"/>
  <c r="E49" i="30"/>
  <c r="D49" i="30"/>
  <c r="B49" i="30"/>
  <c r="E48" i="30"/>
  <c r="D48" i="30"/>
  <c r="B48" i="30"/>
  <c r="E47" i="30"/>
  <c r="D47" i="30"/>
  <c r="B47" i="30"/>
  <c r="E46" i="30"/>
  <c r="D46" i="30"/>
  <c r="B46" i="30"/>
  <c r="E45" i="30"/>
  <c r="D45" i="30"/>
  <c r="B45" i="30"/>
  <c r="E44" i="30"/>
  <c r="D44" i="30"/>
  <c r="B44" i="30"/>
  <c r="E43" i="30"/>
  <c r="D43" i="30"/>
  <c r="B43" i="30"/>
  <c r="E42" i="30"/>
  <c r="D42" i="30"/>
  <c r="B42" i="30"/>
  <c r="E41" i="30"/>
  <c r="D41" i="30"/>
  <c r="B41" i="30"/>
  <c r="E40" i="30"/>
  <c r="D40" i="30"/>
  <c r="B40" i="30"/>
  <c r="E39" i="30"/>
  <c r="D39" i="30"/>
  <c r="B39" i="30"/>
  <c r="E38" i="30"/>
  <c r="D38" i="30"/>
  <c r="B38" i="30"/>
  <c r="E37" i="30"/>
  <c r="D37" i="30"/>
  <c r="B37" i="30"/>
  <c r="E36" i="30"/>
  <c r="D36" i="30"/>
  <c r="B36" i="30"/>
  <c r="E35" i="30"/>
  <c r="D35" i="30"/>
  <c r="B35" i="30"/>
  <c r="E34" i="30"/>
  <c r="D34" i="30"/>
  <c r="B34" i="30"/>
  <c r="E33" i="30"/>
  <c r="D33" i="30"/>
  <c r="B33" i="30"/>
  <c r="E32" i="30"/>
  <c r="D32" i="30"/>
  <c r="B32" i="30"/>
  <c r="E31" i="30"/>
  <c r="D31" i="30"/>
  <c r="B31" i="30"/>
  <c r="E30" i="30"/>
  <c r="D30" i="30"/>
  <c r="B30" i="30"/>
  <c r="E29" i="30"/>
  <c r="D29" i="30"/>
  <c r="B29" i="30"/>
  <c r="E28" i="30"/>
  <c r="D28" i="30"/>
  <c r="B28" i="30"/>
  <c r="E27" i="30"/>
  <c r="D27" i="30"/>
  <c r="B27" i="30"/>
  <c r="E26" i="30"/>
  <c r="D26" i="30"/>
  <c r="B26" i="30"/>
  <c r="E25" i="30"/>
  <c r="D25" i="30"/>
  <c r="B25" i="30"/>
  <c r="E24" i="30"/>
  <c r="D24" i="30"/>
  <c r="B24" i="30"/>
  <c r="E23" i="30"/>
  <c r="D23" i="30"/>
  <c r="B23" i="30"/>
  <c r="E22" i="30"/>
  <c r="D22" i="30"/>
  <c r="B22" i="30"/>
  <c r="E21" i="30"/>
  <c r="D21" i="30"/>
  <c r="B21" i="30"/>
  <c r="E20" i="30"/>
  <c r="D20" i="30"/>
  <c r="B20" i="30"/>
  <c r="E19" i="30"/>
  <c r="D19" i="30"/>
  <c r="B19" i="30"/>
  <c r="E18" i="30"/>
  <c r="D18" i="30"/>
  <c r="B18" i="30"/>
  <c r="E17" i="30"/>
  <c r="D17" i="30"/>
  <c r="B17" i="30"/>
  <c r="E16" i="30"/>
  <c r="D16" i="30"/>
  <c r="B16" i="30"/>
  <c r="E15" i="30"/>
  <c r="D15" i="30"/>
  <c r="B15" i="30"/>
  <c r="E14" i="30"/>
  <c r="D14" i="30"/>
  <c r="B14" i="30"/>
  <c r="E13" i="30"/>
  <c r="D13" i="30"/>
  <c r="B13" i="30"/>
  <c r="E12" i="30"/>
  <c r="D12" i="30"/>
  <c r="B12" i="30"/>
  <c r="E11" i="30"/>
  <c r="D11" i="30"/>
  <c r="B11" i="30"/>
  <c r="E10" i="30"/>
  <c r="D10" i="30"/>
  <c r="B10" i="30"/>
  <c r="E9" i="30"/>
  <c r="D9" i="30"/>
  <c r="B9" i="30"/>
  <c r="E8" i="30"/>
  <c r="D8" i="30"/>
  <c r="B8" i="30"/>
  <c r="E7" i="30"/>
  <c r="D7" i="30"/>
  <c r="B7" i="30"/>
  <c r="E6" i="30"/>
  <c r="D6" i="30"/>
  <c r="B6" i="30"/>
  <c r="E5" i="30"/>
  <c r="D5" i="30"/>
  <c r="B5" i="30"/>
  <c r="E4" i="30"/>
  <c r="D4" i="30"/>
  <c r="B4" i="30"/>
  <c r="E87" i="37"/>
  <c r="D87" i="37"/>
  <c r="B87" i="37"/>
  <c r="E86" i="37"/>
  <c r="D86" i="37"/>
  <c r="B86" i="37"/>
  <c r="E85" i="37"/>
  <c r="D85" i="37"/>
  <c r="B85" i="37"/>
  <c r="E84" i="37"/>
  <c r="D84" i="37"/>
  <c r="B84" i="37"/>
  <c r="E83" i="37"/>
  <c r="D83" i="37"/>
  <c r="B83" i="37"/>
  <c r="E82" i="37"/>
  <c r="D82" i="37"/>
  <c r="B82" i="37"/>
  <c r="E81" i="37"/>
  <c r="D81" i="37"/>
  <c r="B81" i="37"/>
  <c r="E80" i="37"/>
  <c r="D80" i="37"/>
  <c r="B80" i="37"/>
  <c r="E79" i="37"/>
  <c r="D79" i="37"/>
  <c r="B79" i="37"/>
  <c r="E78" i="37"/>
  <c r="D78" i="37"/>
  <c r="B78" i="37"/>
  <c r="E77" i="37"/>
  <c r="D77" i="37"/>
  <c r="B77" i="37"/>
  <c r="E76" i="37"/>
  <c r="D76" i="37"/>
  <c r="B76" i="37"/>
  <c r="E75" i="37"/>
  <c r="D75" i="37"/>
  <c r="B75" i="37"/>
  <c r="E74" i="37"/>
  <c r="D74" i="37"/>
  <c r="B74" i="37"/>
  <c r="E73" i="37"/>
  <c r="D73" i="37"/>
  <c r="B73" i="37"/>
  <c r="E72" i="37"/>
  <c r="D72" i="37"/>
  <c r="B72" i="37"/>
  <c r="E71" i="37"/>
  <c r="D71" i="37"/>
  <c r="B71" i="37"/>
  <c r="E70" i="37"/>
  <c r="D70" i="37"/>
  <c r="B70" i="37"/>
  <c r="E69" i="37"/>
  <c r="D69" i="37"/>
  <c r="B69" i="37"/>
  <c r="E68" i="37"/>
  <c r="D68" i="37"/>
  <c r="B68" i="37"/>
  <c r="E67" i="37"/>
  <c r="D67" i="37"/>
  <c r="B67" i="37"/>
  <c r="E66" i="37"/>
  <c r="D66" i="37"/>
  <c r="B66" i="37"/>
  <c r="E65" i="37"/>
  <c r="D65" i="37"/>
  <c r="B65" i="37"/>
  <c r="E64" i="37"/>
  <c r="D64" i="37"/>
  <c r="B64" i="37"/>
  <c r="E63" i="37"/>
  <c r="D63" i="37"/>
  <c r="B63" i="37"/>
  <c r="E62" i="37"/>
  <c r="D62" i="37"/>
  <c r="B62" i="37"/>
  <c r="E61" i="37"/>
  <c r="D61" i="37"/>
  <c r="B61" i="37"/>
  <c r="E60" i="37"/>
  <c r="D60" i="37"/>
  <c r="B60" i="37"/>
  <c r="E59" i="37"/>
  <c r="D59" i="37"/>
  <c r="B59" i="37"/>
  <c r="E58" i="37"/>
  <c r="D58" i="37"/>
  <c r="B58" i="37"/>
  <c r="E57" i="37"/>
  <c r="D57" i="37"/>
  <c r="B57" i="37"/>
  <c r="E56" i="37"/>
  <c r="D56" i="37"/>
  <c r="B56" i="37"/>
  <c r="E55" i="37"/>
  <c r="D55" i="37"/>
  <c r="B55" i="37"/>
  <c r="E54" i="37"/>
  <c r="D54" i="37"/>
  <c r="B54" i="37"/>
  <c r="E53" i="37"/>
  <c r="D53" i="37"/>
  <c r="B53" i="37"/>
  <c r="E52" i="37"/>
  <c r="D52" i="37"/>
  <c r="B52" i="37"/>
  <c r="E51" i="37"/>
  <c r="D51" i="37"/>
  <c r="B51" i="37"/>
  <c r="E50" i="37"/>
  <c r="D50" i="37"/>
  <c r="B50" i="37"/>
  <c r="E49" i="37"/>
  <c r="D49" i="37"/>
  <c r="B49" i="37"/>
  <c r="E48" i="37"/>
  <c r="D48" i="37"/>
  <c r="B48" i="37"/>
  <c r="E47" i="37"/>
  <c r="D47" i="37"/>
  <c r="B47" i="37"/>
  <c r="E46" i="37"/>
  <c r="D46" i="37"/>
  <c r="B46" i="37"/>
  <c r="E45" i="37"/>
  <c r="D45" i="37"/>
  <c r="B45" i="37"/>
  <c r="E44" i="37"/>
  <c r="D44" i="37"/>
  <c r="B44" i="37"/>
  <c r="E43" i="37"/>
  <c r="D43" i="37"/>
  <c r="B43" i="37"/>
  <c r="E42" i="37"/>
  <c r="D42" i="37"/>
  <c r="B42" i="37"/>
  <c r="E41" i="37"/>
  <c r="D41" i="37"/>
  <c r="B41" i="37"/>
  <c r="E40" i="37"/>
  <c r="D40" i="37"/>
  <c r="B40" i="37"/>
  <c r="E39" i="37"/>
  <c r="D39" i="37"/>
  <c r="B39" i="37"/>
  <c r="E38" i="37"/>
  <c r="D38" i="37"/>
  <c r="B38" i="37"/>
  <c r="E37" i="37"/>
  <c r="D37" i="37"/>
  <c r="B37" i="37"/>
  <c r="E36" i="37"/>
  <c r="D36" i="37"/>
  <c r="B36" i="37"/>
  <c r="E35" i="37"/>
  <c r="D35" i="37"/>
  <c r="B35" i="37"/>
  <c r="E34" i="37"/>
  <c r="D34" i="37"/>
  <c r="B34" i="37"/>
  <c r="E33" i="37"/>
  <c r="D33" i="37"/>
  <c r="B33" i="37"/>
  <c r="E32" i="37"/>
  <c r="D32" i="37"/>
  <c r="B32" i="37"/>
  <c r="E31" i="37"/>
  <c r="D31" i="37"/>
  <c r="B31" i="37"/>
  <c r="E30" i="37"/>
  <c r="D30" i="37"/>
  <c r="B30" i="37"/>
  <c r="E29" i="37"/>
  <c r="D29" i="37"/>
  <c r="B29" i="37"/>
  <c r="E28" i="37"/>
  <c r="D28" i="37"/>
  <c r="B28" i="37"/>
  <c r="E27" i="37"/>
  <c r="D27" i="37"/>
  <c r="B27" i="37"/>
  <c r="E26" i="37"/>
  <c r="D26" i="37"/>
  <c r="B26" i="37"/>
  <c r="E25" i="37"/>
  <c r="D25" i="37"/>
  <c r="B25" i="37"/>
  <c r="E24" i="37"/>
  <c r="D24" i="37"/>
  <c r="B24" i="37"/>
  <c r="E23" i="37"/>
  <c r="D23" i="37"/>
  <c r="B23" i="37"/>
  <c r="E22" i="37"/>
  <c r="D22" i="37"/>
  <c r="B22" i="37"/>
  <c r="E21" i="37"/>
  <c r="D21" i="37"/>
  <c r="B21" i="37"/>
  <c r="E20" i="37"/>
  <c r="D20" i="37"/>
  <c r="B20" i="37"/>
  <c r="E19" i="37"/>
  <c r="D19" i="37"/>
  <c r="B19" i="37"/>
  <c r="E18" i="37"/>
  <c r="D18" i="37"/>
  <c r="B18" i="37"/>
  <c r="E17" i="37"/>
  <c r="D17" i="37"/>
  <c r="B17" i="37"/>
  <c r="E16" i="37"/>
  <c r="D16" i="37"/>
  <c r="B16" i="37"/>
  <c r="E15" i="37"/>
  <c r="D15" i="37"/>
  <c r="B15" i="37"/>
  <c r="E14" i="37"/>
  <c r="D14" i="37"/>
  <c r="B14" i="37"/>
  <c r="E13" i="37"/>
  <c r="D13" i="37"/>
  <c r="B13" i="37"/>
  <c r="E12" i="37"/>
  <c r="D12" i="37"/>
  <c r="B12" i="37"/>
  <c r="E11" i="37"/>
  <c r="D11" i="37"/>
  <c r="B11" i="37"/>
  <c r="E10" i="37"/>
  <c r="D10" i="37"/>
  <c r="B10" i="37"/>
  <c r="E9" i="37"/>
  <c r="D9" i="37"/>
  <c r="B9" i="37"/>
  <c r="E8" i="37"/>
  <c r="D8" i="37"/>
  <c r="B8" i="37"/>
  <c r="E7" i="37"/>
  <c r="D7" i="37"/>
  <c r="B7" i="37"/>
  <c r="E6" i="37"/>
  <c r="D6" i="37"/>
  <c r="B6" i="37"/>
  <c r="E5" i="37"/>
  <c r="D5" i="37"/>
  <c r="B5" i="37"/>
  <c r="E4" i="37"/>
  <c r="D4" i="37"/>
  <c r="B4" i="37"/>
  <c r="E12" i="29"/>
  <c r="D12" i="29"/>
  <c r="B12" i="29"/>
  <c r="E11" i="29"/>
  <c r="D11" i="29"/>
  <c r="B11" i="29"/>
  <c r="E10" i="29"/>
  <c r="D10" i="29"/>
  <c r="B10" i="29"/>
  <c r="E9" i="29"/>
  <c r="D9" i="29"/>
  <c r="B9" i="29"/>
  <c r="E8" i="29"/>
  <c r="D8" i="29"/>
  <c r="B8" i="29"/>
  <c r="E7" i="29"/>
  <c r="D7" i="29"/>
  <c r="B7" i="29"/>
  <c r="E6" i="29"/>
  <c r="D6" i="29"/>
  <c r="B6" i="29"/>
  <c r="E5" i="29"/>
  <c r="D5" i="29"/>
  <c r="B5" i="29"/>
  <c r="E4" i="29"/>
  <c r="D4" i="29"/>
  <c r="B4" i="29"/>
  <c r="E103" i="27"/>
  <c r="D103" i="27"/>
  <c r="B103" i="27"/>
  <c r="E102" i="27"/>
  <c r="D102" i="27"/>
  <c r="B102" i="27"/>
  <c r="E101" i="27"/>
  <c r="D101" i="27"/>
  <c r="B101" i="27"/>
  <c r="E100" i="27"/>
  <c r="D100" i="27"/>
  <c r="B100" i="27"/>
  <c r="E99" i="27"/>
  <c r="D99" i="27"/>
  <c r="B99" i="27"/>
  <c r="E98" i="27"/>
  <c r="D98" i="27"/>
  <c r="B98" i="27"/>
  <c r="E97" i="27"/>
  <c r="D97" i="27"/>
  <c r="B97" i="27"/>
  <c r="E96" i="27"/>
  <c r="D96" i="27"/>
  <c r="B96" i="27"/>
  <c r="E95" i="27"/>
  <c r="D95" i="27"/>
  <c r="B95" i="27"/>
  <c r="E94" i="27"/>
  <c r="D94" i="27"/>
  <c r="B94" i="27"/>
  <c r="E93" i="27"/>
  <c r="D93" i="27"/>
  <c r="B93" i="27"/>
  <c r="E92" i="27"/>
  <c r="D92" i="27"/>
  <c r="B92" i="27"/>
  <c r="E91" i="27"/>
  <c r="D91" i="27"/>
  <c r="B91" i="27"/>
  <c r="E90" i="27"/>
  <c r="D90" i="27"/>
  <c r="B90" i="27"/>
  <c r="E89" i="27"/>
  <c r="D89" i="27"/>
  <c r="B89" i="27"/>
  <c r="E88" i="27"/>
  <c r="D88" i="27"/>
  <c r="B88" i="27"/>
  <c r="E87" i="27"/>
  <c r="D87" i="27"/>
  <c r="B87" i="27"/>
  <c r="E86" i="27"/>
  <c r="D86" i="27"/>
  <c r="B86" i="27"/>
  <c r="E85" i="27"/>
  <c r="D85" i="27"/>
  <c r="B85" i="27"/>
  <c r="E84" i="27"/>
  <c r="D84" i="27"/>
  <c r="B84" i="27"/>
  <c r="E83" i="27"/>
  <c r="D83" i="27"/>
  <c r="B83" i="27"/>
  <c r="E82" i="27"/>
  <c r="D82" i="27"/>
  <c r="B82" i="27"/>
  <c r="E81" i="27"/>
  <c r="D81" i="27"/>
  <c r="B81" i="27"/>
  <c r="E80" i="27"/>
  <c r="D80" i="27"/>
  <c r="B80" i="27"/>
  <c r="E79" i="27"/>
  <c r="D79" i="27"/>
  <c r="B79" i="27"/>
  <c r="E78" i="27"/>
  <c r="D78" i="27"/>
  <c r="B78" i="27"/>
  <c r="E77" i="27"/>
  <c r="D77" i="27"/>
  <c r="B77" i="27"/>
  <c r="E76" i="27"/>
  <c r="D76" i="27"/>
  <c r="B76" i="27"/>
  <c r="E75" i="27"/>
  <c r="D75" i="27"/>
  <c r="B75" i="27"/>
  <c r="E74" i="27"/>
  <c r="D74" i="27"/>
  <c r="B74" i="27"/>
  <c r="E73" i="27"/>
  <c r="D73" i="27"/>
  <c r="B73" i="27"/>
  <c r="E72" i="27"/>
  <c r="D72" i="27"/>
  <c r="B72" i="27"/>
  <c r="E71" i="27"/>
  <c r="D71" i="27"/>
  <c r="B71" i="27"/>
  <c r="E70" i="27"/>
  <c r="D70" i="27"/>
  <c r="B70" i="27"/>
  <c r="E69" i="27"/>
  <c r="D69" i="27"/>
  <c r="B69" i="27"/>
  <c r="E68" i="27"/>
  <c r="D68" i="27"/>
  <c r="B68" i="27"/>
  <c r="E67" i="27"/>
  <c r="D67" i="27"/>
  <c r="B67" i="27"/>
  <c r="E66" i="27"/>
  <c r="D66" i="27"/>
  <c r="B66" i="27"/>
  <c r="E65" i="27"/>
  <c r="D65" i="27"/>
  <c r="B65" i="27"/>
  <c r="E64" i="27"/>
  <c r="D64" i="27"/>
  <c r="B64" i="27"/>
  <c r="E63" i="27"/>
  <c r="D63" i="27"/>
  <c r="B63" i="27"/>
  <c r="E62" i="27"/>
  <c r="D62" i="27"/>
  <c r="B62" i="27"/>
  <c r="E61" i="27"/>
  <c r="D61" i="27"/>
  <c r="B61" i="27"/>
  <c r="E60" i="27"/>
  <c r="D60" i="27"/>
  <c r="B60" i="27"/>
  <c r="E59" i="27"/>
  <c r="D59" i="27"/>
  <c r="B59" i="27"/>
  <c r="E58" i="27"/>
  <c r="D58" i="27"/>
  <c r="B58" i="27"/>
  <c r="E57" i="27"/>
  <c r="D57" i="27"/>
  <c r="B57" i="27"/>
  <c r="E56" i="27"/>
  <c r="D56" i="27"/>
  <c r="B56" i="27"/>
  <c r="E55" i="27"/>
  <c r="D55" i="27"/>
  <c r="B55" i="27"/>
  <c r="E54" i="27"/>
  <c r="D54" i="27"/>
  <c r="B54" i="27"/>
  <c r="E53" i="27"/>
  <c r="D53" i="27"/>
  <c r="B53" i="27"/>
  <c r="E52" i="27"/>
  <c r="D52" i="27"/>
  <c r="B52" i="27"/>
  <c r="E51" i="27"/>
  <c r="D51" i="27"/>
  <c r="B51" i="27"/>
  <c r="E50" i="27"/>
  <c r="D50" i="27"/>
  <c r="B50" i="27"/>
  <c r="E49" i="27"/>
  <c r="D49" i="27"/>
  <c r="B49" i="27"/>
  <c r="E48" i="27"/>
  <c r="D48" i="27"/>
  <c r="B48" i="27"/>
  <c r="E47" i="27"/>
  <c r="D47" i="27"/>
  <c r="B47" i="27"/>
  <c r="E46" i="27"/>
  <c r="D46" i="27"/>
  <c r="B46" i="27"/>
  <c r="E45" i="27"/>
  <c r="D45" i="27"/>
  <c r="B45" i="27"/>
  <c r="E44" i="27"/>
  <c r="D44" i="27"/>
  <c r="B44" i="27"/>
  <c r="E43" i="27"/>
  <c r="D43" i="27"/>
  <c r="B43" i="27"/>
  <c r="E42" i="27"/>
  <c r="D42" i="27"/>
  <c r="B42" i="27"/>
  <c r="E41" i="27"/>
  <c r="D41" i="27"/>
  <c r="B41" i="27"/>
  <c r="E40" i="27"/>
  <c r="D40" i="27"/>
  <c r="B40" i="27"/>
  <c r="E39" i="27"/>
  <c r="D39" i="27"/>
  <c r="B39" i="27"/>
  <c r="E38" i="27"/>
  <c r="D38" i="27"/>
  <c r="B38" i="27"/>
  <c r="E37" i="27"/>
  <c r="D37" i="27"/>
  <c r="B37" i="27"/>
  <c r="E36" i="27"/>
  <c r="D36" i="27"/>
  <c r="B36" i="27"/>
  <c r="E35" i="27"/>
  <c r="D35" i="27"/>
  <c r="B35" i="27"/>
  <c r="E34" i="27"/>
  <c r="D34" i="27"/>
  <c r="B34" i="27"/>
  <c r="E33" i="27"/>
  <c r="D33" i="27"/>
  <c r="B33" i="27"/>
  <c r="E32" i="27"/>
  <c r="D32" i="27"/>
  <c r="B32" i="27"/>
  <c r="E31" i="27"/>
  <c r="D31" i="27"/>
  <c r="B31" i="27"/>
  <c r="E30" i="27"/>
  <c r="D30" i="27"/>
  <c r="B30" i="27"/>
  <c r="E29" i="27"/>
  <c r="D29" i="27"/>
  <c r="B29" i="27"/>
  <c r="E28" i="27"/>
  <c r="D28" i="27"/>
  <c r="B28" i="27"/>
  <c r="E27" i="27"/>
  <c r="D27" i="27"/>
  <c r="B27" i="27"/>
  <c r="E26" i="27"/>
  <c r="D26" i="27"/>
  <c r="B26" i="27"/>
  <c r="E25" i="27"/>
  <c r="D25" i="27"/>
  <c r="B25" i="27"/>
  <c r="E24" i="27"/>
  <c r="D24" i="27"/>
  <c r="B24" i="27"/>
  <c r="E23" i="27"/>
  <c r="D23" i="27"/>
  <c r="B23" i="27"/>
  <c r="E22" i="27"/>
  <c r="D22" i="27"/>
  <c r="B22" i="27"/>
  <c r="E21" i="27"/>
  <c r="D21" i="27"/>
  <c r="B21" i="27"/>
  <c r="E20" i="27"/>
  <c r="D20" i="27"/>
  <c r="B20" i="27"/>
  <c r="E19" i="27"/>
  <c r="D19" i="27"/>
  <c r="B19" i="27"/>
  <c r="E18" i="27"/>
  <c r="D18" i="27"/>
  <c r="B18" i="27"/>
  <c r="E17" i="27"/>
  <c r="D17" i="27"/>
  <c r="B17" i="27"/>
  <c r="E16" i="27"/>
  <c r="D16" i="27"/>
  <c r="B16" i="27"/>
  <c r="E15" i="27"/>
  <c r="D15" i="27"/>
  <c r="B15" i="27"/>
  <c r="E14" i="27"/>
  <c r="D14" i="27"/>
  <c r="B14" i="27"/>
  <c r="E13" i="27"/>
  <c r="D13" i="27"/>
  <c r="B13" i="27"/>
  <c r="E12" i="27"/>
  <c r="D12" i="27"/>
  <c r="B12" i="27"/>
  <c r="E11" i="27"/>
  <c r="D11" i="27"/>
  <c r="B11" i="27"/>
  <c r="E10" i="27"/>
  <c r="D10" i="27"/>
  <c r="B10" i="27"/>
  <c r="E9" i="27"/>
  <c r="D9" i="27"/>
  <c r="B9" i="27"/>
  <c r="E8" i="27"/>
  <c r="D8" i="27"/>
  <c r="B8" i="27"/>
  <c r="E7" i="27"/>
  <c r="D7" i="27"/>
  <c r="B7" i="27"/>
  <c r="E6" i="27"/>
  <c r="D6" i="27"/>
  <c r="B6" i="27"/>
  <c r="E5" i="27"/>
  <c r="D5" i="27"/>
  <c r="B5" i="27"/>
  <c r="E4" i="27"/>
  <c r="D4" i="27"/>
  <c r="B4" i="27"/>
  <c r="E22" i="26"/>
  <c r="D22" i="26"/>
  <c r="B22" i="26"/>
  <c r="E21" i="26"/>
  <c r="D21" i="26"/>
  <c r="B21" i="26"/>
  <c r="E20" i="26"/>
  <c r="D20" i="26"/>
  <c r="B20" i="26"/>
  <c r="E19" i="26"/>
  <c r="D19" i="26"/>
  <c r="B19" i="26"/>
  <c r="E18" i="26"/>
  <c r="D18" i="26"/>
  <c r="B18" i="26"/>
  <c r="E17" i="26"/>
  <c r="D17" i="26"/>
  <c r="B17" i="26"/>
  <c r="E16" i="26"/>
  <c r="D16" i="26"/>
  <c r="B16" i="26"/>
  <c r="E15" i="26"/>
  <c r="D15" i="26"/>
  <c r="B15" i="26"/>
  <c r="E14" i="26"/>
  <c r="D14" i="26"/>
  <c r="B14" i="26"/>
  <c r="E13" i="26"/>
  <c r="D13" i="26"/>
  <c r="B13" i="26"/>
  <c r="E12" i="26"/>
  <c r="D12" i="26"/>
  <c r="B12" i="26"/>
  <c r="E11" i="26"/>
  <c r="D11" i="26"/>
  <c r="B11" i="26"/>
  <c r="E10" i="26"/>
  <c r="D10" i="26"/>
  <c r="B10" i="26"/>
  <c r="E9" i="26"/>
  <c r="D9" i="26"/>
  <c r="B9" i="26"/>
  <c r="E8" i="26"/>
  <c r="D8" i="26"/>
  <c r="B8" i="26"/>
  <c r="E7" i="26"/>
  <c r="D7" i="26"/>
  <c r="B7" i="26"/>
  <c r="E6" i="26"/>
  <c r="D6" i="26"/>
  <c r="B6" i="26"/>
  <c r="E5" i="26"/>
  <c r="D5" i="26"/>
  <c r="B5" i="26"/>
  <c r="E4" i="26"/>
  <c r="D4" i="26"/>
  <c r="B4" i="26"/>
  <c r="E76" i="28"/>
  <c r="D76" i="28"/>
  <c r="B76" i="28"/>
  <c r="E75" i="28"/>
  <c r="D75" i="28"/>
  <c r="B75" i="28"/>
  <c r="E74" i="28"/>
  <c r="D74" i="28"/>
  <c r="B74" i="28"/>
  <c r="E73" i="28"/>
  <c r="D73" i="28"/>
  <c r="B73" i="28"/>
  <c r="E72" i="28"/>
  <c r="D72" i="28"/>
  <c r="B72" i="28"/>
  <c r="E71" i="28"/>
  <c r="D71" i="28"/>
  <c r="B71" i="28"/>
  <c r="E70" i="28"/>
  <c r="D70" i="28"/>
  <c r="B70" i="28"/>
  <c r="E69" i="28"/>
  <c r="D69" i="28"/>
  <c r="B69" i="28"/>
  <c r="E68" i="28"/>
  <c r="D68" i="28"/>
  <c r="B68" i="28"/>
  <c r="E67" i="28"/>
  <c r="D67" i="28"/>
  <c r="B67" i="28"/>
  <c r="E66" i="28"/>
  <c r="D66" i="28"/>
  <c r="B66" i="28"/>
  <c r="E65" i="28"/>
  <c r="D65" i="28"/>
  <c r="B65" i="28"/>
  <c r="E64" i="28"/>
  <c r="D64" i="28"/>
  <c r="B64" i="28"/>
  <c r="E63" i="28"/>
  <c r="D63" i="28"/>
  <c r="B63" i="28"/>
  <c r="E62" i="28"/>
  <c r="D62" i="28"/>
  <c r="B62" i="28"/>
  <c r="E61" i="28"/>
  <c r="D61" i="28"/>
  <c r="B61" i="28"/>
  <c r="E60" i="28"/>
  <c r="D60" i="28"/>
  <c r="B60" i="28"/>
  <c r="E59" i="28"/>
  <c r="D59" i="28"/>
  <c r="B59" i="28"/>
  <c r="E58" i="28"/>
  <c r="D58" i="28"/>
  <c r="B58" i="28"/>
  <c r="E57" i="28"/>
  <c r="D57" i="28"/>
  <c r="B57" i="28"/>
  <c r="E56" i="28"/>
  <c r="D56" i="28"/>
  <c r="B56" i="28"/>
  <c r="E55" i="28"/>
  <c r="D55" i="28"/>
  <c r="B55" i="28"/>
  <c r="E54" i="28"/>
  <c r="D54" i="28"/>
  <c r="B54" i="28"/>
  <c r="E53" i="28"/>
  <c r="D53" i="28"/>
  <c r="B53" i="28"/>
  <c r="E52" i="28"/>
  <c r="D52" i="28"/>
  <c r="B52" i="28"/>
  <c r="E51" i="28"/>
  <c r="D51" i="28"/>
  <c r="B51" i="28"/>
  <c r="E50" i="28"/>
  <c r="D50" i="28"/>
  <c r="B50" i="28"/>
  <c r="E49" i="28"/>
  <c r="D49" i="28"/>
  <c r="B49" i="28"/>
  <c r="E48" i="28"/>
  <c r="D48" i="28"/>
  <c r="B48" i="28"/>
  <c r="E47" i="28"/>
  <c r="D47" i="28"/>
  <c r="B47" i="28"/>
  <c r="E46" i="28"/>
  <c r="D46" i="28"/>
  <c r="B46" i="28"/>
  <c r="E45" i="28"/>
  <c r="D45" i="28"/>
  <c r="B45" i="28"/>
  <c r="E44" i="28"/>
  <c r="D44" i="28"/>
  <c r="B44" i="28"/>
  <c r="E43" i="28"/>
  <c r="D43" i="28"/>
  <c r="B43" i="28"/>
  <c r="E42" i="28"/>
  <c r="D42" i="28"/>
  <c r="B42" i="28"/>
  <c r="E41" i="28"/>
  <c r="D41" i="28"/>
  <c r="B41" i="28"/>
  <c r="E40" i="28"/>
  <c r="D40" i="28"/>
  <c r="B40" i="28"/>
  <c r="E39" i="28"/>
  <c r="D39" i="28"/>
  <c r="B39" i="28"/>
  <c r="E38" i="28"/>
  <c r="D38" i="28"/>
  <c r="B38" i="28"/>
  <c r="E37" i="28"/>
  <c r="D37" i="28"/>
  <c r="B37" i="28"/>
  <c r="E36" i="28"/>
  <c r="D36" i="28"/>
  <c r="B36" i="28"/>
  <c r="E35" i="28"/>
  <c r="D35" i="28"/>
  <c r="B35" i="28"/>
  <c r="E34" i="28"/>
  <c r="D34" i="28"/>
  <c r="B34" i="28"/>
  <c r="E33" i="28"/>
  <c r="D33" i="28"/>
  <c r="B33" i="28"/>
  <c r="E32" i="28"/>
  <c r="D32" i="28"/>
  <c r="B32" i="28"/>
  <c r="E31" i="28"/>
  <c r="D31" i="28"/>
  <c r="B31" i="28"/>
  <c r="E30" i="28"/>
  <c r="D30" i="28"/>
  <c r="B30" i="28"/>
  <c r="E29" i="28"/>
  <c r="D29" i="28"/>
  <c r="B29" i="28"/>
  <c r="E28" i="28"/>
  <c r="D28" i="28"/>
  <c r="B28" i="28"/>
  <c r="E27" i="28"/>
  <c r="D27" i="28"/>
  <c r="B27" i="28"/>
  <c r="E26" i="28"/>
  <c r="D26" i="28"/>
  <c r="B26" i="28"/>
  <c r="E25" i="28"/>
  <c r="D25" i="28"/>
  <c r="B25" i="28"/>
  <c r="E24" i="28"/>
  <c r="D24" i="28"/>
  <c r="B24" i="28"/>
  <c r="E23" i="28"/>
  <c r="D23" i="28"/>
  <c r="B23" i="28"/>
  <c r="E22" i="28"/>
  <c r="D22" i="28"/>
  <c r="B22" i="28"/>
  <c r="E21" i="28"/>
  <c r="D21" i="28"/>
  <c r="B21" i="28"/>
  <c r="E20" i="28"/>
  <c r="D20" i="28"/>
  <c r="B20" i="28"/>
  <c r="E19" i="28"/>
  <c r="D19" i="28"/>
  <c r="B19" i="28"/>
  <c r="E18" i="28"/>
  <c r="D18" i="28"/>
  <c r="B18" i="28"/>
  <c r="E17" i="28"/>
  <c r="D17" i="28"/>
  <c r="B17" i="28"/>
  <c r="E16" i="28"/>
  <c r="D16" i="28"/>
  <c r="B16" i="28"/>
  <c r="E15" i="28"/>
  <c r="D15" i="28"/>
  <c r="B15" i="28"/>
  <c r="E14" i="28"/>
  <c r="D14" i="28"/>
  <c r="B14" i="28"/>
  <c r="E13" i="28"/>
  <c r="D13" i="28"/>
  <c r="B13" i="28"/>
  <c r="E12" i="28"/>
  <c r="D12" i="28"/>
  <c r="B12" i="28"/>
  <c r="E11" i="28"/>
  <c r="D11" i="28"/>
  <c r="B11" i="28"/>
  <c r="E10" i="28"/>
  <c r="D10" i="28"/>
  <c r="B10" i="28"/>
  <c r="E9" i="28"/>
  <c r="D9" i="28"/>
  <c r="B9" i="28"/>
  <c r="E8" i="28"/>
  <c r="D8" i="28"/>
  <c r="B8" i="28"/>
  <c r="E7" i="28"/>
  <c r="D7" i="28"/>
  <c r="B7" i="28"/>
  <c r="E6" i="28"/>
  <c r="D6" i="28"/>
  <c r="B6" i="28"/>
  <c r="E5" i="28"/>
  <c r="D5" i="28"/>
  <c r="B5" i="28"/>
  <c r="E4" i="28"/>
  <c r="D4" i="28"/>
  <c r="B4" i="28"/>
  <c r="E21" i="25"/>
  <c r="D21" i="25"/>
  <c r="B21" i="25"/>
  <c r="E20" i="25"/>
  <c r="D20" i="25"/>
  <c r="B20" i="25"/>
  <c r="E19" i="25"/>
  <c r="D19" i="25"/>
  <c r="B19" i="25"/>
  <c r="E18" i="25"/>
  <c r="D18" i="25"/>
  <c r="B18" i="25"/>
  <c r="E17" i="25"/>
  <c r="D17" i="25"/>
  <c r="B17" i="25"/>
  <c r="E16" i="25"/>
  <c r="D16" i="25"/>
  <c r="B16" i="25"/>
  <c r="E15" i="25"/>
  <c r="D15" i="25"/>
  <c r="B15" i="25"/>
  <c r="E14" i="25"/>
  <c r="D14" i="25"/>
  <c r="B14" i="25"/>
  <c r="E13" i="25"/>
  <c r="D13" i="25"/>
  <c r="B13" i="25"/>
  <c r="E12" i="25"/>
  <c r="D12" i="25"/>
  <c r="B12" i="25"/>
  <c r="E11" i="25"/>
  <c r="D11" i="25"/>
  <c r="B11" i="25"/>
  <c r="E10" i="25"/>
  <c r="D10" i="25"/>
  <c r="B10" i="25"/>
  <c r="E9" i="25"/>
  <c r="D9" i="25"/>
  <c r="B9" i="25"/>
  <c r="E8" i="25"/>
  <c r="D8" i="25"/>
  <c r="B8" i="25"/>
  <c r="E7" i="25"/>
  <c r="D7" i="25"/>
  <c r="B7" i="25"/>
  <c r="E6" i="25"/>
  <c r="D6" i="25"/>
  <c r="B6" i="25"/>
  <c r="E5" i="25"/>
  <c r="D5" i="25"/>
  <c r="B5" i="25"/>
  <c r="E4" i="25"/>
  <c r="D4" i="25"/>
  <c r="B4" i="25"/>
  <c r="E148" i="24"/>
  <c r="D148" i="24"/>
  <c r="B148" i="24"/>
  <c r="E147" i="24"/>
  <c r="D147" i="24"/>
  <c r="B147" i="24"/>
  <c r="E146" i="24"/>
  <c r="D146" i="24"/>
  <c r="B146" i="24"/>
  <c r="E145" i="24"/>
  <c r="D145" i="24"/>
  <c r="B145" i="24"/>
  <c r="E144" i="24"/>
  <c r="D144" i="24"/>
  <c r="B144" i="24"/>
  <c r="E143" i="24"/>
  <c r="D143" i="24"/>
  <c r="B143" i="24"/>
  <c r="E142" i="24"/>
  <c r="D142" i="24"/>
  <c r="B142" i="24"/>
  <c r="E141" i="24"/>
  <c r="D141" i="24"/>
  <c r="B141" i="24"/>
  <c r="E140" i="24"/>
  <c r="D140" i="24"/>
  <c r="B140" i="24"/>
  <c r="E139" i="24"/>
  <c r="D139" i="24"/>
  <c r="B139" i="24"/>
  <c r="E138" i="24"/>
  <c r="D138" i="24"/>
  <c r="B138" i="24"/>
  <c r="E137" i="24"/>
  <c r="D137" i="24"/>
  <c r="B137" i="24"/>
  <c r="E136" i="24"/>
  <c r="D136" i="24"/>
  <c r="B136" i="24"/>
  <c r="E135" i="24"/>
  <c r="D135" i="24"/>
  <c r="B135" i="24"/>
  <c r="E134" i="24"/>
  <c r="D134" i="24"/>
  <c r="B134" i="24"/>
  <c r="E133" i="24"/>
  <c r="D133" i="24"/>
  <c r="B133" i="24"/>
  <c r="E132" i="24"/>
  <c r="D132" i="24"/>
  <c r="B132" i="24"/>
  <c r="E131" i="24"/>
  <c r="D131" i="24"/>
  <c r="B131" i="24"/>
  <c r="E130" i="24"/>
  <c r="D130" i="24"/>
  <c r="B130" i="24"/>
  <c r="E129" i="24"/>
  <c r="D129" i="24"/>
  <c r="B129" i="24"/>
  <c r="E128" i="24"/>
  <c r="D128" i="24"/>
  <c r="B128" i="24"/>
  <c r="E127" i="24"/>
  <c r="D127" i="24"/>
  <c r="B127" i="24"/>
  <c r="E126" i="24"/>
  <c r="D126" i="24"/>
  <c r="B126" i="24"/>
  <c r="E125" i="24"/>
  <c r="D125" i="24"/>
  <c r="B125" i="24"/>
  <c r="E124" i="24"/>
  <c r="D124" i="24"/>
  <c r="B124" i="24"/>
  <c r="E123" i="24"/>
  <c r="D123" i="24"/>
  <c r="B123" i="24"/>
  <c r="E122" i="24"/>
  <c r="D122" i="24"/>
  <c r="B122" i="24"/>
  <c r="E121" i="24"/>
  <c r="D121" i="24"/>
  <c r="B121" i="24"/>
  <c r="E120" i="24"/>
  <c r="D120" i="24"/>
  <c r="B120" i="24"/>
  <c r="E119" i="24"/>
  <c r="D119" i="24"/>
  <c r="B119" i="24"/>
  <c r="E118" i="24"/>
  <c r="D118" i="24"/>
  <c r="B118" i="24"/>
  <c r="E117" i="24"/>
  <c r="D117" i="24"/>
  <c r="B117" i="24"/>
  <c r="E116" i="24"/>
  <c r="D116" i="24"/>
  <c r="B116" i="24"/>
  <c r="E115" i="24"/>
  <c r="D115" i="24"/>
  <c r="B115" i="24"/>
  <c r="E114" i="24"/>
  <c r="D114" i="24"/>
  <c r="B114" i="24"/>
  <c r="E113" i="24"/>
  <c r="D113" i="24"/>
  <c r="B113" i="24"/>
  <c r="E112" i="24"/>
  <c r="D112" i="24"/>
  <c r="B112" i="24"/>
  <c r="E111" i="24"/>
  <c r="D111" i="24"/>
  <c r="B111" i="24"/>
  <c r="E110" i="24"/>
  <c r="D110" i="24"/>
  <c r="B110" i="24"/>
  <c r="E109" i="24"/>
  <c r="D109" i="24"/>
  <c r="B109" i="24"/>
  <c r="E108" i="24"/>
  <c r="D108" i="24"/>
  <c r="B108" i="24"/>
  <c r="E107" i="24"/>
  <c r="D107" i="24"/>
  <c r="B107" i="24"/>
  <c r="E106" i="24"/>
  <c r="D106" i="24"/>
  <c r="B106" i="24"/>
  <c r="E105" i="24"/>
  <c r="D105" i="24"/>
  <c r="B105" i="24"/>
  <c r="E104" i="24"/>
  <c r="D104" i="24"/>
  <c r="B104" i="24"/>
  <c r="E103" i="24"/>
  <c r="D103" i="24"/>
  <c r="B103" i="24"/>
  <c r="E102" i="24"/>
  <c r="D102" i="24"/>
  <c r="B102" i="24"/>
  <c r="E101" i="24"/>
  <c r="D101" i="24"/>
  <c r="B101" i="24"/>
  <c r="E100" i="24"/>
  <c r="D100" i="24"/>
  <c r="B100" i="24"/>
  <c r="E99" i="24"/>
  <c r="D99" i="24"/>
  <c r="B99" i="24"/>
  <c r="E98" i="24"/>
  <c r="D98" i="24"/>
  <c r="B98" i="24"/>
  <c r="E97" i="24"/>
  <c r="D97" i="24"/>
  <c r="B97" i="24"/>
  <c r="E96" i="24"/>
  <c r="D96" i="24"/>
  <c r="B96" i="24"/>
  <c r="E95" i="24"/>
  <c r="D95" i="24"/>
  <c r="B95" i="24"/>
  <c r="E94" i="24"/>
  <c r="D94" i="24"/>
  <c r="B94" i="24"/>
  <c r="E93" i="24"/>
  <c r="D93" i="24"/>
  <c r="B93" i="24"/>
  <c r="E92" i="24"/>
  <c r="D92" i="24"/>
  <c r="B92" i="24"/>
  <c r="E91" i="24"/>
  <c r="D91" i="24"/>
  <c r="B91" i="24"/>
  <c r="E90" i="24"/>
  <c r="D90" i="24"/>
  <c r="B90" i="24"/>
  <c r="E89" i="24"/>
  <c r="D89" i="24"/>
  <c r="B89" i="24"/>
  <c r="E88" i="24"/>
  <c r="D88" i="24"/>
  <c r="B88" i="24"/>
  <c r="E87" i="24"/>
  <c r="D87" i="24"/>
  <c r="B87" i="24"/>
  <c r="E86" i="24"/>
  <c r="D86" i="24"/>
  <c r="B86" i="24"/>
  <c r="E85" i="24"/>
  <c r="D85" i="24"/>
  <c r="B85" i="24"/>
  <c r="E84" i="24"/>
  <c r="D84" i="24"/>
  <c r="B84" i="24"/>
  <c r="E83" i="24"/>
  <c r="D83" i="24"/>
  <c r="B83" i="24"/>
  <c r="E82" i="24"/>
  <c r="D82" i="24"/>
  <c r="B82" i="24"/>
  <c r="E81" i="24"/>
  <c r="D81" i="24"/>
  <c r="B81" i="24"/>
  <c r="E80" i="24"/>
  <c r="D80" i="24"/>
  <c r="B80" i="24"/>
  <c r="E79" i="24"/>
  <c r="D79" i="24"/>
  <c r="B79" i="24"/>
  <c r="E78" i="24"/>
  <c r="D78" i="24"/>
  <c r="B78" i="24"/>
  <c r="E77" i="24"/>
  <c r="D77" i="24"/>
  <c r="B77" i="24"/>
  <c r="E76" i="24"/>
  <c r="D76" i="24"/>
  <c r="B76" i="24"/>
  <c r="E75" i="24"/>
  <c r="D75" i="24"/>
  <c r="B75" i="24"/>
  <c r="E74" i="24"/>
  <c r="D74" i="24"/>
  <c r="B74" i="24"/>
  <c r="E73" i="24"/>
  <c r="D73" i="24"/>
  <c r="B73" i="24"/>
  <c r="E72" i="24"/>
  <c r="D72" i="24"/>
  <c r="B72" i="24"/>
  <c r="E71" i="24"/>
  <c r="D71" i="24"/>
  <c r="B71" i="24"/>
  <c r="E70" i="24"/>
  <c r="D70" i="24"/>
  <c r="B70" i="24"/>
  <c r="E69" i="24"/>
  <c r="D69" i="24"/>
  <c r="B69" i="24"/>
  <c r="E68" i="24"/>
  <c r="D68" i="24"/>
  <c r="B68" i="24"/>
  <c r="E67" i="24"/>
  <c r="D67" i="24"/>
  <c r="B67" i="24"/>
  <c r="E66" i="24"/>
  <c r="D66" i="24"/>
  <c r="B66" i="24"/>
  <c r="E65" i="24"/>
  <c r="D65" i="24"/>
  <c r="B65" i="24"/>
  <c r="E64" i="24"/>
  <c r="D64" i="24"/>
  <c r="B64" i="24"/>
  <c r="E63" i="24"/>
  <c r="D63" i="24"/>
  <c r="B63" i="24"/>
  <c r="E62" i="24"/>
  <c r="D62" i="24"/>
  <c r="B62" i="24"/>
  <c r="E61" i="24"/>
  <c r="D61" i="24"/>
  <c r="B61" i="24"/>
  <c r="E60" i="24"/>
  <c r="D60" i="24"/>
  <c r="B60" i="24"/>
  <c r="E59" i="24"/>
  <c r="D59" i="24"/>
  <c r="B59" i="24"/>
  <c r="E58" i="24"/>
  <c r="D58" i="24"/>
  <c r="B58" i="24"/>
  <c r="E57" i="24"/>
  <c r="D57" i="24"/>
  <c r="B57" i="24"/>
  <c r="E56" i="24"/>
  <c r="D56" i="24"/>
  <c r="B56" i="24"/>
  <c r="E55" i="24"/>
  <c r="D55" i="24"/>
  <c r="B55" i="24"/>
  <c r="E54" i="24"/>
  <c r="D54" i="24"/>
  <c r="B54" i="24"/>
  <c r="E53" i="24"/>
  <c r="D53" i="24"/>
  <c r="B53" i="24"/>
  <c r="E52" i="24"/>
  <c r="D52" i="24"/>
  <c r="B52" i="24"/>
  <c r="E51" i="24"/>
  <c r="D51" i="24"/>
  <c r="B51" i="24"/>
  <c r="E50" i="24"/>
  <c r="D50" i="24"/>
  <c r="B50" i="24"/>
  <c r="E49" i="24"/>
  <c r="D49" i="24"/>
  <c r="B49" i="24"/>
  <c r="E48" i="24"/>
  <c r="D48" i="24"/>
  <c r="B48" i="24"/>
  <c r="E47" i="24"/>
  <c r="D47" i="24"/>
  <c r="B47" i="24"/>
  <c r="E46" i="24"/>
  <c r="D46" i="24"/>
  <c r="B46" i="24"/>
  <c r="E45" i="24"/>
  <c r="D45" i="24"/>
  <c r="B45" i="24"/>
  <c r="E44" i="24"/>
  <c r="D44" i="24"/>
  <c r="B44" i="24"/>
  <c r="E43" i="24"/>
  <c r="D43" i="24"/>
  <c r="B43" i="24"/>
  <c r="E42" i="24"/>
  <c r="D42" i="24"/>
  <c r="B42" i="24"/>
  <c r="E41" i="24"/>
  <c r="D41" i="24"/>
  <c r="B41" i="24"/>
  <c r="E40" i="24"/>
  <c r="D40" i="24"/>
  <c r="B40" i="24"/>
  <c r="E39" i="24"/>
  <c r="D39" i="24"/>
  <c r="B39" i="24"/>
  <c r="E38" i="24"/>
  <c r="D38" i="24"/>
  <c r="B38" i="24"/>
  <c r="E37" i="24"/>
  <c r="D37" i="24"/>
  <c r="B37" i="24"/>
  <c r="E36" i="24"/>
  <c r="D36" i="24"/>
  <c r="B36" i="24"/>
  <c r="E35" i="24"/>
  <c r="D35" i="24"/>
  <c r="B35" i="24"/>
  <c r="E34" i="24"/>
  <c r="D34" i="24"/>
  <c r="B34" i="24"/>
  <c r="E33" i="24"/>
  <c r="D33" i="24"/>
  <c r="B33" i="24"/>
  <c r="E32" i="24"/>
  <c r="D32" i="24"/>
  <c r="B32" i="24"/>
  <c r="E31" i="24"/>
  <c r="D31" i="24"/>
  <c r="B31" i="24"/>
  <c r="E30" i="24"/>
  <c r="D30" i="24"/>
  <c r="B30" i="24"/>
  <c r="E29" i="24"/>
  <c r="D29" i="24"/>
  <c r="B29" i="24"/>
  <c r="E28" i="24"/>
  <c r="D28" i="24"/>
  <c r="B28" i="24"/>
  <c r="E27" i="24"/>
  <c r="D27" i="24"/>
  <c r="B27" i="24"/>
  <c r="E26" i="24"/>
  <c r="D26" i="24"/>
  <c r="B26" i="24"/>
  <c r="E25" i="24"/>
  <c r="D25" i="24"/>
  <c r="B25" i="24"/>
  <c r="E24" i="24"/>
  <c r="D24" i="24"/>
  <c r="B24" i="24"/>
  <c r="E23" i="24"/>
  <c r="D23" i="24"/>
  <c r="B23" i="24"/>
  <c r="E22" i="24"/>
  <c r="D22" i="24"/>
  <c r="B22" i="24"/>
  <c r="E21" i="24"/>
  <c r="D21" i="24"/>
  <c r="B21" i="24"/>
  <c r="E20" i="24"/>
  <c r="D20" i="24"/>
  <c r="B20" i="24"/>
  <c r="E19" i="24"/>
  <c r="D19" i="24"/>
  <c r="B19" i="24"/>
  <c r="E18" i="24"/>
  <c r="D18" i="24"/>
  <c r="B18" i="24"/>
  <c r="E17" i="24"/>
  <c r="D17" i="24"/>
  <c r="B17" i="24"/>
  <c r="E16" i="24"/>
  <c r="D16" i="24"/>
  <c r="B16" i="24"/>
  <c r="E15" i="24"/>
  <c r="D15" i="24"/>
  <c r="B15" i="24"/>
  <c r="E14" i="24"/>
  <c r="D14" i="24"/>
  <c r="B14" i="24"/>
  <c r="E13" i="24"/>
  <c r="D13" i="24"/>
  <c r="B13" i="24"/>
  <c r="E12" i="24"/>
  <c r="D12" i="24"/>
  <c r="B12" i="24"/>
  <c r="E11" i="24"/>
  <c r="D11" i="24"/>
  <c r="B11" i="24"/>
  <c r="E10" i="24"/>
  <c r="D10" i="24"/>
  <c r="B10" i="24"/>
  <c r="E9" i="24"/>
  <c r="D9" i="24"/>
  <c r="B9" i="24"/>
  <c r="E8" i="24"/>
  <c r="D8" i="24"/>
  <c r="B8" i="24"/>
  <c r="E7" i="24"/>
  <c r="D7" i="24"/>
  <c r="B7" i="24"/>
  <c r="E6" i="24"/>
  <c r="D6" i="24"/>
  <c r="B6" i="24"/>
  <c r="E5" i="24"/>
  <c r="D5" i="24"/>
  <c r="B5" i="24"/>
  <c r="E4" i="24"/>
  <c r="D4" i="24"/>
  <c r="B4" i="24"/>
  <c r="E35" i="23"/>
  <c r="D35" i="23"/>
  <c r="B35" i="23"/>
  <c r="E34" i="23"/>
  <c r="D34" i="23"/>
  <c r="B34" i="23"/>
  <c r="E33" i="23"/>
  <c r="D33" i="23"/>
  <c r="B33" i="23"/>
  <c r="E32" i="23"/>
  <c r="D32" i="23"/>
  <c r="B32" i="23"/>
  <c r="E31" i="23"/>
  <c r="D31" i="23"/>
  <c r="B31" i="23"/>
  <c r="E30" i="23"/>
  <c r="D30" i="23"/>
  <c r="B30" i="23"/>
  <c r="E29" i="23"/>
  <c r="D29" i="23"/>
  <c r="B29" i="23"/>
  <c r="E28" i="23"/>
  <c r="D28" i="23"/>
  <c r="B28" i="23"/>
  <c r="E27" i="23"/>
  <c r="D27" i="23"/>
  <c r="B27" i="23"/>
  <c r="E26" i="23"/>
  <c r="D26" i="23"/>
  <c r="B26" i="23"/>
  <c r="E25" i="23"/>
  <c r="D25" i="23"/>
  <c r="B25" i="23"/>
  <c r="E24" i="23"/>
  <c r="D24" i="23"/>
  <c r="B24" i="23"/>
  <c r="E23" i="23"/>
  <c r="D23" i="23"/>
  <c r="B23" i="23"/>
  <c r="E22" i="23"/>
  <c r="D22" i="23"/>
  <c r="B22" i="23"/>
  <c r="E21" i="23"/>
  <c r="D21" i="23"/>
  <c r="B21" i="23"/>
  <c r="E20" i="23"/>
  <c r="D20" i="23"/>
  <c r="B20" i="23"/>
  <c r="E19" i="23"/>
  <c r="D19" i="23"/>
  <c r="B19" i="23"/>
  <c r="E18" i="23"/>
  <c r="D18" i="23"/>
  <c r="B18" i="23"/>
  <c r="E17" i="23"/>
  <c r="D17" i="23"/>
  <c r="B17" i="23"/>
  <c r="E16" i="23"/>
  <c r="D16" i="23"/>
  <c r="B16" i="23"/>
  <c r="E15" i="23"/>
  <c r="D15" i="23"/>
  <c r="B15" i="23"/>
  <c r="E14" i="23"/>
  <c r="D14" i="23"/>
  <c r="B14" i="23"/>
  <c r="E13" i="23"/>
  <c r="D13" i="23"/>
  <c r="B13" i="23"/>
  <c r="E12" i="23"/>
  <c r="D12" i="23"/>
  <c r="B12" i="23"/>
  <c r="E11" i="23"/>
  <c r="D11" i="23"/>
  <c r="B11" i="23"/>
  <c r="E10" i="23"/>
  <c r="D10" i="23"/>
  <c r="B10" i="23"/>
  <c r="E9" i="23"/>
  <c r="D9" i="23"/>
  <c r="B9" i="23"/>
  <c r="E8" i="23"/>
  <c r="D8" i="23"/>
  <c r="B8" i="23"/>
  <c r="E7" i="23"/>
  <c r="D7" i="23"/>
  <c r="B7" i="23"/>
  <c r="E6" i="23"/>
  <c r="D6" i="23"/>
  <c r="B6" i="23"/>
  <c r="E5" i="23"/>
  <c r="D5" i="23"/>
  <c r="B5" i="23"/>
  <c r="E4" i="23"/>
  <c r="D4" i="23"/>
  <c r="B4" i="23"/>
  <c r="E197" i="22"/>
  <c r="D197" i="22"/>
  <c r="B197" i="22"/>
  <c r="E196" i="22"/>
  <c r="D196" i="22"/>
  <c r="B196" i="22"/>
  <c r="E195" i="22"/>
  <c r="D195" i="22"/>
  <c r="B195" i="22"/>
  <c r="E194" i="22"/>
  <c r="D194" i="22"/>
  <c r="B194" i="22"/>
  <c r="E193" i="22"/>
  <c r="D193" i="22"/>
  <c r="B193" i="22"/>
  <c r="E192" i="22"/>
  <c r="D192" i="22"/>
  <c r="B192" i="22"/>
  <c r="E191" i="22"/>
  <c r="D191" i="22"/>
  <c r="B191" i="22"/>
  <c r="E190" i="22"/>
  <c r="D190" i="22"/>
  <c r="B190" i="22"/>
  <c r="E189" i="22"/>
  <c r="D189" i="22"/>
  <c r="B189" i="22"/>
  <c r="E188" i="22"/>
  <c r="D188" i="22"/>
  <c r="B188" i="22"/>
  <c r="E187" i="22"/>
  <c r="D187" i="22"/>
  <c r="B187" i="22"/>
  <c r="E186" i="22"/>
  <c r="D186" i="22"/>
  <c r="B186" i="22"/>
  <c r="E185" i="22"/>
  <c r="D185" i="22"/>
  <c r="B185" i="22"/>
  <c r="E184" i="22"/>
  <c r="D184" i="22"/>
  <c r="B184" i="22"/>
  <c r="E183" i="22"/>
  <c r="D183" i="22"/>
  <c r="B183" i="22"/>
  <c r="E182" i="22"/>
  <c r="D182" i="22"/>
  <c r="B182" i="22"/>
  <c r="E181" i="22"/>
  <c r="D181" i="22"/>
  <c r="B181" i="22"/>
  <c r="E180" i="22"/>
  <c r="D180" i="22"/>
  <c r="B180" i="22"/>
  <c r="E179" i="22"/>
  <c r="D179" i="22"/>
  <c r="B179" i="22"/>
  <c r="E178" i="22"/>
  <c r="D178" i="22"/>
  <c r="B178" i="22"/>
  <c r="E177" i="22"/>
  <c r="D177" i="22"/>
  <c r="B177" i="22"/>
  <c r="E176" i="22"/>
  <c r="D176" i="22"/>
  <c r="B176" i="22"/>
  <c r="E175" i="22"/>
  <c r="D175" i="22"/>
  <c r="B175" i="22"/>
  <c r="E174" i="22"/>
  <c r="D174" i="22"/>
  <c r="B174" i="22"/>
  <c r="E173" i="22"/>
  <c r="D173" i="22"/>
  <c r="B173" i="22"/>
  <c r="E172" i="22"/>
  <c r="D172" i="22"/>
  <c r="B172" i="22"/>
  <c r="E171" i="22"/>
  <c r="D171" i="22"/>
  <c r="B171" i="22"/>
  <c r="E170" i="22"/>
  <c r="D170" i="22"/>
  <c r="B170" i="22"/>
  <c r="E169" i="22"/>
  <c r="D169" i="22"/>
  <c r="B169" i="22"/>
  <c r="E168" i="22"/>
  <c r="D168" i="22"/>
  <c r="B168" i="22"/>
  <c r="E167" i="22"/>
  <c r="D167" i="22"/>
  <c r="B167" i="22"/>
  <c r="E166" i="22"/>
  <c r="D166" i="22"/>
  <c r="B166" i="22"/>
  <c r="E165" i="22"/>
  <c r="D165" i="22"/>
  <c r="B165" i="22"/>
  <c r="E164" i="22"/>
  <c r="D164" i="22"/>
  <c r="B164" i="22"/>
  <c r="E163" i="22"/>
  <c r="D163" i="22"/>
  <c r="B163" i="22"/>
  <c r="E162" i="22"/>
  <c r="D162" i="22"/>
  <c r="B162" i="22"/>
  <c r="E161" i="22"/>
  <c r="D161" i="22"/>
  <c r="B161" i="22"/>
  <c r="E160" i="22"/>
  <c r="D160" i="22"/>
  <c r="B160" i="22"/>
  <c r="E159" i="22"/>
  <c r="D159" i="22"/>
  <c r="B159" i="22"/>
  <c r="E158" i="22"/>
  <c r="D158" i="22"/>
  <c r="B158" i="22"/>
  <c r="E157" i="22"/>
  <c r="D157" i="22"/>
  <c r="B157" i="22"/>
  <c r="E156" i="22"/>
  <c r="D156" i="22"/>
  <c r="B156" i="22"/>
  <c r="E155" i="22"/>
  <c r="D155" i="22"/>
  <c r="B155" i="22"/>
  <c r="E154" i="22"/>
  <c r="D154" i="22"/>
  <c r="B154" i="22"/>
  <c r="E153" i="22"/>
  <c r="D153" i="22"/>
  <c r="B153" i="22"/>
  <c r="E152" i="22"/>
  <c r="D152" i="22"/>
  <c r="B152" i="22"/>
  <c r="E151" i="22"/>
  <c r="D151" i="22"/>
  <c r="B151" i="22"/>
  <c r="E150" i="22"/>
  <c r="D150" i="22"/>
  <c r="B150" i="22"/>
  <c r="E149" i="22"/>
  <c r="D149" i="22"/>
  <c r="B149" i="22"/>
  <c r="E148" i="22"/>
  <c r="D148" i="22"/>
  <c r="B148" i="22"/>
  <c r="E147" i="22"/>
  <c r="D147" i="22"/>
  <c r="B147" i="22"/>
  <c r="E146" i="22"/>
  <c r="D146" i="22"/>
  <c r="B146" i="22"/>
  <c r="E145" i="22"/>
  <c r="D145" i="22"/>
  <c r="B145" i="22"/>
  <c r="E144" i="22"/>
  <c r="D144" i="22"/>
  <c r="B144" i="22"/>
  <c r="E143" i="22"/>
  <c r="D143" i="22"/>
  <c r="B143" i="22"/>
  <c r="E142" i="22"/>
  <c r="D142" i="22"/>
  <c r="B142" i="22"/>
  <c r="E141" i="22"/>
  <c r="D141" i="22"/>
  <c r="B141" i="22"/>
  <c r="E140" i="22"/>
  <c r="D140" i="22"/>
  <c r="B140" i="22"/>
  <c r="E139" i="22"/>
  <c r="D139" i="22"/>
  <c r="B139" i="22"/>
  <c r="E138" i="22"/>
  <c r="D138" i="22"/>
  <c r="B138" i="22"/>
  <c r="E137" i="22"/>
  <c r="D137" i="22"/>
  <c r="B137" i="22"/>
  <c r="E136" i="22"/>
  <c r="D136" i="22"/>
  <c r="B136" i="22"/>
  <c r="E135" i="22"/>
  <c r="D135" i="22"/>
  <c r="B135" i="22"/>
  <c r="E134" i="22"/>
  <c r="D134" i="22"/>
  <c r="B134" i="22"/>
  <c r="E133" i="22"/>
  <c r="D133" i="22"/>
  <c r="B133" i="22"/>
  <c r="E132" i="22"/>
  <c r="D132" i="22"/>
  <c r="B132" i="22"/>
  <c r="E131" i="22"/>
  <c r="D131" i="22"/>
  <c r="B131" i="22"/>
  <c r="E130" i="22"/>
  <c r="D130" i="22"/>
  <c r="B130" i="22"/>
  <c r="E129" i="22"/>
  <c r="D129" i="22"/>
  <c r="B129" i="22"/>
  <c r="E128" i="22"/>
  <c r="D128" i="22"/>
  <c r="B128" i="22"/>
  <c r="E127" i="22"/>
  <c r="D127" i="22"/>
  <c r="B127" i="22"/>
  <c r="E126" i="22"/>
  <c r="D126" i="22"/>
  <c r="B126" i="22"/>
  <c r="E125" i="22"/>
  <c r="D125" i="22"/>
  <c r="B125" i="22"/>
  <c r="E124" i="22"/>
  <c r="D124" i="22"/>
  <c r="B124" i="22"/>
  <c r="E123" i="22"/>
  <c r="D123" i="22"/>
  <c r="B123" i="22"/>
  <c r="E122" i="22"/>
  <c r="D122" i="22"/>
  <c r="B122" i="22"/>
  <c r="E121" i="22"/>
  <c r="D121" i="22"/>
  <c r="B121" i="22"/>
  <c r="E120" i="22"/>
  <c r="D120" i="22"/>
  <c r="B120" i="22"/>
  <c r="E119" i="22"/>
  <c r="D119" i="22"/>
  <c r="B119" i="22"/>
  <c r="E118" i="22"/>
  <c r="D118" i="22"/>
  <c r="B118" i="22"/>
  <c r="E117" i="22"/>
  <c r="D117" i="22"/>
  <c r="B117" i="22"/>
  <c r="E116" i="22"/>
  <c r="D116" i="22"/>
  <c r="B116" i="22"/>
  <c r="E115" i="22"/>
  <c r="D115" i="22"/>
  <c r="B115" i="22"/>
  <c r="E114" i="22"/>
  <c r="D114" i="22"/>
  <c r="B114" i="22"/>
  <c r="E113" i="22"/>
  <c r="D113" i="22"/>
  <c r="B113" i="22"/>
  <c r="E112" i="22"/>
  <c r="D112" i="22"/>
  <c r="B112" i="22"/>
  <c r="E111" i="22"/>
  <c r="D111" i="22"/>
  <c r="B111" i="22"/>
  <c r="E110" i="22"/>
  <c r="D110" i="22"/>
  <c r="B110" i="22"/>
  <c r="E109" i="22"/>
  <c r="D109" i="22"/>
  <c r="B109" i="22"/>
  <c r="E108" i="22"/>
  <c r="D108" i="22"/>
  <c r="B108" i="22"/>
  <c r="E107" i="22"/>
  <c r="D107" i="22"/>
  <c r="B107" i="22"/>
  <c r="E106" i="22"/>
  <c r="D106" i="22"/>
  <c r="B106" i="22"/>
  <c r="E105" i="22"/>
  <c r="D105" i="22"/>
  <c r="B105" i="22"/>
  <c r="E104" i="22"/>
  <c r="D104" i="22"/>
  <c r="B104" i="22"/>
  <c r="E103" i="22"/>
  <c r="D103" i="22"/>
  <c r="B103" i="22"/>
  <c r="E102" i="22"/>
  <c r="D102" i="22"/>
  <c r="B102" i="22"/>
  <c r="E101" i="22"/>
  <c r="D101" i="22"/>
  <c r="B101" i="22"/>
  <c r="E100" i="22"/>
  <c r="D100" i="22"/>
  <c r="B100" i="22"/>
  <c r="E99" i="22"/>
  <c r="D99" i="22"/>
  <c r="B99" i="22"/>
  <c r="E98" i="22"/>
  <c r="D98" i="22"/>
  <c r="B98" i="22"/>
  <c r="E97" i="22"/>
  <c r="D97" i="22"/>
  <c r="B97" i="22"/>
  <c r="E96" i="22"/>
  <c r="D96" i="22"/>
  <c r="B96" i="22"/>
  <c r="E95" i="22"/>
  <c r="D95" i="22"/>
  <c r="B95" i="22"/>
  <c r="E94" i="22"/>
  <c r="D94" i="22"/>
  <c r="B94" i="22"/>
  <c r="E93" i="22"/>
  <c r="D93" i="22"/>
  <c r="B93" i="22"/>
  <c r="E92" i="22"/>
  <c r="D92" i="22"/>
  <c r="B92" i="22"/>
  <c r="E91" i="22"/>
  <c r="D91" i="22"/>
  <c r="B91" i="22"/>
  <c r="E90" i="22"/>
  <c r="D90" i="22"/>
  <c r="B90" i="22"/>
  <c r="E89" i="22"/>
  <c r="D89" i="22"/>
  <c r="B89" i="22"/>
  <c r="E88" i="22"/>
  <c r="D88" i="22"/>
  <c r="B88" i="22"/>
  <c r="E87" i="22"/>
  <c r="D87" i="22"/>
  <c r="B87" i="22"/>
  <c r="E86" i="22"/>
  <c r="D86" i="22"/>
  <c r="B86" i="22"/>
  <c r="E85" i="22"/>
  <c r="D85" i="22"/>
  <c r="B85" i="22"/>
  <c r="E84" i="22"/>
  <c r="D84" i="22"/>
  <c r="B84" i="22"/>
  <c r="E83" i="22"/>
  <c r="D83" i="22"/>
  <c r="B83" i="22"/>
  <c r="E82" i="22"/>
  <c r="D82" i="22"/>
  <c r="B82" i="22"/>
  <c r="E81" i="22"/>
  <c r="D81" i="22"/>
  <c r="B81" i="22"/>
  <c r="E80" i="22"/>
  <c r="D80" i="22"/>
  <c r="B80" i="22"/>
  <c r="E79" i="22"/>
  <c r="D79" i="22"/>
  <c r="B79" i="22"/>
  <c r="E78" i="22"/>
  <c r="D78" i="22"/>
  <c r="B78" i="22"/>
  <c r="E77" i="22"/>
  <c r="D77" i="22"/>
  <c r="B77" i="22"/>
  <c r="E76" i="22"/>
  <c r="D76" i="22"/>
  <c r="B76" i="22"/>
  <c r="E75" i="22"/>
  <c r="D75" i="22"/>
  <c r="B75" i="22"/>
  <c r="E74" i="22"/>
  <c r="D74" i="22"/>
  <c r="B74" i="22"/>
  <c r="E73" i="22"/>
  <c r="D73" i="22"/>
  <c r="B73" i="22"/>
  <c r="E72" i="22"/>
  <c r="D72" i="22"/>
  <c r="B72" i="22"/>
  <c r="E71" i="22"/>
  <c r="D71" i="22"/>
  <c r="B71" i="22"/>
  <c r="E70" i="22"/>
  <c r="D70" i="22"/>
  <c r="B70" i="22"/>
  <c r="E69" i="22"/>
  <c r="D69" i="22"/>
  <c r="B69" i="22"/>
  <c r="E68" i="22"/>
  <c r="D68" i="22"/>
  <c r="B68" i="22"/>
  <c r="E67" i="22"/>
  <c r="D67" i="22"/>
  <c r="B67" i="22"/>
  <c r="E66" i="22"/>
  <c r="D66" i="22"/>
  <c r="B66" i="22"/>
  <c r="E65" i="22"/>
  <c r="D65" i="22"/>
  <c r="B65" i="22"/>
  <c r="E64" i="22"/>
  <c r="D64" i="22"/>
  <c r="B64" i="22"/>
  <c r="E63" i="22"/>
  <c r="D63" i="22"/>
  <c r="B63" i="22"/>
  <c r="E62" i="22"/>
  <c r="D62" i="22"/>
  <c r="B62" i="22"/>
  <c r="E61" i="22"/>
  <c r="D61" i="22"/>
  <c r="B61" i="22"/>
  <c r="E60" i="22"/>
  <c r="D60" i="22"/>
  <c r="B60" i="22"/>
  <c r="E59" i="22"/>
  <c r="D59" i="22"/>
  <c r="B59" i="22"/>
  <c r="E58" i="22"/>
  <c r="D58" i="22"/>
  <c r="B58" i="22"/>
  <c r="E57" i="22"/>
  <c r="D57" i="22"/>
  <c r="B57" i="22"/>
  <c r="E56" i="22"/>
  <c r="D56" i="22"/>
  <c r="B56" i="22"/>
  <c r="E55" i="22"/>
  <c r="D55" i="22"/>
  <c r="B55" i="22"/>
  <c r="E54" i="22"/>
  <c r="D54" i="22"/>
  <c r="B54" i="22"/>
  <c r="E53" i="22"/>
  <c r="D53" i="22"/>
  <c r="B53" i="22"/>
  <c r="E52" i="22"/>
  <c r="D52" i="22"/>
  <c r="B52" i="22"/>
  <c r="E51" i="22"/>
  <c r="D51" i="22"/>
  <c r="B51" i="22"/>
  <c r="E50" i="22"/>
  <c r="D50" i="22"/>
  <c r="B50" i="22"/>
  <c r="E49" i="22"/>
  <c r="D49" i="22"/>
  <c r="B49" i="22"/>
  <c r="E48" i="22"/>
  <c r="D48" i="22"/>
  <c r="B48" i="22"/>
  <c r="E47" i="22"/>
  <c r="D47" i="22"/>
  <c r="B47" i="22"/>
  <c r="E46" i="22"/>
  <c r="D46" i="22"/>
  <c r="B46" i="22"/>
  <c r="E45" i="22"/>
  <c r="D45" i="22"/>
  <c r="B45" i="22"/>
  <c r="E44" i="22"/>
  <c r="D44" i="22"/>
  <c r="B44" i="22"/>
  <c r="E43" i="22"/>
  <c r="D43" i="22"/>
  <c r="B43" i="22"/>
  <c r="E42" i="22"/>
  <c r="D42" i="22"/>
  <c r="B42" i="22"/>
  <c r="E41" i="22"/>
  <c r="D41" i="22"/>
  <c r="B41" i="22"/>
  <c r="E40" i="22"/>
  <c r="D40" i="22"/>
  <c r="B40" i="22"/>
  <c r="E39" i="22"/>
  <c r="D39" i="22"/>
  <c r="B39" i="22"/>
  <c r="E38" i="22"/>
  <c r="D38" i="22"/>
  <c r="B38" i="22"/>
  <c r="E37" i="22"/>
  <c r="D37" i="22"/>
  <c r="B37" i="22"/>
  <c r="E36" i="22"/>
  <c r="D36" i="22"/>
  <c r="B36" i="22"/>
  <c r="E35" i="22"/>
  <c r="D35" i="22"/>
  <c r="B35" i="22"/>
  <c r="E34" i="22"/>
  <c r="D34" i="22"/>
  <c r="B34" i="22"/>
  <c r="E33" i="22"/>
  <c r="D33" i="22"/>
  <c r="B33" i="22"/>
  <c r="E32" i="22"/>
  <c r="D32" i="22"/>
  <c r="B32" i="22"/>
  <c r="E31" i="22"/>
  <c r="D31" i="22"/>
  <c r="B31" i="22"/>
  <c r="E30" i="22"/>
  <c r="D30" i="22"/>
  <c r="B30" i="22"/>
  <c r="E29" i="22"/>
  <c r="D29" i="22"/>
  <c r="B29" i="22"/>
  <c r="E28" i="22"/>
  <c r="D28" i="22"/>
  <c r="B28" i="22"/>
  <c r="E27" i="22"/>
  <c r="D27" i="22"/>
  <c r="B27" i="22"/>
  <c r="E26" i="22"/>
  <c r="D26" i="22"/>
  <c r="B26" i="22"/>
  <c r="E25" i="22"/>
  <c r="D25" i="22"/>
  <c r="B25" i="22"/>
  <c r="E24" i="22"/>
  <c r="D24" i="22"/>
  <c r="B24" i="22"/>
  <c r="E23" i="22"/>
  <c r="D23" i="22"/>
  <c r="B23" i="22"/>
  <c r="E22" i="22"/>
  <c r="D22" i="22"/>
  <c r="B22" i="22"/>
  <c r="E21" i="22"/>
  <c r="D21" i="22"/>
  <c r="B21" i="22"/>
  <c r="E20" i="22"/>
  <c r="D20" i="22"/>
  <c r="B20" i="22"/>
  <c r="E19" i="22"/>
  <c r="D19" i="22"/>
  <c r="B19" i="22"/>
  <c r="E18" i="22"/>
  <c r="D18" i="22"/>
  <c r="B18" i="22"/>
  <c r="E17" i="22"/>
  <c r="D17" i="22"/>
  <c r="B17" i="22"/>
  <c r="E16" i="22"/>
  <c r="D16" i="22"/>
  <c r="B16" i="22"/>
  <c r="E15" i="22"/>
  <c r="D15" i="22"/>
  <c r="B15" i="22"/>
  <c r="E14" i="22"/>
  <c r="D14" i="22"/>
  <c r="B14" i="22"/>
  <c r="E13" i="22"/>
  <c r="D13" i="22"/>
  <c r="B13" i="22"/>
  <c r="E12" i="22"/>
  <c r="D12" i="22"/>
  <c r="B12" i="22"/>
  <c r="E11" i="22"/>
  <c r="D11" i="22"/>
  <c r="B11" i="22"/>
  <c r="E10" i="22"/>
  <c r="D10" i="22"/>
  <c r="B10" i="22"/>
  <c r="E9" i="22"/>
  <c r="D9" i="22"/>
  <c r="B9" i="22"/>
  <c r="E8" i="22"/>
  <c r="D8" i="22"/>
  <c r="B8" i="22"/>
  <c r="E7" i="22"/>
  <c r="D7" i="22"/>
  <c r="B7" i="22"/>
  <c r="E6" i="22"/>
  <c r="D6" i="22"/>
  <c r="B6" i="22"/>
  <c r="E5" i="22"/>
  <c r="D5" i="22"/>
  <c r="B5" i="22"/>
  <c r="E4" i="22"/>
  <c r="D4" i="22"/>
  <c r="B4" i="22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E96" i="21"/>
  <c r="D96" i="21"/>
  <c r="B96" i="21"/>
  <c r="E95" i="21"/>
  <c r="D95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E60" i="21"/>
  <c r="D60" i="21"/>
  <c r="B60" i="21"/>
  <c r="E59" i="21"/>
  <c r="D59" i="21"/>
  <c r="B59" i="21"/>
  <c r="E58" i="21"/>
  <c r="D58" i="21"/>
  <c r="B58" i="21"/>
  <c r="E57" i="21"/>
  <c r="D57" i="21"/>
  <c r="B57" i="21"/>
  <c r="E56" i="21"/>
  <c r="D56" i="21"/>
  <c r="B56" i="21"/>
  <c r="E55" i="21"/>
  <c r="D55" i="21"/>
  <c r="B55" i="21"/>
  <c r="E54" i="21"/>
  <c r="D54" i="21"/>
  <c r="B54" i="21"/>
  <c r="E53" i="21"/>
  <c r="D53" i="21"/>
  <c r="B53" i="21"/>
  <c r="E52" i="21"/>
  <c r="D52" i="21"/>
  <c r="B52" i="21"/>
  <c r="E51" i="21"/>
  <c r="D51" i="21"/>
  <c r="B51" i="21"/>
  <c r="E50" i="21"/>
  <c r="D50" i="21"/>
  <c r="B50" i="21"/>
  <c r="E49" i="21"/>
  <c r="D49" i="21"/>
  <c r="B49" i="21"/>
  <c r="E48" i="21"/>
  <c r="D48" i="21"/>
  <c r="B48" i="21"/>
  <c r="E47" i="21"/>
  <c r="D47" i="21"/>
  <c r="B47" i="21"/>
  <c r="E46" i="21"/>
  <c r="D46" i="21"/>
  <c r="B46" i="21"/>
  <c r="E45" i="21"/>
  <c r="D45" i="21"/>
  <c r="B45" i="21"/>
  <c r="E44" i="21"/>
  <c r="D44" i="21"/>
  <c r="B44" i="21"/>
  <c r="E43" i="21"/>
  <c r="D43" i="21"/>
  <c r="B43" i="21"/>
  <c r="E42" i="21"/>
  <c r="D42" i="21"/>
  <c r="B42" i="21"/>
  <c r="E41" i="21"/>
  <c r="D41" i="21"/>
  <c r="B41" i="21"/>
  <c r="E40" i="21"/>
  <c r="D40" i="21"/>
  <c r="B40" i="21"/>
  <c r="E39" i="21"/>
  <c r="D39" i="21"/>
  <c r="B39" i="21"/>
  <c r="E38" i="21"/>
  <c r="D38" i="21"/>
  <c r="B38" i="21"/>
  <c r="E37" i="21"/>
  <c r="D37" i="21"/>
  <c r="B37" i="21"/>
  <c r="E36" i="21"/>
  <c r="D36" i="21"/>
  <c r="B36" i="21"/>
  <c r="E35" i="21"/>
  <c r="D35" i="21"/>
  <c r="B35" i="21"/>
  <c r="E34" i="21"/>
  <c r="D34" i="21"/>
  <c r="B34" i="21"/>
  <c r="E33" i="21"/>
  <c r="D33" i="21"/>
  <c r="B33" i="21"/>
  <c r="E32" i="21"/>
  <c r="D32" i="21"/>
  <c r="B32" i="21"/>
  <c r="E31" i="21"/>
  <c r="D31" i="21"/>
  <c r="B31" i="21"/>
  <c r="E30" i="21"/>
  <c r="D30" i="21"/>
  <c r="B30" i="21"/>
  <c r="E29" i="21"/>
  <c r="D29" i="21"/>
  <c r="B29" i="21"/>
  <c r="E28" i="21"/>
  <c r="D28" i="21"/>
  <c r="B28" i="21"/>
  <c r="E27" i="21"/>
  <c r="D27" i="21"/>
  <c r="B27" i="21"/>
  <c r="E26" i="21"/>
  <c r="D26" i="21"/>
  <c r="B26" i="21"/>
  <c r="E25" i="21"/>
  <c r="D25" i="21"/>
  <c r="B25" i="21"/>
  <c r="E24" i="21"/>
  <c r="D24" i="21"/>
  <c r="B24" i="21"/>
  <c r="E23" i="21"/>
  <c r="D23" i="21"/>
  <c r="B23" i="21"/>
  <c r="E22" i="21"/>
  <c r="D22" i="21"/>
  <c r="B22" i="21"/>
  <c r="E21" i="21"/>
  <c r="D21" i="21"/>
  <c r="B21" i="21"/>
  <c r="E20" i="21"/>
  <c r="D20" i="21"/>
  <c r="B20" i="21"/>
  <c r="E19" i="21"/>
  <c r="D19" i="21"/>
  <c r="B19" i="21"/>
  <c r="E18" i="21"/>
  <c r="D18" i="21"/>
  <c r="B18" i="21"/>
  <c r="E17" i="21"/>
  <c r="D17" i="21"/>
  <c r="B17" i="21"/>
  <c r="E16" i="21"/>
  <c r="D16" i="21"/>
  <c r="B16" i="21"/>
  <c r="E15" i="21"/>
  <c r="D15" i="21"/>
  <c r="B15" i="21"/>
  <c r="E14" i="21"/>
  <c r="D14" i="21"/>
  <c r="B14" i="21"/>
  <c r="E13" i="21"/>
  <c r="D13" i="21"/>
  <c r="B13" i="21"/>
  <c r="E12" i="21"/>
  <c r="D12" i="21"/>
  <c r="B12" i="21"/>
  <c r="E11" i="21"/>
  <c r="D11" i="21"/>
  <c r="B11" i="21"/>
  <c r="E10" i="21"/>
  <c r="D10" i="21"/>
  <c r="B10" i="21"/>
  <c r="E9" i="21"/>
  <c r="D9" i="21"/>
  <c r="B9" i="21"/>
  <c r="E8" i="21"/>
  <c r="D8" i="21"/>
  <c r="B8" i="21"/>
  <c r="E7" i="21"/>
  <c r="D7" i="21"/>
  <c r="B7" i="21"/>
  <c r="E6" i="21"/>
  <c r="D6" i="21"/>
  <c r="B6" i="21"/>
  <c r="E5" i="21"/>
  <c r="D5" i="21"/>
  <c r="B5" i="21"/>
  <c r="E4" i="21"/>
  <c r="D4" i="21"/>
  <c r="B4" i="21"/>
  <c r="E132" i="20"/>
  <c r="D132" i="20"/>
  <c r="B132" i="20"/>
  <c r="E131" i="20"/>
  <c r="D131" i="20"/>
  <c r="B131" i="20"/>
  <c r="E130" i="20"/>
  <c r="D130" i="20"/>
  <c r="B130" i="20"/>
  <c r="E129" i="20"/>
  <c r="D129" i="20"/>
  <c r="B129" i="20"/>
  <c r="E128" i="20"/>
  <c r="D128" i="20"/>
  <c r="B128" i="20"/>
  <c r="E127" i="20"/>
  <c r="D127" i="20"/>
  <c r="B127" i="20"/>
  <c r="E126" i="20"/>
  <c r="D126" i="20"/>
  <c r="B126" i="20"/>
  <c r="E125" i="20"/>
  <c r="D125" i="20"/>
  <c r="B125" i="20"/>
  <c r="E124" i="20"/>
  <c r="D124" i="20"/>
  <c r="B124" i="20"/>
  <c r="E123" i="20"/>
  <c r="D123" i="20"/>
  <c r="B123" i="20"/>
  <c r="E122" i="20"/>
  <c r="D122" i="20"/>
  <c r="B122" i="20"/>
  <c r="E121" i="20"/>
  <c r="D121" i="20"/>
  <c r="B121" i="20"/>
  <c r="E120" i="20"/>
  <c r="D120" i="20"/>
  <c r="B120" i="20"/>
  <c r="E119" i="20"/>
  <c r="D119" i="20"/>
  <c r="B119" i="20"/>
  <c r="E118" i="20"/>
  <c r="D118" i="20"/>
  <c r="B118" i="20"/>
  <c r="E117" i="20"/>
  <c r="D117" i="20"/>
  <c r="B117" i="20"/>
  <c r="E116" i="20"/>
  <c r="D116" i="20"/>
  <c r="B116" i="20"/>
  <c r="E115" i="20"/>
  <c r="D115" i="20"/>
  <c r="B115" i="20"/>
  <c r="E114" i="20"/>
  <c r="D114" i="20"/>
  <c r="B114" i="20"/>
  <c r="E113" i="20"/>
  <c r="D113" i="20"/>
  <c r="B113" i="20"/>
  <c r="E112" i="20"/>
  <c r="D112" i="20"/>
  <c r="B112" i="20"/>
  <c r="E111" i="20"/>
  <c r="D111" i="20"/>
  <c r="B111" i="20"/>
  <c r="E110" i="20"/>
  <c r="D110" i="20"/>
  <c r="B110" i="20"/>
  <c r="E109" i="20"/>
  <c r="D109" i="20"/>
  <c r="B109" i="20"/>
  <c r="E108" i="20"/>
  <c r="D108" i="20"/>
  <c r="B108" i="20"/>
  <c r="E107" i="20"/>
  <c r="D107" i="20"/>
  <c r="B107" i="20"/>
  <c r="E106" i="20"/>
  <c r="D106" i="20"/>
  <c r="B106" i="20"/>
  <c r="E105" i="20"/>
  <c r="D105" i="20"/>
  <c r="B105" i="20"/>
  <c r="E104" i="20"/>
  <c r="D104" i="20"/>
  <c r="B104" i="20"/>
  <c r="E103" i="20"/>
  <c r="D103" i="20"/>
  <c r="B103" i="20"/>
  <c r="E102" i="20"/>
  <c r="D102" i="20"/>
  <c r="B102" i="20"/>
  <c r="E101" i="20"/>
  <c r="D101" i="20"/>
  <c r="B101" i="20"/>
  <c r="E100" i="20"/>
  <c r="D100" i="20"/>
  <c r="B100" i="20"/>
  <c r="E99" i="20"/>
  <c r="D99" i="20"/>
  <c r="B99" i="20"/>
  <c r="E98" i="20"/>
  <c r="D98" i="20"/>
  <c r="B98" i="20"/>
  <c r="E97" i="20"/>
  <c r="D97" i="20"/>
  <c r="B97" i="20"/>
  <c r="E96" i="20"/>
  <c r="D96" i="20"/>
  <c r="B96" i="20"/>
  <c r="E95" i="20"/>
  <c r="D95" i="20"/>
  <c r="B95" i="20"/>
  <c r="E94" i="20"/>
  <c r="D94" i="20"/>
  <c r="B94" i="20"/>
  <c r="E93" i="20"/>
  <c r="D93" i="20"/>
  <c r="B93" i="20"/>
  <c r="E92" i="20"/>
  <c r="D92" i="20"/>
  <c r="B92" i="20"/>
  <c r="E91" i="20"/>
  <c r="D91" i="20"/>
  <c r="B91" i="20"/>
  <c r="E90" i="20"/>
  <c r="D90" i="20"/>
  <c r="B90" i="20"/>
  <c r="E89" i="20"/>
  <c r="D89" i="20"/>
  <c r="B89" i="20"/>
  <c r="E88" i="20"/>
  <c r="D88" i="20"/>
  <c r="B88" i="20"/>
  <c r="E87" i="20"/>
  <c r="D87" i="20"/>
  <c r="B87" i="20"/>
  <c r="E86" i="20"/>
  <c r="D86" i="20"/>
  <c r="B86" i="20"/>
  <c r="E85" i="20"/>
  <c r="D85" i="20"/>
  <c r="B85" i="20"/>
  <c r="E84" i="20"/>
  <c r="D84" i="20"/>
  <c r="B84" i="20"/>
  <c r="E83" i="20"/>
  <c r="D83" i="20"/>
  <c r="B83" i="20"/>
  <c r="E82" i="20"/>
  <c r="D82" i="20"/>
  <c r="B82" i="20"/>
  <c r="E81" i="20"/>
  <c r="D81" i="20"/>
  <c r="B81" i="20"/>
  <c r="E80" i="20"/>
  <c r="D80" i="20"/>
  <c r="B80" i="20"/>
  <c r="E79" i="20"/>
  <c r="D79" i="20"/>
  <c r="B79" i="20"/>
  <c r="E78" i="20"/>
  <c r="D78" i="20"/>
  <c r="B78" i="20"/>
  <c r="E77" i="20"/>
  <c r="D77" i="20"/>
  <c r="B77" i="20"/>
  <c r="E76" i="20"/>
  <c r="D76" i="20"/>
  <c r="B76" i="20"/>
  <c r="E75" i="20"/>
  <c r="D75" i="20"/>
  <c r="B75" i="20"/>
  <c r="E74" i="20"/>
  <c r="D74" i="20"/>
  <c r="B74" i="20"/>
  <c r="E73" i="20"/>
  <c r="D73" i="20"/>
  <c r="B73" i="20"/>
  <c r="E72" i="20"/>
  <c r="D72" i="20"/>
  <c r="B72" i="20"/>
  <c r="E71" i="20"/>
  <c r="D71" i="20"/>
  <c r="B71" i="20"/>
  <c r="E70" i="20"/>
  <c r="D70" i="20"/>
  <c r="B70" i="20"/>
  <c r="E69" i="20"/>
  <c r="D69" i="20"/>
  <c r="B69" i="20"/>
  <c r="E68" i="20"/>
  <c r="D68" i="20"/>
  <c r="B68" i="20"/>
  <c r="E67" i="20"/>
  <c r="D67" i="20"/>
  <c r="B67" i="20"/>
  <c r="E66" i="20"/>
  <c r="D66" i="20"/>
  <c r="B66" i="20"/>
  <c r="E65" i="20"/>
  <c r="D65" i="20"/>
  <c r="B65" i="20"/>
  <c r="E64" i="20"/>
  <c r="D64" i="20"/>
  <c r="B64" i="20"/>
  <c r="E63" i="20"/>
  <c r="D63" i="20"/>
  <c r="B63" i="20"/>
  <c r="E62" i="20"/>
  <c r="D62" i="20"/>
  <c r="B62" i="20"/>
  <c r="E61" i="20"/>
  <c r="D61" i="20"/>
  <c r="B61" i="20"/>
  <c r="E60" i="20"/>
  <c r="D60" i="20"/>
  <c r="B60" i="20"/>
  <c r="E59" i="20"/>
  <c r="D59" i="20"/>
  <c r="B59" i="20"/>
  <c r="E58" i="20"/>
  <c r="D58" i="20"/>
  <c r="B58" i="20"/>
  <c r="E57" i="20"/>
  <c r="D57" i="20"/>
  <c r="B57" i="20"/>
  <c r="E56" i="20"/>
  <c r="D56" i="20"/>
  <c r="B56" i="20"/>
  <c r="E55" i="20"/>
  <c r="D55" i="20"/>
  <c r="B55" i="20"/>
  <c r="E54" i="20"/>
  <c r="D54" i="20"/>
  <c r="B54" i="20"/>
  <c r="E53" i="20"/>
  <c r="D53" i="20"/>
  <c r="B53" i="20"/>
  <c r="E52" i="20"/>
  <c r="D52" i="20"/>
  <c r="B52" i="20"/>
  <c r="E51" i="20"/>
  <c r="D51" i="20"/>
  <c r="B51" i="20"/>
  <c r="E50" i="20"/>
  <c r="D50" i="20"/>
  <c r="B50" i="20"/>
  <c r="E49" i="20"/>
  <c r="D49" i="20"/>
  <c r="B49" i="20"/>
  <c r="E48" i="20"/>
  <c r="D48" i="20"/>
  <c r="B48" i="20"/>
  <c r="E47" i="20"/>
  <c r="D47" i="20"/>
  <c r="B47" i="20"/>
  <c r="E46" i="20"/>
  <c r="D46" i="20"/>
  <c r="B46" i="20"/>
  <c r="E45" i="20"/>
  <c r="D45" i="20"/>
  <c r="B45" i="20"/>
  <c r="E44" i="20"/>
  <c r="D44" i="20"/>
  <c r="B44" i="20"/>
  <c r="E43" i="20"/>
  <c r="D43" i="20"/>
  <c r="B43" i="20"/>
  <c r="E42" i="20"/>
  <c r="D42" i="20"/>
  <c r="B42" i="20"/>
  <c r="E41" i="20"/>
  <c r="D41" i="20"/>
  <c r="B41" i="20"/>
  <c r="E40" i="20"/>
  <c r="D40" i="20"/>
  <c r="B40" i="20"/>
  <c r="E39" i="20"/>
  <c r="D39" i="20"/>
  <c r="B39" i="20"/>
  <c r="E38" i="20"/>
  <c r="D38" i="20"/>
  <c r="B38" i="20"/>
  <c r="E37" i="20"/>
  <c r="D37" i="20"/>
  <c r="B37" i="20"/>
  <c r="E36" i="20"/>
  <c r="D36" i="20"/>
  <c r="B36" i="20"/>
  <c r="E35" i="20"/>
  <c r="D35" i="20"/>
  <c r="B35" i="20"/>
  <c r="E34" i="20"/>
  <c r="D34" i="20"/>
  <c r="B34" i="20"/>
  <c r="E33" i="20"/>
  <c r="D33" i="20"/>
  <c r="B33" i="20"/>
  <c r="E32" i="20"/>
  <c r="D32" i="20"/>
  <c r="B32" i="20"/>
  <c r="E31" i="20"/>
  <c r="D31" i="20"/>
  <c r="B31" i="20"/>
  <c r="E30" i="20"/>
  <c r="D30" i="20"/>
  <c r="B30" i="20"/>
  <c r="E29" i="20"/>
  <c r="D29" i="20"/>
  <c r="B29" i="20"/>
  <c r="E28" i="20"/>
  <c r="D28" i="20"/>
  <c r="B28" i="20"/>
  <c r="E27" i="20"/>
  <c r="D27" i="20"/>
  <c r="B27" i="20"/>
  <c r="E26" i="20"/>
  <c r="D26" i="20"/>
  <c r="B26" i="20"/>
  <c r="E25" i="20"/>
  <c r="D25" i="20"/>
  <c r="B25" i="20"/>
  <c r="E24" i="20"/>
  <c r="D24" i="20"/>
  <c r="B24" i="20"/>
  <c r="E23" i="20"/>
  <c r="D23" i="20"/>
  <c r="B23" i="20"/>
  <c r="E22" i="20"/>
  <c r="D22" i="20"/>
  <c r="B22" i="20"/>
  <c r="E21" i="20"/>
  <c r="D21" i="20"/>
  <c r="B21" i="20"/>
  <c r="E20" i="20"/>
  <c r="D20" i="20"/>
  <c r="B20" i="20"/>
  <c r="E19" i="20"/>
  <c r="D19" i="20"/>
  <c r="B19" i="20"/>
  <c r="E18" i="20"/>
  <c r="D18" i="20"/>
  <c r="B18" i="20"/>
  <c r="E17" i="20"/>
  <c r="D17" i="20"/>
  <c r="B17" i="20"/>
  <c r="E16" i="20"/>
  <c r="D16" i="20"/>
  <c r="B16" i="20"/>
  <c r="E15" i="20"/>
  <c r="D15" i="20"/>
  <c r="B15" i="20"/>
  <c r="E14" i="20"/>
  <c r="D14" i="20"/>
  <c r="B14" i="20"/>
  <c r="E13" i="20"/>
  <c r="D13" i="20"/>
  <c r="B13" i="20"/>
  <c r="E12" i="20"/>
  <c r="D12" i="20"/>
  <c r="B12" i="20"/>
  <c r="E11" i="20"/>
  <c r="D11" i="20"/>
  <c r="B11" i="20"/>
  <c r="E10" i="20"/>
  <c r="D10" i="20"/>
  <c r="B10" i="20"/>
  <c r="E9" i="20"/>
  <c r="D9" i="20"/>
  <c r="B9" i="20"/>
  <c r="E8" i="20"/>
  <c r="D8" i="20"/>
  <c r="B8" i="20"/>
  <c r="E7" i="20"/>
  <c r="D7" i="20"/>
  <c r="B7" i="20"/>
  <c r="E6" i="20"/>
  <c r="D6" i="20"/>
  <c r="B6" i="20"/>
  <c r="E5" i="20"/>
  <c r="D5" i="20"/>
  <c r="B5" i="20"/>
  <c r="E4" i="20"/>
  <c r="D4" i="20"/>
  <c r="B4" i="20"/>
  <c r="E79" i="19"/>
  <c r="D79" i="19"/>
  <c r="B79" i="19"/>
  <c r="E78" i="19"/>
  <c r="D78" i="19"/>
  <c r="B78" i="19"/>
  <c r="E77" i="19"/>
  <c r="D77" i="19"/>
  <c r="B77" i="19"/>
  <c r="E76" i="19"/>
  <c r="D76" i="19"/>
  <c r="B76" i="19"/>
  <c r="E75" i="19"/>
  <c r="D75" i="19"/>
  <c r="B75" i="19"/>
  <c r="E74" i="19"/>
  <c r="D74" i="19"/>
  <c r="B74" i="19"/>
  <c r="E73" i="19"/>
  <c r="D73" i="19"/>
  <c r="B73" i="19"/>
  <c r="E72" i="19"/>
  <c r="D72" i="19"/>
  <c r="B72" i="19"/>
  <c r="E71" i="19"/>
  <c r="D71" i="19"/>
  <c r="B71" i="19"/>
  <c r="E70" i="19"/>
  <c r="D70" i="19"/>
  <c r="B70" i="19"/>
  <c r="E69" i="19"/>
  <c r="D69" i="19"/>
  <c r="B69" i="19"/>
  <c r="E68" i="19"/>
  <c r="D68" i="19"/>
  <c r="B68" i="19"/>
  <c r="E67" i="19"/>
  <c r="D67" i="19"/>
  <c r="B67" i="19"/>
  <c r="E66" i="19"/>
  <c r="D66" i="19"/>
  <c r="B66" i="19"/>
  <c r="E65" i="19"/>
  <c r="D65" i="19"/>
  <c r="B65" i="19"/>
  <c r="E64" i="19"/>
  <c r="D64" i="19"/>
  <c r="B64" i="19"/>
  <c r="E63" i="19"/>
  <c r="D63" i="19"/>
  <c r="B63" i="19"/>
  <c r="E62" i="19"/>
  <c r="D62" i="19"/>
  <c r="B62" i="19"/>
  <c r="E61" i="19"/>
  <c r="D61" i="19"/>
  <c r="B61" i="19"/>
  <c r="E60" i="19"/>
  <c r="D60" i="19"/>
  <c r="B60" i="19"/>
  <c r="E59" i="19"/>
  <c r="D59" i="19"/>
  <c r="B59" i="19"/>
  <c r="E58" i="19"/>
  <c r="D58" i="19"/>
  <c r="B58" i="19"/>
  <c r="E57" i="19"/>
  <c r="D57" i="19"/>
  <c r="B57" i="19"/>
  <c r="E56" i="19"/>
  <c r="D56" i="19"/>
  <c r="B56" i="19"/>
  <c r="E55" i="19"/>
  <c r="D55" i="19"/>
  <c r="B55" i="19"/>
  <c r="E54" i="19"/>
  <c r="D54" i="19"/>
  <c r="B54" i="19"/>
  <c r="E53" i="19"/>
  <c r="D53" i="19"/>
  <c r="B53" i="19"/>
  <c r="E52" i="19"/>
  <c r="D52" i="19"/>
  <c r="B52" i="19"/>
  <c r="E51" i="19"/>
  <c r="D51" i="19"/>
  <c r="B51" i="19"/>
  <c r="E50" i="19"/>
  <c r="D50" i="19"/>
  <c r="B50" i="19"/>
  <c r="E49" i="19"/>
  <c r="D49" i="19"/>
  <c r="B49" i="19"/>
  <c r="E48" i="19"/>
  <c r="D48" i="19"/>
  <c r="B48" i="19"/>
  <c r="E47" i="19"/>
  <c r="D47" i="19"/>
  <c r="B47" i="19"/>
  <c r="E46" i="19"/>
  <c r="D46" i="19"/>
  <c r="B46" i="19"/>
  <c r="E45" i="19"/>
  <c r="D45" i="19"/>
  <c r="B45" i="19"/>
  <c r="E44" i="19"/>
  <c r="D44" i="19"/>
  <c r="B44" i="19"/>
  <c r="E43" i="19"/>
  <c r="D43" i="19"/>
  <c r="B43" i="19"/>
  <c r="E42" i="19"/>
  <c r="D42" i="19"/>
  <c r="B42" i="19"/>
  <c r="E41" i="19"/>
  <c r="D41" i="19"/>
  <c r="B41" i="19"/>
  <c r="E40" i="19"/>
  <c r="D40" i="19"/>
  <c r="B40" i="19"/>
  <c r="E39" i="19"/>
  <c r="D39" i="19"/>
  <c r="B39" i="19"/>
  <c r="E38" i="19"/>
  <c r="D38" i="19"/>
  <c r="B38" i="19"/>
  <c r="E37" i="19"/>
  <c r="D37" i="19"/>
  <c r="B37" i="19"/>
  <c r="E36" i="19"/>
  <c r="D36" i="19"/>
  <c r="B36" i="19"/>
  <c r="E35" i="19"/>
  <c r="D35" i="19"/>
  <c r="B35" i="19"/>
  <c r="E34" i="19"/>
  <c r="D34" i="19"/>
  <c r="B34" i="19"/>
  <c r="E33" i="19"/>
  <c r="D33" i="19"/>
  <c r="B33" i="19"/>
  <c r="E32" i="19"/>
  <c r="D32" i="19"/>
  <c r="B32" i="19"/>
  <c r="E31" i="19"/>
  <c r="D31" i="19"/>
  <c r="B31" i="19"/>
  <c r="E30" i="19"/>
  <c r="D30" i="19"/>
  <c r="B30" i="19"/>
  <c r="E29" i="19"/>
  <c r="D29" i="19"/>
  <c r="B29" i="19"/>
  <c r="E28" i="19"/>
  <c r="D28" i="19"/>
  <c r="B28" i="19"/>
  <c r="E27" i="19"/>
  <c r="D27" i="19"/>
  <c r="B27" i="19"/>
  <c r="E26" i="19"/>
  <c r="D26" i="19"/>
  <c r="B26" i="19"/>
  <c r="E25" i="19"/>
  <c r="D25" i="19"/>
  <c r="B25" i="19"/>
  <c r="E24" i="19"/>
  <c r="D24" i="19"/>
  <c r="B24" i="19"/>
  <c r="E23" i="19"/>
  <c r="D23" i="19"/>
  <c r="B23" i="19"/>
  <c r="E22" i="19"/>
  <c r="D22" i="19"/>
  <c r="B22" i="19"/>
  <c r="E21" i="19"/>
  <c r="D21" i="19"/>
  <c r="B21" i="19"/>
  <c r="E20" i="19"/>
  <c r="D20" i="19"/>
  <c r="B20" i="19"/>
  <c r="E19" i="19"/>
  <c r="D19" i="19"/>
  <c r="B19" i="19"/>
  <c r="E18" i="19"/>
  <c r="D18" i="19"/>
  <c r="B18" i="19"/>
  <c r="E17" i="19"/>
  <c r="D17" i="19"/>
  <c r="B17" i="19"/>
  <c r="E16" i="19"/>
  <c r="D16" i="19"/>
  <c r="B16" i="19"/>
  <c r="E15" i="19"/>
  <c r="D15" i="19"/>
  <c r="B15" i="19"/>
  <c r="E14" i="19"/>
  <c r="D14" i="19"/>
  <c r="B14" i="19"/>
  <c r="E13" i="19"/>
  <c r="D13" i="19"/>
  <c r="B13" i="19"/>
  <c r="E12" i="19"/>
  <c r="D12" i="19"/>
  <c r="B12" i="19"/>
  <c r="E11" i="19"/>
  <c r="D11" i="19"/>
  <c r="B11" i="19"/>
  <c r="E10" i="19"/>
  <c r="D10" i="19"/>
  <c r="B10" i="19"/>
  <c r="E9" i="19"/>
  <c r="D9" i="19"/>
  <c r="B9" i="19"/>
  <c r="E8" i="19"/>
  <c r="D8" i="19"/>
  <c r="B8" i="19"/>
  <c r="E7" i="19"/>
  <c r="D7" i="19"/>
  <c r="B7" i="19"/>
  <c r="E6" i="19"/>
  <c r="D6" i="19"/>
  <c r="B6" i="19"/>
  <c r="E5" i="19"/>
  <c r="D5" i="19"/>
  <c r="B5" i="19"/>
  <c r="E4" i="19"/>
  <c r="D4" i="19"/>
  <c r="B4" i="19"/>
  <c r="E110" i="11"/>
  <c r="D110" i="11"/>
  <c r="B110" i="11"/>
  <c r="E109" i="11"/>
  <c r="D109" i="11"/>
  <c r="B109" i="11"/>
  <c r="E108" i="11"/>
  <c r="D108" i="11"/>
  <c r="B108" i="11"/>
  <c r="E107" i="11"/>
  <c r="D107" i="11"/>
  <c r="B107" i="11"/>
  <c r="E106" i="11"/>
  <c r="D106" i="11"/>
  <c r="B106" i="11"/>
  <c r="E105" i="11"/>
  <c r="D105" i="11"/>
  <c r="B105" i="11"/>
  <c r="E104" i="11"/>
  <c r="D104" i="11"/>
  <c r="B104" i="11"/>
  <c r="E103" i="11"/>
  <c r="D103" i="11"/>
  <c r="B103" i="11"/>
  <c r="E102" i="11"/>
  <c r="D102" i="11"/>
  <c r="B102" i="11"/>
  <c r="E101" i="11"/>
  <c r="D101" i="11"/>
  <c r="B101" i="11"/>
  <c r="E100" i="11"/>
  <c r="D100" i="11"/>
  <c r="B100" i="11"/>
  <c r="E99" i="11"/>
  <c r="D99" i="11"/>
  <c r="B99" i="11"/>
  <c r="E98" i="11"/>
  <c r="D98" i="11"/>
  <c r="B98" i="11"/>
  <c r="E97" i="11"/>
  <c r="D97" i="11"/>
  <c r="B97" i="11"/>
  <c r="E96" i="11"/>
  <c r="D96" i="11"/>
  <c r="B96" i="11"/>
  <c r="E95" i="11"/>
  <c r="D95" i="11"/>
  <c r="B95" i="11"/>
  <c r="E94" i="11"/>
  <c r="D94" i="11"/>
  <c r="B94" i="11"/>
  <c r="E93" i="11"/>
  <c r="D93" i="11"/>
  <c r="B93" i="11"/>
  <c r="E92" i="11"/>
  <c r="D92" i="11"/>
  <c r="B92" i="11"/>
  <c r="E91" i="11"/>
  <c r="D91" i="11"/>
  <c r="B91" i="11"/>
  <c r="E90" i="11"/>
  <c r="D90" i="11"/>
  <c r="B90" i="11"/>
  <c r="E89" i="11"/>
  <c r="D89" i="11"/>
  <c r="B89" i="11"/>
  <c r="E88" i="11"/>
  <c r="D88" i="11"/>
  <c r="B88" i="11"/>
  <c r="E87" i="11"/>
  <c r="D87" i="11"/>
  <c r="B87" i="11"/>
  <c r="E86" i="11"/>
  <c r="D86" i="11"/>
  <c r="B86" i="11"/>
  <c r="E85" i="11"/>
  <c r="D85" i="11"/>
  <c r="B85" i="11"/>
  <c r="E84" i="11"/>
  <c r="D84" i="11"/>
  <c r="B84" i="11"/>
  <c r="E83" i="11"/>
  <c r="D83" i="11"/>
  <c r="B83" i="11"/>
  <c r="E82" i="11"/>
  <c r="D82" i="11"/>
  <c r="B82" i="11"/>
  <c r="E81" i="11"/>
  <c r="D81" i="11"/>
  <c r="B81" i="11"/>
  <c r="E80" i="11"/>
  <c r="D80" i="11"/>
  <c r="B80" i="11"/>
  <c r="E79" i="11"/>
  <c r="D79" i="11"/>
  <c r="B79" i="11"/>
  <c r="E78" i="11"/>
  <c r="D78" i="11"/>
  <c r="B78" i="11"/>
  <c r="E77" i="11"/>
  <c r="D77" i="11"/>
  <c r="B77" i="11"/>
  <c r="E76" i="11"/>
  <c r="D76" i="11"/>
  <c r="B76" i="11"/>
  <c r="E75" i="11"/>
  <c r="D75" i="11"/>
  <c r="B75" i="11"/>
  <c r="E74" i="11"/>
  <c r="D74" i="11"/>
  <c r="B74" i="11"/>
  <c r="E73" i="11"/>
  <c r="D73" i="11"/>
  <c r="B73" i="11"/>
  <c r="E72" i="11"/>
  <c r="D72" i="11"/>
  <c r="B72" i="11"/>
  <c r="E71" i="11"/>
  <c r="D71" i="11"/>
  <c r="B71" i="11"/>
  <c r="E70" i="11"/>
  <c r="D70" i="11"/>
  <c r="B70" i="11"/>
  <c r="E69" i="11"/>
  <c r="D69" i="11"/>
  <c r="B69" i="11"/>
  <c r="E68" i="11"/>
  <c r="D68" i="11"/>
  <c r="B68" i="11"/>
  <c r="E67" i="11"/>
  <c r="D67" i="11"/>
  <c r="B67" i="11"/>
  <c r="E66" i="11"/>
  <c r="D66" i="11"/>
  <c r="B66" i="11"/>
  <c r="E65" i="11"/>
  <c r="D65" i="11"/>
  <c r="B65" i="11"/>
  <c r="E64" i="11"/>
  <c r="D64" i="11"/>
  <c r="B64" i="11"/>
  <c r="E63" i="11"/>
  <c r="D63" i="11"/>
  <c r="B63" i="11"/>
  <c r="E62" i="11"/>
  <c r="D62" i="11"/>
  <c r="B62" i="11"/>
  <c r="E61" i="11"/>
  <c r="D61" i="11"/>
  <c r="B61" i="11"/>
  <c r="E60" i="11"/>
  <c r="D60" i="11"/>
  <c r="B60" i="11"/>
  <c r="E59" i="11"/>
  <c r="D59" i="11"/>
  <c r="B59" i="11"/>
  <c r="E58" i="11"/>
  <c r="D58" i="11"/>
  <c r="B58" i="11"/>
  <c r="E57" i="11"/>
  <c r="D57" i="11"/>
  <c r="B57" i="11"/>
  <c r="E56" i="11"/>
  <c r="D56" i="11"/>
  <c r="B56" i="11"/>
  <c r="E55" i="11"/>
  <c r="D55" i="11"/>
  <c r="B55" i="11"/>
  <c r="E54" i="11"/>
  <c r="D54" i="11"/>
  <c r="B54" i="11"/>
  <c r="E53" i="11"/>
  <c r="D53" i="11"/>
  <c r="B53" i="11"/>
  <c r="E52" i="11"/>
  <c r="D52" i="11"/>
  <c r="B52" i="11"/>
  <c r="E51" i="11"/>
  <c r="D51" i="11"/>
  <c r="B51" i="11"/>
  <c r="E50" i="11"/>
  <c r="D50" i="11"/>
  <c r="B50" i="11"/>
  <c r="E49" i="11"/>
  <c r="D49" i="11"/>
  <c r="B49" i="11"/>
  <c r="E48" i="11"/>
  <c r="D48" i="11"/>
  <c r="B48" i="11"/>
  <c r="E47" i="11"/>
  <c r="D47" i="11"/>
  <c r="B47" i="11"/>
  <c r="E46" i="11"/>
  <c r="D46" i="11"/>
  <c r="B46" i="11"/>
  <c r="E45" i="11"/>
  <c r="D45" i="11"/>
  <c r="B45" i="11"/>
  <c r="E44" i="11"/>
  <c r="D44" i="11"/>
  <c r="B44" i="11"/>
  <c r="E43" i="11"/>
  <c r="D43" i="11"/>
  <c r="B43" i="11"/>
  <c r="E42" i="11"/>
  <c r="D42" i="11"/>
  <c r="B42" i="11"/>
  <c r="E41" i="11"/>
  <c r="D41" i="11"/>
  <c r="B41" i="11"/>
  <c r="E40" i="11"/>
  <c r="D40" i="11"/>
  <c r="B40" i="11"/>
  <c r="E39" i="11"/>
  <c r="D39" i="11"/>
  <c r="B39" i="11"/>
  <c r="E38" i="11"/>
  <c r="D38" i="11"/>
  <c r="B38" i="11"/>
  <c r="E37" i="11"/>
  <c r="D37" i="11"/>
  <c r="B37" i="11"/>
  <c r="E36" i="11"/>
  <c r="D36" i="11"/>
  <c r="B36" i="11"/>
  <c r="E35" i="11"/>
  <c r="D35" i="11"/>
  <c r="B35" i="11"/>
  <c r="E34" i="11"/>
  <c r="D34" i="11"/>
  <c r="B34" i="11"/>
  <c r="E33" i="11"/>
  <c r="D33" i="11"/>
  <c r="B33" i="11"/>
  <c r="E32" i="11"/>
  <c r="D32" i="11"/>
  <c r="B32" i="11"/>
  <c r="E31" i="11"/>
  <c r="D31" i="11"/>
  <c r="B31" i="11"/>
  <c r="E30" i="11"/>
  <c r="D30" i="11"/>
  <c r="B30" i="11"/>
  <c r="E29" i="11"/>
  <c r="D29" i="11"/>
  <c r="B29" i="11"/>
  <c r="E28" i="11"/>
  <c r="D28" i="11"/>
  <c r="B28" i="11"/>
  <c r="E27" i="11"/>
  <c r="D27" i="11"/>
  <c r="B27" i="11"/>
  <c r="E26" i="11"/>
  <c r="D26" i="11"/>
  <c r="B26" i="11"/>
  <c r="E25" i="11"/>
  <c r="D25" i="11"/>
  <c r="B25" i="11"/>
  <c r="E24" i="11"/>
  <c r="D24" i="11"/>
  <c r="B24" i="11"/>
  <c r="E23" i="11"/>
  <c r="D23" i="11"/>
  <c r="B23" i="11"/>
  <c r="E22" i="11"/>
  <c r="D22" i="11"/>
  <c r="B22" i="11"/>
  <c r="E21" i="11"/>
  <c r="D21" i="11"/>
  <c r="B21" i="11"/>
  <c r="E20" i="11"/>
  <c r="D20" i="11"/>
  <c r="B20" i="11"/>
  <c r="E19" i="11"/>
  <c r="D19" i="11"/>
  <c r="B19" i="11"/>
  <c r="E18" i="11"/>
  <c r="D18" i="11"/>
  <c r="B18" i="11"/>
  <c r="E17" i="11"/>
  <c r="D17" i="11"/>
  <c r="B17" i="11"/>
  <c r="E16" i="11"/>
  <c r="D16" i="11"/>
  <c r="B16" i="11"/>
  <c r="E15" i="11"/>
  <c r="D15" i="11"/>
  <c r="B15" i="11"/>
  <c r="E14" i="11"/>
  <c r="D14" i="11"/>
  <c r="B14" i="11"/>
  <c r="E13" i="11"/>
  <c r="D13" i="11"/>
  <c r="B13" i="11"/>
  <c r="E12" i="11"/>
  <c r="D12" i="11"/>
  <c r="B12" i="11"/>
  <c r="E11" i="11"/>
  <c r="D11" i="11"/>
  <c r="B11" i="11"/>
  <c r="E10" i="11"/>
  <c r="D10" i="11"/>
  <c r="B10" i="11"/>
  <c r="E9" i="11"/>
  <c r="D9" i="11"/>
  <c r="B9" i="11"/>
  <c r="E8" i="11"/>
  <c r="D8" i="11"/>
  <c r="B8" i="11"/>
  <c r="E7" i="11"/>
  <c r="D7" i="11"/>
  <c r="B7" i="11"/>
  <c r="E6" i="11"/>
  <c r="D6" i="11"/>
  <c r="B6" i="11"/>
  <c r="E5" i="11"/>
  <c r="D5" i="11"/>
  <c r="B5" i="11"/>
  <c r="E4" i="11"/>
  <c r="D4" i="11"/>
  <c r="B4" i="11"/>
  <c r="E25" i="10"/>
  <c r="D25" i="10"/>
  <c r="B25" i="10"/>
  <c r="E24" i="10"/>
  <c r="D24" i="10"/>
  <c r="B24" i="10"/>
  <c r="E23" i="10"/>
  <c r="D23" i="10"/>
  <c r="B23" i="10"/>
  <c r="E22" i="10"/>
  <c r="D22" i="10"/>
  <c r="B22" i="10"/>
  <c r="E21" i="10"/>
  <c r="D21" i="10"/>
  <c r="B21" i="10"/>
  <c r="E20" i="10"/>
  <c r="D20" i="10"/>
  <c r="B20" i="10"/>
  <c r="E19" i="10"/>
  <c r="D19" i="10"/>
  <c r="B19" i="10"/>
  <c r="E18" i="10"/>
  <c r="D18" i="10"/>
  <c r="B18" i="10"/>
  <c r="E17" i="10"/>
  <c r="D17" i="10"/>
  <c r="B17" i="10"/>
  <c r="E16" i="10"/>
  <c r="D16" i="10"/>
  <c r="B16" i="10"/>
  <c r="E15" i="10"/>
  <c r="D15" i="10"/>
  <c r="B15" i="10"/>
  <c r="E14" i="10"/>
  <c r="D14" i="10"/>
  <c r="B14" i="10"/>
  <c r="E13" i="10"/>
  <c r="D13" i="10"/>
  <c r="B13" i="10"/>
  <c r="E12" i="10"/>
  <c r="D12" i="10"/>
  <c r="B12" i="10"/>
  <c r="E11" i="10"/>
  <c r="D11" i="10"/>
  <c r="B11" i="10"/>
  <c r="E10" i="10"/>
  <c r="D10" i="10"/>
  <c r="B10" i="10"/>
  <c r="E9" i="10"/>
  <c r="D9" i="10"/>
  <c r="B9" i="10"/>
  <c r="E8" i="10"/>
  <c r="D8" i="10"/>
  <c r="B8" i="10"/>
  <c r="E7" i="10"/>
  <c r="D7" i="10"/>
  <c r="B7" i="10"/>
  <c r="E6" i="10"/>
  <c r="D6" i="10"/>
  <c r="B6" i="10"/>
  <c r="E5" i="10"/>
  <c r="D5" i="10"/>
  <c r="B5" i="10"/>
  <c r="E4" i="10"/>
  <c r="D4" i="10"/>
  <c r="B4" i="10"/>
  <c r="E64" i="6"/>
  <c r="D64" i="6"/>
  <c r="B64" i="6"/>
  <c r="E63" i="6"/>
  <c r="D63" i="6"/>
  <c r="B63" i="6"/>
  <c r="E62" i="6"/>
  <c r="D62" i="6"/>
  <c r="B62" i="6"/>
  <c r="E61" i="6"/>
  <c r="D61" i="6"/>
  <c r="B61" i="6"/>
  <c r="E60" i="6"/>
  <c r="D60" i="6"/>
  <c r="B60" i="6"/>
  <c r="E59" i="6"/>
  <c r="D59" i="6"/>
  <c r="B59" i="6"/>
  <c r="E58" i="6"/>
  <c r="D58" i="6"/>
  <c r="B58" i="6"/>
  <c r="E57" i="6"/>
  <c r="D57" i="6"/>
  <c r="B57" i="6"/>
  <c r="E56" i="6"/>
  <c r="D56" i="6"/>
  <c r="B56" i="6"/>
  <c r="E55" i="6"/>
  <c r="D55" i="6"/>
  <c r="B55" i="6"/>
  <c r="E54" i="6"/>
  <c r="D54" i="6"/>
  <c r="B54" i="6"/>
  <c r="E53" i="6"/>
  <c r="D53" i="6"/>
  <c r="B53" i="6"/>
  <c r="E52" i="6"/>
  <c r="D52" i="6"/>
  <c r="B52" i="6"/>
  <c r="E51" i="6"/>
  <c r="D51" i="6"/>
  <c r="B51" i="6"/>
  <c r="E50" i="6"/>
  <c r="D50" i="6"/>
  <c r="B50" i="6"/>
  <c r="E49" i="6"/>
  <c r="D49" i="6"/>
  <c r="B49" i="6"/>
  <c r="E48" i="6"/>
  <c r="D48" i="6"/>
  <c r="B48" i="6"/>
  <c r="E47" i="6"/>
  <c r="D47" i="6"/>
  <c r="B47" i="6"/>
  <c r="E46" i="6"/>
  <c r="D46" i="6"/>
  <c r="B46" i="6"/>
  <c r="E45" i="6"/>
  <c r="D45" i="6"/>
  <c r="B45" i="6"/>
  <c r="E44" i="6"/>
  <c r="D44" i="6"/>
  <c r="B44" i="6"/>
  <c r="E43" i="6"/>
  <c r="D43" i="6"/>
  <c r="B43" i="6"/>
  <c r="E42" i="6"/>
  <c r="D42" i="6"/>
  <c r="B42" i="6"/>
  <c r="E41" i="6"/>
  <c r="D41" i="6"/>
  <c r="B41" i="6"/>
  <c r="E40" i="6"/>
  <c r="D40" i="6"/>
  <c r="B40" i="6"/>
  <c r="E39" i="6"/>
  <c r="D39" i="6"/>
  <c r="B39" i="6"/>
  <c r="E38" i="6"/>
  <c r="D38" i="6"/>
  <c r="B38" i="6"/>
  <c r="E37" i="6"/>
  <c r="D37" i="6"/>
  <c r="B37" i="6"/>
  <c r="E36" i="6"/>
  <c r="D36" i="6"/>
  <c r="B36" i="6"/>
  <c r="E35" i="6"/>
  <c r="D35" i="6"/>
  <c r="B35" i="6"/>
  <c r="E34" i="6"/>
  <c r="D34" i="6"/>
  <c r="B34" i="6"/>
  <c r="E33" i="6"/>
  <c r="D33" i="6"/>
  <c r="B33" i="6"/>
  <c r="E32" i="6"/>
  <c r="D32" i="6"/>
  <c r="B32" i="6"/>
  <c r="E31" i="6"/>
  <c r="D31" i="6"/>
  <c r="B31" i="6"/>
  <c r="E30" i="6"/>
  <c r="D30" i="6"/>
  <c r="B30" i="6"/>
  <c r="E29" i="6"/>
  <c r="D29" i="6"/>
  <c r="B29" i="6"/>
  <c r="E28" i="6"/>
  <c r="D28" i="6"/>
  <c r="B28" i="6"/>
  <c r="E27" i="6"/>
  <c r="D27" i="6"/>
  <c r="B27" i="6"/>
  <c r="E26" i="6"/>
  <c r="D26" i="6"/>
  <c r="B26" i="6"/>
  <c r="E25" i="6"/>
  <c r="D25" i="6"/>
  <c r="B25" i="6"/>
  <c r="E24" i="6"/>
  <c r="D24" i="6"/>
  <c r="B24" i="6"/>
  <c r="E23" i="6"/>
  <c r="D23" i="6"/>
  <c r="B23" i="6"/>
  <c r="E22" i="6"/>
  <c r="D22" i="6"/>
  <c r="B22" i="6"/>
  <c r="E21" i="6"/>
  <c r="D21" i="6"/>
  <c r="B21" i="6"/>
  <c r="E20" i="6"/>
  <c r="D20" i="6"/>
  <c r="B20" i="6"/>
  <c r="E19" i="6"/>
  <c r="D19" i="6"/>
  <c r="B19" i="6"/>
  <c r="E18" i="6"/>
  <c r="D18" i="6"/>
  <c r="B18" i="6"/>
  <c r="E17" i="6"/>
  <c r="D17" i="6"/>
  <c r="B17" i="6"/>
  <c r="E16" i="6"/>
  <c r="D16" i="6"/>
  <c r="B16" i="6"/>
  <c r="E15" i="6"/>
  <c r="D15" i="6"/>
  <c r="B15" i="6"/>
  <c r="E14" i="6"/>
  <c r="D14" i="6"/>
  <c r="B14" i="6"/>
  <c r="E13" i="6"/>
  <c r="D13" i="6"/>
  <c r="B13" i="6"/>
  <c r="E12" i="6"/>
  <c r="D12" i="6"/>
  <c r="B12" i="6"/>
  <c r="E11" i="6"/>
  <c r="D11" i="6"/>
  <c r="B11" i="6"/>
  <c r="E10" i="6"/>
  <c r="D10" i="6"/>
  <c r="B10" i="6"/>
  <c r="E9" i="6"/>
  <c r="D9" i="6"/>
  <c r="B9" i="6"/>
  <c r="E8" i="6"/>
  <c r="D8" i="6"/>
  <c r="B8" i="6"/>
  <c r="E7" i="6"/>
  <c r="D7" i="6"/>
  <c r="B7" i="6"/>
  <c r="E6" i="6"/>
  <c r="D6" i="6"/>
  <c r="B6" i="6"/>
  <c r="E5" i="6"/>
  <c r="D5" i="6"/>
  <c r="B5" i="6"/>
  <c r="E4" i="6"/>
  <c r="D4" i="6"/>
  <c r="B4" i="6"/>
  <c r="E30" i="5"/>
  <c r="D30" i="5"/>
  <c r="B30" i="5"/>
  <c r="E29" i="5"/>
  <c r="D29" i="5"/>
  <c r="B29" i="5"/>
  <c r="E28" i="5"/>
  <c r="D28" i="5"/>
  <c r="B28" i="5"/>
  <c r="E27" i="5"/>
  <c r="D27" i="5"/>
  <c r="B27" i="5"/>
  <c r="E26" i="5"/>
  <c r="D26" i="5"/>
  <c r="B26" i="5"/>
  <c r="E25" i="5"/>
  <c r="D25" i="5"/>
  <c r="B25" i="5"/>
  <c r="E24" i="5"/>
  <c r="D24" i="5"/>
  <c r="B24" i="5"/>
  <c r="E23" i="5"/>
  <c r="D23" i="5"/>
  <c r="B23" i="5"/>
  <c r="E22" i="5"/>
  <c r="D22" i="5"/>
  <c r="B22" i="5"/>
  <c r="E21" i="5"/>
  <c r="D21" i="5"/>
  <c r="B21" i="5"/>
  <c r="E20" i="5"/>
  <c r="D20" i="5"/>
  <c r="B20" i="5"/>
  <c r="E19" i="5"/>
  <c r="D19" i="5"/>
  <c r="B19" i="5"/>
  <c r="E18" i="5"/>
  <c r="D18" i="5"/>
  <c r="B18" i="5"/>
  <c r="E17" i="5"/>
  <c r="D17" i="5"/>
  <c r="B17" i="5"/>
  <c r="E16" i="5"/>
  <c r="D16" i="5"/>
  <c r="B16" i="5"/>
  <c r="E15" i="5"/>
  <c r="D15" i="5"/>
  <c r="B15" i="5"/>
  <c r="E14" i="5"/>
  <c r="D14" i="5"/>
  <c r="B14" i="5"/>
  <c r="E13" i="5"/>
  <c r="D13" i="5"/>
  <c r="B13" i="5"/>
  <c r="E12" i="5"/>
  <c r="D12" i="5"/>
  <c r="B12" i="5"/>
  <c r="E11" i="5"/>
  <c r="D11" i="5"/>
  <c r="B11" i="5"/>
  <c r="E10" i="5"/>
  <c r="D10" i="5"/>
  <c r="B10" i="5"/>
  <c r="E9" i="5"/>
  <c r="D9" i="5"/>
  <c r="B9" i="5"/>
  <c r="E8" i="5"/>
  <c r="D8" i="5"/>
  <c r="B8" i="5"/>
  <c r="E7" i="5"/>
  <c r="D7" i="5"/>
  <c r="B7" i="5"/>
  <c r="E6" i="5"/>
  <c r="D6" i="5"/>
  <c r="B6" i="5"/>
  <c r="E5" i="5"/>
  <c r="D5" i="5"/>
  <c r="B5" i="5"/>
  <c r="E4" i="5"/>
  <c r="D4" i="5"/>
  <c r="B4" i="5"/>
  <c r="E9" i="4"/>
  <c r="D9" i="4"/>
  <c r="B9" i="4"/>
  <c r="E8" i="4"/>
  <c r="D8" i="4"/>
  <c r="B8" i="4"/>
  <c r="E7" i="4"/>
  <c r="D7" i="4"/>
  <c r="B7" i="4"/>
  <c r="E6" i="4"/>
  <c r="D6" i="4"/>
  <c r="B6" i="4"/>
  <c r="E5" i="4"/>
  <c r="D5" i="4"/>
  <c r="B5" i="4"/>
  <c r="E4" i="4"/>
  <c r="D4" i="4"/>
  <c r="B4" i="4"/>
  <c r="E13" i="3"/>
  <c r="D13" i="3"/>
  <c r="B13" i="3"/>
  <c r="E12" i="3"/>
  <c r="D12" i="3"/>
  <c r="B12" i="3"/>
  <c r="E11" i="3"/>
  <c r="D11" i="3"/>
  <c r="B11" i="3"/>
  <c r="E10" i="3"/>
  <c r="D10" i="3"/>
  <c r="B10" i="3"/>
  <c r="E9" i="3"/>
  <c r="D9" i="3"/>
  <c r="B9" i="3"/>
  <c r="E8" i="3"/>
  <c r="D8" i="3"/>
  <c r="B8" i="3"/>
  <c r="E7" i="3"/>
  <c r="D7" i="3"/>
  <c r="B7" i="3"/>
  <c r="E6" i="3"/>
  <c r="D6" i="3"/>
  <c r="B6" i="3"/>
  <c r="E5" i="3"/>
  <c r="D5" i="3"/>
  <c r="B5" i="3"/>
  <c r="E4" i="3"/>
  <c r="D4" i="3"/>
  <c r="B4" i="3"/>
  <c r="E45" i="2"/>
  <c r="D45" i="2"/>
  <c r="B45" i="2"/>
  <c r="E44" i="2"/>
  <c r="D44" i="2"/>
  <c r="B44" i="2"/>
  <c r="E43" i="2"/>
  <c r="D43" i="2"/>
  <c r="B43" i="2"/>
  <c r="E42" i="2"/>
  <c r="D42" i="2"/>
  <c r="B42" i="2"/>
  <c r="E41" i="2"/>
  <c r="D41" i="2"/>
  <c r="B41" i="2"/>
  <c r="E40" i="2"/>
  <c r="D40" i="2"/>
  <c r="B40" i="2"/>
  <c r="E39" i="2"/>
  <c r="D39" i="2"/>
  <c r="B39" i="2"/>
  <c r="E38" i="2"/>
  <c r="D38" i="2"/>
  <c r="B38" i="2"/>
  <c r="E37" i="2"/>
  <c r="D37" i="2"/>
  <c r="B37" i="2"/>
  <c r="E36" i="2"/>
  <c r="D36" i="2"/>
  <c r="B36" i="2"/>
  <c r="E35" i="2"/>
  <c r="D35" i="2"/>
  <c r="B35" i="2"/>
  <c r="E34" i="2"/>
  <c r="D34" i="2"/>
  <c r="B34" i="2"/>
  <c r="E33" i="2"/>
  <c r="D33" i="2"/>
  <c r="B33" i="2"/>
  <c r="E32" i="2"/>
  <c r="D32" i="2"/>
  <c r="B32" i="2"/>
  <c r="E31" i="2"/>
  <c r="D31" i="2"/>
  <c r="B31" i="2"/>
  <c r="E30" i="2"/>
  <c r="D30" i="2"/>
  <c r="B30" i="2"/>
  <c r="E29" i="2"/>
  <c r="D29" i="2"/>
  <c r="B29" i="2"/>
  <c r="E28" i="2"/>
  <c r="D28" i="2"/>
  <c r="B28" i="2"/>
  <c r="E27" i="2"/>
  <c r="D27" i="2"/>
  <c r="B27" i="2"/>
  <c r="E26" i="2"/>
  <c r="D26" i="2"/>
  <c r="B26" i="2"/>
  <c r="E25" i="2"/>
  <c r="D25" i="2"/>
  <c r="B25" i="2"/>
  <c r="E24" i="2"/>
  <c r="D24" i="2"/>
  <c r="B24" i="2"/>
  <c r="E23" i="2"/>
  <c r="D23" i="2"/>
  <c r="B23" i="2"/>
  <c r="E22" i="2"/>
  <c r="D22" i="2"/>
  <c r="B22" i="2"/>
  <c r="E21" i="2"/>
  <c r="D21" i="2"/>
  <c r="B21" i="2"/>
  <c r="E20" i="2"/>
  <c r="D20" i="2"/>
  <c r="B20" i="2"/>
  <c r="E19" i="2"/>
  <c r="D19" i="2"/>
  <c r="B19" i="2"/>
  <c r="E18" i="2"/>
  <c r="D18" i="2"/>
  <c r="B18" i="2"/>
  <c r="E17" i="2"/>
  <c r="D17" i="2"/>
  <c r="B17" i="2"/>
  <c r="E16" i="2"/>
  <c r="D16" i="2"/>
  <c r="B16" i="2"/>
  <c r="E15" i="2"/>
  <c r="D15" i="2"/>
  <c r="B15" i="2"/>
  <c r="E14" i="2"/>
  <c r="D14" i="2"/>
  <c r="B14" i="2"/>
  <c r="E13" i="2"/>
  <c r="D13" i="2"/>
  <c r="B13" i="2"/>
  <c r="E12" i="2"/>
  <c r="D12" i="2"/>
  <c r="B12" i="2"/>
  <c r="E11" i="2"/>
  <c r="D11" i="2"/>
  <c r="B11" i="2"/>
  <c r="E10" i="2"/>
  <c r="D10" i="2"/>
  <c r="B10" i="2"/>
  <c r="E9" i="2"/>
  <c r="D9" i="2"/>
  <c r="B9" i="2"/>
  <c r="E8" i="2"/>
  <c r="D8" i="2"/>
  <c r="B8" i="2"/>
  <c r="E7" i="2"/>
  <c r="D7" i="2"/>
  <c r="B7" i="2"/>
  <c r="E6" i="2"/>
  <c r="D6" i="2"/>
  <c r="B6" i="2"/>
  <c r="E5" i="2"/>
  <c r="D5" i="2"/>
  <c r="B5" i="2"/>
  <c r="E4" i="2"/>
  <c r="D4" i="2"/>
  <c r="B4" i="2"/>
  <c r="E23" i="18"/>
  <c r="D23" i="18"/>
  <c r="B23" i="18"/>
  <c r="E22" i="18"/>
  <c r="D22" i="18"/>
  <c r="B22" i="18"/>
  <c r="E21" i="18"/>
  <c r="D21" i="18"/>
  <c r="B21" i="18"/>
  <c r="E20" i="18"/>
  <c r="D20" i="18"/>
  <c r="B20" i="18"/>
  <c r="E19" i="18"/>
  <c r="D19" i="18"/>
  <c r="B19" i="18"/>
  <c r="E18" i="18"/>
  <c r="D18" i="18"/>
  <c r="B18" i="18"/>
  <c r="E17" i="18"/>
  <c r="D17" i="18"/>
  <c r="B17" i="18"/>
  <c r="E16" i="18"/>
  <c r="D16" i="18"/>
  <c r="B16" i="18"/>
  <c r="E15" i="18"/>
  <c r="D15" i="18"/>
  <c r="B15" i="18"/>
  <c r="E14" i="18"/>
  <c r="D14" i="18"/>
  <c r="B14" i="18"/>
  <c r="E13" i="18"/>
  <c r="D13" i="18"/>
  <c r="B13" i="18"/>
  <c r="E12" i="18"/>
  <c r="D12" i="18"/>
  <c r="B12" i="18"/>
  <c r="E11" i="18"/>
  <c r="D11" i="18"/>
  <c r="B11" i="18"/>
  <c r="E10" i="18"/>
  <c r="D10" i="18"/>
  <c r="B10" i="18"/>
  <c r="E9" i="18"/>
  <c r="D9" i="18"/>
  <c r="B9" i="18"/>
  <c r="E8" i="18"/>
  <c r="D8" i="18"/>
  <c r="B8" i="18"/>
  <c r="E7" i="18"/>
  <c r="D7" i="18"/>
  <c r="B7" i="18"/>
  <c r="E6" i="18"/>
  <c r="D6" i="18"/>
  <c r="B6" i="18"/>
  <c r="E5" i="18"/>
  <c r="D5" i="18"/>
  <c r="B5" i="18"/>
  <c r="E4" i="18"/>
  <c r="D4" i="18"/>
  <c r="B4" i="18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  <c r="E9" i="1"/>
  <c r="D9" i="1"/>
  <c r="B9" i="1"/>
  <c r="E8" i="1"/>
  <c r="D8" i="1"/>
  <c r="B8" i="1"/>
  <c r="E7" i="1"/>
  <c r="D7" i="1"/>
  <c r="B7" i="1"/>
  <c r="E6" i="1"/>
  <c r="D6" i="1"/>
  <c r="B6" i="1"/>
  <c r="E5" i="1"/>
  <c r="D5" i="1"/>
  <c r="B5" i="1"/>
  <c r="E4" i="1"/>
  <c r="D4" i="1"/>
  <c r="B4" i="1"/>
</calcChain>
</file>

<file path=xl/sharedStrings.xml><?xml version="1.0" encoding="utf-8"?>
<sst xmlns="http://schemas.openxmlformats.org/spreadsheetml/2006/main" count="10264" uniqueCount="2346">
  <si>
    <t>文昌市2021年教师、医务人员招聘报名资格初审通过人员名单</t>
  </si>
  <si>
    <t>序号</t>
  </si>
  <si>
    <t>报考号</t>
  </si>
  <si>
    <t>报考岗位</t>
  </si>
  <si>
    <t>姓名</t>
  </si>
  <si>
    <t>性别</t>
  </si>
  <si>
    <t>身份证后四位</t>
  </si>
  <si>
    <t>0101_高中政治</t>
  </si>
  <si>
    <t>251X</t>
  </si>
  <si>
    <t>1023</t>
  </si>
  <si>
    <t>2943</t>
  </si>
  <si>
    <t>5820</t>
  </si>
  <si>
    <t>1522</t>
  </si>
  <si>
    <t>4445</t>
  </si>
  <si>
    <t>1526</t>
  </si>
  <si>
    <t>0014</t>
  </si>
  <si>
    <t>0628</t>
  </si>
  <si>
    <t>0647</t>
  </si>
  <si>
    <t>1549</t>
  </si>
  <si>
    <t>1823</t>
  </si>
  <si>
    <t>1307</t>
  </si>
  <si>
    <t>6425</t>
  </si>
  <si>
    <t>5926</t>
  </si>
  <si>
    <t>2228</t>
  </si>
  <si>
    <t>4443</t>
  </si>
  <si>
    <t>3220</t>
  </si>
  <si>
    <t>2100</t>
  </si>
  <si>
    <t>0828</t>
  </si>
  <si>
    <t>2920</t>
  </si>
  <si>
    <t>3320</t>
  </si>
  <si>
    <t>0027</t>
  </si>
  <si>
    <t>0029</t>
  </si>
  <si>
    <t>0924</t>
  </si>
  <si>
    <t>5767</t>
  </si>
  <si>
    <t>5221</t>
  </si>
  <si>
    <t>3427</t>
  </si>
  <si>
    <t>0620</t>
  </si>
  <si>
    <t>002X</t>
  </si>
  <si>
    <t>0428</t>
  </si>
  <si>
    <t>0044</t>
  </si>
  <si>
    <t>4185</t>
  </si>
  <si>
    <t>0847</t>
  </si>
  <si>
    <t>1529</t>
  </si>
  <si>
    <t>0023</t>
  </si>
  <si>
    <t>0020</t>
  </si>
  <si>
    <t>1206</t>
  </si>
  <si>
    <t>1826</t>
  </si>
  <si>
    <t>5434</t>
  </si>
  <si>
    <t>0826</t>
  </si>
  <si>
    <t>2985</t>
  </si>
  <si>
    <t>3322</t>
  </si>
  <si>
    <t>5262</t>
  </si>
  <si>
    <t>3543</t>
  </si>
  <si>
    <t>4826</t>
  </si>
  <si>
    <t>3928</t>
  </si>
  <si>
    <t>0201_高中数学</t>
  </si>
  <si>
    <t>3224</t>
  </si>
  <si>
    <t>2441</t>
  </si>
  <si>
    <t>0329</t>
  </si>
  <si>
    <t>2226</t>
  </si>
  <si>
    <t>3016</t>
  </si>
  <si>
    <t>4125</t>
  </si>
  <si>
    <t>5120</t>
  </si>
  <si>
    <t>3626</t>
  </si>
  <si>
    <t>2123</t>
  </si>
  <si>
    <t>5023</t>
  </si>
  <si>
    <t>5222</t>
  </si>
  <si>
    <t>2443</t>
  </si>
  <si>
    <t>0528</t>
  </si>
  <si>
    <t>5526</t>
  </si>
  <si>
    <t>2924</t>
  </si>
  <si>
    <t>2323</t>
  </si>
  <si>
    <t>0216</t>
  </si>
  <si>
    <t>0946</t>
  </si>
  <si>
    <t>4024</t>
  </si>
  <si>
    <t>1962</t>
  </si>
  <si>
    <t>0202_高中英语</t>
  </si>
  <si>
    <t>2720</t>
  </si>
  <si>
    <t>0344</t>
  </si>
  <si>
    <t>3621</t>
  </si>
  <si>
    <t>042X</t>
  </si>
  <si>
    <t>3225</t>
  </si>
  <si>
    <t>7475</t>
  </si>
  <si>
    <t>5363</t>
  </si>
  <si>
    <t>5625</t>
  </si>
  <si>
    <t>0421</t>
  </si>
  <si>
    <t>1269</t>
  </si>
  <si>
    <t>4448</t>
  </si>
  <si>
    <t>7224</t>
  </si>
  <si>
    <t>196X</t>
  </si>
  <si>
    <t>2845</t>
  </si>
  <si>
    <t>122X</t>
  </si>
  <si>
    <t>8424</t>
  </si>
  <si>
    <t>0529</t>
  </si>
  <si>
    <t>6228</t>
  </si>
  <si>
    <t>3728</t>
  </si>
  <si>
    <t>1422</t>
  </si>
  <si>
    <t>7826</t>
  </si>
  <si>
    <t>3326</t>
  </si>
  <si>
    <t>2227</t>
  </si>
  <si>
    <t>2727</t>
  </si>
  <si>
    <t>412X</t>
  </si>
  <si>
    <t>5127</t>
  </si>
  <si>
    <t>2526</t>
  </si>
  <si>
    <t>1513</t>
  </si>
  <si>
    <t>5228</t>
  </si>
  <si>
    <t>0626</t>
  </si>
  <si>
    <t>4268</t>
  </si>
  <si>
    <t>182X</t>
  </si>
  <si>
    <t>7227</t>
  </si>
  <si>
    <t>0238</t>
  </si>
  <si>
    <t>2723</t>
  </si>
  <si>
    <t>1449</t>
  </si>
  <si>
    <t>7703</t>
  </si>
  <si>
    <t>5925</t>
  </si>
  <si>
    <t>1843</t>
  </si>
  <si>
    <t>0301_高中音乐1</t>
  </si>
  <si>
    <t>2196</t>
  </si>
  <si>
    <t>5129</t>
  </si>
  <si>
    <t>2719</t>
  </si>
  <si>
    <t>1616</t>
  </si>
  <si>
    <t>6620</t>
  </si>
  <si>
    <t>5227</t>
  </si>
  <si>
    <t>212X</t>
  </si>
  <si>
    <t>214X</t>
  </si>
  <si>
    <t>5152</t>
  </si>
  <si>
    <t>1511</t>
  </si>
  <si>
    <t>0302_高中音乐2</t>
  </si>
  <si>
    <t>2880</t>
  </si>
  <si>
    <t>3286</t>
  </si>
  <si>
    <t>3525</t>
  </si>
  <si>
    <t>0024</t>
  </si>
  <si>
    <t>6629</t>
  </si>
  <si>
    <t>0303_高中历史</t>
  </si>
  <si>
    <t>4822</t>
  </si>
  <si>
    <t>4714</t>
  </si>
  <si>
    <t>4729</t>
  </si>
  <si>
    <t>3429</t>
  </si>
  <si>
    <t>0043</t>
  </si>
  <si>
    <t>0328</t>
  </si>
  <si>
    <t>0022</t>
  </si>
  <si>
    <t>5621</t>
  </si>
  <si>
    <t>3481</t>
  </si>
  <si>
    <t>2823</t>
  </si>
  <si>
    <t>2725</t>
  </si>
  <si>
    <t>7666</t>
  </si>
  <si>
    <t>1245</t>
  </si>
  <si>
    <t>0041</t>
  </si>
  <si>
    <t>8029</t>
  </si>
  <si>
    <t>4441</t>
  </si>
  <si>
    <t>2120</t>
  </si>
  <si>
    <t>1042</t>
  </si>
  <si>
    <t>0028</t>
  </si>
  <si>
    <t>0034</t>
  </si>
  <si>
    <t>4063</t>
  </si>
  <si>
    <t>242X</t>
  </si>
  <si>
    <t>0304_高中地理</t>
  </si>
  <si>
    <t>4827</t>
  </si>
  <si>
    <t>6028</t>
  </si>
  <si>
    <t>7484</t>
  </si>
  <si>
    <t>0026</t>
  </si>
  <si>
    <t>512X</t>
  </si>
  <si>
    <t>3035</t>
  </si>
  <si>
    <t>1783</t>
  </si>
  <si>
    <t>3368</t>
  </si>
  <si>
    <t>2025</t>
  </si>
  <si>
    <t>3421</t>
  </si>
  <si>
    <t>0325</t>
  </si>
  <si>
    <t>3442</t>
  </si>
  <si>
    <t>3213</t>
  </si>
  <si>
    <t>6836</t>
  </si>
  <si>
    <t>4964</t>
  </si>
  <si>
    <t>1528</t>
  </si>
  <si>
    <t>6021</t>
  </si>
  <si>
    <t>3100</t>
  </si>
  <si>
    <t>6220</t>
  </si>
  <si>
    <t>5249</t>
  </si>
  <si>
    <t>3426</t>
  </si>
  <si>
    <t>2306</t>
  </si>
  <si>
    <t>0925</t>
  </si>
  <si>
    <t>164X</t>
  </si>
  <si>
    <t>3570</t>
  </si>
  <si>
    <t>0853</t>
  </si>
  <si>
    <t>0046</t>
  </si>
  <si>
    <t>1621</t>
  </si>
  <si>
    <t>1514</t>
  </si>
  <si>
    <t>522X</t>
  </si>
  <si>
    <t>4369</t>
  </si>
  <si>
    <t>1424</t>
  </si>
  <si>
    <t>4686</t>
  </si>
  <si>
    <t>5821</t>
  </si>
  <si>
    <t>3226</t>
  </si>
  <si>
    <t>2524</t>
  </si>
  <si>
    <t>706X</t>
  </si>
  <si>
    <t>4820</t>
  </si>
  <si>
    <t>1822</t>
  </si>
  <si>
    <t>2022</t>
  </si>
  <si>
    <t>1629</t>
  </si>
  <si>
    <t>1452</t>
  </si>
  <si>
    <t>3305</t>
  </si>
  <si>
    <t>5225</t>
  </si>
  <si>
    <t>3603</t>
  </si>
  <si>
    <t>5369</t>
  </si>
  <si>
    <t>7684</t>
  </si>
  <si>
    <t>6018</t>
  </si>
  <si>
    <t>0823</t>
  </si>
  <si>
    <t>2316</t>
  </si>
  <si>
    <t>3587</t>
  </si>
  <si>
    <t>0426</t>
  </si>
  <si>
    <t>0305_高中美术</t>
  </si>
  <si>
    <t>0345</t>
  </si>
  <si>
    <t>0311</t>
  </si>
  <si>
    <t>0614</t>
  </si>
  <si>
    <t>2824</t>
  </si>
  <si>
    <t>3934</t>
  </si>
  <si>
    <t>1419</t>
  </si>
  <si>
    <t>2816</t>
  </si>
  <si>
    <t>0363</t>
  </si>
  <si>
    <t>5428</t>
  </si>
  <si>
    <t>1221</t>
  </si>
  <si>
    <t>6871</t>
  </si>
  <si>
    <t>4040</t>
  </si>
  <si>
    <t>0013</t>
  </si>
  <si>
    <t>0220</t>
  </si>
  <si>
    <t>0085</t>
  </si>
  <si>
    <t>4429</t>
  </si>
  <si>
    <t>3028</t>
  </si>
  <si>
    <t>6412</t>
  </si>
  <si>
    <t>0749</t>
  </si>
  <si>
    <t>6326</t>
  </si>
  <si>
    <t>0189</t>
  </si>
  <si>
    <t>0306_高中生物</t>
  </si>
  <si>
    <t>4689</t>
  </si>
  <si>
    <t>4366</t>
  </si>
  <si>
    <t>0520</t>
  </si>
  <si>
    <t>2729</t>
  </si>
  <si>
    <t>2623</t>
  </si>
  <si>
    <t>0514</t>
  </si>
  <si>
    <t>3824</t>
  </si>
  <si>
    <t>472X</t>
  </si>
  <si>
    <t>1929</t>
  </si>
  <si>
    <t>0665</t>
  </si>
  <si>
    <t>0019</t>
  </si>
  <si>
    <t>4647</t>
  </si>
  <si>
    <t>2241</t>
  </si>
  <si>
    <t>6527</t>
  </si>
  <si>
    <t>3461</t>
  </si>
  <si>
    <t>0326</t>
  </si>
  <si>
    <t>4821</t>
  </si>
  <si>
    <t>3029</t>
  </si>
  <si>
    <t>0021</t>
  </si>
  <si>
    <t>5089</t>
  </si>
  <si>
    <t>562X</t>
  </si>
  <si>
    <t>496X</t>
  </si>
  <si>
    <t>0089</t>
  </si>
  <si>
    <t>7325</t>
  </si>
  <si>
    <t>442X</t>
  </si>
  <si>
    <t>3069</t>
  </si>
  <si>
    <t>2320</t>
  </si>
  <si>
    <t>2329</t>
  </si>
  <si>
    <t>0442</t>
  </si>
  <si>
    <t>3420</t>
  </si>
  <si>
    <t>5146</t>
  </si>
  <si>
    <t>4549</t>
  </si>
  <si>
    <t>6842</t>
  </si>
  <si>
    <t>7823</t>
  </si>
  <si>
    <t>2726</t>
  </si>
  <si>
    <t>4920</t>
  </si>
  <si>
    <t>324X</t>
  </si>
  <si>
    <t>5080</t>
  </si>
  <si>
    <t>094X</t>
  </si>
  <si>
    <t>4446</t>
  </si>
  <si>
    <t>1642</t>
  </si>
  <si>
    <t>4844</t>
  </si>
  <si>
    <t>0943</t>
  </si>
  <si>
    <t>4368</t>
  </si>
  <si>
    <t>162X</t>
  </si>
  <si>
    <t>0840</t>
  </si>
  <si>
    <t>424X</t>
  </si>
  <si>
    <t>4748</t>
  </si>
  <si>
    <t>3222</t>
  </si>
  <si>
    <t>0370</t>
  </si>
  <si>
    <t>7026</t>
  </si>
  <si>
    <t>2040</t>
  </si>
  <si>
    <t>006X</t>
  </si>
  <si>
    <t>5121</t>
  </si>
  <si>
    <t>2888</t>
  </si>
  <si>
    <t>7623</t>
  </si>
  <si>
    <t>5112</t>
  </si>
  <si>
    <t>586X</t>
  </si>
  <si>
    <t>2648</t>
  </si>
  <si>
    <t>2424</t>
  </si>
  <si>
    <t>0327</t>
  </si>
  <si>
    <t>6022</t>
  </si>
  <si>
    <t>3563</t>
  </si>
  <si>
    <t>2921</t>
  </si>
  <si>
    <t>1143</t>
  </si>
  <si>
    <t>7226</t>
  </si>
  <si>
    <t>2628</t>
  </si>
  <si>
    <t>4062</t>
  </si>
  <si>
    <t>3825</t>
  </si>
  <si>
    <t>6223</t>
  </si>
  <si>
    <t>0625</t>
  </si>
  <si>
    <t>7626</t>
  </si>
  <si>
    <t>4041</t>
  </si>
  <si>
    <t>1420</t>
  </si>
  <si>
    <t>2312</t>
  </si>
  <si>
    <t>7824</t>
  </si>
  <si>
    <t>7526</t>
  </si>
  <si>
    <t>2545</t>
  </si>
  <si>
    <t>4722</t>
  </si>
  <si>
    <t>4720</t>
  </si>
  <si>
    <t>4163</t>
  </si>
  <si>
    <t>0042</t>
  </si>
  <si>
    <t>1243</t>
  </si>
  <si>
    <t>2743</t>
  </si>
  <si>
    <t>3884</t>
  </si>
  <si>
    <t>0401_初中数学</t>
  </si>
  <si>
    <t>0621</t>
  </si>
  <si>
    <t>4043</t>
  </si>
  <si>
    <t>2458</t>
  </si>
  <si>
    <t>2042</t>
  </si>
  <si>
    <t>5248</t>
  </si>
  <si>
    <t>4428</t>
  </si>
  <si>
    <t>4420</t>
  </si>
  <si>
    <t>5529</t>
  </si>
  <si>
    <t>4027</t>
  </si>
  <si>
    <t>3929</t>
  </si>
  <si>
    <t>6625</t>
  </si>
  <si>
    <t>4840</t>
  </si>
  <si>
    <t>3346</t>
  </si>
  <si>
    <t>4485</t>
  </si>
  <si>
    <t>004X</t>
  </si>
  <si>
    <t>4520</t>
  </si>
  <si>
    <t>2848</t>
  </si>
  <si>
    <t>4360</t>
  </si>
  <si>
    <t>4148</t>
  </si>
  <si>
    <t>470X</t>
  </si>
  <si>
    <t>2225</t>
  </si>
  <si>
    <t>6640</t>
  </si>
  <si>
    <t>1669</t>
  </si>
  <si>
    <t>382X</t>
  </si>
  <si>
    <t>5411</t>
  </si>
  <si>
    <t>0877</t>
  </si>
  <si>
    <t>6182</t>
  </si>
  <si>
    <t>0025</t>
  </si>
  <si>
    <t>0743</t>
  </si>
  <si>
    <t>7020</t>
  </si>
  <si>
    <t>3128</t>
  </si>
  <si>
    <t>4924</t>
  </si>
  <si>
    <t>4829</t>
  </si>
  <si>
    <t>0907</t>
  </si>
  <si>
    <t>2826</t>
  </si>
  <si>
    <t>6626</t>
  </si>
  <si>
    <t>4089</t>
  </si>
  <si>
    <t>7220</t>
  </si>
  <si>
    <t>4028</t>
  </si>
  <si>
    <t>3223</t>
  </si>
  <si>
    <t>0036</t>
  </si>
  <si>
    <t>4397</t>
  </si>
  <si>
    <t>3243</t>
  </si>
  <si>
    <t>0852</t>
  </si>
  <si>
    <t>0429</t>
  </si>
  <si>
    <t>0827</t>
  </si>
  <si>
    <t>3622</t>
  </si>
  <si>
    <t>766X</t>
  </si>
  <si>
    <t>6473</t>
  </si>
  <si>
    <t>4805</t>
  </si>
  <si>
    <t>2128</t>
  </si>
  <si>
    <t>8024</t>
  </si>
  <si>
    <t>4622</t>
  </si>
  <si>
    <t>0629</t>
  </si>
  <si>
    <t>2622</t>
  </si>
  <si>
    <t>0448</t>
  </si>
  <si>
    <t>0957</t>
  </si>
  <si>
    <t>6614</t>
  </si>
  <si>
    <t>0953</t>
  </si>
  <si>
    <t>4815</t>
  </si>
  <si>
    <t>0402_初中历史</t>
  </si>
  <si>
    <t>2732</t>
  </si>
  <si>
    <t>2841</t>
  </si>
  <si>
    <t>6819</t>
  </si>
  <si>
    <t>2661</t>
  </si>
  <si>
    <t>2129</t>
  </si>
  <si>
    <t>3722</t>
  </si>
  <si>
    <t>3431</t>
  </si>
  <si>
    <t>3020</t>
  </si>
  <si>
    <t>6628</t>
  </si>
  <si>
    <t>5212</t>
  </si>
  <si>
    <t>4210</t>
  </si>
  <si>
    <t>8343</t>
  </si>
  <si>
    <t>3323</t>
  </si>
  <si>
    <t>4249</t>
  </si>
  <si>
    <t>4824</t>
  </si>
  <si>
    <t>0612</t>
  </si>
  <si>
    <t>6644</t>
  </si>
  <si>
    <t>032X</t>
  </si>
  <si>
    <t>6654</t>
  </si>
  <si>
    <t>5237</t>
  </si>
  <si>
    <t>2425</t>
  </si>
  <si>
    <t>1227</t>
  </si>
  <si>
    <t>2428</t>
  </si>
  <si>
    <t>0526</t>
  </si>
  <si>
    <t>4425</t>
  </si>
  <si>
    <t>0729</t>
  </si>
  <si>
    <t>0413</t>
  </si>
  <si>
    <t>2127</t>
  </si>
  <si>
    <t>2724</t>
  </si>
  <si>
    <t>0713</t>
  </si>
  <si>
    <t>1224</t>
  </si>
  <si>
    <t>7930</t>
  </si>
  <si>
    <t>7643</t>
  </si>
  <si>
    <t>0888</t>
  </si>
  <si>
    <t>0741</t>
  </si>
  <si>
    <t>0427</t>
  </si>
  <si>
    <t>0420</t>
  </si>
  <si>
    <t>5641</t>
  </si>
  <si>
    <t>4811</t>
  </si>
  <si>
    <t>3840</t>
  </si>
  <si>
    <t>0305</t>
  </si>
  <si>
    <t>063X</t>
  </si>
  <si>
    <t>1425</t>
  </si>
  <si>
    <t>568X</t>
  </si>
  <si>
    <t>4421</t>
  </si>
  <si>
    <t>498X</t>
  </si>
  <si>
    <t>001X</t>
  </si>
  <si>
    <t>3025</t>
  </si>
  <si>
    <t>449X</t>
  </si>
  <si>
    <t>5229</t>
  </si>
  <si>
    <t>0222</t>
  </si>
  <si>
    <t>3726</t>
  </si>
  <si>
    <t>0227</t>
  </si>
  <si>
    <t>4860</t>
  </si>
  <si>
    <t>3229</t>
  </si>
  <si>
    <t>0223</t>
  </si>
  <si>
    <t>4449</t>
  </si>
  <si>
    <t>1222</t>
  </si>
  <si>
    <t>1729</t>
  </si>
  <si>
    <t>1880</t>
  </si>
  <si>
    <t>0623</t>
  </si>
  <si>
    <t>5224</t>
  </si>
  <si>
    <t>5215</t>
  </si>
  <si>
    <t>3027</t>
  </si>
  <si>
    <t>241X</t>
  </si>
  <si>
    <t>6810</t>
  </si>
  <si>
    <t>4414</t>
  </si>
  <si>
    <t>7946</t>
  </si>
  <si>
    <t>0312</t>
  </si>
  <si>
    <t>1235</t>
  </si>
  <si>
    <t>2644</t>
  </si>
  <si>
    <t>0624</t>
  </si>
  <si>
    <t>0342</t>
  </si>
  <si>
    <t>7927</t>
  </si>
  <si>
    <t>4846</t>
  </si>
  <si>
    <t>6020</t>
  </si>
  <si>
    <t>3242</t>
  </si>
  <si>
    <t>0045</t>
  </si>
  <si>
    <t>2021</t>
  </si>
  <si>
    <t>0349</t>
  </si>
  <si>
    <t>3868</t>
  </si>
  <si>
    <t>022X</t>
  </si>
  <si>
    <t>062X</t>
  </si>
  <si>
    <t>1624</t>
  </si>
  <si>
    <t>1228</t>
  </si>
  <si>
    <t>1329</t>
  </si>
  <si>
    <t>4682</t>
  </si>
  <si>
    <t>0646</t>
  </si>
  <si>
    <t>4411</t>
  </si>
  <si>
    <t>093X</t>
  </si>
  <si>
    <t>3160</t>
  </si>
  <si>
    <t>2328</t>
  </si>
  <si>
    <t>2289</t>
  </si>
  <si>
    <t>0501_初中英语</t>
  </si>
  <si>
    <t>1320</t>
  </si>
  <si>
    <t>2447</t>
  </si>
  <si>
    <t>4110</t>
  </si>
  <si>
    <t>2624</t>
  </si>
  <si>
    <t>1827</t>
  </si>
  <si>
    <t>5843</t>
  </si>
  <si>
    <t>2322</t>
  </si>
  <si>
    <t>4789</t>
  </si>
  <si>
    <t>1226</t>
  </si>
  <si>
    <t>3450</t>
  </si>
  <si>
    <t>1229</t>
  </si>
  <si>
    <t>4629</t>
  </si>
  <si>
    <t>4123</t>
  </si>
  <si>
    <t>5825</t>
  </si>
  <si>
    <t>6189</t>
  </si>
  <si>
    <t>4623</t>
  </si>
  <si>
    <t>0627</t>
  </si>
  <si>
    <t>0525</t>
  </si>
  <si>
    <t>1124</t>
  </si>
  <si>
    <t>0806</t>
  </si>
  <si>
    <t>3821</t>
  </si>
  <si>
    <t>0102</t>
  </si>
  <si>
    <t>2421</t>
  </si>
  <si>
    <t>052X</t>
  </si>
  <si>
    <t>3423</t>
  </si>
  <si>
    <t>3524</t>
  </si>
  <si>
    <t>5045</t>
  </si>
  <si>
    <t>8722</t>
  </si>
  <si>
    <t>5002</t>
  </si>
  <si>
    <t>1188</t>
  </si>
  <si>
    <t>1707</t>
  </si>
  <si>
    <t>4818</t>
  </si>
  <si>
    <t>5527</t>
  </si>
  <si>
    <t>4865</t>
  </si>
  <si>
    <t>5618</t>
  </si>
  <si>
    <t>0307</t>
  </si>
  <si>
    <t>4223</t>
  </si>
  <si>
    <t>3101</t>
  </si>
  <si>
    <t>3882</t>
  </si>
  <si>
    <t>2946</t>
  </si>
  <si>
    <t>5422</t>
  </si>
  <si>
    <t>6165</t>
  </si>
  <si>
    <t>502X</t>
  </si>
  <si>
    <t>3443</t>
  </si>
  <si>
    <t>2480</t>
  </si>
  <si>
    <t>6821</t>
  </si>
  <si>
    <t>3023</t>
  </si>
  <si>
    <t>0982</t>
  </si>
  <si>
    <t>334X</t>
  </si>
  <si>
    <t>3826</t>
  </si>
  <si>
    <t>244X</t>
  </si>
  <si>
    <t>1283</t>
  </si>
  <si>
    <t>1918</t>
  </si>
  <si>
    <t>1423</t>
  </si>
  <si>
    <t>0845</t>
  </si>
  <si>
    <t>2422</t>
  </si>
  <si>
    <t>0725</t>
  </si>
  <si>
    <t>4848</t>
  </si>
  <si>
    <t>8429</t>
  </si>
  <si>
    <t>4624</t>
  </si>
  <si>
    <t>4025</t>
  </si>
  <si>
    <t>622X</t>
  </si>
  <si>
    <t>5640</t>
  </si>
  <si>
    <t>0062</t>
  </si>
  <si>
    <t>0065</t>
  </si>
  <si>
    <t>264X</t>
  </si>
  <si>
    <t>2687</t>
  </si>
  <si>
    <t>6541</t>
  </si>
  <si>
    <t>0640</t>
  </si>
  <si>
    <t>5004</t>
  </si>
  <si>
    <t>0881</t>
  </si>
  <si>
    <t>1721</t>
  </si>
  <si>
    <t>0502_初中政治</t>
  </si>
  <si>
    <t>2945</t>
  </si>
  <si>
    <t>4029</t>
  </si>
  <si>
    <t>2731</t>
  </si>
  <si>
    <t>4226</t>
  </si>
  <si>
    <t>5025</t>
  </si>
  <si>
    <t>0723</t>
  </si>
  <si>
    <t>3422</t>
  </si>
  <si>
    <t>3424</t>
  </si>
  <si>
    <t>482X</t>
  </si>
  <si>
    <t>6029</t>
  </si>
  <si>
    <t>3246</t>
  </si>
  <si>
    <t>7829</t>
  </si>
  <si>
    <t>624X</t>
  </si>
  <si>
    <t>5241</t>
  </si>
  <si>
    <t>2641</t>
  </si>
  <si>
    <t>2222</t>
  </si>
  <si>
    <t>5126</t>
  </si>
  <si>
    <t>6422</t>
  </si>
  <si>
    <t>3520</t>
  </si>
  <si>
    <t>5668</t>
  </si>
  <si>
    <t>2427</t>
  </si>
  <si>
    <t>4286</t>
  </si>
  <si>
    <t>0012</t>
  </si>
  <si>
    <t>4825</t>
  </si>
  <si>
    <t>1020</t>
  </si>
  <si>
    <t>452X</t>
  </si>
  <si>
    <t>4045</t>
  </si>
  <si>
    <t>5024</t>
  </si>
  <si>
    <t>6226</t>
  </si>
  <si>
    <t>2821</t>
  </si>
  <si>
    <t>4965</t>
  </si>
  <si>
    <t>4801</t>
  </si>
  <si>
    <t>2261</t>
  </si>
  <si>
    <t>5827</t>
  </si>
  <si>
    <t>4451</t>
  </si>
  <si>
    <t>3612</t>
  </si>
  <si>
    <t>2126</t>
  </si>
  <si>
    <t>3287</t>
  </si>
  <si>
    <t>0224</t>
  </si>
  <si>
    <t>4221</t>
  </si>
  <si>
    <t>722X</t>
  </si>
  <si>
    <t>0928</t>
  </si>
  <si>
    <t>4143</t>
  </si>
  <si>
    <t>5628</t>
  </si>
  <si>
    <t>7612</t>
  </si>
  <si>
    <t>3247</t>
  </si>
  <si>
    <t>2028</t>
  </si>
  <si>
    <t>5329</t>
  </si>
  <si>
    <t>7620</t>
  </si>
  <si>
    <t>5623</t>
  </si>
  <si>
    <t>0483</t>
  </si>
  <si>
    <t>5021</t>
  </si>
  <si>
    <t>282X</t>
  </si>
  <si>
    <t>3926</t>
  </si>
  <si>
    <t>3404</t>
  </si>
  <si>
    <t>6822</t>
  </si>
  <si>
    <t>6627</t>
  </si>
  <si>
    <t>3629</t>
  </si>
  <si>
    <t>4923</t>
  </si>
  <si>
    <t>2829</t>
  </si>
  <si>
    <t>3829</t>
  </si>
  <si>
    <t>3847</t>
  </si>
  <si>
    <t>2365</t>
  </si>
  <si>
    <t>6440</t>
  </si>
  <si>
    <t>4322</t>
  </si>
  <si>
    <t>4474</t>
  </si>
  <si>
    <t>5082</t>
  </si>
  <si>
    <t>6420</t>
  </si>
  <si>
    <t>4823</t>
  </si>
  <si>
    <t>1485</t>
  </si>
  <si>
    <t>4960</t>
  </si>
  <si>
    <t>602X</t>
  </si>
  <si>
    <t>6047</t>
  </si>
  <si>
    <t>4424</t>
  </si>
  <si>
    <t>6827</t>
  </si>
  <si>
    <t>7329</t>
  </si>
  <si>
    <t>0047</t>
  </si>
  <si>
    <t>6026</t>
  </si>
  <si>
    <t>2712</t>
  </si>
  <si>
    <t>386X</t>
  </si>
  <si>
    <t>2044</t>
  </si>
  <si>
    <t>0848</t>
  </si>
  <si>
    <t>3624</t>
  </si>
  <si>
    <t>6103</t>
  </si>
  <si>
    <t>0247</t>
  </si>
  <si>
    <t>3820</t>
  </si>
  <si>
    <t>0940</t>
  </si>
  <si>
    <t>0921</t>
  </si>
  <si>
    <t>0322</t>
  </si>
  <si>
    <t>3625</t>
  </si>
  <si>
    <t>0219</t>
  </si>
  <si>
    <t>2423</t>
  </si>
  <si>
    <t>1525</t>
  </si>
  <si>
    <t>3244</t>
  </si>
  <si>
    <t>6128</t>
  </si>
  <si>
    <t>2046</t>
  </si>
  <si>
    <t>0050</t>
  </si>
  <si>
    <t>1026</t>
  </si>
  <si>
    <t>3843</t>
  </si>
  <si>
    <t>7640</t>
  </si>
  <si>
    <t>0468</t>
  </si>
  <si>
    <t>2828</t>
  </si>
  <si>
    <t>6224</t>
  </si>
  <si>
    <t>1022</t>
  </si>
  <si>
    <t>2027</t>
  </si>
  <si>
    <t>2345</t>
  </si>
  <si>
    <t>1848</t>
  </si>
  <si>
    <t>1520</t>
  </si>
  <si>
    <t>5980</t>
  </si>
  <si>
    <t>1267</t>
  </si>
  <si>
    <t>4422</t>
  </si>
  <si>
    <t>6040</t>
  </si>
  <si>
    <t>8140</t>
  </si>
  <si>
    <t>272X</t>
  </si>
  <si>
    <t>074X</t>
  </si>
  <si>
    <t>328X</t>
  </si>
  <si>
    <t>3582</t>
  </si>
  <si>
    <t>2721</t>
  </si>
  <si>
    <t>3921</t>
  </si>
  <si>
    <t>322X</t>
  </si>
  <si>
    <t>5922</t>
  </si>
  <si>
    <t>1024</t>
  </si>
  <si>
    <t>8728</t>
  </si>
  <si>
    <t>6823</t>
  </si>
  <si>
    <t>4066</t>
  </si>
  <si>
    <t>2665</t>
  </si>
  <si>
    <t>6428</t>
  </si>
  <si>
    <t>1223</t>
  </si>
  <si>
    <t>4660</t>
  </si>
  <si>
    <t>6582</t>
  </si>
  <si>
    <t>7806</t>
  </si>
  <si>
    <t>0601_初中数学</t>
  </si>
  <si>
    <t>5345</t>
  </si>
  <si>
    <t>1225</t>
  </si>
  <si>
    <t>221X</t>
  </si>
  <si>
    <t>1448</t>
  </si>
  <si>
    <t>4237</t>
  </si>
  <si>
    <t>7214</t>
  </si>
  <si>
    <t>3240</t>
  </si>
  <si>
    <t>5540</t>
  </si>
  <si>
    <t>3045</t>
  </si>
  <si>
    <t>477X</t>
  </si>
  <si>
    <t>0844</t>
  </si>
  <si>
    <t>0824</t>
  </si>
  <si>
    <t>4225</t>
  </si>
  <si>
    <t>3630</t>
  </si>
  <si>
    <t>4057</t>
  </si>
  <si>
    <t>7244</t>
  </si>
  <si>
    <t>3845</t>
  </si>
  <si>
    <t>4447</t>
  </si>
  <si>
    <t>1031</t>
  </si>
  <si>
    <t>4014</t>
  </si>
  <si>
    <t>5775</t>
  </si>
  <si>
    <t>9551</t>
  </si>
  <si>
    <t>4524</t>
  </si>
  <si>
    <t>4149</t>
  </si>
  <si>
    <t>1214</t>
  </si>
  <si>
    <t>8724</t>
  </si>
  <si>
    <t>0602_初中地理</t>
  </si>
  <si>
    <t>4061</t>
  </si>
  <si>
    <t>7228</t>
  </si>
  <si>
    <t>5137</t>
  </si>
  <si>
    <t>1553</t>
  </si>
  <si>
    <t>5220</t>
  </si>
  <si>
    <t>0506</t>
  </si>
  <si>
    <t>3049</t>
  </si>
  <si>
    <t>2621</t>
  </si>
  <si>
    <t>2031</t>
  </si>
  <si>
    <t>3236</t>
  </si>
  <si>
    <t>0901</t>
  </si>
  <si>
    <t>4977</t>
  </si>
  <si>
    <t>7225</t>
  </si>
  <si>
    <t>6845</t>
  </si>
  <si>
    <t>1662</t>
  </si>
  <si>
    <t>4561</t>
  </si>
  <si>
    <t>2340</t>
  </si>
  <si>
    <t>6621</t>
  </si>
  <si>
    <t>2969</t>
  </si>
  <si>
    <t>6415</t>
  </si>
  <si>
    <t>082X</t>
  </si>
  <si>
    <t>4044</t>
  </si>
  <si>
    <t>7222</t>
  </si>
  <si>
    <t>5144</t>
  </si>
  <si>
    <t>4186</t>
  </si>
  <si>
    <t>1029</t>
  </si>
  <si>
    <t>1742</t>
  </si>
  <si>
    <t>0987</t>
  </si>
  <si>
    <t>3047</t>
  </si>
  <si>
    <t>2746</t>
  </si>
  <si>
    <t>2923</t>
  </si>
  <si>
    <t>4500</t>
  </si>
  <si>
    <t>4621</t>
  </si>
  <si>
    <t>2258</t>
  </si>
  <si>
    <t>2417</t>
  </si>
  <si>
    <t>1219</t>
  </si>
  <si>
    <t>2121</t>
  </si>
  <si>
    <t>274X</t>
  </si>
  <si>
    <t>0423</t>
  </si>
  <si>
    <t>5644</t>
  </si>
  <si>
    <t>0039</t>
  </si>
  <si>
    <t>0284</t>
  </si>
  <si>
    <t>3620</t>
  </si>
  <si>
    <t>4541</t>
  </si>
  <si>
    <t>0069</t>
  </si>
  <si>
    <t>3324</t>
  </si>
  <si>
    <t>6418</t>
  </si>
  <si>
    <t>5624</t>
  </si>
  <si>
    <t>8127</t>
  </si>
  <si>
    <t>2980</t>
  </si>
  <si>
    <t>3523</t>
  </si>
  <si>
    <t>6866</t>
  </si>
  <si>
    <t>3723</t>
  </si>
  <si>
    <t>1326</t>
  </si>
  <si>
    <t>6249</t>
  </si>
  <si>
    <t>7624</t>
  </si>
  <si>
    <t>3526</t>
  </si>
  <si>
    <t>5765</t>
  </si>
  <si>
    <t>2142</t>
  </si>
  <si>
    <t>7522</t>
  </si>
  <si>
    <t>1821</t>
  </si>
  <si>
    <t>3628</t>
  </si>
  <si>
    <t>0927</t>
  </si>
  <si>
    <t>4988</t>
  </si>
  <si>
    <t>5069</t>
  </si>
  <si>
    <t>4222</t>
  </si>
  <si>
    <t>4529</t>
  </si>
  <si>
    <t>5408</t>
  </si>
  <si>
    <t>3449</t>
  </si>
  <si>
    <t>6203</t>
  </si>
  <si>
    <t>3142</t>
  </si>
  <si>
    <t>1712</t>
  </si>
  <si>
    <t>5626</t>
  </si>
  <si>
    <t>5420</t>
  </si>
  <si>
    <t>6126</t>
  </si>
  <si>
    <t>4620</t>
  </si>
  <si>
    <t>4664</t>
  </si>
  <si>
    <t>6024</t>
  </si>
  <si>
    <t>3448</t>
  </si>
  <si>
    <t>9521</t>
  </si>
  <si>
    <t>4418</t>
  </si>
  <si>
    <t>1810</t>
  </si>
  <si>
    <t>0323</t>
  </si>
  <si>
    <t>0320</t>
  </si>
  <si>
    <t>2503</t>
  </si>
  <si>
    <t>2321</t>
  </si>
  <si>
    <t>0920</t>
  </si>
  <si>
    <t>7241</t>
  </si>
  <si>
    <t>0049</t>
  </si>
  <si>
    <t>2210</t>
  </si>
  <si>
    <t>718X</t>
  </si>
  <si>
    <t>0883</t>
  </si>
  <si>
    <t>7622</t>
  </si>
  <si>
    <t>0829</t>
  </si>
  <si>
    <t>0603_初中美术</t>
  </si>
  <si>
    <t>8565</t>
  </si>
  <si>
    <t>5122</t>
  </si>
  <si>
    <t>368X</t>
  </si>
  <si>
    <t>5119</t>
  </si>
  <si>
    <t>1921</t>
  </si>
  <si>
    <t>6427</t>
  </si>
  <si>
    <t>3879</t>
  </si>
  <si>
    <t>5829</t>
  </si>
  <si>
    <t>0999</t>
  </si>
  <si>
    <t>1847</t>
  </si>
  <si>
    <t>0604_初中体育</t>
  </si>
  <si>
    <t>1515</t>
  </si>
  <si>
    <t>5638</t>
  </si>
  <si>
    <t>2319</t>
  </si>
  <si>
    <t>1014</t>
  </si>
  <si>
    <t>3724</t>
  </si>
  <si>
    <t>071X</t>
  </si>
  <si>
    <t>391X</t>
  </si>
  <si>
    <t>4528</t>
  </si>
  <si>
    <t>2438</t>
  </si>
  <si>
    <t>432X</t>
  </si>
  <si>
    <t>133X</t>
  </si>
  <si>
    <t>0337</t>
  </si>
  <si>
    <t>0610</t>
  </si>
  <si>
    <t>3010</t>
  </si>
  <si>
    <t>1919</t>
  </si>
  <si>
    <t>2753</t>
  </si>
  <si>
    <t>681X</t>
  </si>
  <si>
    <t>1546</t>
  </si>
  <si>
    <t>4118</t>
  </si>
  <si>
    <t>2030</t>
  </si>
  <si>
    <t>4640</t>
  </si>
  <si>
    <t>6413</t>
  </si>
  <si>
    <t>3654</t>
  </si>
  <si>
    <t>4517</t>
  </si>
  <si>
    <t>6015</t>
  </si>
  <si>
    <t>3139</t>
  </si>
  <si>
    <t>6010</t>
  </si>
  <si>
    <t>0915</t>
  </si>
  <si>
    <t>5234</t>
  </si>
  <si>
    <t>4417</t>
  </si>
  <si>
    <t>3332</t>
  </si>
  <si>
    <t>0313</t>
  </si>
  <si>
    <t>5868</t>
  </si>
  <si>
    <t>2626</t>
  </si>
  <si>
    <t>6787</t>
  </si>
  <si>
    <t>0324</t>
  </si>
  <si>
    <t>3376</t>
  </si>
  <si>
    <t>0011</t>
  </si>
  <si>
    <t>3637</t>
  </si>
  <si>
    <t>1212</t>
  </si>
  <si>
    <t>5727</t>
  </si>
  <si>
    <t>6617</t>
  </si>
  <si>
    <t>323X</t>
  </si>
  <si>
    <t>3814</t>
  </si>
  <si>
    <t>1825</t>
  </si>
  <si>
    <t>6256</t>
  </si>
  <si>
    <t>8712</t>
  </si>
  <si>
    <t>0728</t>
  </si>
  <si>
    <t>3522</t>
  </si>
  <si>
    <t>2013</t>
  </si>
  <si>
    <t>3634</t>
  </si>
  <si>
    <t>7515</t>
  </si>
  <si>
    <t>101X</t>
  </si>
  <si>
    <t>081X</t>
  </si>
  <si>
    <t>2630</t>
  </si>
  <si>
    <t>5515</t>
  </si>
  <si>
    <t>4796</t>
  </si>
  <si>
    <t>4698</t>
  </si>
  <si>
    <t>0701_初中数学</t>
  </si>
  <si>
    <t>4577</t>
  </si>
  <si>
    <t>6665</t>
  </si>
  <si>
    <t>2627</t>
  </si>
  <si>
    <t>6658</t>
  </si>
  <si>
    <t>4480</t>
  </si>
  <si>
    <t>6645</t>
  </si>
  <si>
    <t>2125</t>
  </si>
  <si>
    <t>3216</t>
  </si>
  <si>
    <t>0916</t>
  </si>
  <si>
    <t>4999</t>
  </si>
  <si>
    <t>0801_初中语文</t>
  </si>
  <si>
    <t>786X</t>
  </si>
  <si>
    <t>392X</t>
  </si>
  <si>
    <t>6646</t>
  </si>
  <si>
    <t>0842</t>
  </si>
  <si>
    <t>5427</t>
  </si>
  <si>
    <t>7828</t>
  </si>
  <si>
    <t>0922</t>
  </si>
  <si>
    <t>1610</t>
  </si>
  <si>
    <t>0866</t>
  </si>
  <si>
    <t>3721</t>
  </si>
  <si>
    <t>0527</t>
  </si>
  <si>
    <t>1726</t>
  </si>
  <si>
    <t>0060</t>
  </si>
  <si>
    <t>3618</t>
  </si>
  <si>
    <t>1723</t>
  </si>
  <si>
    <t>5026</t>
  </si>
  <si>
    <t>3366</t>
  </si>
  <si>
    <t>0321</t>
  </si>
  <si>
    <t>3880</t>
  </si>
  <si>
    <t>3026</t>
  </si>
  <si>
    <t>7614</t>
  </si>
  <si>
    <t>454X</t>
  </si>
  <si>
    <t>580X</t>
  </si>
  <si>
    <t>7328</t>
  </si>
  <si>
    <t>3048</t>
  </si>
  <si>
    <t>2456</t>
  </si>
  <si>
    <t>3041</t>
  </si>
  <si>
    <t>5782</t>
  </si>
  <si>
    <t>4471</t>
  </si>
  <si>
    <t>3024</t>
  </si>
  <si>
    <t>4819</t>
  </si>
  <si>
    <t>872X</t>
  </si>
  <si>
    <t>208X</t>
  </si>
  <si>
    <t>1867</t>
  </si>
  <si>
    <t>5620</t>
  </si>
  <si>
    <t>7014</t>
  </si>
  <si>
    <t>2124</t>
  </si>
  <si>
    <t>5321</t>
  </si>
  <si>
    <t>1789</t>
  </si>
  <si>
    <t>0521</t>
  </si>
  <si>
    <t>2509</t>
  </si>
  <si>
    <t>0885</t>
  </si>
  <si>
    <t>0622</t>
  </si>
  <si>
    <t>5247</t>
  </si>
  <si>
    <t>7504</t>
  </si>
  <si>
    <t>2445</t>
  </si>
  <si>
    <t>3248</t>
  </si>
  <si>
    <t>4262</t>
  </si>
  <si>
    <t>8525</t>
  </si>
  <si>
    <t>2223</t>
  </si>
  <si>
    <t>5784</t>
  </si>
  <si>
    <t>0644</t>
  </si>
  <si>
    <t>4900</t>
  </si>
  <si>
    <t>0229</t>
  </si>
  <si>
    <t>0802_初中音乐</t>
  </si>
  <si>
    <t>1817</t>
  </si>
  <si>
    <t>1842</t>
  </si>
  <si>
    <t>2342</t>
  </si>
  <si>
    <t>0803_初中物理</t>
  </si>
  <si>
    <t>8124</t>
  </si>
  <si>
    <t>4229</t>
  </si>
  <si>
    <t>1027</t>
  </si>
  <si>
    <t>3642</t>
  </si>
  <si>
    <t>5128</t>
  </si>
  <si>
    <t>4217</t>
  </si>
  <si>
    <t>1427</t>
  </si>
  <si>
    <t>1213</t>
  </si>
  <si>
    <t>7628</t>
  </si>
  <si>
    <t>4639</t>
  </si>
  <si>
    <t>7221</t>
  </si>
  <si>
    <t>4487</t>
  </si>
  <si>
    <t>273X</t>
  </si>
  <si>
    <t>6423</t>
  </si>
  <si>
    <t>6877</t>
  </si>
  <si>
    <t>2722</t>
  </si>
  <si>
    <t>7621</t>
  </si>
  <si>
    <t>6188</t>
  </si>
  <si>
    <t>2148</t>
  </si>
  <si>
    <t>4658</t>
  </si>
  <si>
    <t>184X</t>
  </si>
  <si>
    <t>3818</t>
  </si>
  <si>
    <t>5029</t>
  </si>
  <si>
    <t>3044</t>
  </si>
  <si>
    <t>5104</t>
  </si>
  <si>
    <t>0422</t>
  </si>
  <si>
    <t>1341</t>
  </si>
  <si>
    <t>0465</t>
  </si>
  <si>
    <t>2716</t>
  </si>
  <si>
    <t>1839</t>
  </si>
  <si>
    <t>6579</t>
  </si>
  <si>
    <t>2061</t>
  </si>
  <si>
    <t>7287</t>
  </si>
  <si>
    <t>2629</t>
  </si>
  <si>
    <t>4243</t>
  </si>
  <si>
    <t>2838</t>
  </si>
  <si>
    <t>6034</t>
  </si>
  <si>
    <t>7689</t>
  </si>
  <si>
    <t>2718</t>
  </si>
  <si>
    <t>524X</t>
  </si>
  <si>
    <t>4544</t>
  </si>
  <si>
    <t>742X</t>
  </si>
  <si>
    <t>4329</t>
  </si>
  <si>
    <t>6828</t>
  </si>
  <si>
    <t>2907</t>
  </si>
  <si>
    <t>4124</t>
  </si>
  <si>
    <t>0901_初中物理</t>
  </si>
  <si>
    <t>1327</t>
  </si>
  <si>
    <t>7231</t>
  </si>
  <si>
    <t>8522</t>
  </si>
  <si>
    <t>1323</t>
  </si>
  <si>
    <t>6829</t>
  </si>
  <si>
    <t>6066</t>
  </si>
  <si>
    <t>5218</t>
  </si>
  <si>
    <t>1641</t>
  </si>
  <si>
    <t>4968</t>
  </si>
  <si>
    <t>0815</t>
  </si>
  <si>
    <t>5636</t>
  </si>
  <si>
    <t>4962</t>
  </si>
  <si>
    <t>5033</t>
  </si>
  <si>
    <t>5844</t>
  </si>
  <si>
    <t>4837</t>
  </si>
  <si>
    <t>0415</t>
  </si>
  <si>
    <t>0825</t>
  </si>
  <si>
    <t>448X</t>
  </si>
  <si>
    <t>2216</t>
  </si>
  <si>
    <t>2063</t>
  </si>
  <si>
    <t>3725</t>
  </si>
  <si>
    <t>3241</t>
  </si>
  <si>
    <t>2865</t>
  </si>
  <si>
    <t>4980</t>
  </si>
  <si>
    <t>5015</t>
  </si>
  <si>
    <t>0618</t>
  </si>
  <si>
    <t>0515</t>
  </si>
  <si>
    <t>4683</t>
  </si>
  <si>
    <t>1632</t>
  </si>
  <si>
    <t>8244</t>
  </si>
  <si>
    <t>0015</t>
  </si>
  <si>
    <t>5622</t>
  </si>
  <si>
    <t>2815</t>
  </si>
  <si>
    <t>3832</t>
  </si>
  <si>
    <t>4587</t>
  </si>
  <si>
    <t>3619</t>
  </si>
  <si>
    <t>4413</t>
  </si>
  <si>
    <t>7695</t>
  </si>
  <si>
    <t>0017</t>
  </si>
  <si>
    <t>5616</t>
  </si>
  <si>
    <t>6426</t>
  </si>
  <si>
    <t>4836</t>
  </si>
  <si>
    <t>5124</t>
  </si>
  <si>
    <t>6012</t>
  </si>
  <si>
    <t>2666</t>
  </si>
  <si>
    <t>1663</t>
  </si>
  <si>
    <t>8340</t>
  </si>
  <si>
    <t>4218</t>
  </si>
  <si>
    <t>6781</t>
  </si>
  <si>
    <t>5928</t>
  </si>
  <si>
    <t>1001_初中英语</t>
  </si>
  <si>
    <t>3485</t>
  </si>
  <si>
    <t>4967</t>
  </si>
  <si>
    <t>2304</t>
  </si>
  <si>
    <t>0720</t>
  </si>
  <si>
    <t>3823</t>
  </si>
  <si>
    <t>3043</t>
  </si>
  <si>
    <t>0748</t>
  </si>
  <si>
    <t>7700</t>
  </si>
  <si>
    <t>3068</t>
  </si>
  <si>
    <t>7243</t>
  </si>
  <si>
    <t>0716</t>
  </si>
  <si>
    <t>4966</t>
  </si>
  <si>
    <t>3883</t>
  </si>
  <si>
    <t>8723</t>
  </si>
  <si>
    <t>4501</t>
  </si>
  <si>
    <t>0088</t>
  </si>
  <si>
    <t>5822</t>
  </si>
  <si>
    <t>262X</t>
  </si>
  <si>
    <t>8121</t>
  </si>
  <si>
    <t>8547</t>
  </si>
  <si>
    <t>0425</t>
  </si>
  <si>
    <t>1002_初中历史</t>
  </si>
  <si>
    <t>4113</t>
  </si>
  <si>
    <t>0239</t>
  </si>
  <si>
    <t>4841</t>
  </si>
  <si>
    <t>0410</t>
  </si>
  <si>
    <t>7627</t>
  </si>
  <si>
    <t>4120</t>
  </si>
  <si>
    <t>834X</t>
  </si>
  <si>
    <t>5611</t>
  </si>
  <si>
    <t>4925</t>
  </si>
  <si>
    <t>0424</t>
  </si>
  <si>
    <t>4887</t>
  </si>
  <si>
    <t>1524</t>
  </si>
  <si>
    <t>6585</t>
  </si>
  <si>
    <t>0611</t>
  </si>
  <si>
    <t>0764</t>
  </si>
  <si>
    <t>9020</t>
  </si>
  <si>
    <t>5425</t>
  </si>
  <si>
    <t>662X</t>
  </si>
  <si>
    <t>0228</t>
  </si>
  <si>
    <t>1310</t>
  </si>
  <si>
    <t>3886</t>
  </si>
  <si>
    <t>192X</t>
  </si>
  <si>
    <t>7169</t>
  </si>
  <si>
    <t>3325</t>
  </si>
  <si>
    <t>0926</t>
  </si>
  <si>
    <t>3219</t>
  </si>
  <si>
    <t>144X</t>
  </si>
  <si>
    <t>5714</t>
  </si>
  <si>
    <t>0018</t>
  </si>
  <si>
    <t>2844</t>
  </si>
  <si>
    <t>6649</t>
  </si>
  <si>
    <t>2221</t>
  </si>
  <si>
    <t>4181</t>
  </si>
  <si>
    <t>3022</t>
  </si>
  <si>
    <t>1840</t>
  </si>
  <si>
    <t>2847</t>
  </si>
  <si>
    <t>3528</t>
  </si>
  <si>
    <t>5923</t>
  </si>
  <si>
    <t>2864</t>
  </si>
  <si>
    <t>4022</t>
  </si>
  <si>
    <t>0054</t>
  </si>
  <si>
    <t>1101_康复</t>
  </si>
  <si>
    <t>0523</t>
  </si>
  <si>
    <t>1102_体育</t>
  </si>
  <si>
    <t>0010</t>
  </si>
  <si>
    <t>431X</t>
  </si>
  <si>
    <t>5151</t>
  </si>
  <si>
    <t>0816</t>
  </si>
  <si>
    <t>1824</t>
  </si>
  <si>
    <t>3599</t>
  </si>
  <si>
    <t>4012</t>
  </si>
  <si>
    <t>7300</t>
  </si>
  <si>
    <t>5841</t>
  </si>
  <si>
    <t>1915</t>
  </si>
  <si>
    <t>2327</t>
  </si>
  <si>
    <t>1517</t>
  </si>
  <si>
    <t>4117</t>
  </si>
  <si>
    <t>4615</t>
  </si>
  <si>
    <t>2016</t>
  </si>
  <si>
    <t>2728</t>
  </si>
  <si>
    <t>0412</t>
  </si>
  <si>
    <t>2110</t>
  </si>
  <si>
    <t>3350</t>
  </si>
  <si>
    <t>2357</t>
  </si>
  <si>
    <t>5213</t>
  </si>
  <si>
    <t>781X</t>
  </si>
  <si>
    <t>0016</t>
  </si>
  <si>
    <t>4851</t>
  </si>
  <si>
    <t>1201_小学语文1</t>
  </si>
  <si>
    <t>3018</t>
  </si>
  <si>
    <t>3327</t>
  </si>
  <si>
    <t>2026</t>
  </si>
  <si>
    <t>0643</t>
  </si>
  <si>
    <t>3584</t>
  </si>
  <si>
    <t>4628</t>
  </si>
  <si>
    <t>378X</t>
  </si>
  <si>
    <t>0645</t>
  </si>
  <si>
    <t>202X</t>
  </si>
  <si>
    <t>8320</t>
  </si>
  <si>
    <t>050X</t>
  </si>
  <si>
    <t>3046</t>
  </si>
  <si>
    <t>6207</t>
  </si>
  <si>
    <t>2325</t>
  </si>
  <si>
    <t>5629</t>
  </si>
  <si>
    <t>683X</t>
  </si>
  <si>
    <t>5665</t>
  </si>
  <si>
    <t>084X</t>
  </si>
  <si>
    <t>376X</t>
  </si>
  <si>
    <t>4926</t>
  </si>
  <si>
    <t>4724</t>
  </si>
  <si>
    <t>2146</t>
  </si>
  <si>
    <t>4627</t>
  </si>
  <si>
    <t>8265</t>
  </si>
  <si>
    <t>5523</t>
  </si>
  <si>
    <t>5265</t>
  </si>
  <si>
    <t>7448</t>
  </si>
  <si>
    <t>444X</t>
  </si>
  <si>
    <t>3903</t>
  </si>
  <si>
    <t>0048</t>
  </si>
  <si>
    <t>3228</t>
  </si>
  <si>
    <t>5211</t>
  </si>
  <si>
    <t>0401</t>
  </si>
  <si>
    <t>8524</t>
  </si>
  <si>
    <t>236X</t>
  </si>
  <si>
    <t>4348</t>
  </si>
  <si>
    <t>360X</t>
  </si>
  <si>
    <t>4423</t>
  </si>
  <si>
    <t>4786</t>
  </si>
  <si>
    <t>5426</t>
  </si>
  <si>
    <t>764X</t>
  </si>
  <si>
    <t>8021</t>
  </si>
  <si>
    <t>3529</t>
  </si>
  <si>
    <t>1346</t>
  </si>
  <si>
    <t>5826</t>
  </si>
  <si>
    <t>2469</t>
  </si>
  <si>
    <t>5828</t>
  </si>
  <si>
    <t>2927</t>
  </si>
  <si>
    <t>2928</t>
  </si>
  <si>
    <t>7024</t>
  </si>
  <si>
    <t>332X</t>
  </si>
  <si>
    <t>8126</t>
  </si>
  <si>
    <t>7247</t>
  </si>
  <si>
    <t>1722</t>
  </si>
  <si>
    <t>3328</t>
  </si>
  <si>
    <t>4626</t>
  </si>
  <si>
    <t>5125</t>
  </si>
  <si>
    <t>7263</t>
  </si>
  <si>
    <t>1028</t>
  </si>
  <si>
    <t>1018</t>
  </si>
  <si>
    <t>2224</t>
  </si>
  <si>
    <t>0446</t>
  </si>
  <si>
    <t>1625</t>
  </si>
  <si>
    <t>4845</t>
  </si>
  <si>
    <t>4701</t>
  </si>
  <si>
    <t>1242</t>
  </si>
  <si>
    <t>4375</t>
  </si>
  <si>
    <t>0949</t>
  </si>
  <si>
    <t>6168</t>
  </si>
  <si>
    <t>402X</t>
  </si>
  <si>
    <t>2268</t>
  </si>
  <si>
    <t>3827</t>
  </si>
  <si>
    <t>508X</t>
  </si>
  <si>
    <t>4466</t>
  </si>
  <si>
    <t>1784</t>
  </si>
  <si>
    <t>4127</t>
  </si>
  <si>
    <t>3167</t>
  </si>
  <si>
    <t>592X</t>
  </si>
  <si>
    <t>4948</t>
  </si>
  <si>
    <t>5266</t>
  </si>
  <si>
    <t>3844</t>
  </si>
  <si>
    <t>8149</t>
  </si>
  <si>
    <t>5823</t>
  </si>
  <si>
    <t>4961</t>
  </si>
  <si>
    <t>1828</t>
  </si>
  <si>
    <t>4784</t>
  </si>
  <si>
    <t>3306</t>
  </si>
  <si>
    <t>0904</t>
  </si>
  <si>
    <t>3288</t>
  </si>
  <si>
    <t>0404</t>
  </si>
  <si>
    <t>7629</t>
  </si>
  <si>
    <t>6525</t>
  </si>
  <si>
    <t>4326</t>
  </si>
  <si>
    <t>0727</t>
  </si>
  <si>
    <t>6245</t>
  </si>
  <si>
    <t>7662</t>
  </si>
  <si>
    <t>4182</t>
  </si>
  <si>
    <t>5845</t>
  </si>
  <si>
    <t>5245</t>
  </si>
  <si>
    <t>1523</t>
  </si>
  <si>
    <t>5244</t>
  </si>
  <si>
    <t>1665</t>
  </si>
  <si>
    <t>5022</t>
  </si>
  <si>
    <t>3040</t>
  </si>
  <si>
    <t>3221</t>
  </si>
  <si>
    <t>2248</t>
  </si>
  <si>
    <t>644X</t>
  </si>
  <si>
    <t>2442</t>
  </si>
  <si>
    <t>2822</t>
  </si>
  <si>
    <t>3640</t>
  </si>
  <si>
    <t>4121</t>
  </si>
  <si>
    <t>0068</t>
  </si>
  <si>
    <t>4080</t>
  </si>
  <si>
    <t>0944</t>
  </si>
  <si>
    <t>4847</t>
  </si>
  <si>
    <t>712X</t>
  </si>
  <si>
    <t>3920</t>
  </si>
  <si>
    <t>024X</t>
  </si>
  <si>
    <t>3750</t>
  </si>
  <si>
    <t>3108</t>
  </si>
  <si>
    <t>1182</t>
  </si>
  <si>
    <t>0923</t>
  </si>
  <si>
    <t>3367</t>
  </si>
  <si>
    <t>2963</t>
  </si>
  <si>
    <t>2229</t>
  </si>
  <si>
    <t>7223</t>
  </si>
  <si>
    <t>7262</t>
  </si>
  <si>
    <t>0233</t>
  </si>
  <si>
    <t>8866</t>
  </si>
  <si>
    <t>1241</t>
  </si>
  <si>
    <t>3925</t>
  </si>
  <si>
    <t>8165</t>
  </si>
  <si>
    <t>1342</t>
  </si>
  <si>
    <t>3822</t>
  </si>
  <si>
    <t>1040</t>
  </si>
  <si>
    <t>284X</t>
  </si>
  <si>
    <t>7265</t>
  </si>
  <si>
    <t>4489</t>
  </si>
  <si>
    <t>1643</t>
  </si>
  <si>
    <t>4526</t>
  </si>
  <si>
    <t>1887</t>
  </si>
  <si>
    <t>1521</t>
  </si>
  <si>
    <t>5525</t>
  </si>
  <si>
    <t>6815</t>
  </si>
  <si>
    <t>4021</t>
  </si>
  <si>
    <t>3401</t>
  </si>
  <si>
    <t>1885</t>
  </si>
  <si>
    <t>7041</t>
  </si>
  <si>
    <t>6429</t>
  </si>
  <si>
    <t>0066</t>
  </si>
  <si>
    <t>6248</t>
  </si>
  <si>
    <t>2023</t>
  </si>
  <si>
    <t>4442</t>
  </si>
  <si>
    <t>682X</t>
  </si>
  <si>
    <t>1246</t>
  </si>
  <si>
    <t>3906</t>
  </si>
  <si>
    <t>6023</t>
  </si>
  <si>
    <t>4832</t>
  </si>
  <si>
    <t>0849</t>
  </si>
  <si>
    <t>3349</t>
  </si>
  <si>
    <t>2748</t>
  </si>
  <si>
    <t>6125</t>
  </si>
  <si>
    <t>3343</t>
  </si>
  <si>
    <t>293X</t>
  </si>
  <si>
    <t>1820</t>
  </si>
  <si>
    <t>2825</t>
  </si>
  <si>
    <t>7682</t>
  </si>
  <si>
    <t>6928</t>
  </si>
  <si>
    <t>6229</t>
  </si>
  <si>
    <t>2511</t>
  </si>
  <si>
    <t>0642</t>
  </si>
  <si>
    <t>3168</t>
  </si>
  <si>
    <t>7264</t>
  </si>
  <si>
    <t>7015</t>
  </si>
  <si>
    <t>3249</t>
  </si>
  <si>
    <t>5686</t>
  </si>
  <si>
    <t>4810</t>
  </si>
  <si>
    <t>8727</t>
  </si>
  <si>
    <t>3329</t>
  </si>
  <si>
    <t>6244</t>
  </si>
  <si>
    <t>1542</t>
  </si>
  <si>
    <t>0814</t>
  </si>
  <si>
    <t>1065</t>
  </si>
  <si>
    <t>1262</t>
  </si>
  <si>
    <t>1844</t>
  </si>
  <si>
    <t>092X</t>
  </si>
  <si>
    <t>6282</t>
  </si>
  <si>
    <t>1444</t>
  </si>
  <si>
    <t>2343</t>
  </si>
  <si>
    <t>7025</t>
  </si>
  <si>
    <t>3727</t>
  </si>
  <si>
    <t>6622</t>
  </si>
  <si>
    <t>1253</t>
  </si>
  <si>
    <t>0941</t>
  </si>
  <si>
    <t>2141</t>
  </si>
  <si>
    <t>1021</t>
  </si>
  <si>
    <t>5264</t>
  </si>
  <si>
    <t>5524</t>
  </si>
  <si>
    <t>0865</t>
  </si>
  <si>
    <t>2420</t>
  </si>
  <si>
    <t>1849</t>
  </si>
  <si>
    <t>5860</t>
  </si>
  <si>
    <t>4483</t>
  </si>
  <si>
    <t>4427</t>
  </si>
  <si>
    <t>2349</t>
  </si>
  <si>
    <t>7129</t>
  </si>
  <si>
    <t>4227</t>
  </si>
  <si>
    <t>1563</t>
  </si>
  <si>
    <t>5020</t>
  </si>
  <si>
    <t>0082</t>
  </si>
  <si>
    <t>4709</t>
  </si>
  <si>
    <t>4540</t>
  </si>
  <si>
    <t>4707</t>
  </si>
  <si>
    <t>1868</t>
  </si>
  <si>
    <t>4444</t>
  </si>
  <si>
    <t>8263</t>
  </si>
  <si>
    <t>3042</t>
  </si>
  <si>
    <t>3909</t>
  </si>
  <si>
    <t>2068</t>
  </si>
  <si>
    <t>3606</t>
  </si>
  <si>
    <t>1426</t>
  </si>
  <si>
    <t>5521</t>
  </si>
  <si>
    <t>7215</t>
  </si>
  <si>
    <t>0846</t>
  </si>
  <si>
    <t>3124</t>
  </si>
  <si>
    <t>6920</t>
  </si>
  <si>
    <t>7523</t>
  </si>
  <si>
    <t>2669</t>
  </si>
  <si>
    <t>2083</t>
  </si>
  <si>
    <t>4502</t>
  </si>
  <si>
    <t>7840</t>
  </si>
  <si>
    <t>5429</t>
  </si>
  <si>
    <t>1785</t>
  </si>
  <si>
    <t>142X</t>
  </si>
  <si>
    <t>2742</t>
  </si>
  <si>
    <t>044X</t>
  </si>
  <si>
    <t>656X</t>
  </si>
  <si>
    <t>4129</t>
  </si>
  <si>
    <t>2324</t>
  </si>
  <si>
    <t>1565</t>
  </si>
  <si>
    <t>0947</t>
  </si>
  <si>
    <t>9323</t>
  </si>
  <si>
    <t>165X</t>
  </si>
  <si>
    <t>2080</t>
  </si>
  <si>
    <t>6025</t>
  </si>
  <si>
    <t>618X</t>
  </si>
  <si>
    <t>7487</t>
  </si>
  <si>
    <t>0080</t>
  </si>
  <si>
    <t>0246</t>
  </si>
  <si>
    <t>4942</t>
  </si>
  <si>
    <t>0244</t>
  </si>
  <si>
    <t>5647</t>
  </si>
  <si>
    <t>4426</t>
  </si>
  <si>
    <t>276X</t>
  </si>
  <si>
    <t>0738</t>
  </si>
  <si>
    <t>1928</t>
  </si>
  <si>
    <t>2862</t>
  </si>
  <si>
    <t>3627</t>
  </si>
  <si>
    <t>436X</t>
  </si>
  <si>
    <t>2048</t>
  </si>
  <si>
    <t>2024</t>
  </si>
  <si>
    <t>102X</t>
  </si>
  <si>
    <t>0243</t>
  </si>
  <si>
    <t>0040</t>
  </si>
  <si>
    <t>5123</t>
  </si>
  <si>
    <t>3425</t>
  </si>
  <si>
    <t>0445</t>
  </si>
  <si>
    <t>7285</t>
  </si>
  <si>
    <t>4706</t>
  </si>
  <si>
    <t>7044</t>
  </si>
  <si>
    <t>0820</t>
  </si>
  <si>
    <t>728X</t>
  </si>
  <si>
    <t>3885</t>
  </si>
  <si>
    <t>4643</t>
  </si>
  <si>
    <t>2662</t>
  </si>
  <si>
    <t>4983</t>
  </si>
  <si>
    <t>5637</t>
  </si>
  <si>
    <t>7827</t>
  </si>
  <si>
    <t>8526</t>
  </si>
  <si>
    <t>4228</t>
  </si>
  <si>
    <t>2426</t>
  </si>
  <si>
    <t>5761</t>
  </si>
  <si>
    <t>1240</t>
  </si>
  <si>
    <t>1720</t>
  </si>
  <si>
    <t>4128</t>
  </si>
  <si>
    <t>6421</t>
  </si>
  <si>
    <t>0449</t>
  </si>
  <si>
    <t>1405</t>
  </si>
  <si>
    <t>252X</t>
  </si>
  <si>
    <t>4362</t>
  </si>
  <si>
    <t>6447</t>
  </si>
  <si>
    <t>0226</t>
  </si>
  <si>
    <t>2461</t>
  </si>
  <si>
    <t>4527</t>
  </si>
  <si>
    <t>7324</t>
  </si>
  <si>
    <t>3284</t>
  </si>
  <si>
    <t>8423</t>
  </si>
  <si>
    <t>3602</t>
  </si>
  <si>
    <t>5389</t>
  </si>
  <si>
    <t>6624</t>
  </si>
  <si>
    <t>7219</t>
  </si>
  <si>
    <t>4018</t>
  </si>
  <si>
    <t>5424</t>
  </si>
  <si>
    <t>1807</t>
  </si>
  <si>
    <t>7529</t>
  </si>
  <si>
    <t>0067</t>
  </si>
  <si>
    <t>2528</t>
  </si>
  <si>
    <t>204X</t>
  </si>
  <si>
    <t>1622</t>
  </si>
  <si>
    <t>4067</t>
  </si>
  <si>
    <t>4741</t>
  </si>
  <si>
    <t>3080</t>
  </si>
  <si>
    <t>172X</t>
  </si>
  <si>
    <t>8745</t>
  </si>
  <si>
    <t>4788</t>
  </si>
  <si>
    <t>1127</t>
  </si>
  <si>
    <t>702X</t>
  </si>
  <si>
    <t>5847</t>
  </si>
  <si>
    <t>0064</t>
  </si>
  <si>
    <t>2249</t>
  </si>
  <si>
    <t>0221</t>
  </si>
  <si>
    <t>3267</t>
  </si>
  <si>
    <t>216X</t>
  </si>
  <si>
    <t>7242</t>
  </si>
  <si>
    <t>2749</t>
  </si>
  <si>
    <t>6120</t>
  </si>
  <si>
    <t>4188</t>
  </si>
  <si>
    <t>140X</t>
  </si>
  <si>
    <t>8266</t>
  </si>
  <si>
    <t>2663</t>
  </si>
  <si>
    <t>3923</t>
  </si>
  <si>
    <t>7047</t>
  </si>
  <si>
    <t>2214</t>
  </si>
  <si>
    <t>1328</t>
  </si>
  <si>
    <t>8163</t>
  </si>
  <si>
    <t>6581</t>
  </si>
  <si>
    <t>3586</t>
  </si>
  <si>
    <t>226X</t>
  </si>
  <si>
    <t>2020</t>
  </si>
  <si>
    <t>083X</t>
  </si>
  <si>
    <t>2789</t>
  </si>
  <si>
    <t>4224</t>
  </si>
  <si>
    <t>8223</t>
  </si>
  <si>
    <t>6417</t>
  </si>
  <si>
    <t>6647</t>
  </si>
  <si>
    <t>6562</t>
  </si>
  <si>
    <t>3363</t>
  </si>
  <si>
    <t>664X</t>
  </si>
  <si>
    <t>3940</t>
  </si>
  <si>
    <t>1645</t>
  </si>
  <si>
    <t>3308</t>
  </si>
  <si>
    <t>3361</t>
  </si>
  <si>
    <t>4260</t>
  </si>
  <si>
    <t>4060</t>
  </si>
  <si>
    <t>8726</t>
  </si>
  <si>
    <t>0967</t>
  </si>
  <si>
    <t>3720</t>
  </si>
  <si>
    <t>628X</t>
  </si>
  <si>
    <t>3340</t>
  </si>
  <si>
    <t>3125</t>
  </si>
  <si>
    <t>630X</t>
  </si>
  <si>
    <t>3860</t>
  </si>
  <si>
    <t>6124</t>
  </si>
  <si>
    <t>4372</t>
  </si>
  <si>
    <t>6641</t>
  </si>
  <si>
    <t>3227</t>
  </si>
  <si>
    <t>021X</t>
  </si>
  <si>
    <t>0649</t>
  </si>
  <si>
    <t>8225</t>
  </si>
  <si>
    <t>5385</t>
  </si>
  <si>
    <t>152X</t>
  </si>
  <si>
    <t>4364</t>
  </si>
  <si>
    <t>2489</t>
  </si>
  <si>
    <t>2029</t>
  </si>
  <si>
    <t>1724</t>
  </si>
  <si>
    <t>8064</t>
  </si>
  <si>
    <t>1548</t>
  </si>
  <si>
    <t>5648</t>
  </si>
  <si>
    <t>5846</t>
  </si>
  <si>
    <t>1322</t>
  </si>
  <si>
    <t>8566</t>
  </si>
  <si>
    <t>222X</t>
  </si>
  <si>
    <t>1734</t>
  </si>
  <si>
    <t>0889</t>
  </si>
  <si>
    <t>0687</t>
  </si>
  <si>
    <t>4042</t>
  </si>
  <si>
    <t>031X</t>
  </si>
  <si>
    <t>3647</t>
  </si>
  <si>
    <t>2619</t>
  </si>
  <si>
    <t>1883</t>
  </si>
  <si>
    <t>7163</t>
  </si>
  <si>
    <t>4625</t>
  </si>
  <si>
    <t>2827</t>
  </si>
  <si>
    <t>0747</t>
  </si>
  <si>
    <t>3922</t>
  </si>
  <si>
    <t>7701</t>
  </si>
  <si>
    <t>8222</t>
  </si>
  <si>
    <t>8326</t>
  </si>
  <si>
    <t>0441</t>
  </si>
  <si>
    <t>632X</t>
  </si>
  <si>
    <t>7825</t>
  </si>
  <si>
    <t>0383</t>
  </si>
  <si>
    <t>3245</t>
  </si>
  <si>
    <t>4122</t>
  </si>
  <si>
    <t>0966</t>
  </si>
  <si>
    <t>6214</t>
  </si>
  <si>
    <t>7046</t>
  </si>
  <si>
    <t>3365</t>
  </si>
  <si>
    <t>4189</t>
  </si>
  <si>
    <t>5364</t>
  </si>
  <si>
    <t>1846</t>
  </si>
  <si>
    <t>782X</t>
  </si>
  <si>
    <t>6820</t>
  </si>
  <si>
    <t>4568</t>
  </si>
  <si>
    <t>4940</t>
  </si>
  <si>
    <t>124X</t>
  </si>
  <si>
    <t>7785</t>
  </si>
  <si>
    <t>0225</t>
  </si>
  <si>
    <t>3321</t>
  </si>
  <si>
    <t>6166</t>
  </si>
  <si>
    <t>3588</t>
  </si>
  <si>
    <t>2244</t>
  </si>
  <si>
    <t>1409</t>
  </si>
  <si>
    <t>229X</t>
  </si>
  <si>
    <t>3262</t>
  </si>
  <si>
    <t>5028</t>
  </si>
  <si>
    <t>3521</t>
  </si>
  <si>
    <t>8142</t>
  </si>
  <si>
    <t>5216</t>
  </si>
  <si>
    <t>4828</t>
  </si>
  <si>
    <t>302X</t>
  </si>
  <si>
    <t>0440</t>
  </si>
  <si>
    <t>1249</t>
  </si>
  <si>
    <t>1786</t>
  </si>
  <si>
    <t>0332</t>
  </si>
  <si>
    <t>3623</t>
  </si>
  <si>
    <t>1626</t>
  </si>
  <si>
    <t>1202_小学语文2</t>
  </si>
  <si>
    <t>0721</t>
  </si>
  <si>
    <t>5840</t>
  </si>
  <si>
    <t>0745</t>
  </si>
  <si>
    <t>1923</t>
  </si>
  <si>
    <t>304X</t>
  </si>
  <si>
    <t>1251</t>
  </si>
  <si>
    <t>7365</t>
  </si>
  <si>
    <t>418X</t>
  </si>
  <si>
    <t>1260</t>
  </si>
  <si>
    <t>1203_小学数学1</t>
  </si>
  <si>
    <t>6027</t>
  </si>
  <si>
    <t>8515</t>
  </si>
  <si>
    <t>2925</t>
  </si>
  <si>
    <t>5421</t>
  </si>
  <si>
    <t>2079</t>
  </si>
  <si>
    <t>312X</t>
  </si>
  <si>
    <t>5139</t>
  </si>
  <si>
    <t>6068</t>
  </si>
  <si>
    <t>2910</t>
  </si>
  <si>
    <t>3759</t>
  </si>
  <si>
    <t>5367</t>
  </si>
  <si>
    <t>3446</t>
  </si>
  <si>
    <t>0841</t>
  </si>
  <si>
    <t>0310</t>
  </si>
  <si>
    <t>7528</t>
  </si>
  <si>
    <t>7507</t>
  </si>
  <si>
    <t>8783</t>
  </si>
  <si>
    <t>112X</t>
  </si>
  <si>
    <t>8721</t>
  </si>
  <si>
    <t>5141</t>
  </si>
  <si>
    <t>1009</t>
  </si>
  <si>
    <t>0038</t>
  </si>
  <si>
    <t>4023</t>
  </si>
  <si>
    <t>0474</t>
  </si>
  <si>
    <t>3387</t>
  </si>
  <si>
    <t>5019</t>
  </si>
  <si>
    <t>4220</t>
  </si>
  <si>
    <t>1668</t>
  </si>
  <si>
    <t>2614</t>
  </si>
  <si>
    <t>2947</t>
  </si>
  <si>
    <t>0248</t>
  </si>
  <si>
    <t>7022</t>
  </si>
  <si>
    <t>2315</t>
  </si>
  <si>
    <t>3867</t>
  </si>
  <si>
    <t>7229</t>
  </si>
  <si>
    <t>4142</t>
  </si>
  <si>
    <t>2510</t>
  </si>
  <si>
    <t>4992</t>
  </si>
  <si>
    <t>7286</t>
  </si>
  <si>
    <t>1325</t>
  </si>
  <si>
    <t>0561</t>
  </si>
  <si>
    <t>5142</t>
  </si>
  <si>
    <t>6480</t>
  </si>
  <si>
    <t>2448</t>
  </si>
  <si>
    <t>486X</t>
  </si>
  <si>
    <t>0821</t>
  </si>
  <si>
    <t>6724</t>
  </si>
  <si>
    <t>0063</t>
  </si>
  <si>
    <t>7821</t>
  </si>
  <si>
    <t>6664</t>
  </si>
  <si>
    <t>2220</t>
  </si>
  <si>
    <t>3467</t>
  </si>
  <si>
    <t>4389</t>
  </si>
  <si>
    <t>1914</t>
  </si>
  <si>
    <t>0822</t>
  </si>
  <si>
    <t>0986</t>
  </si>
  <si>
    <t>1623</t>
  </si>
  <si>
    <t>1924</t>
  </si>
  <si>
    <t>0682</t>
  </si>
  <si>
    <t>5632</t>
  </si>
  <si>
    <t>3616</t>
  </si>
  <si>
    <t>5223</t>
  </si>
  <si>
    <t>4726</t>
  </si>
  <si>
    <t>2736</t>
  </si>
  <si>
    <t>0945</t>
  </si>
  <si>
    <t>4088</t>
  </si>
  <si>
    <t>2625</t>
  </si>
  <si>
    <t>1881</t>
  </si>
  <si>
    <t>542X</t>
  </si>
  <si>
    <t>1519</t>
  </si>
  <si>
    <t>4187</t>
  </si>
  <si>
    <t>5047</t>
  </si>
  <si>
    <t>9528</t>
  </si>
  <si>
    <t>1209</t>
  </si>
  <si>
    <t>3445</t>
  </si>
  <si>
    <t>3415</t>
  </si>
  <si>
    <t>6232</t>
  </si>
  <si>
    <t>748X</t>
  </si>
  <si>
    <t>1540</t>
  </si>
  <si>
    <t>5824</t>
  </si>
  <si>
    <t>7327</t>
  </si>
  <si>
    <t>594X</t>
  </si>
  <si>
    <t>5453</t>
  </si>
  <si>
    <t>1248</t>
  </si>
  <si>
    <t>1544</t>
  </si>
  <si>
    <t>1620</t>
  </si>
  <si>
    <t>1324</t>
  </si>
  <si>
    <t>6623</t>
  </si>
  <si>
    <t>4323</t>
  </si>
  <si>
    <t>3900</t>
  </si>
  <si>
    <t>4849</t>
  </si>
  <si>
    <t>1216</t>
  </si>
  <si>
    <t>336X</t>
  </si>
  <si>
    <t>9143</t>
  </si>
  <si>
    <t>181X</t>
  </si>
  <si>
    <t>5309</t>
  </si>
  <si>
    <t>453X</t>
  </si>
  <si>
    <t>564X</t>
  </si>
  <si>
    <t>7212</t>
  </si>
  <si>
    <t>0341</t>
  </si>
  <si>
    <t>2846</t>
  </si>
  <si>
    <t>0631</t>
  </si>
  <si>
    <t>2527</t>
  </si>
  <si>
    <t>4363</t>
  </si>
  <si>
    <t>4922</t>
  </si>
  <si>
    <t>1714</t>
  </si>
  <si>
    <t>762X</t>
  </si>
  <si>
    <t>7616</t>
  </si>
  <si>
    <t>2041</t>
  </si>
  <si>
    <t>7019</t>
  </si>
  <si>
    <t>5561</t>
  </si>
  <si>
    <t>5729</t>
  </si>
  <si>
    <t>406X</t>
  </si>
  <si>
    <t>1220</t>
  </si>
  <si>
    <t>1183</t>
  </si>
  <si>
    <t>2522</t>
  </si>
  <si>
    <t>4481</t>
  </si>
  <si>
    <t>7322</t>
  </si>
  <si>
    <t>4126</t>
  </si>
  <si>
    <t>1025</t>
  </si>
  <si>
    <t>3441</t>
  </si>
  <si>
    <t>5545</t>
  </si>
  <si>
    <t>2664</t>
  </si>
  <si>
    <t>0989</t>
  </si>
  <si>
    <t>3031</t>
  </si>
  <si>
    <t>2346</t>
  </si>
  <si>
    <t>1445</t>
  </si>
  <si>
    <t>5001</t>
  </si>
  <si>
    <t>6448</t>
  </si>
  <si>
    <t>7625</t>
  </si>
  <si>
    <t>3661</t>
  </si>
  <si>
    <t>2446</t>
  </si>
  <si>
    <t>2967</t>
  </si>
  <si>
    <t>8227</t>
  </si>
  <si>
    <t>2467</t>
  </si>
  <si>
    <t>0613</t>
  </si>
  <si>
    <t>466X</t>
  </si>
  <si>
    <t>6030</t>
  </si>
  <si>
    <t>4862</t>
  </si>
  <si>
    <t>414X</t>
  </si>
  <si>
    <t>4069</t>
  </si>
  <si>
    <t>3268</t>
  </si>
  <si>
    <t>4727</t>
  </si>
  <si>
    <t>384X</t>
  </si>
  <si>
    <t>4525</t>
  </si>
  <si>
    <t>1667</t>
  </si>
  <si>
    <t>478X</t>
  </si>
  <si>
    <t>5027</t>
  </si>
  <si>
    <t>5649</t>
  </si>
  <si>
    <t>4503</t>
  </si>
  <si>
    <t>5261</t>
  </si>
  <si>
    <t>2964</t>
  </si>
  <si>
    <t>0418</t>
  </si>
  <si>
    <t>7460</t>
  </si>
  <si>
    <t>5646</t>
  </si>
  <si>
    <t>6006</t>
  </si>
  <si>
    <t>8211</t>
  </si>
  <si>
    <t>3121</t>
  </si>
  <si>
    <t>6227</t>
  </si>
  <si>
    <t>362X</t>
  </si>
  <si>
    <t>7525</t>
  </si>
  <si>
    <t>6247</t>
  </si>
  <si>
    <t>5933</t>
  </si>
  <si>
    <t>4546</t>
  </si>
  <si>
    <t>2960</t>
  </si>
  <si>
    <t>5763</t>
  </si>
  <si>
    <t>5325</t>
  </si>
  <si>
    <t>4542</t>
  </si>
  <si>
    <t>5368</t>
  </si>
  <si>
    <t>2035</t>
  </si>
  <si>
    <t>2620</t>
  </si>
  <si>
    <t>3145</t>
  </si>
  <si>
    <t>2183</t>
  </si>
  <si>
    <t>3097</t>
  </si>
  <si>
    <t>4318</t>
  </si>
  <si>
    <t>2547</t>
  </si>
  <si>
    <t>6816</t>
  </si>
  <si>
    <t>4367</t>
  </si>
  <si>
    <t>5921</t>
  </si>
  <si>
    <t>3511</t>
  </si>
  <si>
    <t>4327</t>
  </si>
  <si>
    <t>4708</t>
  </si>
  <si>
    <t>3444</t>
  </si>
  <si>
    <t>0955</t>
  </si>
  <si>
    <t>7641</t>
  </si>
  <si>
    <t>3643</t>
  </si>
  <si>
    <t>344X</t>
  </si>
  <si>
    <t>6211</t>
  </si>
  <si>
    <t>1190</t>
  </si>
  <si>
    <t>4885</t>
  </si>
  <si>
    <t>2513</t>
  </si>
  <si>
    <t>3129</t>
  </si>
  <si>
    <t>6246</t>
  </si>
  <si>
    <t>0501</t>
  </si>
  <si>
    <t>1834</t>
  </si>
  <si>
    <t>2543</t>
  </si>
  <si>
    <t>1016</t>
  </si>
  <si>
    <t>462X</t>
  </si>
  <si>
    <t>3815</t>
  </si>
  <si>
    <t>450X</t>
  </si>
  <si>
    <t>0960</t>
  </si>
  <si>
    <t>3000</t>
  </si>
  <si>
    <t>3927</t>
  </si>
  <si>
    <t>2518</t>
  </si>
  <si>
    <t>2317</t>
  </si>
  <si>
    <t>0443</t>
  </si>
  <si>
    <t>394X</t>
  </si>
  <si>
    <t>8844</t>
  </si>
  <si>
    <t>5681</t>
  </si>
  <si>
    <t>2369</t>
  </si>
  <si>
    <t>5802</t>
  </si>
  <si>
    <t>1428</t>
  </si>
  <si>
    <t>238X</t>
  </si>
  <si>
    <t>1200</t>
  </si>
  <si>
    <t>0835</t>
  </si>
  <si>
    <t>3945</t>
  </si>
  <si>
    <t>3828</t>
  </si>
  <si>
    <t>5268</t>
  </si>
  <si>
    <t>3085</t>
  </si>
  <si>
    <t>5148</t>
  </si>
  <si>
    <t>346X</t>
  </si>
  <si>
    <t>4987</t>
  </si>
  <si>
    <t>068X</t>
  </si>
  <si>
    <t>1864</t>
  </si>
  <si>
    <t>2656</t>
  </si>
  <si>
    <t>2049</t>
  </si>
  <si>
    <t>8262</t>
  </si>
  <si>
    <t>290X</t>
  </si>
  <si>
    <t>3192</t>
  </si>
  <si>
    <t>3905</t>
  </si>
  <si>
    <t>2633</t>
  </si>
  <si>
    <t>4219</t>
  </si>
  <si>
    <t>4781</t>
  </si>
  <si>
    <t>4929</t>
  </si>
  <si>
    <t>3214</t>
  </si>
  <si>
    <t>7426</t>
  </si>
  <si>
    <t>3743</t>
  </si>
  <si>
    <t>2429</t>
  </si>
  <si>
    <t>0289</t>
  </si>
  <si>
    <t>6727</t>
  </si>
  <si>
    <t>0336</t>
  </si>
  <si>
    <t>3817</t>
  </si>
  <si>
    <t>0037</t>
  </si>
  <si>
    <t>6728</t>
  </si>
  <si>
    <t>3947</t>
  </si>
  <si>
    <t>005X</t>
  </si>
  <si>
    <t>2219</t>
  </si>
  <si>
    <t>364X</t>
  </si>
  <si>
    <t>926X</t>
  </si>
  <si>
    <t>6222</t>
  </si>
  <si>
    <t>234X</t>
  </si>
  <si>
    <t>3215</t>
  </si>
  <si>
    <t>5443</t>
  </si>
  <si>
    <t>4864</t>
  </si>
  <si>
    <t>1627</t>
  </si>
  <si>
    <t>5627</t>
  </si>
  <si>
    <t>2688</t>
  </si>
  <si>
    <t>3434</t>
  </si>
  <si>
    <t>1527</t>
  </si>
  <si>
    <t>0444</t>
  </si>
  <si>
    <t>3703</t>
  </si>
  <si>
    <t>4728</t>
  </si>
  <si>
    <t>4971</t>
  </si>
  <si>
    <t>5689</t>
  </si>
  <si>
    <t>3914</t>
  </si>
  <si>
    <t>4949</t>
  </si>
  <si>
    <t>1170</t>
  </si>
  <si>
    <t>5226</t>
  </si>
  <si>
    <t>6260</t>
  </si>
  <si>
    <t>8336</t>
  </si>
  <si>
    <t>6723</t>
  </si>
  <si>
    <t>3912</t>
  </si>
  <si>
    <t>2250</t>
  </si>
  <si>
    <t>2520</t>
  </si>
  <si>
    <t>0240</t>
  </si>
  <si>
    <t>7425</t>
  </si>
  <si>
    <t>4547</t>
  </si>
  <si>
    <t>4385</t>
  </si>
  <si>
    <t>4901</t>
  </si>
  <si>
    <t>3969</t>
  </si>
  <si>
    <t>5163</t>
  </si>
  <si>
    <t>7274</t>
  </si>
  <si>
    <t>4785</t>
  </si>
  <si>
    <t>3849</t>
  </si>
  <si>
    <t>7647</t>
  </si>
  <si>
    <t>5941</t>
  </si>
  <si>
    <t>6848</t>
  </si>
  <si>
    <t>4661</t>
  </si>
  <si>
    <t>6825</t>
  </si>
  <si>
    <t>1582</t>
  </si>
  <si>
    <t>4484</t>
  </si>
  <si>
    <t>1215</t>
  </si>
  <si>
    <t>2301</t>
  </si>
  <si>
    <t>1204_小学数学2</t>
  </si>
  <si>
    <t>3527</t>
  </si>
  <si>
    <t>5645</t>
  </si>
  <si>
    <t>3261</t>
  </si>
  <si>
    <t>3518</t>
  </si>
  <si>
    <t>3542</t>
  </si>
  <si>
    <t>0300</t>
  </si>
  <si>
    <t>5145</t>
  </si>
  <si>
    <t>352X</t>
  </si>
  <si>
    <t>0541</t>
  </si>
  <si>
    <t>0522</t>
  </si>
  <si>
    <t>2944</t>
  </si>
  <si>
    <t>6013</t>
  </si>
  <si>
    <t>088X</t>
  </si>
  <si>
    <t>514X</t>
  </si>
  <si>
    <t>1205_小学英语1</t>
  </si>
  <si>
    <t>3313</t>
  </si>
  <si>
    <t>4020</t>
  </si>
  <si>
    <t>8224</t>
  </si>
  <si>
    <t>4645</t>
  </si>
  <si>
    <t>2508</t>
  </si>
  <si>
    <t>5787</t>
  </si>
  <si>
    <t>2143</t>
  </si>
  <si>
    <t>0929</t>
  </si>
  <si>
    <t>3841</t>
  </si>
  <si>
    <t>7945</t>
  </si>
  <si>
    <t>7421</t>
  </si>
  <si>
    <t>4744</t>
  </si>
  <si>
    <t>5724</t>
  </si>
  <si>
    <t>5642</t>
  </si>
  <si>
    <t>1829</t>
  </si>
  <si>
    <t>246X</t>
  </si>
  <si>
    <t>3789</t>
  </si>
  <si>
    <t>1547</t>
  </si>
  <si>
    <t>596X</t>
  </si>
  <si>
    <t>4723</t>
  </si>
  <si>
    <t>690X</t>
  </si>
  <si>
    <t>4522</t>
  </si>
  <si>
    <t>0545</t>
  </si>
  <si>
    <t>4761</t>
  </si>
  <si>
    <t>072X</t>
  </si>
  <si>
    <t>1862</t>
  </si>
  <si>
    <t>7649</t>
  </si>
  <si>
    <t>7926</t>
  </si>
  <si>
    <t>0909</t>
  </si>
  <si>
    <t>6043</t>
  </si>
  <si>
    <t>8520</t>
  </si>
  <si>
    <t>5083</t>
  </si>
  <si>
    <t>6320</t>
  </si>
  <si>
    <t>1429</t>
  </si>
  <si>
    <t>2843</t>
  </si>
  <si>
    <t>3021</t>
  </si>
  <si>
    <t>8026</t>
  </si>
  <si>
    <t>3949</t>
  </si>
  <si>
    <t>354X</t>
  </si>
  <si>
    <t>0084</t>
  </si>
  <si>
    <t>5929</t>
  </si>
  <si>
    <t>3120</t>
  </si>
  <si>
    <t>5768</t>
  </si>
  <si>
    <t>7922</t>
  </si>
  <si>
    <t>0469</t>
  </si>
  <si>
    <t>228X</t>
  </si>
  <si>
    <t>3609</t>
  </si>
  <si>
    <t>5442</t>
  </si>
  <si>
    <t>4145</t>
  </si>
  <si>
    <t>4521</t>
  </si>
  <si>
    <t>2569</t>
  </si>
  <si>
    <t>4548</t>
  </si>
  <si>
    <t>2465</t>
  </si>
  <si>
    <t>3265</t>
  </si>
  <si>
    <t>2948</t>
  </si>
  <si>
    <t>1447</t>
  </si>
  <si>
    <t>342X</t>
  </si>
  <si>
    <t>064X</t>
  </si>
  <si>
    <t>7246</t>
  </si>
  <si>
    <t>6563</t>
  </si>
  <si>
    <t>1545</t>
  </si>
  <si>
    <t>5260</t>
  </si>
  <si>
    <t>5423</t>
  </si>
  <si>
    <t>1202</t>
  </si>
  <si>
    <t>2747</t>
  </si>
  <si>
    <t>3865</t>
  </si>
  <si>
    <t>7045</t>
  </si>
  <si>
    <t>8508</t>
  </si>
  <si>
    <t>0367</t>
  </si>
  <si>
    <t>1261</t>
  </si>
  <si>
    <t>5445</t>
  </si>
  <si>
    <t>0641</t>
  </si>
  <si>
    <t>166X</t>
  </si>
  <si>
    <t>5848</t>
  </si>
  <si>
    <t>7423</t>
  </si>
  <si>
    <t>0726</t>
  </si>
  <si>
    <t>3269</t>
  </si>
  <si>
    <t>2983</t>
  </si>
  <si>
    <t>2529</t>
  </si>
  <si>
    <t>3419</t>
  </si>
  <si>
    <t>4969</t>
  </si>
  <si>
    <t>0902</t>
  </si>
  <si>
    <t>0287</t>
  </si>
  <si>
    <t>6921</t>
  </si>
  <si>
    <t>3669</t>
  </si>
  <si>
    <t>4981</t>
  </si>
  <si>
    <t>4361</t>
  </si>
  <si>
    <t>7669</t>
  </si>
  <si>
    <t>4780</t>
  </si>
  <si>
    <t>0880</t>
  </si>
  <si>
    <t>5365</t>
  </si>
  <si>
    <t>488X</t>
  </si>
  <si>
    <t>1486</t>
  </si>
  <si>
    <t>3347</t>
  </si>
  <si>
    <t>2285</t>
  </si>
  <si>
    <t>3747</t>
  </si>
  <si>
    <t>2501</t>
  </si>
  <si>
    <t>1442</t>
  </si>
  <si>
    <t>3364</t>
  </si>
  <si>
    <t>3342</t>
  </si>
  <si>
    <t>0524</t>
  </si>
  <si>
    <t>5864</t>
  </si>
  <si>
    <t>5808</t>
  </si>
  <si>
    <t>403X</t>
  </si>
  <si>
    <t>4662</t>
  </si>
  <si>
    <t>3687</t>
  </si>
  <si>
    <t>1207</t>
  </si>
  <si>
    <t>4460</t>
  </si>
  <si>
    <t>1244</t>
  </si>
  <si>
    <t>3065</t>
  </si>
  <si>
    <t>1206_小学英语2</t>
  </si>
  <si>
    <t>1123</t>
  </si>
  <si>
    <t>1925</t>
  </si>
  <si>
    <t>1737</t>
  </si>
  <si>
    <t>040X</t>
  </si>
  <si>
    <t>1340</t>
  </si>
  <si>
    <t>1207_小学音乐1</t>
  </si>
  <si>
    <t>7167</t>
  </si>
  <si>
    <t>3610</t>
  </si>
  <si>
    <t>2740</t>
  </si>
  <si>
    <t>604X</t>
  </si>
  <si>
    <t>0882</t>
  </si>
  <si>
    <t>6824</t>
  </si>
  <si>
    <t>0347</t>
  </si>
  <si>
    <t>3911</t>
  </si>
  <si>
    <t>7249</t>
  </si>
  <si>
    <t>5803</t>
  </si>
  <si>
    <t>4119</t>
  </si>
  <si>
    <t>104X</t>
  </si>
  <si>
    <t>6225</t>
  </si>
  <si>
    <t>223X</t>
  </si>
  <si>
    <t>1268</t>
  </si>
  <si>
    <t>0567</t>
  </si>
  <si>
    <t>0403</t>
  </si>
  <si>
    <t>1247</t>
  </si>
  <si>
    <t>0269</t>
  </si>
  <si>
    <t>1049</t>
  </si>
  <si>
    <t>1208_小学音乐2</t>
  </si>
  <si>
    <t>1927</t>
  </si>
  <si>
    <t>30482021060114005163442</t>
  </si>
  <si>
    <t>1209_小学美术1</t>
  </si>
  <si>
    <t>武彩</t>
  </si>
  <si>
    <t>女</t>
  </si>
  <si>
    <t>30482021060114050463493</t>
  </si>
  <si>
    <t>洪祥琪</t>
  </si>
  <si>
    <t>男</t>
  </si>
  <si>
    <t>30482021060114145363592</t>
  </si>
  <si>
    <t>陈晓微</t>
  </si>
  <si>
    <t>30482021060114241963686</t>
  </si>
  <si>
    <t>符晓菲</t>
  </si>
  <si>
    <t>30482021060114244863690</t>
  </si>
  <si>
    <t>叶娜</t>
  </si>
  <si>
    <t>30482021060114311363765</t>
  </si>
  <si>
    <t>冯娜</t>
  </si>
  <si>
    <t>30482021060114372363827</t>
  </si>
  <si>
    <t>石月珊</t>
  </si>
  <si>
    <t>30482021060114455163938</t>
  </si>
  <si>
    <t>陈耀丽</t>
  </si>
  <si>
    <t>30482021060114483963969</t>
  </si>
  <si>
    <t>房惠</t>
  </si>
  <si>
    <t>1146</t>
  </si>
  <si>
    <t>30482021060114484663974</t>
  </si>
  <si>
    <t>林冰</t>
  </si>
  <si>
    <t>0746</t>
  </si>
  <si>
    <t>30482021060114562064082</t>
  </si>
  <si>
    <t>麦浪江</t>
  </si>
  <si>
    <t>6037</t>
  </si>
  <si>
    <t>30482021060114573764103</t>
  </si>
  <si>
    <t>王积英</t>
  </si>
  <si>
    <t>30482021060115021864158</t>
  </si>
  <si>
    <t>周梦君</t>
  </si>
  <si>
    <t>30482021060115061464203</t>
  </si>
  <si>
    <t>罗享</t>
  </si>
  <si>
    <t>30482021060115323164550</t>
  </si>
  <si>
    <t>陈玲</t>
  </si>
  <si>
    <t>30482021060115433864689</t>
  </si>
  <si>
    <t>郭艺杰</t>
  </si>
  <si>
    <t>30482021060116052264951</t>
  </si>
  <si>
    <t>林瑜</t>
  </si>
  <si>
    <t>30482021060116192265125</t>
  </si>
  <si>
    <t>董亚妹</t>
  </si>
  <si>
    <t>30482021060116195365132</t>
  </si>
  <si>
    <t>黄淑贞</t>
  </si>
  <si>
    <t>2540</t>
  </si>
  <si>
    <t>30482021060116232965188</t>
  </si>
  <si>
    <t>林斯娴</t>
  </si>
  <si>
    <t>30482021060116341065351</t>
  </si>
  <si>
    <t>陈小冰</t>
  </si>
  <si>
    <t>30482021060116482065539</t>
  </si>
  <si>
    <t>符莉</t>
  </si>
  <si>
    <t>30482021060116501265562</t>
  </si>
  <si>
    <t>史克壮</t>
  </si>
  <si>
    <t>0619</t>
  </si>
  <si>
    <t>30482021060117492066225</t>
  </si>
  <si>
    <t>李佳玲</t>
  </si>
  <si>
    <t>30482021060118174966472</t>
  </si>
  <si>
    <t>孙小浛</t>
  </si>
  <si>
    <t>30482021060119593967886</t>
  </si>
  <si>
    <t>韩欢欢</t>
  </si>
  <si>
    <t>30482021060121180768576</t>
  </si>
  <si>
    <t>王佳惠</t>
  </si>
  <si>
    <t>30482021060121215768607</t>
  </si>
  <si>
    <t>许桂芝</t>
  </si>
  <si>
    <t>6221</t>
  </si>
  <si>
    <t>30482021060122260069841</t>
  </si>
  <si>
    <t>付亚欣</t>
  </si>
  <si>
    <t>30482021060122315669887</t>
  </si>
  <si>
    <t>符良静</t>
  </si>
  <si>
    <t>30482021060122380169953</t>
  </si>
  <si>
    <t>林一锐</t>
  </si>
  <si>
    <t>0032</t>
  </si>
  <si>
    <t>30482021060123200770224</t>
  </si>
  <si>
    <t>李宛桦</t>
  </si>
  <si>
    <t>30482021060123284070267</t>
  </si>
  <si>
    <t>许樱潇</t>
  </si>
  <si>
    <t>30482021060208181570764</t>
  </si>
  <si>
    <t>李靖怡</t>
  </si>
  <si>
    <t>5324</t>
  </si>
  <si>
    <t>30482021060208451370974</t>
  </si>
  <si>
    <t>唐元秀</t>
  </si>
  <si>
    <t>30482021060208530871050</t>
  </si>
  <si>
    <t>卓杰扬</t>
  </si>
  <si>
    <t>30482021060208552271072</t>
  </si>
  <si>
    <t>吕伟</t>
  </si>
  <si>
    <t>30482021060208583871100</t>
  </si>
  <si>
    <t>曹馨月</t>
  </si>
  <si>
    <t>30482021060209341071504</t>
  </si>
  <si>
    <t>闫懿琳</t>
  </si>
  <si>
    <t>6720</t>
  </si>
  <si>
    <t>30482021060209390671572</t>
  </si>
  <si>
    <t>吴倩娇</t>
  </si>
  <si>
    <t>30482021060209565871815</t>
  </si>
  <si>
    <t>罗慧</t>
  </si>
  <si>
    <t>30482021060210135972038</t>
  </si>
  <si>
    <t>云晓惠</t>
  </si>
  <si>
    <t>30482021060210154972068</t>
  </si>
  <si>
    <t>陈珊珊</t>
  </si>
  <si>
    <t>7846</t>
  </si>
  <si>
    <t>30482021060210162772080</t>
  </si>
  <si>
    <t>徐辉璇</t>
  </si>
  <si>
    <t>30482021060210481072519</t>
  </si>
  <si>
    <t>黄千淇</t>
  </si>
  <si>
    <t>30482021060210540172591</t>
  </si>
  <si>
    <t>刘美娜</t>
  </si>
  <si>
    <t>2989</t>
  </si>
  <si>
    <t>30482021060211172272869</t>
  </si>
  <si>
    <t>林秀雨</t>
  </si>
  <si>
    <t>0348</t>
  </si>
  <si>
    <t>30482021060211303573011</t>
  </si>
  <si>
    <t>李兴乐</t>
  </si>
  <si>
    <t>383X</t>
  </si>
  <si>
    <t>30482021060211343373049</t>
  </si>
  <si>
    <t>林婧</t>
  </si>
  <si>
    <t>7021</t>
  </si>
  <si>
    <t>30482021060211582573264</t>
  </si>
  <si>
    <t>李高凌</t>
  </si>
  <si>
    <t>30482021060212491473694</t>
  </si>
  <si>
    <t>邢悦</t>
  </si>
  <si>
    <t>30482021060213265273978</t>
  </si>
  <si>
    <t>谢广秀</t>
  </si>
  <si>
    <t>30482021060216014375263</t>
  </si>
  <si>
    <t>孙铭微</t>
  </si>
  <si>
    <t>30482021060216422375665</t>
  </si>
  <si>
    <t>黎魏</t>
  </si>
  <si>
    <t>4266</t>
  </si>
  <si>
    <t>30482021060217515376272</t>
  </si>
  <si>
    <t>谢金珊</t>
  </si>
  <si>
    <t>30482021060221342577989</t>
  </si>
  <si>
    <t>杨锦桦</t>
  </si>
  <si>
    <t>30482021060222242478372</t>
  </si>
  <si>
    <t>陈明珊</t>
  </si>
  <si>
    <t>30482021060222365078470</t>
  </si>
  <si>
    <t>覃祝婉</t>
  </si>
  <si>
    <t>30482021060308025279269</t>
  </si>
  <si>
    <t>杨莉</t>
  </si>
  <si>
    <t>30482021060309274480181</t>
  </si>
  <si>
    <t>李思</t>
  </si>
  <si>
    <t>6045</t>
  </si>
  <si>
    <t>30482021060310343881235</t>
  </si>
  <si>
    <t>罗晓颖</t>
  </si>
  <si>
    <t>30482021060311510782329</t>
  </si>
  <si>
    <t>陆林婷</t>
  </si>
  <si>
    <t>30482021060312480682902</t>
  </si>
  <si>
    <t>李净洁</t>
  </si>
  <si>
    <t>30482021060313171983177</t>
  </si>
  <si>
    <t>符达琼</t>
  </si>
  <si>
    <t>4215</t>
  </si>
  <si>
    <t>30482021060317380685991</t>
  </si>
  <si>
    <t>赵俊</t>
  </si>
  <si>
    <t>097X</t>
  </si>
  <si>
    <t>30482021060318221886389</t>
  </si>
  <si>
    <t>刘一凡</t>
  </si>
  <si>
    <t>30482021060320390987652</t>
  </si>
  <si>
    <t>符启凡</t>
  </si>
  <si>
    <t>5816</t>
  </si>
  <si>
    <t>30482021060321023887940</t>
  </si>
  <si>
    <t>王小荣</t>
  </si>
  <si>
    <t>30482021060321091488019</t>
  </si>
  <si>
    <t>朱娇</t>
  </si>
  <si>
    <t>1685</t>
  </si>
  <si>
    <t>30482021060322424789075</t>
  </si>
  <si>
    <t>伍思艳</t>
  </si>
  <si>
    <t>2766</t>
  </si>
  <si>
    <t>30482021060322495689143</t>
  </si>
  <si>
    <t>廖小红</t>
  </si>
  <si>
    <t>30482021060400264589755</t>
  </si>
  <si>
    <t>王镛</t>
  </si>
  <si>
    <t>30482021060408593290578</t>
  </si>
  <si>
    <t>李蒙</t>
  </si>
  <si>
    <t>1968</t>
  </si>
  <si>
    <t>30482021060410292791686</t>
  </si>
  <si>
    <t>王嘉瑜</t>
  </si>
  <si>
    <t>30482021060411411393170</t>
  </si>
  <si>
    <t>符奇玲</t>
  </si>
  <si>
    <t>3946</t>
  </si>
  <si>
    <t>30482021060414340495545</t>
  </si>
  <si>
    <t>谢莉红</t>
  </si>
  <si>
    <t>30482021060417084697620</t>
  </si>
  <si>
    <t>张少娃</t>
  </si>
  <si>
    <t>30482021060419014698645</t>
  </si>
  <si>
    <t>王一棉</t>
  </si>
  <si>
    <t>30482021060421071899526</t>
  </si>
  <si>
    <t>林生芳</t>
  </si>
  <si>
    <t>484X</t>
  </si>
  <si>
    <t>304820210605001435100006</t>
  </si>
  <si>
    <t>谭智</t>
  </si>
  <si>
    <t>6219</t>
  </si>
  <si>
    <t>304820210605140159101003</t>
  </si>
  <si>
    <t>王海闻</t>
  </si>
  <si>
    <t>9029</t>
  </si>
  <si>
    <t>304820210605233442102522</t>
  </si>
  <si>
    <t>邢肖肖</t>
  </si>
  <si>
    <t>304820210606094635102888</t>
  </si>
  <si>
    <t>李佳怡</t>
  </si>
  <si>
    <t>304820210606123612103407</t>
  </si>
  <si>
    <t>李燕</t>
  </si>
  <si>
    <t>304820210606211849104782</t>
  </si>
  <si>
    <t>符文秀</t>
  </si>
  <si>
    <t>304820210606215236104877</t>
  </si>
  <si>
    <t>王作</t>
  </si>
  <si>
    <t>2111</t>
  </si>
  <si>
    <t>304820210607021657105341</t>
  </si>
  <si>
    <t>蔡汝强</t>
  </si>
  <si>
    <t>304820210607094830105822</t>
  </si>
  <si>
    <t>符气翎</t>
  </si>
  <si>
    <t>1210_小学美术2</t>
  </si>
  <si>
    <t>1333</t>
  </si>
  <si>
    <t>7745</t>
  </si>
  <si>
    <t>7326</t>
  </si>
  <si>
    <t>1211_小学体育1</t>
  </si>
  <si>
    <t>6817</t>
  </si>
  <si>
    <t>1516</t>
  </si>
  <si>
    <t>5715</t>
  </si>
  <si>
    <t>1218</t>
  </si>
  <si>
    <t>1115</t>
  </si>
  <si>
    <t>5817</t>
  </si>
  <si>
    <t>0635</t>
  </si>
  <si>
    <t>3917</t>
  </si>
  <si>
    <t>4415</t>
  </si>
  <si>
    <t>1212_小学体育2</t>
  </si>
  <si>
    <t>5014</t>
  </si>
  <si>
    <t>4531</t>
  </si>
  <si>
    <t>341X</t>
  </si>
  <si>
    <t>5179</t>
  </si>
  <si>
    <t>3056</t>
  </si>
  <si>
    <t>1213_小学体育3</t>
  </si>
  <si>
    <t>7630</t>
  </si>
  <si>
    <t>5415</t>
  </si>
  <si>
    <t>3714</t>
  </si>
  <si>
    <t>1217</t>
  </si>
  <si>
    <t>4412</t>
  </si>
  <si>
    <t>5134</t>
  </si>
  <si>
    <t>7010</t>
  </si>
  <si>
    <t>5116</t>
  </si>
  <si>
    <t>0316</t>
  </si>
  <si>
    <t>4036</t>
  </si>
  <si>
    <t>2953</t>
  </si>
  <si>
    <t>2112</t>
  </si>
  <si>
    <t>1214_小学体育4</t>
  </si>
  <si>
    <t>3319</t>
  </si>
  <si>
    <t>4454</t>
  </si>
  <si>
    <t>3212</t>
  </si>
  <si>
    <t>6419</t>
  </si>
  <si>
    <t>3235</t>
  </si>
  <si>
    <t>0303</t>
  </si>
  <si>
    <t>1215_小学体育5</t>
  </si>
  <si>
    <t>4513</t>
  </si>
  <si>
    <t>1731</t>
  </si>
  <si>
    <t>5831</t>
  </si>
  <si>
    <t>0319</t>
  </si>
  <si>
    <t>321X</t>
  </si>
  <si>
    <t>1216_小学计算机1</t>
  </si>
  <si>
    <t>4833</t>
  </si>
  <si>
    <t>3881</t>
  </si>
  <si>
    <t>2348</t>
  </si>
  <si>
    <t>5161</t>
  </si>
  <si>
    <t>1010</t>
  </si>
  <si>
    <t>515X</t>
  </si>
  <si>
    <t>7527</t>
  </si>
  <si>
    <t>3713</t>
  </si>
  <si>
    <t>6011</t>
  </si>
  <si>
    <t>132X</t>
  </si>
  <si>
    <t>2230</t>
  </si>
  <si>
    <t>2982</t>
  </si>
  <si>
    <t>5086</t>
  </si>
  <si>
    <t>2521</t>
  </si>
  <si>
    <t>4842</t>
  </si>
  <si>
    <t>5639</t>
  </si>
  <si>
    <t>0381</t>
  </si>
  <si>
    <t>2968</t>
  </si>
  <si>
    <t>2254</t>
  </si>
  <si>
    <t>6441</t>
  </si>
  <si>
    <t>4201</t>
  </si>
  <si>
    <t>3060</t>
  </si>
  <si>
    <t>4462</t>
  </si>
  <si>
    <t>5661</t>
  </si>
  <si>
    <t>5788</t>
  </si>
  <si>
    <t>4046</t>
  </si>
  <si>
    <t>6844</t>
  </si>
  <si>
    <t>0910</t>
  </si>
  <si>
    <t>0569</t>
  </si>
  <si>
    <t>1264</t>
  </si>
  <si>
    <t>7615</t>
  </si>
  <si>
    <t>2240</t>
  </si>
  <si>
    <t>0540</t>
  </si>
  <si>
    <t>3410</t>
  </si>
  <si>
    <t>1813</t>
  </si>
  <si>
    <t>1217_小学计算机2</t>
  </si>
  <si>
    <t>5003</t>
  </si>
  <si>
    <t>1644</t>
  </si>
  <si>
    <t>1218_医务人员</t>
  </si>
  <si>
    <t>2449</t>
  </si>
  <si>
    <t>5049</t>
  </si>
  <si>
    <t>4816</t>
  </si>
  <si>
    <t>232X</t>
  </si>
  <si>
    <t>1922</t>
  </si>
  <si>
    <t>1041</t>
  </si>
  <si>
    <t>5140</t>
  </si>
  <si>
    <t>5444</t>
  </si>
  <si>
    <t>1944</t>
  </si>
  <si>
    <t>1487</t>
  </si>
  <si>
    <t>5236</t>
  </si>
  <si>
    <t>1727</t>
  </si>
  <si>
    <t>0919</t>
  </si>
  <si>
    <t>2525</t>
  </si>
  <si>
    <t>5167</t>
  </si>
  <si>
    <t>1725</t>
  </si>
  <si>
    <t>4866</t>
  </si>
  <si>
    <t>0484</t>
  </si>
  <si>
    <t>2147</t>
  </si>
  <si>
    <t>5188</t>
  </si>
  <si>
    <t>3943</t>
  </si>
  <si>
    <t>4342</t>
  </si>
  <si>
    <t>0768</t>
  </si>
  <si>
    <t>5344</t>
  </si>
  <si>
    <t>1301_医务人员</t>
  </si>
  <si>
    <t>4963</t>
  </si>
  <si>
    <t>2122</t>
  </si>
  <si>
    <t>3745</t>
  </si>
  <si>
    <t>文昌市2021年教师、医务人员招聘报名资格初审通过人员名单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</si>
</sst>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.25" customWidth="1"/>
    <col min="2" max="2" width="24.625" customWidth="1"/>
    <col min="3" max="3" width="18.875" customWidth="1"/>
    <col min="4" max="4" width="10.75" customWidth="1"/>
    <col min="5" max="5" width="9.25" customWidth="1"/>
    <col min="6" max="6" width="16.75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2.1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6">
        <v>1</v>
      </c>
      <c r="B4" s="6" t="str">
        <f>"30482021060114060963509"</f>
        <v>30482021060114060963509</v>
      </c>
      <c r="C4" s="6" t="s">
        <v>7</v>
      </c>
      <c r="D4" s="6" t="str">
        <f>"朱才潘"</f>
        <v>朱才潘</v>
      </c>
      <c r="E4" s="6" t="str">
        <f>"男"</f>
        <v>男</v>
      </c>
      <c r="F4" s="17" t="s">
        <v>8</v>
      </c>
    </row>
    <row r="5" spans="1:6" ht="20.100000000000001" customHeight="1" x14ac:dyDescent="0.15">
      <c r="A5" s="6">
        <v>2</v>
      </c>
      <c r="B5" s="6" t="str">
        <f>"30482021060114540964044"</f>
        <v>30482021060114540964044</v>
      </c>
      <c r="C5" s="6" t="s">
        <v>7</v>
      </c>
      <c r="D5" s="6" t="str">
        <f>"李美带"</f>
        <v>李美带</v>
      </c>
      <c r="E5" s="6" t="str">
        <f t="shared" ref="E5:E11" si="0">"女"</f>
        <v>女</v>
      </c>
      <c r="F5" s="18">
        <v>4220</v>
      </c>
    </row>
    <row r="6" spans="1:6" ht="20.100000000000001" customHeight="1" x14ac:dyDescent="0.15">
      <c r="A6" s="6">
        <v>3</v>
      </c>
      <c r="B6" s="6" t="str">
        <f>"30482021060115231764433"</f>
        <v>30482021060115231764433</v>
      </c>
      <c r="C6" s="6" t="s">
        <v>7</v>
      </c>
      <c r="D6" s="6" t="str">
        <f>"符夏梅"</f>
        <v>符夏梅</v>
      </c>
      <c r="E6" s="6" t="str">
        <f t="shared" si="0"/>
        <v>女</v>
      </c>
      <c r="F6" s="17" t="s">
        <v>9</v>
      </c>
    </row>
    <row r="7" spans="1:6" ht="20.100000000000001" customHeight="1" x14ac:dyDescent="0.15">
      <c r="A7" s="6">
        <v>4</v>
      </c>
      <c r="B7" s="6" t="str">
        <f>"30482021060115300764518"</f>
        <v>30482021060115300764518</v>
      </c>
      <c r="C7" s="6" t="s">
        <v>7</v>
      </c>
      <c r="D7" s="6" t="str">
        <f>"曾来南"</f>
        <v>曾来南</v>
      </c>
      <c r="E7" s="6" t="str">
        <f t="shared" si="0"/>
        <v>女</v>
      </c>
      <c r="F7" s="7" t="s">
        <v>10</v>
      </c>
    </row>
    <row r="8" spans="1:6" ht="20.100000000000001" customHeight="1" x14ac:dyDescent="0.15">
      <c r="A8" s="6">
        <v>5</v>
      </c>
      <c r="B8" s="6" t="str">
        <f>"30482021060116134165047"</f>
        <v>30482021060116134165047</v>
      </c>
      <c r="C8" s="6" t="s">
        <v>7</v>
      </c>
      <c r="D8" s="6" t="str">
        <f>"符芮帆"</f>
        <v>符芮帆</v>
      </c>
      <c r="E8" s="6" t="str">
        <f t="shared" si="0"/>
        <v>女</v>
      </c>
      <c r="F8" s="7" t="s">
        <v>11</v>
      </c>
    </row>
    <row r="9" spans="1:6" ht="20.100000000000001" customHeight="1" x14ac:dyDescent="0.15">
      <c r="A9" s="6">
        <v>6</v>
      </c>
      <c r="B9" s="6" t="str">
        <f>"30482021060116345065363"</f>
        <v>30482021060116345065363</v>
      </c>
      <c r="C9" s="6" t="s">
        <v>7</v>
      </c>
      <c r="D9" s="6" t="str">
        <f>"陈欣"</f>
        <v>陈欣</v>
      </c>
      <c r="E9" s="6" t="str">
        <f t="shared" si="0"/>
        <v>女</v>
      </c>
      <c r="F9" s="7" t="s">
        <v>12</v>
      </c>
    </row>
    <row r="10" spans="1:6" ht="20.100000000000001" customHeight="1" x14ac:dyDescent="0.15">
      <c r="A10" s="6">
        <v>7</v>
      </c>
      <c r="B10" s="6" t="str">
        <f>"30482021060116453865498"</f>
        <v>30482021060116453865498</v>
      </c>
      <c r="C10" s="6" t="s">
        <v>7</v>
      </c>
      <c r="D10" s="6" t="str">
        <f>"卢健瞳"</f>
        <v>卢健瞳</v>
      </c>
      <c r="E10" s="6" t="str">
        <f t="shared" si="0"/>
        <v>女</v>
      </c>
      <c r="F10" s="7" t="s">
        <v>13</v>
      </c>
    </row>
    <row r="11" spans="1:6" ht="20.100000000000001" customHeight="1" x14ac:dyDescent="0.15">
      <c r="A11" s="6">
        <v>8</v>
      </c>
      <c r="B11" s="6" t="str">
        <f>"30482021060117073865781"</f>
        <v>30482021060117073865781</v>
      </c>
      <c r="C11" s="6" t="s">
        <v>7</v>
      </c>
      <c r="D11" s="6" t="str">
        <f>"曾玲"</f>
        <v>曾玲</v>
      </c>
      <c r="E11" s="6" t="str">
        <f t="shared" si="0"/>
        <v>女</v>
      </c>
      <c r="F11" s="7" t="s">
        <v>14</v>
      </c>
    </row>
    <row r="12" spans="1:6" ht="20.100000000000001" customHeight="1" x14ac:dyDescent="0.15">
      <c r="A12" s="6">
        <v>9</v>
      </c>
      <c r="B12" s="6" t="str">
        <f>"30482021060118492066717"</f>
        <v>30482021060118492066717</v>
      </c>
      <c r="C12" s="6" t="s">
        <v>7</v>
      </c>
      <c r="D12" s="6" t="str">
        <f>"王杰"</f>
        <v>王杰</v>
      </c>
      <c r="E12" s="6" t="str">
        <f>"男"</f>
        <v>男</v>
      </c>
      <c r="F12" s="7" t="s">
        <v>15</v>
      </c>
    </row>
    <row r="13" spans="1:6" ht="20.100000000000001" customHeight="1" x14ac:dyDescent="0.15">
      <c r="A13" s="6">
        <v>10</v>
      </c>
      <c r="B13" s="6" t="str">
        <f>"30482021060120244968102"</f>
        <v>30482021060120244968102</v>
      </c>
      <c r="C13" s="6" t="s">
        <v>7</v>
      </c>
      <c r="D13" s="6" t="str">
        <f>"符有英"</f>
        <v>符有英</v>
      </c>
      <c r="E13" s="6" t="str">
        <f t="shared" ref="E13:E43" si="1">"女"</f>
        <v>女</v>
      </c>
      <c r="F13" s="7" t="s">
        <v>16</v>
      </c>
    </row>
    <row r="14" spans="1:6" ht="20.100000000000001" customHeight="1" x14ac:dyDescent="0.15">
      <c r="A14" s="6">
        <v>11</v>
      </c>
      <c r="B14" s="6" t="str">
        <f>"30482021060121434069458"</f>
        <v>30482021060121434069458</v>
      </c>
      <c r="C14" s="6" t="s">
        <v>7</v>
      </c>
      <c r="D14" s="6" t="str">
        <f>"李佳进"</f>
        <v>李佳进</v>
      </c>
      <c r="E14" s="6" t="str">
        <f t="shared" si="1"/>
        <v>女</v>
      </c>
      <c r="F14" s="7" t="s">
        <v>17</v>
      </c>
    </row>
    <row r="15" spans="1:6" ht="20.100000000000001" customHeight="1" x14ac:dyDescent="0.15">
      <c r="A15" s="6">
        <v>12</v>
      </c>
      <c r="B15" s="6" t="str">
        <f>"30482021060208342370878"</f>
        <v>30482021060208342370878</v>
      </c>
      <c r="C15" s="6" t="s">
        <v>7</v>
      </c>
      <c r="D15" s="6" t="str">
        <f>"梁雨君"</f>
        <v>梁雨君</v>
      </c>
      <c r="E15" s="6" t="str">
        <f t="shared" si="1"/>
        <v>女</v>
      </c>
      <c r="F15" s="7" t="s">
        <v>18</v>
      </c>
    </row>
    <row r="16" spans="1:6" ht="20.100000000000001" customHeight="1" x14ac:dyDescent="0.15">
      <c r="A16" s="6">
        <v>13</v>
      </c>
      <c r="B16" s="6" t="str">
        <f>"30482021060208395770929"</f>
        <v>30482021060208395770929</v>
      </c>
      <c r="C16" s="6" t="s">
        <v>7</v>
      </c>
      <c r="D16" s="6" t="str">
        <f>"陈亚芬"</f>
        <v>陈亚芬</v>
      </c>
      <c r="E16" s="6" t="str">
        <f t="shared" si="1"/>
        <v>女</v>
      </c>
      <c r="F16" s="7" t="s">
        <v>19</v>
      </c>
    </row>
    <row r="17" spans="1:6" ht="20.100000000000001" customHeight="1" x14ac:dyDescent="0.15">
      <c r="A17" s="6">
        <v>14</v>
      </c>
      <c r="B17" s="6" t="str">
        <f>"30482021060210042971921"</f>
        <v>30482021060210042971921</v>
      </c>
      <c r="C17" s="6" t="s">
        <v>7</v>
      </c>
      <c r="D17" s="6" t="str">
        <f>"李翠竹"</f>
        <v>李翠竹</v>
      </c>
      <c r="E17" s="6" t="str">
        <f t="shared" si="1"/>
        <v>女</v>
      </c>
      <c r="F17" s="7" t="s">
        <v>20</v>
      </c>
    </row>
    <row r="18" spans="1:6" ht="20.100000000000001" customHeight="1" x14ac:dyDescent="0.15">
      <c r="A18" s="6">
        <v>15</v>
      </c>
      <c r="B18" s="6" t="str">
        <f>"30482021060210172172097"</f>
        <v>30482021060210172172097</v>
      </c>
      <c r="C18" s="6" t="s">
        <v>7</v>
      </c>
      <c r="D18" s="6" t="str">
        <f>"林可可"</f>
        <v>林可可</v>
      </c>
      <c r="E18" s="6" t="str">
        <f t="shared" si="1"/>
        <v>女</v>
      </c>
      <c r="F18" s="7" t="s">
        <v>21</v>
      </c>
    </row>
    <row r="19" spans="1:6" ht="20.100000000000001" customHeight="1" x14ac:dyDescent="0.15">
      <c r="A19" s="6">
        <v>16</v>
      </c>
      <c r="B19" s="6" t="str">
        <f>"30482021060210280172245"</f>
        <v>30482021060210280172245</v>
      </c>
      <c r="C19" s="6" t="s">
        <v>7</v>
      </c>
      <c r="D19" s="6" t="str">
        <f>"朱青宇"</f>
        <v>朱青宇</v>
      </c>
      <c r="E19" s="6" t="str">
        <f t="shared" si="1"/>
        <v>女</v>
      </c>
      <c r="F19" s="7" t="s">
        <v>22</v>
      </c>
    </row>
    <row r="20" spans="1:6" ht="20.100000000000001" customHeight="1" x14ac:dyDescent="0.15">
      <c r="A20" s="6">
        <v>17</v>
      </c>
      <c r="B20" s="6" t="str">
        <f>"30482021060210424172442"</f>
        <v>30482021060210424172442</v>
      </c>
      <c r="C20" s="6" t="s">
        <v>7</v>
      </c>
      <c r="D20" s="6" t="str">
        <f>"王珠"</f>
        <v>王珠</v>
      </c>
      <c r="E20" s="6" t="str">
        <f t="shared" si="1"/>
        <v>女</v>
      </c>
      <c r="F20" s="7" t="s">
        <v>23</v>
      </c>
    </row>
    <row r="21" spans="1:6" ht="20.100000000000001" customHeight="1" x14ac:dyDescent="0.15">
      <c r="A21" s="6">
        <v>18</v>
      </c>
      <c r="B21" s="6" t="str">
        <f>"30482021060210552872614"</f>
        <v>30482021060210552872614</v>
      </c>
      <c r="C21" s="6" t="s">
        <v>7</v>
      </c>
      <c r="D21" s="6" t="str">
        <f>"卓婷婷"</f>
        <v>卓婷婷</v>
      </c>
      <c r="E21" s="6" t="str">
        <f t="shared" si="1"/>
        <v>女</v>
      </c>
      <c r="F21" s="7" t="s">
        <v>24</v>
      </c>
    </row>
    <row r="22" spans="1:6" ht="20.100000000000001" customHeight="1" x14ac:dyDescent="0.15">
      <c r="A22" s="6">
        <v>19</v>
      </c>
      <c r="B22" s="6" t="str">
        <f>"30482021060212414173633"</f>
        <v>30482021060212414173633</v>
      </c>
      <c r="C22" s="6" t="s">
        <v>7</v>
      </c>
      <c r="D22" s="6" t="str">
        <f>"陈婆燕"</f>
        <v>陈婆燕</v>
      </c>
      <c r="E22" s="6" t="str">
        <f t="shared" si="1"/>
        <v>女</v>
      </c>
      <c r="F22" s="7" t="s">
        <v>25</v>
      </c>
    </row>
    <row r="23" spans="1:6" ht="20.100000000000001" customHeight="1" x14ac:dyDescent="0.15">
      <c r="A23" s="6">
        <v>20</v>
      </c>
      <c r="B23" s="6" t="str">
        <f>"30482021060215193274788"</f>
        <v>30482021060215193274788</v>
      </c>
      <c r="C23" s="6" t="s">
        <v>7</v>
      </c>
      <c r="D23" s="6" t="str">
        <f>"马玉礼"</f>
        <v>马玉礼</v>
      </c>
      <c r="E23" s="6" t="str">
        <f t="shared" si="1"/>
        <v>女</v>
      </c>
      <c r="F23" s="7" t="s">
        <v>26</v>
      </c>
    </row>
    <row r="24" spans="1:6" ht="20.100000000000001" customHeight="1" x14ac:dyDescent="0.15">
      <c r="A24" s="6">
        <v>21</v>
      </c>
      <c r="B24" s="6" t="str">
        <f>"30482021060216483775719"</f>
        <v>30482021060216483775719</v>
      </c>
      <c r="C24" s="6" t="s">
        <v>7</v>
      </c>
      <c r="D24" s="6" t="str">
        <f>"吴钟颖"</f>
        <v>吴钟颖</v>
      </c>
      <c r="E24" s="6" t="str">
        <f t="shared" si="1"/>
        <v>女</v>
      </c>
      <c r="F24" s="7" t="s">
        <v>27</v>
      </c>
    </row>
    <row r="25" spans="1:6" ht="20.100000000000001" customHeight="1" x14ac:dyDescent="0.15">
      <c r="A25" s="6">
        <v>22</v>
      </c>
      <c r="B25" s="6" t="str">
        <f>"30482021060217204176020"</f>
        <v>30482021060217204176020</v>
      </c>
      <c r="C25" s="6" t="s">
        <v>7</v>
      </c>
      <c r="D25" s="6" t="str">
        <f>"温小英"</f>
        <v>温小英</v>
      </c>
      <c r="E25" s="6" t="str">
        <f t="shared" si="1"/>
        <v>女</v>
      </c>
      <c r="F25" s="7" t="s">
        <v>28</v>
      </c>
    </row>
    <row r="26" spans="1:6" ht="20.100000000000001" customHeight="1" x14ac:dyDescent="0.15">
      <c r="A26" s="6">
        <v>23</v>
      </c>
      <c r="B26" s="6" t="str">
        <f>"30482021060222405178511"</f>
        <v>30482021060222405178511</v>
      </c>
      <c r="C26" s="6" t="s">
        <v>7</v>
      </c>
      <c r="D26" s="6" t="str">
        <f>"李雪皓"</f>
        <v>李雪皓</v>
      </c>
      <c r="E26" s="6" t="str">
        <f t="shared" si="1"/>
        <v>女</v>
      </c>
      <c r="F26" s="7" t="s">
        <v>29</v>
      </c>
    </row>
    <row r="27" spans="1:6" ht="20.100000000000001" customHeight="1" x14ac:dyDescent="0.15">
      <c r="A27" s="6">
        <v>24</v>
      </c>
      <c r="B27" s="6" t="str">
        <f>"30482021060223371178866"</f>
        <v>30482021060223371178866</v>
      </c>
      <c r="C27" s="6" t="s">
        <v>7</v>
      </c>
      <c r="D27" s="6" t="str">
        <f>"温毓懿"</f>
        <v>温毓懿</v>
      </c>
      <c r="E27" s="6" t="str">
        <f t="shared" si="1"/>
        <v>女</v>
      </c>
      <c r="F27" s="7" t="s">
        <v>30</v>
      </c>
    </row>
    <row r="28" spans="1:6" ht="20.100000000000001" customHeight="1" x14ac:dyDescent="0.15">
      <c r="A28" s="6">
        <v>25</v>
      </c>
      <c r="B28" s="6" t="str">
        <f>"30482021060310160280951"</f>
        <v>30482021060310160280951</v>
      </c>
      <c r="C28" s="6" t="s">
        <v>7</v>
      </c>
      <c r="D28" s="6" t="str">
        <f>"林莹"</f>
        <v>林莹</v>
      </c>
      <c r="E28" s="6" t="str">
        <f t="shared" si="1"/>
        <v>女</v>
      </c>
      <c r="F28" s="7" t="s">
        <v>31</v>
      </c>
    </row>
    <row r="29" spans="1:6" ht="20.100000000000001" customHeight="1" x14ac:dyDescent="0.15">
      <c r="A29" s="6">
        <v>26</v>
      </c>
      <c r="B29" s="6" t="str">
        <f>"30482021060311240882021"</f>
        <v>30482021060311240882021</v>
      </c>
      <c r="C29" s="6" t="s">
        <v>7</v>
      </c>
      <c r="D29" s="6" t="str">
        <f>"李琳琳"</f>
        <v>李琳琳</v>
      </c>
      <c r="E29" s="6" t="str">
        <f t="shared" si="1"/>
        <v>女</v>
      </c>
      <c r="F29" s="7" t="s">
        <v>32</v>
      </c>
    </row>
    <row r="30" spans="1:6" ht="20.100000000000001" customHeight="1" x14ac:dyDescent="0.15">
      <c r="A30" s="6">
        <v>27</v>
      </c>
      <c r="B30" s="6" t="str">
        <f>"30482021060312250382663"</f>
        <v>30482021060312250382663</v>
      </c>
      <c r="C30" s="6" t="s">
        <v>7</v>
      </c>
      <c r="D30" s="6" t="str">
        <f>"林仙"</f>
        <v>林仙</v>
      </c>
      <c r="E30" s="6" t="str">
        <f t="shared" si="1"/>
        <v>女</v>
      </c>
      <c r="F30" s="7" t="s">
        <v>33</v>
      </c>
    </row>
    <row r="31" spans="1:6" ht="20.100000000000001" customHeight="1" x14ac:dyDescent="0.15">
      <c r="A31" s="6">
        <v>28</v>
      </c>
      <c r="B31" s="6" t="str">
        <f>"30482021060315070884146"</f>
        <v>30482021060315070884146</v>
      </c>
      <c r="C31" s="6" t="s">
        <v>7</v>
      </c>
      <c r="D31" s="6" t="str">
        <f>"张松贝"</f>
        <v>张松贝</v>
      </c>
      <c r="E31" s="6" t="str">
        <f t="shared" si="1"/>
        <v>女</v>
      </c>
      <c r="F31" s="7" t="s">
        <v>34</v>
      </c>
    </row>
    <row r="32" spans="1:6" ht="20.100000000000001" customHeight="1" x14ac:dyDescent="0.15">
      <c r="A32" s="6">
        <v>29</v>
      </c>
      <c r="B32" s="6" t="str">
        <f>"30482021060317200385810"</f>
        <v>30482021060317200385810</v>
      </c>
      <c r="C32" s="6" t="s">
        <v>7</v>
      </c>
      <c r="D32" s="6" t="str">
        <f>"吴泽姣"</f>
        <v>吴泽姣</v>
      </c>
      <c r="E32" s="6" t="str">
        <f t="shared" si="1"/>
        <v>女</v>
      </c>
      <c r="F32" s="7" t="s">
        <v>35</v>
      </c>
    </row>
    <row r="33" spans="1:6" ht="20.100000000000001" customHeight="1" x14ac:dyDescent="0.15">
      <c r="A33" s="6">
        <v>30</v>
      </c>
      <c r="B33" s="6" t="str">
        <f>"30482021060321324288270"</f>
        <v>30482021060321324288270</v>
      </c>
      <c r="C33" s="6" t="s">
        <v>7</v>
      </c>
      <c r="D33" s="6" t="str">
        <f>"刘晨曦"</f>
        <v>刘晨曦</v>
      </c>
      <c r="E33" s="6" t="str">
        <f t="shared" si="1"/>
        <v>女</v>
      </c>
      <c r="F33" s="7" t="s">
        <v>36</v>
      </c>
    </row>
    <row r="34" spans="1:6" ht="20.100000000000001" customHeight="1" x14ac:dyDescent="0.15">
      <c r="A34" s="6">
        <v>31</v>
      </c>
      <c r="B34" s="6" t="str">
        <f>"30482021060321390188354"</f>
        <v>30482021060321390188354</v>
      </c>
      <c r="C34" s="6" t="s">
        <v>7</v>
      </c>
      <c r="D34" s="6" t="str">
        <f>"黄虹"</f>
        <v>黄虹</v>
      </c>
      <c r="E34" s="6" t="str">
        <f t="shared" si="1"/>
        <v>女</v>
      </c>
      <c r="F34" s="7" t="s">
        <v>37</v>
      </c>
    </row>
    <row r="35" spans="1:6" ht="20.100000000000001" customHeight="1" x14ac:dyDescent="0.15">
      <c r="A35" s="6">
        <v>32</v>
      </c>
      <c r="B35" s="6" t="str">
        <f>"30482021060407533790111"</f>
        <v>30482021060407533790111</v>
      </c>
      <c r="C35" s="6" t="s">
        <v>7</v>
      </c>
      <c r="D35" s="6" t="str">
        <f>"苏丽霞"</f>
        <v>苏丽霞</v>
      </c>
      <c r="E35" s="6" t="str">
        <f t="shared" si="1"/>
        <v>女</v>
      </c>
      <c r="F35" s="7" t="s">
        <v>38</v>
      </c>
    </row>
    <row r="36" spans="1:6" ht="20.100000000000001" customHeight="1" x14ac:dyDescent="0.15">
      <c r="A36" s="6">
        <v>33</v>
      </c>
      <c r="B36" s="6" t="str">
        <f>"30482021060417330297971"</f>
        <v>30482021060417330297971</v>
      </c>
      <c r="C36" s="6" t="s">
        <v>7</v>
      </c>
      <c r="D36" s="6" t="str">
        <f>"王金桂"</f>
        <v>王金桂</v>
      </c>
      <c r="E36" s="6" t="str">
        <f t="shared" si="1"/>
        <v>女</v>
      </c>
      <c r="F36" s="7" t="s">
        <v>39</v>
      </c>
    </row>
    <row r="37" spans="1:6" ht="20.100000000000001" customHeight="1" x14ac:dyDescent="0.15">
      <c r="A37" s="6">
        <v>34</v>
      </c>
      <c r="B37" s="6" t="str">
        <f>"30482021060418012098277"</f>
        <v>30482021060418012098277</v>
      </c>
      <c r="C37" s="6" t="s">
        <v>7</v>
      </c>
      <c r="D37" s="6" t="str">
        <f>"李水花"</f>
        <v>李水花</v>
      </c>
      <c r="E37" s="6" t="str">
        <f t="shared" si="1"/>
        <v>女</v>
      </c>
      <c r="F37" s="7" t="s">
        <v>40</v>
      </c>
    </row>
    <row r="38" spans="1:6" ht="20.100000000000001" customHeight="1" x14ac:dyDescent="0.15">
      <c r="A38" s="6">
        <v>35</v>
      </c>
      <c r="B38" s="6" t="str">
        <f>"30482021060420124699343"</f>
        <v>30482021060420124699343</v>
      </c>
      <c r="C38" s="6" t="s">
        <v>7</v>
      </c>
      <c r="D38" s="6" t="str">
        <f>"王引转"</f>
        <v>王引转</v>
      </c>
      <c r="E38" s="6" t="str">
        <f t="shared" si="1"/>
        <v>女</v>
      </c>
      <c r="F38" s="7" t="s">
        <v>41</v>
      </c>
    </row>
    <row r="39" spans="1:6" ht="20.100000000000001" customHeight="1" x14ac:dyDescent="0.15">
      <c r="A39" s="6">
        <v>36</v>
      </c>
      <c r="B39" s="6" t="str">
        <f>"30482021060421073799528"</f>
        <v>30482021060421073799528</v>
      </c>
      <c r="C39" s="6" t="s">
        <v>7</v>
      </c>
      <c r="D39" s="6" t="str">
        <f>"李慧萍"</f>
        <v>李慧萍</v>
      </c>
      <c r="E39" s="6" t="str">
        <f t="shared" si="1"/>
        <v>女</v>
      </c>
      <c r="F39" s="7" t="s">
        <v>42</v>
      </c>
    </row>
    <row r="40" spans="1:6" ht="20.100000000000001" customHeight="1" x14ac:dyDescent="0.15">
      <c r="A40" s="6">
        <v>37</v>
      </c>
      <c r="B40" s="6" t="str">
        <f>"304820210605000938100001"</f>
        <v>304820210605000938100001</v>
      </c>
      <c r="C40" s="6" t="s">
        <v>7</v>
      </c>
      <c r="D40" s="6" t="str">
        <f>"蔡晶晶"</f>
        <v>蔡晶晶</v>
      </c>
      <c r="E40" s="6" t="str">
        <f t="shared" si="1"/>
        <v>女</v>
      </c>
      <c r="F40" s="7" t="s">
        <v>43</v>
      </c>
    </row>
    <row r="41" spans="1:6" ht="20.100000000000001" customHeight="1" x14ac:dyDescent="0.15">
      <c r="A41" s="6">
        <v>38</v>
      </c>
      <c r="B41" s="6" t="str">
        <f>"304820210605152620101233"</f>
        <v>304820210605152620101233</v>
      </c>
      <c r="C41" s="6" t="s">
        <v>7</v>
      </c>
      <c r="D41" s="6" t="str">
        <f>"陈莹"</f>
        <v>陈莹</v>
      </c>
      <c r="E41" s="6" t="str">
        <f t="shared" si="1"/>
        <v>女</v>
      </c>
      <c r="F41" s="7" t="s">
        <v>44</v>
      </c>
    </row>
    <row r="42" spans="1:6" ht="20.100000000000001" customHeight="1" x14ac:dyDescent="0.15">
      <c r="A42" s="6">
        <v>39</v>
      </c>
      <c r="B42" s="6" t="str">
        <f>"304820210605161321101361"</f>
        <v>304820210605161321101361</v>
      </c>
      <c r="C42" s="6" t="s">
        <v>7</v>
      </c>
      <c r="D42" s="6" t="str">
        <f>"罗诗彦"</f>
        <v>罗诗彦</v>
      </c>
      <c r="E42" s="6" t="str">
        <f t="shared" si="1"/>
        <v>女</v>
      </c>
      <c r="F42" s="7" t="s">
        <v>45</v>
      </c>
    </row>
    <row r="43" spans="1:6" ht="20.100000000000001" customHeight="1" x14ac:dyDescent="0.15">
      <c r="A43" s="6">
        <v>40</v>
      </c>
      <c r="B43" s="6" t="str">
        <f>"304820210605205324102080"</f>
        <v>304820210605205324102080</v>
      </c>
      <c r="C43" s="6" t="s">
        <v>7</v>
      </c>
      <c r="D43" s="6" t="str">
        <f>"李苗"</f>
        <v>李苗</v>
      </c>
      <c r="E43" s="6" t="str">
        <f t="shared" si="1"/>
        <v>女</v>
      </c>
      <c r="F43" s="7" t="s">
        <v>46</v>
      </c>
    </row>
    <row r="44" spans="1:6" ht="20.100000000000001" customHeight="1" x14ac:dyDescent="0.15">
      <c r="A44" s="6">
        <v>41</v>
      </c>
      <c r="B44" s="6" t="str">
        <f>"304820210606181121104407"</f>
        <v>304820210606181121104407</v>
      </c>
      <c r="C44" s="6" t="s">
        <v>7</v>
      </c>
      <c r="D44" s="6" t="str">
        <f>"覃家敏"</f>
        <v>覃家敏</v>
      </c>
      <c r="E44" s="6" t="str">
        <f>"男"</f>
        <v>男</v>
      </c>
      <c r="F44" s="7" t="s">
        <v>47</v>
      </c>
    </row>
    <row r="45" spans="1:6" ht="20.100000000000001" customHeight="1" x14ac:dyDescent="0.15">
      <c r="A45" s="6">
        <v>42</v>
      </c>
      <c r="B45" s="6" t="str">
        <f>"304820210606201003104599"</f>
        <v>304820210606201003104599</v>
      </c>
      <c r="C45" s="6" t="s">
        <v>7</v>
      </c>
      <c r="D45" s="6" t="str">
        <f>"许海花"</f>
        <v>许海花</v>
      </c>
      <c r="E45" s="6" t="str">
        <f t="shared" ref="E45:E51" si="2">"女"</f>
        <v>女</v>
      </c>
      <c r="F45" s="7" t="s">
        <v>48</v>
      </c>
    </row>
    <row r="46" spans="1:6" ht="20.100000000000001" customHeight="1" x14ac:dyDescent="0.15">
      <c r="A46" s="6">
        <v>43</v>
      </c>
      <c r="B46" s="6" t="str">
        <f>"304820210606210854104756"</f>
        <v>304820210606210854104756</v>
      </c>
      <c r="C46" s="6" t="s">
        <v>7</v>
      </c>
      <c r="D46" s="6" t="str">
        <f>"曾素荣"</f>
        <v>曾素荣</v>
      </c>
      <c r="E46" s="6" t="str">
        <f t="shared" si="2"/>
        <v>女</v>
      </c>
      <c r="F46" s="7" t="s">
        <v>49</v>
      </c>
    </row>
    <row r="47" spans="1:6" ht="20.100000000000001" customHeight="1" x14ac:dyDescent="0.15">
      <c r="A47" s="6">
        <v>44</v>
      </c>
      <c r="B47" s="6" t="str">
        <f>"304820210606232201105145"</f>
        <v>304820210606232201105145</v>
      </c>
      <c r="C47" s="6" t="s">
        <v>7</v>
      </c>
      <c r="D47" s="6" t="str">
        <f>"程芬"</f>
        <v>程芬</v>
      </c>
      <c r="E47" s="6" t="str">
        <f t="shared" si="2"/>
        <v>女</v>
      </c>
      <c r="F47" s="7" t="s">
        <v>50</v>
      </c>
    </row>
    <row r="48" spans="1:6" ht="20.100000000000001" customHeight="1" x14ac:dyDescent="0.15">
      <c r="A48" s="6">
        <v>45</v>
      </c>
      <c r="B48" s="6" t="str">
        <f>"304820210607065253105358"</f>
        <v>304820210607065253105358</v>
      </c>
      <c r="C48" s="6" t="s">
        <v>7</v>
      </c>
      <c r="D48" s="6" t="str">
        <f>"唐薇"</f>
        <v>唐薇</v>
      </c>
      <c r="E48" s="6" t="str">
        <f t="shared" si="2"/>
        <v>女</v>
      </c>
      <c r="F48" s="7" t="s">
        <v>51</v>
      </c>
    </row>
    <row r="49" spans="1:6" ht="20.100000000000001" customHeight="1" x14ac:dyDescent="0.15">
      <c r="A49" s="6">
        <v>46</v>
      </c>
      <c r="B49" s="6" t="str">
        <f>"304820210607092903105690"</f>
        <v>304820210607092903105690</v>
      </c>
      <c r="C49" s="6" t="s">
        <v>7</v>
      </c>
      <c r="D49" s="6" t="str">
        <f>"殷丽影"</f>
        <v>殷丽影</v>
      </c>
      <c r="E49" s="6" t="str">
        <f t="shared" si="2"/>
        <v>女</v>
      </c>
      <c r="F49" s="7" t="s">
        <v>52</v>
      </c>
    </row>
    <row r="50" spans="1:6" ht="20.100000000000001" customHeight="1" x14ac:dyDescent="0.15">
      <c r="A50" s="6">
        <v>47</v>
      </c>
      <c r="B50" s="6" t="str">
        <f>"304820210607093846105746"</f>
        <v>304820210607093846105746</v>
      </c>
      <c r="C50" s="6" t="s">
        <v>7</v>
      </c>
      <c r="D50" s="6" t="str">
        <f>"孙如静"</f>
        <v>孙如静</v>
      </c>
      <c r="E50" s="6" t="str">
        <f t="shared" si="2"/>
        <v>女</v>
      </c>
      <c r="F50" s="7" t="s">
        <v>53</v>
      </c>
    </row>
    <row r="51" spans="1:6" ht="20.100000000000001" customHeight="1" x14ac:dyDescent="0.15">
      <c r="A51" s="6">
        <v>48</v>
      </c>
      <c r="B51" s="6" t="str">
        <f>"304820210607094503105797"</f>
        <v>304820210607094503105797</v>
      </c>
      <c r="C51" s="6" t="s">
        <v>7</v>
      </c>
      <c r="D51" s="6" t="str">
        <f>"张晓椰"</f>
        <v>张晓椰</v>
      </c>
      <c r="E51" s="6" t="str">
        <f t="shared" si="2"/>
        <v>女</v>
      </c>
      <c r="F51" s="7" t="s">
        <v>54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5.75" style="1" customWidth="1"/>
    <col min="2" max="2" width="24.625" style="1" customWidth="1"/>
    <col min="3" max="3" width="14.125" style="1" customWidth="1"/>
    <col min="4" max="4" width="10" style="1" customWidth="1"/>
    <col min="5" max="5" width="7.625" style="1" customWidth="1"/>
    <col min="6" max="6" width="17.1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"30482021060114021563458"</f>
        <v>30482021060114021563458</v>
      </c>
      <c r="C4" s="6" t="s">
        <v>317</v>
      </c>
      <c r="D4" s="6" t="str">
        <f>"符燕飞"</f>
        <v>符燕飞</v>
      </c>
      <c r="E4" s="6" t="str">
        <f t="shared" ref="E4:E6" si="0">"女"</f>
        <v>女</v>
      </c>
      <c r="F4" s="7" t="s">
        <v>31</v>
      </c>
    </row>
    <row r="5" spans="1:6" ht="20.100000000000001" customHeight="1" x14ac:dyDescent="0.15">
      <c r="A5" s="5">
        <v>2</v>
      </c>
      <c r="B5" s="6" t="str">
        <f>"30482021060114285463742"</f>
        <v>30482021060114285463742</v>
      </c>
      <c r="C5" s="6" t="s">
        <v>317</v>
      </c>
      <c r="D5" s="6" t="str">
        <f>"陈教美"</f>
        <v>陈教美</v>
      </c>
      <c r="E5" s="6" t="str">
        <f t="shared" si="0"/>
        <v>女</v>
      </c>
      <c r="F5" s="7" t="s">
        <v>318</v>
      </c>
    </row>
    <row r="6" spans="1:6" ht="20.100000000000001" customHeight="1" x14ac:dyDescent="0.15">
      <c r="A6" s="5">
        <v>3</v>
      </c>
      <c r="B6" s="6" t="str">
        <f>"30482021060114521264014"</f>
        <v>30482021060114521264014</v>
      </c>
      <c r="C6" s="6" t="s">
        <v>317</v>
      </c>
      <c r="D6" s="6" t="str">
        <f>"周婆姣"</f>
        <v>周婆姣</v>
      </c>
      <c r="E6" s="6" t="str">
        <f t="shared" si="0"/>
        <v>女</v>
      </c>
      <c r="F6" s="7" t="s">
        <v>319</v>
      </c>
    </row>
    <row r="7" spans="1:6" ht="20.100000000000001" customHeight="1" x14ac:dyDescent="0.15">
      <c r="A7" s="5">
        <v>4</v>
      </c>
      <c r="B7" s="6" t="str">
        <f>"30482021060115153164346"</f>
        <v>30482021060115153164346</v>
      </c>
      <c r="C7" s="6" t="s">
        <v>317</v>
      </c>
      <c r="D7" s="6" t="str">
        <f>"庞光亮"</f>
        <v>庞光亮</v>
      </c>
      <c r="E7" s="6" t="str">
        <f>"男"</f>
        <v>男</v>
      </c>
      <c r="F7" s="7" t="s">
        <v>320</v>
      </c>
    </row>
    <row r="8" spans="1:6" ht="20.100000000000001" customHeight="1" x14ac:dyDescent="0.15">
      <c r="A8" s="5">
        <v>5</v>
      </c>
      <c r="B8" s="6" t="str">
        <f>"30482021060115164164355"</f>
        <v>30482021060115164164355</v>
      </c>
      <c r="C8" s="6" t="s">
        <v>317</v>
      </c>
      <c r="D8" s="6" t="str">
        <f>"符莉英"</f>
        <v>符莉英</v>
      </c>
      <c r="E8" s="6" t="str">
        <f t="shared" ref="E8:E31" si="1">"女"</f>
        <v>女</v>
      </c>
      <c r="F8" s="7" t="s">
        <v>321</v>
      </c>
    </row>
    <row r="9" spans="1:6" ht="20.100000000000001" customHeight="1" x14ac:dyDescent="0.15">
      <c r="A9" s="5">
        <v>6</v>
      </c>
      <c r="B9" s="6" t="str">
        <f>"30482021060115262764477"</f>
        <v>30482021060115262764477</v>
      </c>
      <c r="C9" s="6" t="s">
        <v>317</v>
      </c>
      <c r="D9" s="6" t="str">
        <f>"吴琼容"</f>
        <v>吴琼容</v>
      </c>
      <c r="E9" s="6" t="str">
        <f t="shared" si="1"/>
        <v>女</v>
      </c>
      <c r="F9" s="7" t="s">
        <v>322</v>
      </c>
    </row>
    <row r="10" spans="1:6" ht="20.100000000000001" customHeight="1" x14ac:dyDescent="0.15">
      <c r="A10" s="5">
        <v>7</v>
      </c>
      <c r="B10" s="6" t="str">
        <f>"30482021060116152165074"</f>
        <v>30482021060116152165074</v>
      </c>
      <c r="C10" s="6" t="s">
        <v>317</v>
      </c>
      <c r="D10" s="6" t="str">
        <f>"陈英华"</f>
        <v>陈英华</v>
      </c>
      <c r="E10" s="6" t="str">
        <f t="shared" si="1"/>
        <v>女</v>
      </c>
      <c r="F10" s="7" t="s">
        <v>323</v>
      </c>
    </row>
    <row r="11" spans="1:6" ht="20.100000000000001" customHeight="1" x14ac:dyDescent="0.15">
      <c r="A11" s="5">
        <v>8</v>
      </c>
      <c r="B11" s="6" t="str">
        <f>"30482021060116204965144"</f>
        <v>30482021060116204965144</v>
      </c>
      <c r="C11" s="6" t="s">
        <v>317</v>
      </c>
      <c r="D11" s="6" t="str">
        <f>"王晓娃"</f>
        <v>王晓娃</v>
      </c>
      <c r="E11" s="6" t="str">
        <f t="shared" si="1"/>
        <v>女</v>
      </c>
      <c r="F11" s="7" t="s">
        <v>324</v>
      </c>
    </row>
    <row r="12" spans="1:6" ht="20.100000000000001" customHeight="1" x14ac:dyDescent="0.15">
      <c r="A12" s="5">
        <v>9</v>
      </c>
      <c r="B12" s="6" t="str">
        <f>"30482021060116261065238"</f>
        <v>30482021060116261065238</v>
      </c>
      <c r="C12" s="6" t="s">
        <v>317</v>
      </c>
      <c r="D12" s="6" t="str">
        <f>"王雪桦"</f>
        <v>王雪桦</v>
      </c>
      <c r="E12" s="6" t="str">
        <f t="shared" si="1"/>
        <v>女</v>
      </c>
      <c r="F12" s="7" t="s">
        <v>325</v>
      </c>
    </row>
    <row r="13" spans="1:6" ht="20.100000000000001" customHeight="1" x14ac:dyDescent="0.15">
      <c r="A13" s="5">
        <v>10</v>
      </c>
      <c r="B13" s="6" t="str">
        <f>"30482021060116292665282"</f>
        <v>30482021060116292665282</v>
      </c>
      <c r="C13" s="6" t="s">
        <v>317</v>
      </c>
      <c r="D13" s="6" t="str">
        <f>"劳兰娇"</f>
        <v>劳兰娇</v>
      </c>
      <c r="E13" s="6" t="str">
        <f t="shared" si="1"/>
        <v>女</v>
      </c>
      <c r="F13" s="7" t="s">
        <v>326</v>
      </c>
    </row>
    <row r="14" spans="1:6" ht="20.100000000000001" customHeight="1" x14ac:dyDescent="0.15">
      <c r="A14" s="5">
        <v>11</v>
      </c>
      <c r="B14" s="6" t="str">
        <f>"30482021060116295565289"</f>
        <v>30482021060116295565289</v>
      </c>
      <c r="C14" s="6" t="s">
        <v>317</v>
      </c>
      <c r="D14" s="6" t="str">
        <f>"刘苗"</f>
        <v>刘苗</v>
      </c>
      <c r="E14" s="6" t="str">
        <f t="shared" si="1"/>
        <v>女</v>
      </c>
      <c r="F14" s="7" t="s">
        <v>327</v>
      </c>
    </row>
    <row r="15" spans="1:6" ht="20.100000000000001" customHeight="1" x14ac:dyDescent="0.15">
      <c r="A15" s="5">
        <v>12</v>
      </c>
      <c r="B15" s="6" t="str">
        <f>"30482021060116502765568"</f>
        <v>30482021060116502765568</v>
      </c>
      <c r="C15" s="6" t="s">
        <v>317</v>
      </c>
      <c r="D15" s="6" t="str">
        <f>"赖金霞"</f>
        <v>赖金霞</v>
      </c>
      <c r="E15" s="6" t="str">
        <f t="shared" si="1"/>
        <v>女</v>
      </c>
      <c r="F15" s="7" t="s">
        <v>328</v>
      </c>
    </row>
    <row r="16" spans="1:6" ht="20.100000000000001" customHeight="1" x14ac:dyDescent="0.15">
      <c r="A16" s="5">
        <v>13</v>
      </c>
      <c r="B16" s="6" t="str">
        <f>"30482021060116531265600"</f>
        <v>30482021060116531265600</v>
      </c>
      <c r="C16" s="6" t="s">
        <v>317</v>
      </c>
      <c r="D16" s="6" t="str">
        <f>"麦昌妹"</f>
        <v>麦昌妹</v>
      </c>
      <c r="E16" s="6" t="str">
        <f t="shared" si="1"/>
        <v>女</v>
      </c>
      <c r="F16" s="7" t="s">
        <v>329</v>
      </c>
    </row>
    <row r="17" spans="1:6" ht="20.100000000000001" customHeight="1" x14ac:dyDescent="0.15">
      <c r="A17" s="5">
        <v>14</v>
      </c>
      <c r="B17" s="6" t="str">
        <f>"30482021060117204065933"</f>
        <v>30482021060117204065933</v>
      </c>
      <c r="C17" s="6" t="s">
        <v>317</v>
      </c>
      <c r="D17" s="6" t="str">
        <f>"蒲雅婷"</f>
        <v>蒲雅婷</v>
      </c>
      <c r="E17" s="6" t="str">
        <f t="shared" si="1"/>
        <v>女</v>
      </c>
      <c r="F17" s="7" t="s">
        <v>330</v>
      </c>
    </row>
    <row r="18" spans="1:6" ht="20.100000000000001" customHeight="1" x14ac:dyDescent="0.15">
      <c r="A18" s="5">
        <v>15</v>
      </c>
      <c r="B18" s="6" t="str">
        <f>"30482021060117553966287"</f>
        <v>30482021060117553966287</v>
      </c>
      <c r="C18" s="6" t="s">
        <v>317</v>
      </c>
      <c r="D18" s="6" t="str">
        <f>"蔡银彩"</f>
        <v>蔡银彩</v>
      </c>
      <c r="E18" s="6" t="str">
        <f t="shared" si="1"/>
        <v>女</v>
      </c>
      <c r="F18" s="7" t="s">
        <v>77</v>
      </c>
    </row>
    <row r="19" spans="1:6" ht="20.100000000000001" customHeight="1" x14ac:dyDescent="0.15">
      <c r="A19" s="5">
        <v>16</v>
      </c>
      <c r="B19" s="6" t="str">
        <f>"30482021060118200266488"</f>
        <v>30482021060118200266488</v>
      </c>
      <c r="C19" s="6" t="s">
        <v>317</v>
      </c>
      <c r="D19" s="6" t="str">
        <f>"郭映"</f>
        <v>郭映</v>
      </c>
      <c r="E19" s="6" t="str">
        <f t="shared" si="1"/>
        <v>女</v>
      </c>
      <c r="F19" s="7" t="s">
        <v>331</v>
      </c>
    </row>
    <row r="20" spans="1:6" ht="20.100000000000001" customHeight="1" x14ac:dyDescent="0.15">
      <c r="A20" s="5">
        <v>17</v>
      </c>
      <c r="B20" s="6" t="str">
        <f>"30482021060119470567158"</f>
        <v>30482021060119470567158</v>
      </c>
      <c r="C20" s="6" t="s">
        <v>317</v>
      </c>
      <c r="D20" s="6" t="str">
        <f>"秦春玉"</f>
        <v>秦春玉</v>
      </c>
      <c r="E20" s="6" t="str">
        <f t="shared" si="1"/>
        <v>女</v>
      </c>
      <c r="F20" s="7" t="s">
        <v>332</v>
      </c>
    </row>
    <row r="21" spans="1:6" ht="20.100000000000001" customHeight="1" x14ac:dyDescent="0.15">
      <c r="A21" s="5">
        <v>18</v>
      </c>
      <c r="B21" s="6" t="str">
        <f>"30482021060120491668317"</f>
        <v>30482021060120491668317</v>
      </c>
      <c r="C21" s="6" t="s">
        <v>317</v>
      </c>
      <c r="D21" s="6" t="str">
        <f>"杨惠珍"</f>
        <v>杨惠珍</v>
      </c>
      <c r="E21" s="6" t="str">
        <f t="shared" si="1"/>
        <v>女</v>
      </c>
      <c r="F21" s="7" t="s">
        <v>333</v>
      </c>
    </row>
    <row r="22" spans="1:6" ht="20.100000000000001" customHeight="1" x14ac:dyDescent="0.15">
      <c r="A22" s="5">
        <v>19</v>
      </c>
      <c r="B22" s="6" t="str">
        <f>"30482021060121174668572"</f>
        <v>30482021060121174668572</v>
      </c>
      <c r="C22" s="6" t="s">
        <v>317</v>
      </c>
      <c r="D22" s="6" t="str">
        <f>"王桂香"</f>
        <v>王桂香</v>
      </c>
      <c r="E22" s="6" t="str">
        <f t="shared" si="1"/>
        <v>女</v>
      </c>
      <c r="F22" s="7" t="s">
        <v>334</v>
      </c>
    </row>
    <row r="23" spans="1:6" ht="20.100000000000001" customHeight="1" x14ac:dyDescent="0.15">
      <c r="A23" s="5">
        <v>20</v>
      </c>
      <c r="B23" s="6" t="str">
        <f>"30482021060208130370733"</f>
        <v>30482021060208130370733</v>
      </c>
      <c r="C23" s="6" t="s">
        <v>317</v>
      </c>
      <c r="D23" s="6" t="str">
        <f>"陈韵歆"</f>
        <v>陈韵歆</v>
      </c>
      <c r="E23" s="6" t="str">
        <f t="shared" si="1"/>
        <v>女</v>
      </c>
      <c r="F23" s="7" t="s">
        <v>335</v>
      </c>
    </row>
    <row r="24" spans="1:6" ht="20.100000000000001" customHeight="1" x14ac:dyDescent="0.15">
      <c r="A24" s="5">
        <v>21</v>
      </c>
      <c r="B24" s="6" t="str">
        <f>"30482021060209125771254"</f>
        <v>30482021060209125771254</v>
      </c>
      <c r="C24" s="6" t="s">
        <v>317</v>
      </c>
      <c r="D24" s="6" t="str">
        <f>"欧静仪"</f>
        <v>欧静仪</v>
      </c>
      <c r="E24" s="6" t="str">
        <f t="shared" si="1"/>
        <v>女</v>
      </c>
      <c r="F24" s="7" t="s">
        <v>336</v>
      </c>
    </row>
    <row r="25" spans="1:6" ht="20.100000000000001" customHeight="1" x14ac:dyDescent="0.15">
      <c r="A25" s="5">
        <v>22</v>
      </c>
      <c r="B25" s="6" t="str">
        <f>"30482021060209362871536"</f>
        <v>30482021060209362871536</v>
      </c>
      <c r="C25" s="6" t="s">
        <v>317</v>
      </c>
      <c r="D25" s="6" t="str">
        <f>"洪霞"</f>
        <v>洪霞</v>
      </c>
      <c r="E25" s="6" t="str">
        <f t="shared" si="1"/>
        <v>女</v>
      </c>
      <c r="F25" s="7" t="s">
        <v>34</v>
      </c>
    </row>
    <row r="26" spans="1:6" ht="20.100000000000001" customHeight="1" x14ac:dyDescent="0.15">
      <c r="A26" s="5">
        <v>23</v>
      </c>
      <c r="B26" s="6" t="str">
        <f>"30482021060210073271951"</f>
        <v>30482021060210073271951</v>
      </c>
      <c r="C26" s="6" t="s">
        <v>317</v>
      </c>
      <c r="D26" s="6" t="str">
        <f>"郑雪"</f>
        <v>郑雪</v>
      </c>
      <c r="E26" s="6" t="str">
        <f t="shared" si="1"/>
        <v>女</v>
      </c>
      <c r="F26" s="7" t="s">
        <v>265</v>
      </c>
    </row>
    <row r="27" spans="1:6" ht="20.100000000000001" customHeight="1" x14ac:dyDescent="0.15">
      <c r="A27" s="5">
        <v>24</v>
      </c>
      <c r="B27" s="6" t="str">
        <f>"30482021060210275772240"</f>
        <v>30482021060210275772240</v>
      </c>
      <c r="C27" s="6" t="s">
        <v>317</v>
      </c>
      <c r="D27" s="6" t="str">
        <f>"林莉红"</f>
        <v>林莉红</v>
      </c>
      <c r="E27" s="6" t="str">
        <f t="shared" si="1"/>
        <v>女</v>
      </c>
      <c r="F27" s="7" t="s">
        <v>337</v>
      </c>
    </row>
    <row r="28" spans="1:6" ht="20.100000000000001" customHeight="1" x14ac:dyDescent="0.15">
      <c r="A28" s="5">
        <v>25</v>
      </c>
      <c r="B28" s="6" t="str">
        <f>"30482021060210361972356"</f>
        <v>30482021060210361972356</v>
      </c>
      <c r="C28" s="6" t="s">
        <v>317</v>
      </c>
      <c r="D28" s="6" t="str">
        <f>"张蕾"</f>
        <v>张蕾</v>
      </c>
      <c r="E28" s="6" t="str">
        <f t="shared" si="1"/>
        <v>女</v>
      </c>
      <c r="F28" s="7" t="s">
        <v>338</v>
      </c>
    </row>
    <row r="29" spans="1:6" ht="20.100000000000001" customHeight="1" x14ac:dyDescent="0.15">
      <c r="A29" s="5">
        <v>26</v>
      </c>
      <c r="B29" s="6" t="str">
        <f>"30482021060211271972977"</f>
        <v>30482021060211271972977</v>
      </c>
      <c r="C29" s="6" t="s">
        <v>317</v>
      </c>
      <c r="D29" s="6" t="str">
        <f>"羊高联"</f>
        <v>羊高联</v>
      </c>
      <c r="E29" s="6" t="str">
        <f t="shared" si="1"/>
        <v>女</v>
      </c>
      <c r="F29" s="7" t="s">
        <v>339</v>
      </c>
    </row>
    <row r="30" spans="1:6" ht="20.100000000000001" customHeight="1" x14ac:dyDescent="0.15">
      <c r="A30" s="5">
        <v>27</v>
      </c>
      <c r="B30" s="6" t="str">
        <f>"30482021060211440973148"</f>
        <v>30482021060211440973148</v>
      </c>
      <c r="C30" s="6" t="s">
        <v>317</v>
      </c>
      <c r="D30" s="6" t="str">
        <f>"丁露"</f>
        <v>丁露</v>
      </c>
      <c r="E30" s="6" t="str">
        <f t="shared" si="1"/>
        <v>女</v>
      </c>
      <c r="F30" s="7" t="s">
        <v>340</v>
      </c>
    </row>
    <row r="31" spans="1:6" ht="20.100000000000001" customHeight="1" x14ac:dyDescent="0.15">
      <c r="A31" s="5">
        <v>28</v>
      </c>
      <c r="B31" s="6" t="str">
        <f>"30482021060212031473296"</f>
        <v>30482021060212031473296</v>
      </c>
      <c r="C31" s="6" t="s">
        <v>317</v>
      </c>
      <c r="D31" s="6" t="str">
        <f>"黎三花"</f>
        <v>黎三花</v>
      </c>
      <c r="E31" s="6" t="str">
        <f t="shared" si="1"/>
        <v>女</v>
      </c>
      <c r="F31" s="7" t="s">
        <v>341</v>
      </c>
    </row>
    <row r="32" spans="1:6" ht="20.100000000000001" customHeight="1" x14ac:dyDescent="0.15">
      <c r="A32" s="5">
        <v>29</v>
      </c>
      <c r="B32" s="6" t="str">
        <f>"30482021060213070173834"</f>
        <v>30482021060213070173834</v>
      </c>
      <c r="C32" s="6" t="s">
        <v>317</v>
      </c>
      <c r="D32" s="6" t="str">
        <f>"王道政"</f>
        <v>王道政</v>
      </c>
      <c r="E32" s="6" t="str">
        <f>"男"</f>
        <v>男</v>
      </c>
      <c r="F32" s="7" t="s">
        <v>342</v>
      </c>
    </row>
    <row r="33" spans="1:6" ht="20.100000000000001" customHeight="1" x14ac:dyDescent="0.15">
      <c r="A33" s="5">
        <v>30</v>
      </c>
      <c r="B33" s="6" t="str">
        <f>"30482021060214122274216"</f>
        <v>30482021060214122274216</v>
      </c>
      <c r="C33" s="6" t="s">
        <v>317</v>
      </c>
      <c r="D33" s="6" t="str">
        <f>"欧明宏"</f>
        <v>欧明宏</v>
      </c>
      <c r="E33" s="6" t="str">
        <f>"男"</f>
        <v>男</v>
      </c>
      <c r="F33" s="7" t="s">
        <v>343</v>
      </c>
    </row>
    <row r="34" spans="1:6" ht="20.100000000000001" customHeight="1" x14ac:dyDescent="0.15">
      <c r="A34" s="5">
        <v>31</v>
      </c>
      <c r="B34" s="6" t="str">
        <f>"30482021060214332074342"</f>
        <v>30482021060214332074342</v>
      </c>
      <c r="C34" s="6" t="s">
        <v>317</v>
      </c>
      <c r="D34" s="6" t="str">
        <f>"苏向婷"</f>
        <v>苏向婷</v>
      </c>
      <c r="E34" s="6" t="str">
        <f t="shared" ref="E34:E56" si="2">"女"</f>
        <v>女</v>
      </c>
      <c r="F34" s="7" t="s">
        <v>344</v>
      </c>
    </row>
    <row r="35" spans="1:6" ht="20.100000000000001" customHeight="1" x14ac:dyDescent="0.15">
      <c r="A35" s="5">
        <v>32</v>
      </c>
      <c r="B35" s="6" t="str">
        <f>"30482021060215121074697"</f>
        <v>30482021060215121074697</v>
      </c>
      <c r="C35" s="6" t="s">
        <v>317</v>
      </c>
      <c r="D35" s="6" t="str">
        <f>"王梦茹"</f>
        <v>王梦茹</v>
      </c>
      <c r="E35" s="6" t="str">
        <f t="shared" si="2"/>
        <v>女</v>
      </c>
      <c r="F35" s="7" t="s">
        <v>345</v>
      </c>
    </row>
    <row r="36" spans="1:6" ht="20.100000000000001" customHeight="1" x14ac:dyDescent="0.15">
      <c r="A36" s="5">
        <v>33</v>
      </c>
      <c r="B36" s="6" t="str">
        <f>"30482021060215310874909"</f>
        <v>30482021060215310874909</v>
      </c>
      <c r="C36" s="6" t="s">
        <v>317</v>
      </c>
      <c r="D36" s="6" t="str">
        <f>"符怡伦"</f>
        <v>符怡伦</v>
      </c>
      <c r="E36" s="6" t="str">
        <f t="shared" si="2"/>
        <v>女</v>
      </c>
      <c r="F36" s="7" t="s">
        <v>346</v>
      </c>
    </row>
    <row r="37" spans="1:6" ht="20.100000000000001" customHeight="1" x14ac:dyDescent="0.15">
      <c r="A37" s="5">
        <v>34</v>
      </c>
      <c r="B37" s="6" t="str">
        <f>"30482021060216154875405"</f>
        <v>30482021060216154875405</v>
      </c>
      <c r="C37" s="6" t="s">
        <v>317</v>
      </c>
      <c r="D37" s="6" t="str">
        <f>"秦婉瑜"</f>
        <v>秦婉瑜</v>
      </c>
      <c r="E37" s="6" t="str">
        <f t="shared" si="2"/>
        <v>女</v>
      </c>
      <c r="F37" s="7" t="s">
        <v>140</v>
      </c>
    </row>
    <row r="38" spans="1:6" ht="20.100000000000001" customHeight="1" x14ac:dyDescent="0.15">
      <c r="A38" s="5">
        <v>35</v>
      </c>
      <c r="B38" s="6" t="str">
        <f>"30482021060218080676393"</f>
        <v>30482021060218080676393</v>
      </c>
      <c r="C38" s="6" t="s">
        <v>317</v>
      </c>
      <c r="D38" s="6" t="str">
        <f>"李美春"</f>
        <v>李美春</v>
      </c>
      <c r="E38" s="6" t="str">
        <f t="shared" si="2"/>
        <v>女</v>
      </c>
      <c r="F38" s="7" t="s">
        <v>347</v>
      </c>
    </row>
    <row r="39" spans="1:6" ht="20.100000000000001" customHeight="1" x14ac:dyDescent="0.15">
      <c r="A39" s="5">
        <v>36</v>
      </c>
      <c r="B39" s="6" t="str">
        <f>"30482021060218525876698"</f>
        <v>30482021060218525876698</v>
      </c>
      <c r="C39" s="6" t="s">
        <v>317</v>
      </c>
      <c r="D39" s="6" t="str">
        <f>"李敏"</f>
        <v>李敏</v>
      </c>
      <c r="E39" s="6" t="str">
        <f t="shared" si="2"/>
        <v>女</v>
      </c>
      <c r="F39" s="7" t="s">
        <v>348</v>
      </c>
    </row>
    <row r="40" spans="1:6" ht="20.100000000000001" customHeight="1" x14ac:dyDescent="0.15">
      <c r="A40" s="5">
        <v>37</v>
      </c>
      <c r="B40" s="6" t="str">
        <f>"30482021060220171577325"</f>
        <v>30482021060220171577325</v>
      </c>
      <c r="C40" s="6" t="s">
        <v>317</v>
      </c>
      <c r="D40" s="6" t="str">
        <f>"蔡金芝"</f>
        <v>蔡金芝</v>
      </c>
      <c r="E40" s="6" t="str">
        <f t="shared" si="2"/>
        <v>女</v>
      </c>
      <c r="F40" s="7" t="s">
        <v>29</v>
      </c>
    </row>
    <row r="41" spans="1:6" ht="20.100000000000001" customHeight="1" x14ac:dyDescent="0.15">
      <c r="A41" s="5">
        <v>38</v>
      </c>
      <c r="B41" s="6" t="str">
        <f>"30482021060222031778206"</f>
        <v>30482021060222031778206</v>
      </c>
      <c r="C41" s="6" t="s">
        <v>317</v>
      </c>
      <c r="D41" s="6" t="str">
        <f>"王昌喜"</f>
        <v>王昌喜</v>
      </c>
      <c r="E41" s="6" t="str">
        <f t="shared" si="2"/>
        <v>女</v>
      </c>
      <c r="F41" s="7" t="s">
        <v>40</v>
      </c>
    </row>
    <row r="42" spans="1:6" ht="20.100000000000001" customHeight="1" x14ac:dyDescent="0.15">
      <c r="A42" s="5">
        <v>39</v>
      </c>
      <c r="B42" s="6" t="str">
        <f>"30482021060222135578289"</f>
        <v>30482021060222135578289</v>
      </c>
      <c r="C42" s="6" t="s">
        <v>317</v>
      </c>
      <c r="D42" s="6" t="str">
        <f>"黄丽燕"</f>
        <v>黄丽燕</v>
      </c>
      <c r="E42" s="6" t="str">
        <f t="shared" si="2"/>
        <v>女</v>
      </c>
      <c r="F42" s="7" t="s">
        <v>349</v>
      </c>
    </row>
    <row r="43" spans="1:6" ht="20.100000000000001" customHeight="1" x14ac:dyDescent="0.15">
      <c r="A43" s="5">
        <v>40</v>
      </c>
      <c r="B43" s="6" t="str">
        <f>"30482021060223255778798"</f>
        <v>30482021060223255778798</v>
      </c>
      <c r="C43" s="6" t="s">
        <v>317</v>
      </c>
      <c r="D43" s="6" t="str">
        <f>"陈丽芳"</f>
        <v>陈丽芳</v>
      </c>
      <c r="E43" s="6" t="str">
        <f t="shared" si="2"/>
        <v>女</v>
      </c>
      <c r="F43" s="7" t="s">
        <v>71</v>
      </c>
    </row>
    <row r="44" spans="1:6" ht="20.100000000000001" customHeight="1" x14ac:dyDescent="0.15">
      <c r="A44" s="5">
        <v>41</v>
      </c>
      <c r="B44" s="6" t="str">
        <f>"30482021060223554278945"</f>
        <v>30482021060223554278945</v>
      </c>
      <c r="C44" s="6" t="s">
        <v>317</v>
      </c>
      <c r="D44" s="6" t="str">
        <f>"陈芳"</f>
        <v>陈芳</v>
      </c>
      <c r="E44" s="6" t="str">
        <f t="shared" si="2"/>
        <v>女</v>
      </c>
      <c r="F44" s="7" t="s">
        <v>350</v>
      </c>
    </row>
    <row r="45" spans="1:6" ht="20.100000000000001" customHeight="1" x14ac:dyDescent="0.15">
      <c r="A45" s="5">
        <v>42</v>
      </c>
      <c r="B45" s="6" t="str">
        <f>"30482021060308282279441"</f>
        <v>30482021060308282279441</v>
      </c>
      <c r="C45" s="6" t="s">
        <v>317</v>
      </c>
      <c r="D45" s="6" t="str">
        <f>"陈秋竹"</f>
        <v>陈秋竹</v>
      </c>
      <c r="E45" s="6" t="str">
        <f t="shared" si="2"/>
        <v>女</v>
      </c>
      <c r="F45" s="7" t="s">
        <v>351</v>
      </c>
    </row>
    <row r="46" spans="1:6" ht="20.100000000000001" customHeight="1" x14ac:dyDescent="0.15">
      <c r="A46" s="5">
        <v>43</v>
      </c>
      <c r="B46" s="6" t="str">
        <f>"30482021060308492679654"</f>
        <v>30482021060308492679654</v>
      </c>
      <c r="C46" s="6" t="s">
        <v>317</v>
      </c>
      <c r="D46" s="6" t="str">
        <f>"董少芬"</f>
        <v>董少芬</v>
      </c>
      <c r="E46" s="6" t="str">
        <f t="shared" si="2"/>
        <v>女</v>
      </c>
      <c r="F46" s="7" t="s">
        <v>341</v>
      </c>
    </row>
    <row r="47" spans="1:6" ht="20.100000000000001" customHeight="1" x14ac:dyDescent="0.15">
      <c r="A47" s="5">
        <v>44</v>
      </c>
      <c r="B47" s="6" t="str">
        <f>"30482021060309270880170"</f>
        <v>30482021060309270880170</v>
      </c>
      <c r="C47" s="6" t="s">
        <v>317</v>
      </c>
      <c r="D47" s="6" t="str">
        <f>"洪宁"</f>
        <v>洪宁</v>
      </c>
      <c r="E47" s="6" t="str">
        <f t="shared" si="2"/>
        <v>女</v>
      </c>
      <c r="F47" s="7" t="s">
        <v>352</v>
      </c>
    </row>
    <row r="48" spans="1:6" ht="20.100000000000001" customHeight="1" x14ac:dyDescent="0.15">
      <c r="A48" s="5">
        <v>45</v>
      </c>
      <c r="B48" s="6" t="str">
        <f>"30482021060310582681633"</f>
        <v>30482021060310582681633</v>
      </c>
      <c r="C48" s="6" t="s">
        <v>317</v>
      </c>
      <c r="D48" s="6" t="str">
        <f>"刘晓"</f>
        <v>刘晓</v>
      </c>
      <c r="E48" s="6" t="str">
        <f t="shared" si="2"/>
        <v>女</v>
      </c>
      <c r="F48" s="7" t="s">
        <v>274</v>
      </c>
    </row>
    <row r="49" spans="1:6" ht="20.100000000000001" customHeight="1" x14ac:dyDescent="0.15">
      <c r="A49" s="5">
        <v>46</v>
      </c>
      <c r="B49" s="6" t="str">
        <f>"30482021060311220881990"</f>
        <v>30482021060311220881990</v>
      </c>
      <c r="C49" s="6" t="s">
        <v>317</v>
      </c>
      <c r="D49" s="6" t="str">
        <f>"王璐"</f>
        <v>王璐</v>
      </c>
      <c r="E49" s="6" t="str">
        <f t="shared" si="2"/>
        <v>女</v>
      </c>
      <c r="F49" s="7" t="s">
        <v>140</v>
      </c>
    </row>
    <row r="50" spans="1:6" ht="20.100000000000001" customHeight="1" x14ac:dyDescent="0.15">
      <c r="A50" s="5">
        <v>47</v>
      </c>
      <c r="B50" s="6" t="str">
        <f>"30482021060313400583339"</f>
        <v>30482021060313400583339</v>
      </c>
      <c r="C50" s="6" t="s">
        <v>317</v>
      </c>
      <c r="D50" s="6" t="str">
        <f>"陈木川"</f>
        <v>陈木川</v>
      </c>
      <c r="E50" s="6" t="str">
        <f t="shared" si="2"/>
        <v>女</v>
      </c>
      <c r="F50" s="7" t="s">
        <v>353</v>
      </c>
    </row>
    <row r="51" spans="1:6" ht="20.100000000000001" customHeight="1" x14ac:dyDescent="0.15">
      <c r="A51" s="5">
        <v>48</v>
      </c>
      <c r="B51" s="6" t="str">
        <f>"30482021060321010487923"</f>
        <v>30482021060321010487923</v>
      </c>
      <c r="C51" s="6" t="s">
        <v>317</v>
      </c>
      <c r="D51" s="6" t="str">
        <f>"邱小源"</f>
        <v>邱小源</v>
      </c>
      <c r="E51" s="6" t="str">
        <f t="shared" si="2"/>
        <v>女</v>
      </c>
      <c r="F51" s="7" t="s">
        <v>328</v>
      </c>
    </row>
    <row r="52" spans="1:6" ht="20.100000000000001" customHeight="1" x14ac:dyDescent="0.15">
      <c r="A52" s="5">
        <v>49</v>
      </c>
      <c r="B52" s="6" t="str">
        <f>"30482021060400060389682"</f>
        <v>30482021060400060389682</v>
      </c>
      <c r="C52" s="6" t="s">
        <v>317</v>
      </c>
      <c r="D52" s="6" t="str">
        <f>"刘莎莎"</f>
        <v>刘莎莎</v>
      </c>
      <c r="E52" s="6" t="str">
        <f t="shared" si="2"/>
        <v>女</v>
      </c>
      <c r="F52" s="7" t="s">
        <v>354</v>
      </c>
    </row>
    <row r="53" spans="1:6" ht="20.100000000000001" customHeight="1" x14ac:dyDescent="0.15">
      <c r="A53" s="5">
        <v>50</v>
      </c>
      <c r="B53" s="6" t="str">
        <f>"30482021060400290589766"</f>
        <v>30482021060400290589766</v>
      </c>
      <c r="C53" s="6" t="s">
        <v>317</v>
      </c>
      <c r="D53" s="6" t="str">
        <f>"陈丽美"</f>
        <v>陈丽美</v>
      </c>
      <c r="E53" s="6" t="str">
        <f t="shared" si="2"/>
        <v>女</v>
      </c>
      <c r="F53" s="7" t="s">
        <v>355</v>
      </c>
    </row>
    <row r="54" spans="1:6" ht="20.100000000000001" customHeight="1" x14ac:dyDescent="0.15">
      <c r="A54" s="5">
        <v>51</v>
      </c>
      <c r="B54" s="6" t="str">
        <f>"30482021060410450191908"</f>
        <v>30482021060410450191908</v>
      </c>
      <c r="C54" s="6" t="s">
        <v>317</v>
      </c>
      <c r="D54" s="6" t="str">
        <f>"肖宇虹"</f>
        <v>肖宇虹</v>
      </c>
      <c r="E54" s="6" t="str">
        <f t="shared" si="2"/>
        <v>女</v>
      </c>
      <c r="F54" s="7" t="s">
        <v>356</v>
      </c>
    </row>
    <row r="55" spans="1:6" ht="20.100000000000001" customHeight="1" x14ac:dyDescent="0.15">
      <c r="A55" s="5">
        <v>52</v>
      </c>
      <c r="B55" s="6" t="str">
        <f>"30482021060411084892816"</f>
        <v>30482021060411084892816</v>
      </c>
      <c r="C55" s="6" t="s">
        <v>317</v>
      </c>
      <c r="D55" s="6" t="str">
        <f>"黄艳"</f>
        <v>黄艳</v>
      </c>
      <c r="E55" s="6" t="str">
        <f t="shared" si="2"/>
        <v>女</v>
      </c>
      <c r="F55" s="7" t="s">
        <v>77</v>
      </c>
    </row>
    <row r="56" spans="1:6" ht="20.100000000000001" customHeight="1" x14ac:dyDescent="0.15">
      <c r="A56" s="5">
        <v>53</v>
      </c>
      <c r="B56" s="6" t="str">
        <f>"30482021060412121693473"</f>
        <v>30482021060412121693473</v>
      </c>
      <c r="C56" s="6" t="s">
        <v>317</v>
      </c>
      <c r="D56" s="6" t="str">
        <f>"王海丽"</f>
        <v>王海丽</v>
      </c>
      <c r="E56" s="6" t="str">
        <f t="shared" si="2"/>
        <v>女</v>
      </c>
      <c r="F56" s="7" t="s">
        <v>357</v>
      </c>
    </row>
    <row r="57" spans="1:6" ht="20.100000000000001" customHeight="1" x14ac:dyDescent="0.15">
      <c r="A57" s="5">
        <v>54</v>
      </c>
      <c r="B57" s="6" t="str">
        <f>"30482021060415293096323"</f>
        <v>30482021060415293096323</v>
      </c>
      <c r="C57" s="6" t="s">
        <v>317</v>
      </c>
      <c r="D57" s="6" t="str">
        <f>"陈鸿图"</f>
        <v>陈鸿图</v>
      </c>
      <c r="E57" s="6" t="str">
        <f t="shared" ref="E57:E61" si="3">"男"</f>
        <v>男</v>
      </c>
      <c r="F57" s="7" t="s">
        <v>358</v>
      </c>
    </row>
    <row r="58" spans="1:6" ht="20.100000000000001" customHeight="1" x14ac:dyDescent="0.15">
      <c r="A58" s="5">
        <v>55</v>
      </c>
      <c r="B58" s="6" t="str">
        <f>"30482021060415443396547"</f>
        <v>30482021060415443396547</v>
      </c>
      <c r="C58" s="6" t="s">
        <v>317</v>
      </c>
      <c r="D58" s="6" t="str">
        <f>"郭良宝"</f>
        <v>郭良宝</v>
      </c>
      <c r="E58" s="6" t="str">
        <f t="shared" si="3"/>
        <v>男</v>
      </c>
      <c r="F58" s="7" t="s">
        <v>359</v>
      </c>
    </row>
    <row r="59" spans="1:6" ht="20.100000000000001" customHeight="1" x14ac:dyDescent="0.15">
      <c r="A59" s="5">
        <v>56</v>
      </c>
      <c r="B59" s="6" t="str">
        <f>"30482021060416164696962"</f>
        <v>30482021060416164696962</v>
      </c>
      <c r="C59" s="6" t="s">
        <v>317</v>
      </c>
      <c r="D59" s="6" t="str">
        <f>"陈翠柳"</f>
        <v>陈翠柳</v>
      </c>
      <c r="E59" s="6" t="str">
        <f t="shared" ref="E59:E65" si="4">"女"</f>
        <v>女</v>
      </c>
      <c r="F59" s="7" t="s">
        <v>345</v>
      </c>
    </row>
    <row r="60" spans="1:6" ht="20.100000000000001" customHeight="1" x14ac:dyDescent="0.15">
      <c r="A60" s="5">
        <v>57</v>
      </c>
      <c r="B60" s="6" t="str">
        <f>"30482021060416241597055"</f>
        <v>30482021060416241597055</v>
      </c>
      <c r="C60" s="6" t="s">
        <v>317</v>
      </c>
      <c r="D60" s="6" t="str">
        <f>"夏玉媚"</f>
        <v>夏玉媚</v>
      </c>
      <c r="E60" s="6" t="str">
        <f t="shared" si="4"/>
        <v>女</v>
      </c>
      <c r="F60" s="7" t="s">
        <v>360</v>
      </c>
    </row>
    <row r="61" spans="1:6" ht="20.100000000000001" customHeight="1" x14ac:dyDescent="0.15">
      <c r="A61" s="5">
        <v>58</v>
      </c>
      <c r="B61" s="6" t="str">
        <f>"30482021060416515297425"</f>
        <v>30482021060416515297425</v>
      </c>
      <c r="C61" s="6" t="s">
        <v>317</v>
      </c>
      <c r="D61" s="6" t="str">
        <f>"黄宝慷"</f>
        <v>黄宝慷</v>
      </c>
      <c r="E61" s="6" t="str">
        <f t="shared" si="3"/>
        <v>男</v>
      </c>
      <c r="F61" s="7" t="s">
        <v>361</v>
      </c>
    </row>
    <row r="62" spans="1:6" ht="20.100000000000001" customHeight="1" x14ac:dyDescent="0.15">
      <c r="A62" s="5">
        <v>59</v>
      </c>
      <c r="B62" s="6" t="str">
        <f>"30482021060416534297448"</f>
        <v>30482021060416534297448</v>
      </c>
      <c r="C62" s="6" t="s">
        <v>317</v>
      </c>
      <c r="D62" s="6" t="str">
        <f>"史卜吉"</f>
        <v>史卜吉</v>
      </c>
      <c r="E62" s="6" t="str">
        <f t="shared" si="4"/>
        <v>女</v>
      </c>
      <c r="F62" s="7" t="s">
        <v>362</v>
      </c>
    </row>
    <row r="63" spans="1:6" ht="20.100000000000001" customHeight="1" x14ac:dyDescent="0.15">
      <c r="A63" s="5">
        <v>60</v>
      </c>
      <c r="B63" s="6" t="str">
        <f>"30482021060419441899251"</f>
        <v>30482021060419441899251</v>
      </c>
      <c r="C63" s="6" t="s">
        <v>317</v>
      </c>
      <c r="D63" s="6" t="str">
        <f>"何李丽"</f>
        <v>何李丽</v>
      </c>
      <c r="E63" s="6" t="str">
        <f t="shared" si="4"/>
        <v>女</v>
      </c>
      <c r="F63" s="7" t="s">
        <v>363</v>
      </c>
    </row>
    <row r="64" spans="1:6" ht="20.100000000000001" customHeight="1" x14ac:dyDescent="0.15">
      <c r="A64" s="5">
        <v>61</v>
      </c>
      <c r="B64" s="6" t="str">
        <f>"30482021060421362499613"</f>
        <v>30482021060421362499613</v>
      </c>
      <c r="C64" s="6" t="s">
        <v>317</v>
      </c>
      <c r="D64" s="6" t="str">
        <f>"陈佳莹"</f>
        <v>陈佳莹</v>
      </c>
      <c r="E64" s="6" t="str">
        <f t="shared" si="4"/>
        <v>女</v>
      </c>
      <c r="F64" s="7" t="s">
        <v>364</v>
      </c>
    </row>
    <row r="65" spans="1:6" ht="20.100000000000001" customHeight="1" x14ac:dyDescent="0.15">
      <c r="A65" s="5">
        <v>62</v>
      </c>
      <c r="B65" s="6" t="str">
        <f>"30482021060422571499850"</f>
        <v>30482021060422571499850</v>
      </c>
      <c r="C65" s="6" t="s">
        <v>317</v>
      </c>
      <c r="D65" s="6" t="str">
        <f>"吴鸾燕"</f>
        <v>吴鸾燕</v>
      </c>
      <c r="E65" s="6" t="str">
        <f t="shared" si="4"/>
        <v>女</v>
      </c>
      <c r="F65" s="7" t="s">
        <v>365</v>
      </c>
    </row>
    <row r="66" spans="1:6" ht="20.100000000000001" customHeight="1" x14ac:dyDescent="0.15">
      <c r="A66" s="5">
        <v>63</v>
      </c>
      <c r="B66" s="6" t="str">
        <f>"304820210605110319100547"</f>
        <v>304820210605110319100547</v>
      </c>
      <c r="C66" s="6" t="s">
        <v>317</v>
      </c>
      <c r="D66" s="6" t="str">
        <f>"王明海"</f>
        <v>王明海</v>
      </c>
      <c r="E66" s="6" t="str">
        <f>"男"</f>
        <v>男</v>
      </c>
      <c r="F66" s="7" t="s">
        <v>366</v>
      </c>
    </row>
    <row r="67" spans="1:6" ht="20.100000000000001" customHeight="1" x14ac:dyDescent="0.15">
      <c r="A67" s="5">
        <v>64</v>
      </c>
      <c r="B67" s="6" t="str">
        <f>"304820210605135736100989"</f>
        <v>304820210605135736100989</v>
      </c>
      <c r="C67" s="6" t="s">
        <v>317</v>
      </c>
      <c r="D67" s="6" t="str">
        <f>"周振悠"</f>
        <v>周振悠</v>
      </c>
      <c r="E67" s="6" t="str">
        <f t="shared" ref="E67:E73" si="5">"女"</f>
        <v>女</v>
      </c>
      <c r="F67" s="7" t="s">
        <v>367</v>
      </c>
    </row>
    <row r="68" spans="1:6" ht="20.100000000000001" customHeight="1" x14ac:dyDescent="0.15">
      <c r="A68" s="5">
        <v>65</v>
      </c>
      <c r="B68" s="6" t="str">
        <f>"304820210605150245101164"</f>
        <v>304820210605150245101164</v>
      </c>
      <c r="C68" s="6" t="s">
        <v>317</v>
      </c>
      <c r="D68" s="6" t="str">
        <f>"黄海烁"</f>
        <v>黄海烁</v>
      </c>
      <c r="E68" s="6" t="str">
        <f t="shared" si="5"/>
        <v>女</v>
      </c>
      <c r="F68" s="7" t="s">
        <v>368</v>
      </c>
    </row>
    <row r="69" spans="1:6" ht="20.100000000000001" customHeight="1" x14ac:dyDescent="0.15">
      <c r="A69" s="5">
        <v>66</v>
      </c>
      <c r="B69" s="6" t="str">
        <f>"304820210605160739101340"</f>
        <v>304820210605160739101340</v>
      </c>
      <c r="C69" s="6" t="s">
        <v>317</v>
      </c>
      <c r="D69" s="6" t="str">
        <f>"赵利琴"</f>
        <v>赵利琴</v>
      </c>
      <c r="E69" s="6" t="str">
        <f t="shared" si="5"/>
        <v>女</v>
      </c>
      <c r="F69" s="7" t="s">
        <v>369</v>
      </c>
    </row>
    <row r="70" spans="1:6" ht="20.100000000000001" customHeight="1" x14ac:dyDescent="0.15">
      <c r="A70" s="5">
        <v>67</v>
      </c>
      <c r="B70" s="6" t="str">
        <f>"304820210605182856101738"</f>
        <v>304820210605182856101738</v>
      </c>
      <c r="C70" s="6" t="s">
        <v>317</v>
      </c>
      <c r="D70" s="6" t="str">
        <f>"王浩萤"</f>
        <v>王浩萤</v>
      </c>
      <c r="E70" s="6" t="str">
        <f t="shared" si="5"/>
        <v>女</v>
      </c>
      <c r="F70" s="7" t="s">
        <v>370</v>
      </c>
    </row>
    <row r="71" spans="1:6" ht="20.100000000000001" customHeight="1" x14ac:dyDescent="0.15">
      <c r="A71" s="5">
        <v>68</v>
      </c>
      <c r="B71" s="6" t="str">
        <f>"304820210606102408103001"</f>
        <v>304820210606102408103001</v>
      </c>
      <c r="C71" s="6" t="s">
        <v>317</v>
      </c>
      <c r="D71" s="6" t="str">
        <f>"王艳秋"</f>
        <v>王艳秋</v>
      </c>
      <c r="E71" s="6" t="str">
        <f t="shared" si="5"/>
        <v>女</v>
      </c>
      <c r="F71" s="7" t="s">
        <v>371</v>
      </c>
    </row>
    <row r="72" spans="1:6" ht="20.100000000000001" customHeight="1" x14ac:dyDescent="0.15">
      <c r="A72" s="5">
        <v>69</v>
      </c>
      <c r="B72" s="6" t="str">
        <f>"304820210606114508103255"</f>
        <v>304820210606114508103255</v>
      </c>
      <c r="C72" s="6" t="s">
        <v>317</v>
      </c>
      <c r="D72" s="6" t="str">
        <f>"王小盈"</f>
        <v>王小盈</v>
      </c>
      <c r="E72" s="6" t="str">
        <f t="shared" si="5"/>
        <v>女</v>
      </c>
      <c r="F72" s="7" t="s">
        <v>372</v>
      </c>
    </row>
    <row r="73" spans="1:6" ht="20.100000000000001" customHeight="1" x14ac:dyDescent="0.15">
      <c r="A73" s="5">
        <v>70</v>
      </c>
      <c r="B73" s="6" t="str">
        <f>"304820210606122220103378"</f>
        <v>304820210606122220103378</v>
      </c>
      <c r="C73" s="6" t="s">
        <v>317</v>
      </c>
      <c r="D73" s="6" t="str">
        <f>"杨丹丹"</f>
        <v>杨丹丹</v>
      </c>
      <c r="E73" s="6" t="str">
        <f t="shared" si="5"/>
        <v>女</v>
      </c>
      <c r="F73" s="7" t="s">
        <v>373</v>
      </c>
    </row>
    <row r="74" spans="1:6" ht="20.100000000000001" customHeight="1" x14ac:dyDescent="0.15">
      <c r="A74" s="5">
        <v>71</v>
      </c>
      <c r="B74" s="6" t="str">
        <f>"304820210606122355103380"</f>
        <v>304820210606122355103380</v>
      </c>
      <c r="C74" s="6" t="s">
        <v>317</v>
      </c>
      <c r="D74" s="6" t="str">
        <f>"麦禄岗"</f>
        <v>麦禄岗</v>
      </c>
      <c r="E74" s="6" t="str">
        <f t="shared" ref="E74:E78" si="6">"男"</f>
        <v>男</v>
      </c>
      <c r="F74" s="7" t="s">
        <v>374</v>
      </c>
    </row>
    <row r="75" spans="1:6" ht="20.100000000000001" customHeight="1" x14ac:dyDescent="0.15">
      <c r="A75" s="5">
        <v>72</v>
      </c>
      <c r="B75" s="6" t="str">
        <f>"304820210606125527103450"</f>
        <v>304820210606125527103450</v>
      </c>
      <c r="C75" s="6" t="s">
        <v>317</v>
      </c>
      <c r="D75" s="6" t="str">
        <f>"苏佳华"</f>
        <v>苏佳华</v>
      </c>
      <c r="E75" s="6" t="str">
        <f>"女"</f>
        <v>女</v>
      </c>
      <c r="F75" s="7" t="s">
        <v>252</v>
      </c>
    </row>
    <row r="76" spans="1:6" ht="20.100000000000001" customHeight="1" x14ac:dyDescent="0.15">
      <c r="A76" s="5">
        <v>73</v>
      </c>
      <c r="B76" s="6" t="str">
        <f>"304820210606155311103956"</f>
        <v>304820210606155311103956</v>
      </c>
      <c r="C76" s="6" t="s">
        <v>317</v>
      </c>
      <c r="D76" s="6" t="str">
        <f>"黄成家"</f>
        <v>黄成家</v>
      </c>
      <c r="E76" s="6" t="str">
        <f t="shared" si="6"/>
        <v>男</v>
      </c>
      <c r="F76" s="7" t="s">
        <v>375</v>
      </c>
    </row>
    <row r="77" spans="1:6" ht="20.100000000000001" customHeight="1" x14ac:dyDescent="0.15">
      <c r="A77" s="5">
        <v>74</v>
      </c>
      <c r="B77" s="6" t="str">
        <f>"304820210606203101104645"</f>
        <v>304820210606203101104645</v>
      </c>
      <c r="C77" s="6" t="s">
        <v>317</v>
      </c>
      <c r="D77" s="6" t="str">
        <f>"陈世亮"</f>
        <v>陈世亮</v>
      </c>
      <c r="E77" s="6" t="str">
        <f t="shared" si="6"/>
        <v>男</v>
      </c>
      <c r="F77" s="7" t="s">
        <v>376</v>
      </c>
    </row>
    <row r="78" spans="1:6" ht="20.100000000000001" customHeight="1" x14ac:dyDescent="0.15">
      <c r="A78" s="5">
        <v>75</v>
      </c>
      <c r="B78" s="6" t="str">
        <f>"304820210606232532105154"</f>
        <v>304820210606232532105154</v>
      </c>
      <c r="C78" s="6" t="s">
        <v>317</v>
      </c>
      <c r="D78" s="6" t="str">
        <f>"李仕谋"</f>
        <v>李仕谋</v>
      </c>
      <c r="E78" s="6" t="str">
        <f t="shared" si="6"/>
        <v>男</v>
      </c>
      <c r="F78" s="7" t="s">
        <v>377</v>
      </c>
    </row>
    <row r="79" spans="1:6" ht="20.100000000000001" customHeight="1" x14ac:dyDescent="0.15">
      <c r="A79" s="5">
        <v>76</v>
      </c>
      <c r="B79" s="6" t="str">
        <f>"304820210607082000105403"</f>
        <v>304820210607082000105403</v>
      </c>
      <c r="C79" s="6" t="s">
        <v>317</v>
      </c>
      <c r="D79" s="6" t="str">
        <f>"高秀桂"</f>
        <v>高秀桂</v>
      </c>
      <c r="E79" s="6" t="str">
        <f>"女"</f>
        <v>女</v>
      </c>
      <c r="F79" s="7" t="s">
        <v>283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sqref="A1:F2"/>
    </sheetView>
  </sheetViews>
  <sheetFormatPr defaultColWidth="9" defaultRowHeight="20.100000000000001" customHeight="1" x14ac:dyDescent="0.15"/>
  <cols>
    <col min="1" max="1" width="5.375" style="1" customWidth="1"/>
    <col min="2" max="2" width="24.625" style="1" customWidth="1"/>
    <col min="3" max="3" width="16.5" style="1" customWidth="1"/>
    <col min="4" max="4" width="8.875" style="1" customWidth="1"/>
    <col min="5" max="5" width="7.5" style="1" customWidth="1"/>
    <col min="6" max="6" width="14.8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"30482021060114114063558"</f>
        <v>30482021060114114063558</v>
      </c>
      <c r="C4" s="6" t="s">
        <v>378</v>
      </c>
      <c r="D4" s="6" t="str">
        <f>"李寒"</f>
        <v>李寒</v>
      </c>
      <c r="E4" s="6" t="str">
        <f t="shared" ref="E4:E10" si="0">"女"</f>
        <v>女</v>
      </c>
      <c r="F4" s="7" t="s">
        <v>63</v>
      </c>
    </row>
    <row r="5" spans="1:6" ht="20.100000000000001" customHeight="1" x14ac:dyDescent="0.15">
      <c r="A5" s="5">
        <v>2</v>
      </c>
      <c r="B5" s="6" t="str">
        <f>"30482021060114325563780"</f>
        <v>30482021060114325563780</v>
      </c>
      <c r="C5" s="6" t="s">
        <v>378</v>
      </c>
      <c r="D5" s="6" t="str">
        <f>"符传雄"</f>
        <v>符传雄</v>
      </c>
      <c r="E5" s="6" t="str">
        <f>"男"</f>
        <v>男</v>
      </c>
      <c r="F5" s="7" t="s">
        <v>379</v>
      </c>
    </row>
    <row r="6" spans="1:6" ht="20.100000000000001" customHeight="1" x14ac:dyDescent="0.15">
      <c r="A6" s="5">
        <v>3</v>
      </c>
      <c r="B6" s="6" t="str">
        <f>"30482021060114454663934"</f>
        <v>30482021060114454663934</v>
      </c>
      <c r="C6" s="6" t="s">
        <v>378</v>
      </c>
      <c r="D6" s="6" t="str">
        <f>"林建娥"</f>
        <v>林建娥</v>
      </c>
      <c r="E6" s="6" t="str">
        <f t="shared" si="0"/>
        <v>女</v>
      </c>
      <c r="F6" s="7" t="s">
        <v>380</v>
      </c>
    </row>
    <row r="7" spans="1:6" ht="20.100000000000001" customHeight="1" x14ac:dyDescent="0.15">
      <c r="A7" s="5">
        <v>4</v>
      </c>
      <c r="B7" s="6" t="str">
        <f>"30482021060114540464042"</f>
        <v>30482021060114540464042</v>
      </c>
      <c r="C7" s="6" t="s">
        <v>378</v>
      </c>
      <c r="D7" s="6" t="str">
        <f>"符章辉"</f>
        <v>符章辉</v>
      </c>
      <c r="E7" s="6" t="str">
        <f>"男"</f>
        <v>男</v>
      </c>
      <c r="F7" s="7" t="s">
        <v>381</v>
      </c>
    </row>
    <row r="8" spans="1:6" ht="20.100000000000001" customHeight="1" x14ac:dyDescent="0.15">
      <c r="A8" s="5">
        <v>5</v>
      </c>
      <c r="B8" s="6" t="str">
        <f>"30482021060115024264168"</f>
        <v>30482021060115024264168</v>
      </c>
      <c r="C8" s="6" t="s">
        <v>378</v>
      </c>
      <c r="D8" s="6" t="str">
        <f>"吴克雪"</f>
        <v>吴克雪</v>
      </c>
      <c r="E8" s="6" t="str">
        <f t="shared" si="0"/>
        <v>女</v>
      </c>
      <c r="F8" s="7" t="s">
        <v>382</v>
      </c>
    </row>
    <row r="9" spans="1:6" ht="20.100000000000001" customHeight="1" x14ac:dyDescent="0.15">
      <c r="A9" s="5">
        <v>6</v>
      </c>
      <c r="B9" s="6" t="str">
        <f>"30482021060115042664182"</f>
        <v>30482021060115042664182</v>
      </c>
      <c r="C9" s="6" t="s">
        <v>378</v>
      </c>
      <c r="D9" s="6" t="str">
        <f>"刘少磊"</f>
        <v>刘少磊</v>
      </c>
      <c r="E9" s="6" t="str">
        <f t="shared" si="0"/>
        <v>女</v>
      </c>
      <c r="F9" s="7" t="s">
        <v>383</v>
      </c>
    </row>
    <row r="10" spans="1:6" ht="20.100000000000001" customHeight="1" x14ac:dyDescent="0.15">
      <c r="A10" s="5">
        <v>7</v>
      </c>
      <c r="B10" s="6" t="str">
        <f>"30482021060115171164367"</f>
        <v>30482021060115171164367</v>
      </c>
      <c r="C10" s="6" t="s">
        <v>378</v>
      </c>
      <c r="D10" s="6" t="str">
        <f>"林春金"</f>
        <v>林春金</v>
      </c>
      <c r="E10" s="6" t="str">
        <f t="shared" si="0"/>
        <v>女</v>
      </c>
      <c r="F10" s="7" t="s">
        <v>384</v>
      </c>
    </row>
    <row r="11" spans="1:6" ht="20.100000000000001" customHeight="1" x14ac:dyDescent="0.15">
      <c r="A11" s="5">
        <v>8</v>
      </c>
      <c r="B11" s="6" t="str">
        <f>"30482021060115192864387"</f>
        <v>30482021060115192864387</v>
      </c>
      <c r="C11" s="6" t="s">
        <v>378</v>
      </c>
      <c r="D11" s="6" t="str">
        <f>"曾其生"</f>
        <v>曾其生</v>
      </c>
      <c r="E11" s="6" t="str">
        <f>"男"</f>
        <v>男</v>
      </c>
      <c r="F11" s="7" t="s">
        <v>385</v>
      </c>
    </row>
    <row r="12" spans="1:6" ht="20.100000000000001" customHeight="1" x14ac:dyDescent="0.15">
      <c r="A12" s="5">
        <v>9</v>
      </c>
      <c r="B12" s="6" t="str">
        <f>"30482021060115252564457"</f>
        <v>30482021060115252564457</v>
      </c>
      <c r="C12" s="6" t="s">
        <v>378</v>
      </c>
      <c r="D12" s="6" t="str">
        <f>"吴霞梅"</f>
        <v>吴霞梅</v>
      </c>
      <c r="E12" s="6" t="str">
        <f t="shared" ref="E12:E15" si="1">"女"</f>
        <v>女</v>
      </c>
      <c r="F12" s="7" t="s">
        <v>386</v>
      </c>
    </row>
    <row r="13" spans="1:6" ht="20.100000000000001" customHeight="1" x14ac:dyDescent="0.15">
      <c r="A13" s="5">
        <v>10</v>
      </c>
      <c r="B13" s="6" t="str">
        <f>"30482021060115254964465"</f>
        <v>30482021060115254964465</v>
      </c>
      <c r="C13" s="6" t="s">
        <v>378</v>
      </c>
      <c r="D13" s="6" t="str">
        <f>"邢丹云"</f>
        <v>邢丹云</v>
      </c>
      <c r="E13" s="6" t="str">
        <f t="shared" si="1"/>
        <v>女</v>
      </c>
      <c r="F13" s="7" t="s">
        <v>280</v>
      </c>
    </row>
    <row r="14" spans="1:6" ht="20.100000000000001" customHeight="1" x14ac:dyDescent="0.15">
      <c r="A14" s="5">
        <v>11</v>
      </c>
      <c r="B14" s="6" t="str">
        <f>"30482021060115303864530"</f>
        <v>30482021060115303864530</v>
      </c>
      <c r="C14" s="6" t="s">
        <v>378</v>
      </c>
      <c r="D14" s="6" t="str">
        <f>"符吉子"</f>
        <v>符吉子</v>
      </c>
      <c r="E14" s="6" t="str">
        <f t="shared" si="1"/>
        <v>女</v>
      </c>
      <c r="F14" s="7" t="s">
        <v>387</v>
      </c>
    </row>
    <row r="15" spans="1:6" ht="20.100000000000001" customHeight="1" x14ac:dyDescent="0.15">
      <c r="A15" s="5">
        <v>12</v>
      </c>
      <c r="B15" s="6" t="str">
        <f>"30482021060115311764537"</f>
        <v>30482021060115311764537</v>
      </c>
      <c r="C15" s="6" t="s">
        <v>378</v>
      </c>
      <c r="D15" s="6" t="str">
        <f>"陈昕昕"</f>
        <v>陈昕昕</v>
      </c>
      <c r="E15" s="6" t="str">
        <f t="shared" si="1"/>
        <v>女</v>
      </c>
      <c r="F15" s="7" t="s">
        <v>138</v>
      </c>
    </row>
    <row r="16" spans="1:6" ht="20.100000000000001" customHeight="1" x14ac:dyDescent="0.15">
      <c r="A16" s="5">
        <v>13</v>
      </c>
      <c r="B16" s="6" t="str">
        <f>"30482021060115353864596"</f>
        <v>30482021060115353864596</v>
      </c>
      <c r="C16" s="6" t="s">
        <v>378</v>
      </c>
      <c r="D16" s="6" t="str">
        <f>"卓书泉"</f>
        <v>卓书泉</v>
      </c>
      <c r="E16" s="6" t="str">
        <f>"男"</f>
        <v>男</v>
      </c>
      <c r="F16" s="7" t="s">
        <v>388</v>
      </c>
    </row>
    <row r="17" spans="1:6" ht="20.100000000000001" customHeight="1" x14ac:dyDescent="0.15">
      <c r="A17" s="5">
        <v>14</v>
      </c>
      <c r="B17" s="6" t="str">
        <f>"30482021060115472864752"</f>
        <v>30482021060115472864752</v>
      </c>
      <c r="C17" s="6" t="s">
        <v>378</v>
      </c>
      <c r="D17" s="6" t="str">
        <f>"刘琪"</f>
        <v>刘琪</v>
      </c>
      <c r="E17" s="6" t="str">
        <f t="shared" ref="E17:E24" si="2">"女"</f>
        <v>女</v>
      </c>
      <c r="F17" s="7" t="s">
        <v>207</v>
      </c>
    </row>
    <row r="18" spans="1:6" ht="20.100000000000001" customHeight="1" x14ac:dyDescent="0.15">
      <c r="A18" s="5">
        <v>15</v>
      </c>
      <c r="B18" s="6" t="str">
        <f>"30482021060115480164756"</f>
        <v>30482021060115480164756</v>
      </c>
      <c r="C18" s="6" t="s">
        <v>378</v>
      </c>
      <c r="D18" s="6" t="str">
        <f>"李明祜"</f>
        <v>李明祜</v>
      </c>
      <c r="E18" s="6" t="str">
        <f>"男"</f>
        <v>男</v>
      </c>
      <c r="F18" s="7" t="s">
        <v>389</v>
      </c>
    </row>
    <row r="19" spans="1:6" ht="20.100000000000001" customHeight="1" x14ac:dyDescent="0.15">
      <c r="A19" s="5">
        <v>16</v>
      </c>
      <c r="B19" s="6" t="str">
        <f>"30482021060115491364770"</f>
        <v>30482021060115491364770</v>
      </c>
      <c r="C19" s="6" t="s">
        <v>378</v>
      </c>
      <c r="D19" s="6" t="str">
        <f>"温金婷"</f>
        <v>温金婷</v>
      </c>
      <c r="E19" s="6" t="str">
        <f t="shared" si="2"/>
        <v>女</v>
      </c>
      <c r="F19" s="7" t="s">
        <v>36</v>
      </c>
    </row>
    <row r="20" spans="1:6" ht="20.100000000000001" customHeight="1" x14ac:dyDescent="0.15">
      <c r="A20" s="5">
        <v>17</v>
      </c>
      <c r="B20" s="6" t="str">
        <f>"30482021060116053264953"</f>
        <v>30482021060116053264953</v>
      </c>
      <c r="C20" s="6" t="s">
        <v>378</v>
      </c>
      <c r="D20" s="6" t="str">
        <f>"卢银叶"</f>
        <v>卢银叶</v>
      </c>
      <c r="E20" s="6" t="str">
        <f t="shared" si="2"/>
        <v>女</v>
      </c>
      <c r="F20" s="7" t="s">
        <v>390</v>
      </c>
    </row>
    <row r="21" spans="1:6" ht="20.100000000000001" customHeight="1" x14ac:dyDescent="0.15">
      <c r="A21" s="5">
        <v>18</v>
      </c>
      <c r="B21" s="6" t="str">
        <f>"30482021060116054664957"</f>
        <v>30482021060116054664957</v>
      </c>
      <c r="C21" s="6" t="s">
        <v>378</v>
      </c>
      <c r="D21" s="6" t="str">
        <f>"邓华怡"</f>
        <v>邓华怡</v>
      </c>
      <c r="E21" s="6" t="str">
        <f t="shared" si="2"/>
        <v>女</v>
      </c>
      <c r="F21" s="7" t="s">
        <v>144</v>
      </c>
    </row>
    <row r="22" spans="1:6" ht="20.100000000000001" customHeight="1" x14ac:dyDescent="0.15">
      <c r="A22" s="5">
        <v>19</v>
      </c>
      <c r="B22" s="6" t="str">
        <f>"30482021060116084964994"</f>
        <v>30482021060116084964994</v>
      </c>
      <c r="C22" s="6" t="s">
        <v>378</v>
      </c>
      <c r="D22" s="6" t="str">
        <f>"吴海香"</f>
        <v>吴海香</v>
      </c>
      <c r="E22" s="6" t="str">
        <f t="shared" si="2"/>
        <v>女</v>
      </c>
      <c r="F22" s="7" t="s">
        <v>391</v>
      </c>
    </row>
    <row r="23" spans="1:6" ht="20.100000000000001" customHeight="1" x14ac:dyDescent="0.15">
      <c r="A23" s="5">
        <v>20</v>
      </c>
      <c r="B23" s="6" t="str">
        <f>"30482021060116375965403"</f>
        <v>30482021060116375965403</v>
      </c>
      <c r="C23" s="6" t="s">
        <v>378</v>
      </c>
      <c r="D23" s="6" t="str">
        <f>"吴宏华"</f>
        <v>吴宏华</v>
      </c>
      <c r="E23" s="6" t="str">
        <f t="shared" si="2"/>
        <v>女</v>
      </c>
      <c r="F23" s="7" t="s">
        <v>392</v>
      </c>
    </row>
    <row r="24" spans="1:6" ht="20.100000000000001" customHeight="1" x14ac:dyDescent="0.15">
      <c r="A24" s="5">
        <v>21</v>
      </c>
      <c r="B24" s="6" t="str">
        <f>"30482021060116453365496"</f>
        <v>30482021060116453365496</v>
      </c>
      <c r="C24" s="6" t="s">
        <v>378</v>
      </c>
      <c r="D24" s="6" t="str">
        <f>"许妃"</f>
        <v>许妃</v>
      </c>
      <c r="E24" s="6" t="str">
        <f t="shared" si="2"/>
        <v>女</v>
      </c>
      <c r="F24" s="7" t="s">
        <v>393</v>
      </c>
    </row>
    <row r="25" spans="1:6" ht="20.100000000000001" customHeight="1" x14ac:dyDescent="0.15">
      <c r="A25" s="5">
        <v>22</v>
      </c>
      <c r="B25" s="6" t="str">
        <f>"30482021060116512865579"</f>
        <v>30482021060116512865579</v>
      </c>
      <c r="C25" s="6" t="s">
        <v>378</v>
      </c>
      <c r="D25" s="6" t="str">
        <f>"唐传良"</f>
        <v>唐传良</v>
      </c>
      <c r="E25" s="6" t="str">
        <f t="shared" ref="E25:E30" si="3">"男"</f>
        <v>男</v>
      </c>
      <c r="F25" s="7" t="s">
        <v>394</v>
      </c>
    </row>
    <row r="26" spans="1:6" ht="20.100000000000001" customHeight="1" x14ac:dyDescent="0.15">
      <c r="A26" s="5">
        <v>23</v>
      </c>
      <c r="B26" s="6" t="str">
        <f>"30482021060116582665668"</f>
        <v>30482021060116582665668</v>
      </c>
      <c r="C26" s="6" t="s">
        <v>378</v>
      </c>
      <c r="D26" s="6" t="str">
        <f>"林若君"</f>
        <v>林若君</v>
      </c>
      <c r="E26" s="6" t="str">
        <f t="shared" ref="E26:E28" si="4">"女"</f>
        <v>女</v>
      </c>
      <c r="F26" s="7" t="s">
        <v>395</v>
      </c>
    </row>
    <row r="27" spans="1:6" ht="20.100000000000001" customHeight="1" x14ac:dyDescent="0.15">
      <c r="A27" s="5">
        <v>24</v>
      </c>
      <c r="B27" s="6" t="str">
        <f>"30482021060117335266074"</f>
        <v>30482021060117335266074</v>
      </c>
      <c r="C27" s="6" t="s">
        <v>378</v>
      </c>
      <c r="D27" s="6" t="str">
        <f>"王菲"</f>
        <v>王菲</v>
      </c>
      <c r="E27" s="6" t="str">
        <f t="shared" si="4"/>
        <v>女</v>
      </c>
      <c r="F27" s="7" t="s">
        <v>196</v>
      </c>
    </row>
    <row r="28" spans="1:6" ht="20.100000000000001" customHeight="1" x14ac:dyDescent="0.15">
      <c r="A28" s="5">
        <v>25</v>
      </c>
      <c r="B28" s="6" t="str">
        <f>"30482021060117341666081"</f>
        <v>30482021060117341666081</v>
      </c>
      <c r="C28" s="6" t="s">
        <v>378</v>
      </c>
      <c r="D28" s="6" t="str">
        <f>"陈宝妹"</f>
        <v>陈宝妹</v>
      </c>
      <c r="E28" s="6" t="str">
        <f t="shared" si="4"/>
        <v>女</v>
      </c>
      <c r="F28" s="7" t="s">
        <v>396</v>
      </c>
    </row>
    <row r="29" spans="1:6" ht="20.100000000000001" customHeight="1" x14ac:dyDescent="0.15">
      <c r="A29" s="5">
        <v>26</v>
      </c>
      <c r="B29" s="6" t="str">
        <f>"30482021060117544866279"</f>
        <v>30482021060117544866279</v>
      </c>
      <c r="C29" s="6" t="s">
        <v>378</v>
      </c>
      <c r="D29" s="6" t="str">
        <f>"吴景章"</f>
        <v>吴景章</v>
      </c>
      <c r="E29" s="6" t="str">
        <f t="shared" si="3"/>
        <v>男</v>
      </c>
      <c r="F29" s="7" t="s">
        <v>397</v>
      </c>
    </row>
    <row r="30" spans="1:6" ht="20.100000000000001" customHeight="1" x14ac:dyDescent="0.15">
      <c r="A30" s="5">
        <v>27</v>
      </c>
      <c r="B30" s="6" t="str">
        <f>"30482021060118101566408"</f>
        <v>30482021060118101566408</v>
      </c>
      <c r="C30" s="6" t="s">
        <v>378</v>
      </c>
      <c r="D30" s="6" t="str">
        <f>"邱家欢"</f>
        <v>邱家欢</v>
      </c>
      <c r="E30" s="6" t="str">
        <f t="shared" si="3"/>
        <v>男</v>
      </c>
      <c r="F30" s="7" t="s">
        <v>398</v>
      </c>
    </row>
    <row r="31" spans="1:6" ht="20.100000000000001" customHeight="1" x14ac:dyDescent="0.15">
      <c r="A31" s="5">
        <v>28</v>
      </c>
      <c r="B31" s="6" t="str">
        <f>"30482021060118420166660"</f>
        <v>30482021060118420166660</v>
      </c>
      <c r="C31" s="6" t="s">
        <v>378</v>
      </c>
      <c r="D31" s="6" t="str">
        <f>"陈依莎"</f>
        <v>陈依莎</v>
      </c>
      <c r="E31" s="6" t="str">
        <f t="shared" ref="E31:E40" si="5">"女"</f>
        <v>女</v>
      </c>
      <c r="F31" s="7" t="s">
        <v>399</v>
      </c>
    </row>
    <row r="32" spans="1:6" ht="20.100000000000001" customHeight="1" x14ac:dyDescent="0.15">
      <c r="A32" s="5">
        <v>29</v>
      </c>
      <c r="B32" s="6" t="str">
        <f>"30482021060119212466960"</f>
        <v>30482021060119212466960</v>
      </c>
      <c r="C32" s="6" t="s">
        <v>378</v>
      </c>
      <c r="D32" s="6" t="str">
        <f>"詹翠玉"</f>
        <v>詹翠玉</v>
      </c>
      <c r="E32" s="6" t="str">
        <f t="shared" si="5"/>
        <v>女</v>
      </c>
      <c r="F32" s="7" t="s">
        <v>400</v>
      </c>
    </row>
    <row r="33" spans="1:6" ht="20.100000000000001" customHeight="1" x14ac:dyDescent="0.15">
      <c r="A33" s="5">
        <v>30</v>
      </c>
      <c r="B33" s="6" t="str">
        <f>"30482021060120263468118"</f>
        <v>30482021060120263468118</v>
      </c>
      <c r="C33" s="6" t="s">
        <v>378</v>
      </c>
      <c r="D33" s="6" t="str">
        <f>"王芳婉"</f>
        <v>王芳婉</v>
      </c>
      <c r="E33" s="6" t="str">
        <f t="shared" si="5"/>
        <v>女</v>
      </c>
      <c r="F33" s="7" t="s">
        <v>401</v>
      </c>
    </row>
    <row r="34" spans="1:6" ht="20.100000000000001" customHeight="1" x14ac:dyDescent="0.15">
      <c r="A34" s="5">
        <v>31</v>
      </c>
      <c r="B34" s="6" t="str">
        <f>"30482021060120282068134"</f>
        <v>30482021060120282068134</v>
      </c>
      <c r="C34" s="6" t="s">
        <v>378</v>
      </c>
      <c r="D34" s="6" t="str">
        <f>"陈玲玲"</f>
        <v>陈玲玲</v>
      </c>
      <c r="E34" s="6" t="str">
        <f t="shared" si="5"/>
        <v>女</v>
      </c>
      <c r="F34" s="7" t="s">
        <v>402</v>
      </c>
    </row>
    <row r="35" spans="1:6" ht="20.100000000000001" customHeight="1" x14ac:dyDescent="0.15">
      <c r="A35" s="5">
        <v>32</v>
      </c>
      <c r="B35" s="6" t="str">
        <f>"30482021060121072468479"</f>
        <v>30482021060121072468479</v>
      </c>
      <c r="C35" s="6" t="s">
        <v>378</v>
      </c>
      <c r="D35" s="6" t="str">
        <f>"蔡萌芹"</f>
        <v>蔡萌芹</v>
      </c>
      <c r="E35" s="6" t="str">
        <f t="shared" si="5"/>
        <v>女</v>
      </c>
      <c r="F35" s="7" t="s">
        <v>106</v>
      </c>
    </row>
    <row r="36" spans="1:6" ht="20.100000000000001" customHeight="1" x14ac:dyDescent="0.15">
      <c r="A36" s="5">
        <v>33</v>
      </c>
      <c r="B36" s="6" t="str">
        <f>"30482021060121111568513"</f>
        <v>30482021060121111568513</v>
      </c>
      <c r="C36" s="6" t="s">
        <v>378</v>
      </c>
      <c r="D36" s="6" t="str">
        <f>"胡良燕"</f>
        <v>胡良燕</v>
      </c>
      <c r="E36" s="6" t="str">
        <f t="shared" si="5"/>
        <v>女</v>
      </c>
      <c r="F36" s="7" t="s">
        <v>345</v>
      </c>
    </row>
    <row r="37" spans="1:6" ht="20.100000000000001" customHeight="1" x14ac:dyDescent="0.15">
      <c r="A37" s="5">
        <v>34</v>
      </c>
      <c r="B37" s="6" t="str">
        <f>"30482021060121164668563"</f>
        <v>30482021060121164668563</v>
      </c>
      <c r="C37" s="6" t="s">
        <v>378</v>
      </c>
      <c r="D37" s="6" t="str">
        <f>"王雪倩"</f>
        <v>王雪倩</v>
      </c>
      <c r="E37" s="6" t="str">
        <f t="shared" si="5"/>
        <v>女</v>
      </c>
      <c r="F37" s="7" t="s">
        <v>310</v>
      </c>
    </row>
    <row r="38" spans="1:6" ht="20.100000000000001" customHeight="1" x14ac:dyDescent="0.15">
      <c r="A38" s="5">
        <v>35</v>
      </c>
      <c r="B38" s="6" t="str">
        <f>"30482021060121252168641"</f>
        <v>30482021060121252168641</v>
      </c>
      <c r="C38" s="6" t="s">
        <v>378</v>
      </c>
      <c r="D38" s="6" t="str">
        <f>"钟绮云"</f>
        <v>钟绮云</v>
      </c>
      <c r="E38" s="6" t="str">
        <f t="shared" si="5"/>
        <v>女</v>
      </c>
      <c r="F38" s="7" t="s">
        <v>403</v>
      </c>
    </row>
    <row r="39" spans="1:6" ht="20.100000000000001" customHeight="1" x14ac:dyDescent="0.15">
      <c r="A39" s="5">
        <v>36</v>
      </c>
      <c r="B39" s="6" t="str">
        <f>"30482021060121385569406"</f>
        <v>30482021060121385569406</v>
      </c>
      <c r="C39" s="6" t="s">
        <v>378</v>
      </c>
      <c r="D39" s="6" t="str">
        <f>"王冰月"</f>
        <v>王冰月</v>
      </c>
      <c r="E39" s="6" t="str">
        <f t="shared" si="5"/>
        <v>女</v>
      </c>
      <c r="F39" s="7" t="s">
        <v>158</v>
      </c>
    </row>
    <row r="40" spans="1:6" ht="20.100000000000001" customHeight="1" x14ac:dyDescent="0.15">
      <c r="A40" s="5">
        <v>37</v>
      </c>
      <c r="B40" s="6" t="str">
        <f>"30482021060121595569614"</f>
        <v>30482021060121595569614</v>
      </c>
      <c r="C40" s="6" t="s">
        <v>378</v>
      </c>
      <c r="D40" s="6" t="str">
        <f>"高方银"</f>
        <v>高方银</v>
      </c>
      <c r="E40" s="6" t="str">
        <f t="shared" si="5"/>
        <v>女</v>
      </c>
      <c r="F40" s="7" t="s">
        <v>404</v>
      </c>
    </row>
    <row r="41" spans="1:6" ht="20.100000000000001" customHeight="1" x14ac:dyDescent="0.15">
      <c r="A41" s="5">
        <v>38</v>
      </c>
      <c r="B41" s="6" t="str">
        <f>"30482021060122042569648"</f>
        <v>30482021060122042569648</v>
      </c>
      <c r="C41" s="6" t="s">
        <v>378</v>
      </c>
      <c r="D41" s="6" t="str">
        <f>"陈首憎"</f>
        <v>陈首憎</v>
      </c>
      <c r="E41" s="6" t="str">
        <f t="shared" ref="E41:E46" si="6">"男"</f>
        <v>男</v>
      </c>
      <c r="F41" s="7" t="s">
        <v>405</v>
      </c>
    </row>
    <row r="42" spans="1:6" ht="20.100000000000001" customHeight="1" x14ac:dyDescent="0.15">
      <c r="A42" s="5">
        <v>39</v>
      </c>
      <c r="B42" s="6" t="str">
        <f>"30482021060122055869660"</f>
        <v>30482021060122055869660</v>
      </c>
      <c r="C42" s="6" t="s">
        <v>378</v>
      </c>
      <c r="D42" s="6" t="str">
        <f>"王梨丹"</f>
        <v>王梨丹</v>
      </c>
      <c r="E42" s="6" t="str">
        <f t="shared" ref="E42:E45" si="7">"女"</f>
        <v>女</v>
      </c>
      <c r="F42" s="7" t="s">
        <v>406</v>
      </c>
    </row>
    <row r="43" spans="1:6" ht="20.100000000000001" customHeight="1" x14ac:dyDescent="0.15">
      <c r="A43" s="5">
        <v>40</v>
      </c>
      <c r="B43" s="6" t="str">
        <f>"30482021060122232069816"</f>
        <v>30482021060122232069816</v>
      </c>
      <c r="C43" s="6" t="s">
        <v>378</v>
      </c>
      <c r="D43" s="6" t="str">
        <f>"洪小曼"</f>
        <v>洪小曼</v>
      </c>
      <c r="E43" s="6" t="str">
        <f t="shared" si="7"/>
        <v>女</v>
      </c>
      <c r="F43" s="7" t="s">
        <v>407</v>
      </c>
    </row>
    <row r="44" spans="1:6" ht="20.100000000000001" customHeight="1" x14ac:dyDescent="0.15">
      <c r="A44" s="5">
        <v>41</v>
      </c>
      <c r="B44" s="6" t="str">
        <f>"30482021060122500670035"</f>
        <v>30482021060122500670035</v>
      </c>
      <c r="C44" s="6" t="s">
        <v>378</v>
      </c>
      <c r="D44" s="6" t="str">
        <f>"吴清阳"</f>
        <v>吴清阳</v>
      </c>
      <c r="E44" s="6" t="str">
        <f t="shared" si="6"/>
        <v>男</v>
      </c>
      <c r="F44" s="7" t="s">
        <v>408</v>
      </c>
    </row>
    <row r="45" spans="1:6" ht="20.100000000000001" customHeight="1" x14ac:dyDescent="0.15">
      <c r="A45" s="5">
        <v>42</v>
      </c>
      <c r="B45" s="6" t="str">
        <f>"30482021060122591270097"</f>
        <v>30482021060122591270097</v>
      </c>
      <c r="C45" s="6" t="s">
        <v>378</v>
      </c>
      <c r="D45" s="6" t="str">
        <f>"林怡"</f>
        <v>林怡</v>
      </c>
      <c r="E45" s="6" t="str">
        <f t="shared" si="7"/>
        <v>女</v>
      </c>
      <c r="F45" s="7" t="s">
        <v>409</v>
      </c>
    </row>
    <row r="46" spans="1:6" ht="20.100000000000001" customHeight="1" x14ac:dyDescent="0.15">
      <c r="A46" s="5">
        <v>43</v>
      </c>
      <c r="B46" s="6" t="str">
        <f>"30482021060123194670221"</f>
        <v>30482021060123194670221</v>
      </c>
      <c r="C46" s="6" t="s">
        <v>378</v>
      </c>
      <c r="D46" s="6" t="str">
        <f>"王才莲"</f>
        <v>王才莲</v>
      </c>
      <c r="E46" s="6" t="str">
        <f t="shared" si="6"/>
        <v>男</v>
      </c>
      <c r="F46" s="7" t="s">
        <v>410</v>
      </c>
    </row>
    <row r="47" spans="1:6" ht="20.100000000000001" customHeight="1" x14ac:dyDescent="0.15">
      <c r="A47" s="5">
        <v>44</v>
      </c>
      <c r="B47" s="6" t="str">
        <f>"30482021060208144970741"</f>
        <v>30482021060208144970741</v>
      </c>
      <c r="C47" s="6" t="s">
        <v>378</v>
      </c>
      <c r="D47" s="6" t="str">
        <f>"王陈慧"</f>
        <v>王陈慧</v>
      </c>
      <c r="E47" s="6" t="str">
        <f t="shared" ref="E47:E60" si="8">"女"</f>
        <v>女</v>
      </c>
      <c r="F47" s="7" t="s">
        <v>411</v>
      </c>
    </row>
    <row r="48" spans="1:6" ht="20.100000000000001" customHeight="1" x14ac:dyDescent="0.15">
      <c r="A48" s="5">
        <v>45</v>
      </c>
      <c r="B48" s="6" t="str">
        <f>"30482021060208252470821"</f>
        <v>30482021060208252470821</v>
      </c>
      <c r="C48" s="6" t="s">
        <v>378</v>
      </c>
      <c r="D48" s="6" t="str">
        <f>"李逸"</f>
        <v>李逸</v>
      </c>
      <c r="E48" s="6" t="str">
        <f t="shared" si="8"/>
        <v>女</v>
      </c>
      <c r="F48" s="7" t="s">
        <v>190</v>
      </c>
    </row>
    <row r="49" spans="1:6" ht="20.100000000000001" customHeight="1" x14ac:dyDescent="0.15">
      <c r="A49" s="5">
        <v>46</v>
      </c>
      <c r="B49" s="6" t="str">
        <f>"30482021060208504671025"</f>
        <v>30482021060208504671025</v>
      </c>
      <c r="C49" s="6" t="s">
        <v>378</v>
      </c>
      <c r="D49" s="6" t="str">
        <f>"卢文丽"</f>
        <v>卢文丽</v>
      </c>
      <c r="E49" s="6" t="str">
        <f t="shared" si="8"/>
        <v>女</v>
      </c>
      <c r="F49" s="7" t="s">
        <v>412</v>
      </c>
    </row>
    <row r="50" spans="1:6" ht="20.100000000000001" customHeight="1" x14ac:dyDescent="0.15">
      <c r="A50" s="5">
        <v>47</v>
      </c>
      <c r="B50" s="6" t="str">
        <f>"30482021060208534071056"</f>
        <v>30482021060208534071056</v>
      </c>
      <c r="C50" s="6" t="s">
        <v>378</v>
      </c>
      <c r="D50" s="6" t="str">
        <f>"黄诗琦"</f>
        <v>黄诗琦</v>
      </c>
      <c r="E50" s="6" t="str">
        <f t="shared" si="8"/>
        <v>女</v>
      </c>
      <c r="F50" s="7" t="s">
        <v>413</v>
      </c>
    </row>
    <row r="51" spans="1:6" ht="20.100000000000001" customHeight="1" x14ac:dyDescent="0.15">
      <c r="A51" s="5">
        <v>48</v>
      </c>
      <c r="B51" s="6" t="str">
        <f>"30482021060209073771204"</f>
        <v>30482021060209073771204</v>
      </c>
      <c r="C51" s="6" t="s">
        <v>378</v>
      </c>
      <c r="D51" s="6" t="str">
        <f>"符丽菲"</f>
        <v>符丽菲</v>
      </c>
      <c r="E51" s="6" t="str">
        <f t="shared" si="8"/>
        <v>女</v>
      </c>
      <c r="F51" s="7" t="s">
        <v>35</v>
      </c>
    </row>
    <row r="52" spans="1:6" ht="20.100000000000001" customHeight="1" x14ac:dyDescent="0.15">
      <c r="A52" s="5">
        <v>49</v>
      </c>
      <c r="B52" s="6" t="str">
        <f>"30482021060209505571745"</f>
        <v>30482021060209505571745</v>
      </c>
      <c r="C52" s="6" t="s">
        <v>378</v>
      </c>
      <c r="D52" s="6" t="str">
        <f>"庄海良"</f>
        <v>庄海良</v>
      </c>
      <c r="E52" s="6" t="str">
        <f t="shared" si="8"/>
        <v>女</v>
      </c>
      <c r="F52" s="7" t="s">
        <v>100</v>
      </c>
    </row>
    <row r="53" spans="1:6" ht="20.100000000000001" customHeight="1" x14ac:dyDescent="0.15">
      <c r="A53" s="5">
        <v>50</v>
      </c>
      <c r="B53" s="6" t="str">
        <f>"30482021060210181072105"</f>
        <v>30482021060210181072105</v>
      </c>
      <c r="C53" s="6" t="s">
        <v>378</v>
      </c>
      <c r="D53" s="6" t="str">
        <f>"秦风娟"</f>
        <v>秦风娟</v>
      </c>
      <c r="E53" s="6" t="str">
        <f t="shared" si="8"/>
        <v>女</v>
      </c>
      <c r="F53" s="7" t="s">
        <v>249</v>
      </c>
    </row>
    <row r="54" spans="1:6" ht="20.100000000000001" customHeight="1" x14ac:dyDescent="0.15">
      <c r="A54" s="5">
        <v>51</v>
      </c>
      <c r="B54" s="6" t="str">
        <f>"30482021060210550872610"</f>
        <v>30482021060210550872610</v>
      </c>
      <c r="C54" s="6" t="s">
        <v>378</v>
      </c>
      <c r="D54" s="6" t="str">
        <f>"陈昕颖"</f>
        <v>陈昕颖</v>
      </c>
      <c r="E54" s="6" t="str">
        <f t="shared" si="8"/>
        <v>女</v>
      </c>
      <c r="F54" s="7" t="s">
        <v>44</v>
      </c>
    </row>
    <row r="55" spans="1:6" ht="20.100000000000001" customHeight="1" x14ac:dyDescent="0.15">
      <c r="A55" s="5">
        <v>52</v>
      </c>
      <c r="B55" s="6" t="str">
        <f>"30482021060211174272873"</f>
        <v>30482021060211174272873</v>
      </c>
      <c r="C55" s="6" t="s">
        <v>378</v>
      </c>
      <c r="D55" s="6" t="str">
        <f>"云元鹤"</f>
        <v>云元鹤</v>
      </c>
      <c r="E55" s="6" t="str">
        <f t="shared" si="8"/>
        <v>女</v>
      </c>
      <c r="F55" s="7" t="s">
        <v>46</v>
      </c>
    </row>
    <row r="56" spans="1:6" ht="20.100000000000001" customHeight="1" x14ac:dyDescent="0.15">
      <c r="A56" s="5">
        <v>53</v>
      </c>
      <c r="B56" s="6" t="str">
        <f>"30482021060211203372914"</f>
        <v>30482021060211203372914</v>
      </c>
      <c r="C56" s="6" t="s">
        <v>378</v>
      </c>
      <c r="D56" s="6" t="str">
        <f>"刘水英"</f>
        <v>刘水英</v>
      </c>
      <c r="E56" s="6" t="str">
        <f t="shared" si="8"/>
        <v>女</v>
      </c>
      <c r="F56" s="7" t="s">
        <v>414</v>
      </c>
    </row>
    <row r="57" spans="1:6" ht="20.100000000000001" customHeight="1" x14ac:dyDescent="0.15">
      <c r="A57" s="5">
        <v>54</v>
      </c>
      <c r="B57" s="6" t="str">
        <f>"30482021060211224072933"</f>
        <v>30482021060211224072933</v>
      </c>
      <c r="C57" s="6" t="s">
        <v>378</v>
      </c>
      <c r="D57" s="6" t="str">
        <f>"黄秋婵"</f>
        <v>黄秋婵</v>
      </c>
      <c r="E57" s="6" t="str">
        <f t="shared" si="8"/>
        <v>女</v>
      </c>
      <c r="F57" s="7" t="s">
        <v>30</v>
      </c>
    </row>
    <row r="58" spans="1:6" ht="20.100000000000001" customHeight="1" x14ac:dyDescent="0.15">
      <c r="A58" s="5">
        <v>55</v>
      </c>
      <c r="B58" s="6" t="str">
        <f>"30482021060212493073696"</f>
        <v>30482021060212493073696</v>
      </c>
      <c r="C58" s="6" t="s">
        <v>378</v>
      </c>
      <c r="D58" s="6" t="str">
        <f>"陈莹"</f>
        <v>陈莹</v>
      </c>
      <c r="E58" s="6" t="str">
        <f t="shared" si="8"/>
        <v>女</v>
      </c>
      <c r="F58" s="7" t="s">
        <v>179</v>
      </c>
    </row>
    <row r="59" spans="1:6" ht="20.100000000000001" customHeight="1" x14ac:dyDescent="0.15">
      <c r="A59" s="5">
        <v>56</v>
      </c>
      <c r="B59" s="6" t="str">
        <f>"30482021060213365974040"</f>
        <v>30482021060213365974040</v>
      </c>
      <c r="C59" s="6" t="s">
        <v>378</v>
      </c>
      <c r="D59" s="6" t="str">
        <f>"冯丹霞"</f>
        <v>冯丹霞</v>
      </c>
      <c r="E59" s="6" t="str">
        <f t="shared" si="8"/>
        <v>女</v>
      </c>
      <c r="F59" s="7" t="s">
        <v>415</v>
      </c>
    </row>
    <row r="60" spans="1:6" ht="20.100000000000001" customHeight="1" x14ac:dyDescent="0.15">
      <c r="A60" s="5">
        <v>57</v>
      </c>
      <c r="B60" s="6" t="str">
        <f>"30482021060213452374077"</f>
        <v>30482021060213452374077</v>
      </c>
      <c r="C60" s="6" t="s">
        <v>378</v>
      </c>
      <c r="D60" s="6" t="str">
        <f>"陈珍金"</f>
        <v>陈珍金</v>
      </c>
      <c r="E60" s="6" t="str">
        <f t="shared" si="8"/>
        <v>女</v>
      </c>
      <c r="F60" s="7" t="s">
        <v>416</v>
      </c>
    </row>
    <row r="61" spans="1:6" ht="20.100000000000001" customHeight="1" x14ac:dyDescent="0.15">
      <c r="A61" s="5">
        <v>58</v>
      </c>
      <c r="B61" s="6" t="str">
        <f>"30482021060214442074430"</f>
        <v>30482021060214442074430</v>
      </c>
      <c r="C61" s="6" t="s">
        <v>378</v>
      </c>
      <c r="D61" s="6" t="str">
        <f>"韩富畴"</f>
        <v>韩富畴</v>
      </c>
      <c r="E61" s="6" t="str">
        <f>"男"</f>
        <v>男</v>
      </c>
      <c r="F61" s="7" t="s">
        <v>417</v>
      </c>
    </row>
    <row r="62" spans="1:6" ht="20.100000000000001" customHeight="1" x14ac:dyDescent="0.15">
      <c r="A62" s="5">
        <v>59</v>
      </c>
      <c r="B62" s="6" t="str">
        <f>"30482021060216121675370"</f>
        <v>30482021060216121675370</v>
      </c>
      <c r="C62" s="6" t="s">
        <v>378</v>
      </c>
      <c r="D62" s="6" t="str">
        <f>"王娜"</f>
        <v>王娜</v>
      </c>
      <c r="E62" s="6" t="str">
        <f t="shared" ref="E62:E64" si="9">"女"</f>
        <v>女</v>
      </c>
      <c r="F62" s="7" t="s">
        <v>418</v>
      </c>
    </row>
    <row r="63" spans="1:6" ht="20.100000000000001" customHeight="1" x14ac:dyDescent="0.15">
      <c r="A63" s="5">
        <v>60</v>
      </c>
      <c r="B63" s="6" t="str">
        <f>"30482021060217263476076"</f>
        <v>30482021060217263476076</v>
      </c>
      <c r="C63" s="6" t="s">
        <v>378</v>
      </c>
      <c r="D63" s="6" t="str">
        <f>"夏羽欣"</f>
        <v>夏羽欣</v>
      </c>
      <c r="E63" s="6" t="str">
        <f t="shared" si="9"/>
        <v>女</v>
      </c>
      <c r="F63" s="7" t="s">
        <v>419</v>
      </c>
    </row>
    <row r="64" spans="1:6" ht="20.100000000000001" customHeight="1" x14ac:dyDescent="0.15">
      <c r="A64" s="5">
        <v>61</v>
      </c>
      <c r="B64" s="6" t="str">
        <f>"30482021060217581476313"</f>
        <v>30482021060217581476313</v>
      </c>
      <c r="C64" s="6" t="s">
        <v>378</v>
      </c>
      <c r="D64" s="6" t="str">
        <f>"邓美玲"</f>
        <v>邓美玲</v>
      </c>
      <c r="E64" s="6" t="str">
        <f t="shared" si="9"/>
        <v>女</v>
      </c>
      <c r="F64" s="7" t="s">
        <v>301</v>
      </c>
    </row>
    <row r="65" spans="1:6" ht="20.100000000000001" customHeight="1" x14ac:dyDescent="0.15">
      <c r="A65" s="5">
        <v>62</v>
      </c>
      <c r="B65" s="6" t="str">
        <f>"30482021060219134876830"</f>
        <v>30482021060219134876830</v>
      </c>
      <c r="C65" s="6" t="s">
        <v>378</v>
      </c>
      <c r="D65" s="6" t="str">
        <f>"徐启溯"</f>
        <v>徐启溯</v>
      </c>
      <c r="E65" s="6" t="str">
        <f>"男"</f>
        <v>男</v>
      </c>
      <c r="F65" s="7" t="s">
        <v>420</v>
      </c>
    </row>
    <row r="66" spans="1:6" ht="20.100000000000001" customHeight="1" x14ac:dyDescent="0.15">
      <c r="A66" s="5">
        <v>63</v>
      </c>
      <c r="B66" s="6" t="str">
        <f>"30482021060219520077114"</f>
        <v>30482021060219520077114</v>
      </c>
      <c r="C66" s="6" t="s">
        <v>378</v>
      </c>
      <c r="D66" s="6" t="str">
        <f>"卓芷玉"</f>
        <v>卓芷玉</v>
      </c>
      <c r="E66" s="6" t="str">
        <f t="shared" ref="E66:E69" si="10">"女"</f>
        <v>女</v>
      </c>
      <c r="F66" s="7" t="s">
        <v>421</v>
      </c>
    </row>
    <row r="67" spans="1:6" ht="20.100000000000001" customHeight="1" x14ac:dyDescent="0.15">
      <c r="A67" s="5">
        <v>64</v>
      </c>
      <c r="B67" s="6" t="str">
        <f>"30482021060220454877584"</f>
        <v>30482021060220454877584</v>
      </c>
      <c r="C67" s="6" t="s">
        <v>378</v>
      </c>
      <c r="D67" s="6" t="str">
        <f>"吴淑桦"</f>
        <v>吴淑桦</v>
      </c>
      <c r="E67" s="6" t="str">
        <f t="shared" si="10"/>
        <v>女</v>
      </c>
      <c r="F67" s="7" t="s">
        <v>422</v>
      </c>
    </row>
    <row r="68" spans="1:6" ht="20.100000000000001" customHeight="1" x14ac:dyDescent="0.15">
      <c r="A68" s="5">
        <v>65</v>
      </c>
      <c r="B68" s="6" t="str">
        <f>"30482021060221151577829"</f>
        <v>30482021060221151577829</v>
      </c>
      <c r="C68" s="6" t="s">
        <v>378</v>
      </c>
      <c r="D68" s="6" t="str">
        <f>"郑维涛"</f>
        <v>郑维涛</v>
      </c>
      <c r="E68" s="6" t="str">
        <f t="shared" si="10"/>
        <v>女</v>
      </c>
      <c r="F68" s="7" t="s">
        <v>423</v>
      </c>
    </row>
    <row r="69" spans="1:6" ht="20.100000000000001" customHeight="1" x14ac:dyDescent="0.15">
      <c r="A69" s="5">
        <v>66</v>
      </c>
      <c r="B69" s="6" t="str">
        <f>"30482021060222000578182"</f>
        <v>30482021060222000578182</v>
      </c>
      <c r="C69" s="6" t="s">
        <v>378</v>
      </c>
      <c r="D69" s="6" t="str">
        <f>"张新燕"</f>
        <v>张新燕</v>
      </c>
      <c r="E69" s="6" t="str">
        <f t="shared" si="10"/>
        <v>女</v>
      </c>
      <c r="F69" s="7" t="s">
        <v>424</v>
      </c>
    </row>
    <row r="70" spans="1:6" ht="20.100000000000001" customHeight="1" x14ac:dyDescent="0.15">
      <c r="A70" s="5">
        <v>67</v>
      </c>
      <c r="B70" s="6" t="str">
        <f>"30482021060222021878200"</f>
        <v>30482021060222021878200</v>
      </c>
      <c r="C70" s="6" t="s">
        <v>378</v>
      </c>
      <c r="D70" s="6" t="str">
        <f>"王绥富"</f>
        <v>王绥富</v>
      </c>
      <c r="E70" s="6" t="str">
        <f>"男"</f>
        <v>男</v>
      </c>
      <c r="F70" s="7" t="s">
        <v>425</v>
      </c>
    </row>
    <row r="71" spans="1:6" ht="20.100000000000001" customHeight="1" x14ac:dyDescent="0.15">
      <c r="A71" s="5">
        <v>68</v>
      </c>
      <c r="B71" s="6" t="str">
        <f>"30482021060222410878514"</f>
        <v>30482021060222410878514</v>
      </c>
      <c r="C71" s="6" t="s">
        <v>378</v>
      </c>
      <c r="D71" s="6" t="str">
        <f>"陈萍"</f>
        <v>陈萍</v>
      </c>
      <c r="E71" s="6" t="str">
        <f t="shared" ref="E71:E91" si="11">"女"</f>
        <v>女</v>
      </c>
      <c r="F71" s="7" t="s">
        <v>426</v>
      </c>
    </row>
    <row r="72" spans="1:6" ht="20.100000000000001" customHeight="1" x14ac:dyDescent="0.15">
      <c r="A72" s="5">
        <v>69</v>
      </c>
      <c r="B72" s="6" t="str">
        <f>"30482021060223050478679"</f>
        <v>30482021060223050478679</v>
      </c>
      <c r="C72" s="6" t="s">
        <v>378</v>
      </c>
      <c r="D72" s="6" t="str">
        <f>"李珊"</f>
        <v>李珊</v>
      </c>
      <c r="E72" s="6" t="str">
        <f t="shared" si="11"/>
        <v>女</v>
      </c>
      <c r="F72" s="7" t="s">
        <v>345</v>
      </c>
    </row>
    <row r="73" spans="1:6" ht="20.100000000000001" customHeight="1" x14ac:dyDescent="0.15">
      <c r="A73" s="5">
        <v>70</v>
      </c>
      <c r="B73" s="6" t="str">
        <f>"30482021060223193078763"</f>
        <v>30482021060223193078763</v>
      </c>
      <c r="C73" s="6" t="s">
        <v>378</v>
      </c>
      <c r="D73" s="6" t="str">
        <f>"裴威侃"</f>
        <v>裴威侃</v>
      </c>
      <c r="E73" s="6" t="str">
        <f>"男"</f>
        <v>男</v>
      </c>
      <c r="F73" s="7" t="s">
        <v>427</v>
      </c>
    </row>
    <row r="74" spans="1:6" ht="20.100000000000001" customHeight="1" x14ac:dyDescent="0.15">
      <c r="A74" s="5">
        <v>71</v>
      </c>
      <c r="B74" s="6" t="str">
        <f>"30482021060223473778911"</f>
        <v>30482021060223473778911</v>
      </c>
      <c r="C74" s="6" t="s">
        <v>378</v>
      </c>
      <c r="D74" s="6" t="str">
        <f>"甘玟莎"</f>
        <v>甘玟莎</v>
      </c>
      <c r="E74" s="6" t="str">
        <f t="shared" si="11"/>
        <v>女</v>
      </c>
      <c r="F74" s="7" t="s">
        <v>9</v>
      </c>
    </row>
    <row r="75" spans="1:6" ht="20.100000000000001" customHeight="1" x14ac:dyDescent="0.15">
      <c r="A75" s="5">
        <v>72</v>
      </c>
      <c r="B75" s="6" t="str">
        <f>"30482021060308142579350"</f>
        <v>30482021060308142579350</v>
      </c>
      <c r="C75" s="6" t="s">
        <v>378</v>
      </c>
      <c r="D75" s="6" t="str">
        <f>"符雪花"</f>
        <v>符雪花</v>
      </c>
      <c r="E75" s="6" t="str">
        <f t="shared" si="11"/>
        <v>女</v>
      </c>
      <c r="F75" s="7" t="s">
        <v>428</v>
      </c>
    </row>
    <row r="76" spans="1:6" ht="20.100000000000001" customHeight="1" x14ac:dyDescent="0.15">
      <c r="A76" s="5">
        <v>73</v>
      </c>
      <c r="B76" s="6" t="str">
        <f>"30482021060309005279813"</f>
        <v>30482021060309005279813</v>
      </c>
      <c r="C76" s="6" t="s">
        <v>378</v>
      </c>
      <c r="D76" s="6" t="str">
        <f>"杨文慧"</f>
        <v>杨文慧</v>
      </c>
      <c r="E76" s="6" t="str">
        <f t="shared" si="11"/>
        <v>女</v>
      </c>
      <c r="F76" s="7" t="s">
        <v>429</v>
      </c>
    </row>
    <row r="77" spans="1:6" ht="20.100000000000001" customHeight="1" x14ac:dyDescent="0.15">
      <c r="A77" s="5">
        <v>74</v>
      </c>
      <c r="B77" s="6" t="str">
        <f>"30482021060309102979927"</f>
        <v>30482021060309102979927</v>
      </c>
      <c r="C77" s="6" t="s">
        <v>378</v>
      </c>
      <c r="D77" s="6" t="str">
        <f>"林秋凤"</f>
        <v>林秋凤</v>
      </c>
      <c r="E77" s="6" t="str">
        <f t="shared" si="11"/>
        <v>女</v>
      </c>
      <c r="F77" s="7" t="s">
        <v>165</v>
      </c>
    </row>
    <row r="78" spans="1:6" ht="20.100000000000001" customHeight="1" x14ac:dyDescent="0.15">
      <c r="A78" s="5">
        <v>75</v>
      </c>
      <c r="B78" s="6" t="str">
        <f>"30482021060312092582518"</f>
        <v>30482021060312092582518</v>
      </c>
      <c r="C78" s="6" t="s">
        <v>378</v>
      </c>
      <c r="D78" s="6" t="str">
        <f>"韩海燕"</f>
        <v>韩海燕</v>
      </c>
      <c r="E78" s="6" t="str">
        <f t="shared" si="11"/>
        <v>女</v>
      </c>
      <c r="F78" s="7" t="s">
        <v>430</v>
      </c>
    </row>
    <row r="79" spans="1:6" ht="20.100000000000001" customHeight="1" x14ac:dyDescent="0.15">
      <c r="A79" s="5">
        <v>76</v>
      </c>
      <c r="B79" s="6" t="str">
        <f>"30482021060313363683325"</f>
        <v>30482021060313363683325</v>
      </c>
      <c r="C79" s="6" t="s">
        <v>378</v>
      </c>
      <c r="D79" s="6" t="str">
        <f>"王小萍"</f>
        <v>王小萍</v>
      </c>
      <c r="E79" s="6" t="str">
        <f t="shared" si="11"/>
        <v>女</v>
      </c>
      <c r="F79" s="7" t="s">
        <v>431</v>
      </c>
    </row>
    <row r="80" spans="1:6" ht="20.100000000000001" customHeight="1" x14ac:dyDescent="0.15">
      <c r="A80" s="5">
        <v>77</v>
      </c>
      <c r="B80" s="6" t="str">
        <f>"30482021060315111584189"</f>
        <v>30482021060315111584189</v>
      </c>
      <c r="C80" s="6" t="s">
        <v>378</v>
      </c>
      <c r="D80" s="6" t="str">
        <f>"王金雅"</f>
        <v>王金雅</v>
      </c>
      <c r="E80" s="6" t="str">
        <f t="shared" si="11"/>
        <v>女</v>
      </c>
      <c r="F80" s="7" t="s">
        <v>432</v>
      </c>
    </row>
    <row r="81" spans="1:6" ht="20.100000000000001" customHeight="1" x14ac:dyDescent="0.15">
      <c r="A81" s="5">
        <v>78</v>
      </c>
      <c r="B81" s="6" t="str">
        <f>"30482021060319470087112"</f>
        <v>30482021060319470087112</v>
      </c>
      <c r="C81" s="6" t="s">
        <v>378</v>
      </c>
      <c r="D81" s="6" t="str">
        <f>"刘馨蔚"</f>
        <v>刘馨蔚</v>
      </c>
      <c r="E81" s="6" t="str">
        <f t="shared" si="11"/>
        <v>女</v>
      </c>
      <c r="F81" s="7" t="s">
        <v>433</v>
      </c>
    </row>
    <row r="82" spans="1:6" ht="20.100000000000001" customHeight="1" x14ac:dyDescent="0.15">
      <c r="A82" s="5">
        <v>79</v>
      </c>
      <c r="B82" s="6" t="str">
        <f>"30482021060320203187438"</f>
        <v>30482021060320203187438</v>
      </c>
      <c r="C82" s="6" t="s">
        <v>378</v>
      </c>
      <c r="D82" s="6" t="str">
        <f>"林丽香"</f>
        <v>林丽香</v>
      </c>
      <c r="E82" s="6" t="str">
        <f t="shared" si="11"/>
        <v>女</v>
      </c>
      <c r="F82" s="7" t="s">
        <v>434</v>
      </c>
    </row>
    <row r="83" spans="1:6" ht="20.100000000000001" customHeight="1" x14ac:dyDescent="0.15">
      <c r="A83" s="5">
        <v>80</v>
      </c>
      <c r="B83" s="6" t="str">
        <f>"30482021060321111988037"</f>
        <v>30482021060321111988037</v>
      </c>
      <c r="C83" s="6" t="s">
        <v>378</v>
      </c>
      <c r="D83" s="6" t="str">
        <f>"林小莹"</f>
        <v>林小莹</v>
      </c>
      <c r="E83" s="6" t="str">
        <f t="shared" si="11"/>
        <v>女</v>
      </c>
      <c r="F83" s="7" t="s">
        <v>435</v>
      </c>
    </row>
    <row r="84" spans="1:6" ht="20.100000000000001" customHeight="1" x14ac:dyDescent="0.15">
      <c r="A84" s="5">
        <v>81</v>
      </c>
      <c r="B84" s="6" t="str">
        <f>"30482021060408130690189"</f>
        <v>30482021060408130690189</v>
      </c>
      <c r="C84" s="6" t="s">
        <v>378</v>
      </c>
      <c r="D84" s="6" t="str">
        <f>"符传虹"</f>
        <v>符传虹</v>
      </c>
      <c r="E84" s="6" t="str">
        <f t="shared" si="11"/>
        <v>女</v>
      </c>
      <c r="F84" s="7" t="s">
        <v>436</v>
      </c>
    </row>
    <row r="85" spans="1:6" ht="20.100000000000001" customHeight="1" x14ac:dyDescent="0.15">
      <c r="A85" s="5">
        <v>82</v>
      </c>
      <c r="B85" s="6" t="str">
        <f>"30482021060408335390322"</f>
        <v>30482021060408335390322</v>
      </c>
      <c r="C85" s="6" t="s">
        <v>378</v>
      </c>
      <c r="D85" s="6" t="str">
        <f>"庄耿敏"</f>
        <v>庄耿敏</v>
      </c>
      <c r="E85" s="6" t="str">
        <f t="shared" si="11"/>
        <v>女</v>
      </c>
      <c r="F85" s="7" t="s">
        <v>437</v>
      </c>
    </row>
    <row r="86" spans="1:6" ht="20.100000000000001" customHeight="1" x14ac:dyDescent="0.15">
      <c r="A86" s="5">
        <v>83</v>
      </c>
      <c r="B86" s="6" t="str">
        <f>"30482021060409093290689"</f>
        <v>30482021060409093290689</v>
      </c>
      <c r="C86" s="6" t="s">
        <v>378</v>
      </c>
      <c r="D86" s="6" t="str">
        <f>"陈海波"</f>
        <v>陈海波</v>
      </c>
      <c r="E86" s="6" t="str">
        <f t="shared" si="11"/>
        <v>女</v>
      </c>
      <c r="F86" s="7" t="s">
        <v>147</v>
      </c>
    </row>
    <row r="87" spans="1:6" ht="20.100000000000001" customHeight="1" x14ac:dyDescent="0.15">
      <c r="A87" s="5">
        <v>84</v>
      </c>
      <c r="B87" s="6" t="str">
        <f>"30482021060409235890855"</f>
        <v>30482021060409235890855</v>
      </c>
      <c r="C87" s="6" t="s">
        <v>378</v>
      </c>
      <c r="D87" s="6" t="str">
        <f>"陈莉丽"</f>
        <v>陈莉丽</v>
      </c>
      <c r="E87" s="6" t="str">
        <f t="shared" si="11"/>
        <v>女</v>
      </c>
      <c r="F87" s="7" t="s">
        <v>438</v>
      </c>
    </row>
    <row r="88" spans="1:6" ht="20.100000000000001" customHeight="1" x14ac:dyDescent="0.15">
      <c r="A88" s="5">
        <v>85</v>
      </c>
      <c r="B88" s="6" t="str">
        <f>"30482021060410493691958"</f>
        <v>30482021060410493691958</v>
      </c>
      <c r="C88" s="6" t="s">
        <v>378</v>
      </c>
      <c r="D88" s="6" t="str">
        <f>"邢惠媚"</f>
        <v>邢惠媚</v>
      </c>
      <c r="E88" s="6" t="str">
        <f t="shared" si="11"/>
        <v>女</v>
      </c>
      <c r="F88" s="7" t="s">
        <v>144</v>
      </c>
    </row>
    <row r="89" spans="1:6" ht="20.100000000000001" customHeight="1" x14ac:dyDescent="0.15">
      <c r="A89" s="5">
        <v>86</v>
      </c>
      <c r="B89" s="6" t="str">
        <f>"30482021060412005193346"</f>
        <v>30482021060412005193346</v>
      </c>
      <c r="C89" s="6" t="s">
        <v>378</v>
      </c>
      <c r="D89" s="6" t="str">
        <f>"周林琳"</f>
        <v>周林琳</v>
      </c>
      <c r="E89" s="6" t="str">
        <f t="shared" si="11"/>
        <v>女</v>
      </c>
      <c r="F89" s="7" t="s">
        <v>27</v>
      </c>
    </row>
    <row r="90" spans="1:6" ht="20.100000000000001" customHeight="1" x14ac:dyDescent="0.15">
      <c r="A90" s="5">
        <v>87</v>
      </c>
      <c r="B90" s="6" t="str">
        <f>"30482021060415544196660"</f>
        <v>30482021060415544196660</v>
      </c>
      <c r="C90" s="6" t="s">
        <v>378</v>
      </c>
      <c r="D90" s="6" t="str">
        <f>"王秋儿"</f>
        <v>王秋儿</v>
      </c>
      <c r="E90" s="6" t="str">
        <f t="shared" si="11"/>
        <v>女</v>
      </c>
      <c r="F90" s="7" t="s">
        <v>439</v>
      </c>
    </row>
    <row r="91" spans="1:6" ht="20.100000000000001" customHeight="1" x14ac:dyDescent="0.15">
      <c r="A91" s="5">
        <v>88</v>
      </c>
      <c r="B91" s="6" t="str">
        <f>"30482021060416262297084"</f>
        <v>30482021060416262297084</v>
      </c>
      <c r="C91" s="6" t="s">
        <v>378</v>
      </c>
      <c r="D91" s="6" t="str">
        <f>"林兰燕"</f>
        <v>林兰燕</v>
      </c>
      <c r="E91" s="6" t="str">
        <f t="shared" si="11"/>
        <v>女</v>
      </c>
      <c r="F91" s="7" t="s">
        <v>440</v>
      </c>
    </row>
    <row r="92" spans="1:6" ht="20.100000000000001" customHeight="1" x14ac:dyDescent="0.15">
      <c r="A92" s="5">
        <v>89</v>
      </c>
      <c r="B92" s="6" t="str">
        <f>"30482021060416330897186"</f>
        <v>30482021060416330897186</v>
      </c>
      <c r="C92" s="6" t="s">
        <v>378</v>
      </c>
      <c r="D92" s="6" t="str">
        <f>"赵开朝"</f>
        <v>赵开朝</v>
      </c>
      <c r="E92" s="6" t="str">
        <f>"男"</f>
        <v>男</v>
      </c>
      <c r="F92" s="7" t="s">
        <v>441</v>
      </c>
    </row>
    <row r="93" spans="1:6" ht="20.100000000000001" customHeight="1" x14ac:dyDescent="0.15">
      <c r="A93" s="5">
        <v>90</v>
      </c>
      <c r="B93" s="6" t="str">
        <f>"30482021060417375398040"</f>
        <v>30482021060417375398040</v>
      </c>
      <c r="C93" s="6" t="s">
        <v>378</v>
      </c>
      <c r="D93" s="6" t="str">
        <f>"林海霞"</f>
        <v>林海霞</v>
      </c>
      <c r="E93" s="6" t="str">
        <f t="shared" ref="E93:E96" si="12">"女"</f>
        <v>女</v>
      </c>
      <c r="F93" s="7" t="s">
        <v>38</v>
      </c>
    </row>
    <row r="94" spans="1:6" ht="20.100000000000001" customHeight="1" x14ac:dyDescent="0.15">
      <c r="A94" s="5">
        <v>91</v>
      </c>
      <c r="B94" s="6" t="str">
        <f>"30482021060417402998078"</f>
        <v>30482021060417402998078</v>
      </c>
      <c r="C94" s="6" t="s">
        <v>378</v>
      </c>
      <c r="D94" s="6" t="str">
        <f>"陈春江"</f>
        <v>陈春江</v>
      </c>
      <c r="E94" s="6" t="str">
        <f t="shared" si="12"/>
        <v>女</v>
      </c>
      <c r="F94" s="7" t="s">
        <v>442</v>
      </c>
    </row>
    <row r="95" spans="1:6" ht="20.100000000000001" customHeight="1" x14ac:dyDescent="0.15">
      <c r="A95" s="5">
        <v>92</v>
      </c>
      <c r="B95" s="6" t="str">
        <f>"30482021060417530298223"</f>
        <v>30482021060417530298223</v>
      </c>
      <c r="C95" s="6" t="s">
        <v>378</v>
      </c>
      <c r="D95" s="6" t="str">
        <f>"刘凤婷"</f>
        <v>刘凤婷</v>
      </c>
      <c r="E95" s="6" t="str">
        <f t="shared" si="12"/>
        <v>女</v>
      </c>
      <c r="F95" s="7" t="s">
        <v>84</v>
      </c>
    </row>
    <row r="96" spans="1:6" ht="20.100000000000001" customHeight="1" x14ac:dyDescent="0.15">
      <c r="A96" s="5">
        <v>93</v>
      </c>
      <c r="B96" s="6" t="str">
        <f>"30482021060418032798291"</f>
        <v>30482021060418032798291</v>
      </c>
      <c r="C96" s="6" t="s">
        <v>378</v>
      </c>
      <c r="D96" s="6" t="str">
        <f>"吴洁明"</f>
        <v>吴洁明</v>
      </c>
      <c r="E96" s="6" t="str">
        <f t="shared" si="12"/>
        <v>女</v>
      </c>
      <c r="F96" s="7" t="s">
        <v>300</v>
      </c>
    </row>
    <row r="97" spans="1:6" ht="20.100000000000001" customHeight="1" x14ac:dyDescent="0.15">
      <c r="A97" s="5">
        <v>94</v>
      </c>
      <c r="B97" s="6" t="str">
        <f>"30482021060419445599254"</f>
        <v>30482021060419445599254</v>
      </c>
      <c r="C97" s="6" t="s">
        <v>378</v>
      </c>
      <c r="D97" s="6" t="str">
        <f>"吴曾康"</f>
        <v>吴曾康</v>
      </c>
      <c r="E97" s="6" t="str">
        <f t="shared" ref="E97:E100" si="13">"男"</f>
        <v>男</v>
      </c>
      <c r="F97" s="7" t="s">
        <v>443</v>
      </c>
    </row>
    <row r="98" spans="1:6" ht="20.100000000000001" customHeight="1" x14ac:dyDescent="0.15">
      <c r="A98" s="5">
        <v>95</v>
      </c>
      <c r="B98" s="6" t="str">
        <f>"30482021060423064099880"</f>
        <v>30482021060423064099880</v>
      </c>
      <c r="C98" s="6" t="s">
        <v>378</v>
      </c>
      <c r="D98" s="6" t="str">
        <f>"钟海彬"</f>
        <v>钟海彬</v>
      </c>
      <c r="E98" s="6" t="str">
        <f t="shared" si="13"/>
        <v>男</v>
      </c>
      <c r="F98" s="7" t="s">
        <v>444</v>
      </c>
    </row>
    <row r="99" spans="1:6" ht="20.100000000000001" customHeight="1" x14ac:dyDescent="0.15">
      <c r="A99" s="5">
        <v>96</v>
      </c>
      <c r="B99" s="6" t="str">
        <f>"304820210605091643100252"</f>
        <v>304820210605091643100252</v>
      </c>
      <c r="C99" s="6" t="s">
        <v>378</v>
      </c>
      <c r="D99" s="6" t="str">
        <f>"麦琪琪"</f>
        <v>麦琪琪</v>
      </c>
      <c r="E99" s="6" t="str">
        <f t="shared" ref="E99:E115" si="14">"女"</f>
        <v>女</v>
      </c>
      <c r="F99" s="7" t="s">
        <v>319</v>
      </c>
    </row>
    <row r="100" spans="1:6" ht="20.100000000000001" customHeight="1" x14ac:dyDescent="0.15">
      <c r="A100" s="5">
        <v>97</v>
      </c>
      <c r="B100" s="6" t="str">
        <f>"304820210605101413100387"</f>
        <v>304820210605101413100387</v>
      </c>
      <c r="C100" s="6" t="s">
        <v>378</v>
      </c>
      <c r="D100" s="6" t="str">
        <f>"纪新杨"</f>
        <v>纪新杨</v>
      </c>
      <c r="E100" s="6" t="str">
        <f t="shared" si="13"/>
        <v>男</v>
      </c>
      <c r="F100" s="7" t="s">
        <v>445</v>
      </c>
    </row>
    <row r="101" spans="1:6" ht="20.100000000000001" customHeight="1" x14ac:dyDescent="0.15">
      <c r="A101" s="5">
        <v>98</v>
      </c>
      <c r="B101" s="6" t="str">
        <f>"304820210605112051100607"</f>
        <v>304820210605112051100607</v>
      </c>
      <c r="C101" s="6" t="s">
        <v>378</v>
      </c>
      <c r="D101" s="6" t="str">
        <f>"陈玉曼"</f>
        <v>陈玉曼</v>
      </c>
      <c r="E101" s="6" t="str">
        <f t="shared" si="14"/>
        <v>女</v>
      </c>
      <c r="F101" s="7" t="s">
        <v>446</v>
      </c>
    </row>
    <row r="102" spans="1:6" ht="20.100000000000001" customHeight="1" x14ac:dyDescent="0.15">
      <c r="A102" s="5">
        <v>99</v>
      </c>
      <c r="B102" s="6" t="str">
        <f>"304820210605161344101362"</f>
        <v>304820210605161344101362</v>
      </c>
      <c r="C102" s="6" t="s">
        <v>378</v>
      </c>
      <c r="D102" s="6" t="str">
        <f>"龙俊国"</f>
        <v>龙俊国</v>
      </c>
      <c r="E102" s="6" t="str">
        <f>"男"</f>
        <v>男</v>
      </c>
      <c r="F102" s="7" t="s">
        <v>447</v>
      </c>
    </row>
    <row r="103" spans="1:6" ht="20.100000000000001" customHeight="1" x14ac:dyDescent="0.15">
      <c r="A103" s="5">
        <v>100</v>
      </c>
      <c r="B103" s="6" t="str">
        <f>"304820210605163607101427"</f>
        <v>304820210605163607101427</v>
      </c>
      <c r="C103" s="6" t="s">
        <v>378</v>
      </c>
      <c r="D103" s="6" t="str">
        <f>"蒋强"</f>
        <v>蒋强</v>
      </c>
      <c r="E103" s="6" t="str">
        <f>"男"</f>
        <v>男</v>
      </c>
      <c r="F103" s="7" t="s">
        <v>448</v>
      </c>
    </row>
    <row r="104" spans="1:6" ht="20.100000000000001" customHeight="1" x14ac:dyDescent="0.15">
      <c r="A104" s="5">
        <v>101</v>
      </c>
      <c r="B104" s="6" t="str">
        <f>"304820210605170303101505"</f>
        <v>304820210605170303101505</v>
      </c>
      <c r="C104" s="6" t="s">
        <v>378</v>
      </c>
      <c r="D104" s="6" t="str">
        <f>"杨钧乔"</f>
        <v>杨钧乔</v>
      </c>
      <c r="E104" s="6" t="str">
        <f t="shared" si="14"/>
        <v>女</v>
      </c>
      <c r="F104" s="7" t="s">
        <v>38</v>
      </c>
    </row>
    <row r="105" spans="1:6" ht="20.100000000000001" customHeight="1" x14ac:dyDescent="0.15">
      <c r="A105" s="5">
        <v>102</v>
      </c>
      <c r="B105" s="6" t="str">
        <f>"304820210605172049101554"</f>
        <v>304820210605172049101554</v>
      </c>
      <c r="C105" s="6" t="s">
        <v>378</v>
      </c>
      <c r="D105" s="6" t="str">
        <f>"万钦虹"</f>
        <v>万钦虹</v>
      </c>
      <c r="E105" s="6" t="str">
        <f t="shared" si="14"/>
        <v>女</v>
      </c>
      <c r="F105" s="7" t="s">
        <v>449</v>
      </c>
    </row>
    <row r="106" spans="1:6" ht="20.100000000000001" customHeight="1" x14ac:dyDescent="0.15">
      <c r="A106" s="5">
        <v>103</v>
      </c>
      <c r="B106" s="6" t="str">
        <f>"304820210605175634101657"</f>
        <v>304820210605175634101657</v>
      </c>
      <c r="C106" s="6" t="s">
        <v>378</v>
      </c>
      <c r="D106" s="6" t="str">
        <f>"王馨苡"</f>
        <v>王馨苡</v>
      </c>
      <c r="E106" s="6" t="str">
        <f t="shared" si="14"/>
        <v>女</v>
      </c>
      <c r="F106" s="7" t="s">
        <v>450</v>
      </c>
    </row>
    <row r="107" spans="1:6" ht="20.100000000000001" customHeight="1" x14ac:dyDescent="0.15">
      <c r="A107" s="5">
        <v>104</v>
      </c>
      <c r="B107" s="6" t="str">
        <f>"304820210605211831102154"</f>
        <v>304820210605211831102154</v>
      </c>
      <c r="C107" s="6" t="s">
        <v>378</v>
      </c>
      <c r="D107" s="6" t="str">
        <f>"陈晶晶"</f>
        <v>陈晶晶</v>
      </c>
      <c r="E107" s="6" t="str">
        <f t="shared" si="14"/>
        <v>女</v>
      </c>
      <c r="F107" s="7" t="s">
        <v>451</v>
      </c>
    </row>
    <row r="108" spans="1:6" ht="20.100000000000001" customHeight="1" x14ac:dyDescent="0.15">
      <c r="A108" s="5">
        <v>105</v>
      </c>
      <c r="B108" s="6" t="str">
        <f>"304820210605231512102482"</f>
        <v>304820210605231512102482</v>
      </c>
      <c r="C108" s="6" t="s">
        <v>378</v>
      </c>
      <c r="D108" s="6" t="str">
        <f>"刘丁瑜"</f>
        <v>刘丁瑜</v>
      </c>
      <c r="E108" s="6" t="str">
        <f t="shared" si="14"/>
        <v>女</v>
      </c>
      <c r="F108" s="7" t="s">
        <v>452</v>
      </c>
    </row>
    <row r="109" spans="1:6" ht="20.100000000000001" customHeight="1" x14ac:dyDescent="0.15">
      <c r="A109" s="5">
        <v>106</v>
      </c>
      <c r="B109" s="6" t="str">
        <f>"304820210605232626102508"</f>
        <v>304820210605232626102508</v>
      </c>
      <c r="C109" s="6" t="s">
        <v>378</v>
      </c>
      <c r="D109" s="6" t="str">
        <f>"洪小娇"</f>
        <v>洪小娇</v>
      </c>
      <c r="E109" s="6" t="str">
        <f t="shared" si="14"/>
        <v>女</v>
      </c>
      <c r="F109" s="7" t="s">
        <v>453</v>
      </c>
    </row>
    <row r="110" spans="1:6" ht="20.100000000000001" customHeight="1" x14ac:dyDescent="0.15">
      <c r="A110" s="5">
        <v>107</v>
      </c>
      <c r="B110" s="6" t="str">
        <f>"304820210606003405102599"</f>
        <v>304820210606003405102599</v>
      </c>
      <c r="C110" s="6" t="s">
        <v>378</v>
      </c>
      <c r="D110" s="6" t="str">
        <f>"谢丽许"</f>
        <v>谢丽许</v>
      </c>
      <c r="E110" s="6" t="str">
        <f t="shared" si="14"/>
        <v>女</v>
      </c>
      <c r="F110" s="7" t="s">
        <v>454</v>
      </c>
    </row>
    <row r="111" spans="1:6" ht="20.100000000000001" customHeight="1" x14ac:dyDescent="0.15">
      <c r="A111" s="5">
        <v>108</v>
      </c>
      <c r="B111" s="6" t="str">
        <f>"304820210606074658102685"</f>
        <v>304820210606074658102685</v>
      </c>
      <c r="C111" s="6" t="s">
        <v>378</v>
      </c>
      <c r="D111" s="6" t="str">
        <f>"夏才芯"</f>
        <v>夏才芯</v>
      </c>
      <c r="E111" s="6" t="str">
        <f t="shared" si="14"/>
        <v>女</v>
      </c>
      <c r="F111" s="7" t="s">
        <v>455</v>
      </c>
    </row>
    <row r="112" spans="1:6" ht="20.100000000000001" customHeight="1" x14ac:dyDescent="0.15">
      <c r="A112" s="5">
        <v>109</v>
      </c>
      <c r="B112" s="6" t="str">
        <f>"304820210606102919103011"</f>
        <v>304820210606102919103011</v>
      </c>
      <c r="C112" s="6" t="s">
        <v>378</v>
      </c>
      <c r="D112" s="6" t="str">
        <f>"王康"</f>
        <v>王康</v>
      </c>
      <c r="E112" s="6" t="str">
        <f t="shared" si="14"/>
        <v>女</v>
      </c>
      <c r="F112" s="7" t="s">
        <v>456</v>
      </c>
    </row>
    <row r="113" spans="1:6" ht="20.100000000000001" customHeight="1" x14ac:dyDescent="0.15">
      <c r="A113" s="5">
        <v>110</v>
      </c>
      <c r="B113" s="6" t="str">
        <f>"304820210606132831103553"</f>
        <v>304820210606132831103553</v>
      </c>
      <c r="C113" s="6" t="s">
        <v>378</v>
      </c>
      <c r="D113" s="6" t="str">
        <f>"符瑜"</f>
        <v>符瑜</v>
      </c>
      <c r="E113" s="6" t="str">
        <f t="shared" si="14"/>
        <v>女</v>
      </c>
      <c r="F113" s="7" t="s">
        <v>457</v>
      </c>
    </row>
    <row r="114" spans="1:6" ht="20.100000000000001" customHeight="1" x14ac:dyDescent="0.15">
      <c r="A114" s="5">
        <v>111</v>
      </c>
      <c r="B114" s="6" t="str">
        <f>"304820210606135328103625"</f>
        <v>304820210606135328103625</v>
      </c>
      <c r="C114" s="6" t="s">
        <v>378</v>
      </c>
      <c r="D114" s="6" t="str">
        <f>"林莎"</f>
        <v>林莎</v>
      </c>
      <c r="E114" s="6" t="str">
        <f t="shared" si="14"/>
        <v>女</v>
      </c>
      <c r="F114" s="7" t="s">
        <v>458</v>
      </c>
    </row>
    <row r="115" spans="1:6" ht="20.100000000000001" customHeight="1" x14ac:dyDescent="0.15">
      <c r="A115" s="5">
        <v>112</v>
      </c>
      <c r="B115" s="6" t="str">
        <f>"304820210606150603103808"</f>
        <v>304820210606150603103808</v>
      </c>
      <c r="C115" s="6" t="s">
        <v>378</v>
      </c>
      <c r="D115" s="6" t="str">
        <f>"李岩带"</f>
        <v>李岩带</v>
      </c>
      <c r="E115" s="6" t="str">
        <f t="shared" si="14"/>
        <v>女</v>
      </c>
      <c r="F115" s="7" t="s">
        <v>459</v>
      </c>
    </row>
    <row r="116" spans="1:6" ht="20.100000000000001" customHeight="1" x14ac:dyDescent="0.15">
      <c r="A116" s="5">
        <v>113</v>
      </c>
      <c r="B116" s="6" t="str">
        <f>"304820210606151712103835"</f>
        <v>304820210606151712103835</v>
      </c>
      <c r="C116" s="6" t="s">
        <v>378</v>
      </c>
      <c r="D116" s="6" t="str">
        <f>"张业成"</f>
        <v>张业成</v>
      </c>
      <c r="E116" s="6" t="str">
        <f>"男"</f>
        <v>男</v>
      </c>
      <c r="F116" s="7" t="s">
        <v>242</v>
      </c>
    </row>
    <row r="117" spans="1:6" ht="20.100000000000001" customHeight="1" x14ac:dyDescent="0.15">
      <c r="A117" s="5">
        <v>114</v>
      </c>
      <c r="B117" s="6" t="str">
        <f>"304820210606153934103907"</f>
        <v>304820210606153934103907</v>
      </c>
      <c r="C117" s="6" t="s">
        <v>378</v>
      </c>
      <c r="D117" s="6" t="str">
        <f>"陈莹"</f>
        <v>陈莹</v>
      </c>
      <c r="E117" s="6" t="str">
        <f t="shared" ref="E117:E125" si="15">"女"</f>
        <v>女</v>
      </c>
      <c r="F117" s="7" t="s">
        <v>36</v>
      </c>
    </row>
    <row r="118" spans="1:6" ht="20.100000000000001" customHeight="1" x14ac:dyDescent="0.15">
      <c r="A118" s="5">
        <v>115</v>
      </c>
      <c r="B118" s="6" t="str">
        <f>"304820210606183136104441"</f>
        <v>304820210606183136104441</v>
      </c>
      <c r="C118" s="6" t="s">
        <v>378</v>
      </c>
      <c r="D118" s="6" t="str">
        <f>"詹凌梅"</f>
        <v>詹凌梅</v>
      </c>
      <c r="E118" s="6" t="str">
        <f t="shared" si="15"/>
        <v>女</v>
      </c>
      <c r="F118" s="7" t="s">
        <v>460</v>
      </c>
    </row>
    <row r="119" spans="1:6" ht="20.100000000000001" customHeight="1" x14ac:dyDescent="0.15">
      <c r="A119" s="5">
        <v>116</v>
      </c>
      <c r="B119" s="6" t="str">
        <f>"304820210606202139104624"</f>
        <v>304820210606202139104624</v>
      </c>
      <c r="C119" s="6" t="s">
        <v>378</v>
      </c>
      <c r="D119" s="6" t="str">
        <f>"李娟娟"</f>
        <v>李娟娟</v>
      </c>
      <c r="E119" s="6" t="str">
        <f t="shared" si="15"/>
        <v>女</v>
      </c>
      <c r="F119" s="7" t="s">
        <v>461</v>
      </c>
    </row>
    <row r="120" spans="1:6" ht="20.100000000000001" customHeight="1" x14ac:dyDescent="0.15">
      <c r="A120" s="5">
        <v>117</v>
      </c>
      <c r="B120" s="6" t="str">
        <f>"304820210606225214105059"</f>
        <v>304820210606225214105059</v>
      </c>
      <c r="C120" s="6" t="s">
        <v>378</v>
      </c>
      <c r="D120" s="6" t="str">
        <f>"苏伟静"</f>
        <v>苏伟静</v>
      </c>
      <c r="E120" s="6" t="str">
        <f t="shared" si="15"/>
        <v>女</v>
      </c>
      <c r="F120" s="7" t="s">
        <v>462</v>
      </c>
    </row>
    <row r="121" spans="1:6" ht="20.100000000000001" customHeight="1" x14ac:dyDescent="0.15">
      <c r="A121" s="5">
        <v>118</v>
      </c>
      <c r="B121" s="6" t="str">
        <f>"304820210606231515105126"</f>
        <v>304820210606231515105126</v>
      </c>
      <c r="C121" s="6" t="s">
        <v>378</v>
      </c>
      <c r="D121" s="6" t="str">
        <f>"邓依"</f>
        <v>邓依</v>
      </c>
      <c r="E121" s="6" t="str">
        <f t="shared" si="15"/>
        <v>女</v>
      </c>
      <c r="F121" s="7" t="s">
        <v>463</v>
      </c>
    </row>
    <row r="122" spans="1:6" ht="20.100000000000001" customHeight="1" x14ac:dyDescent="0.15">
      <c r="A122" s="5">
        <v>119</v>
      </c>
      <c r="B122" s="6" t="str">
        <f>"304820210606232504105153"</f>
        <v>304820210606232504105153</v>
      </c>
      <c r="C122" s="6" t="s">
        <v>378</v>
      </c>
      <c r="D122" s="6" t="str">
        <f>"陆梦雅"</f>
        <v>陆梦雅</v>
      </c>
      <c r="E122" s="6" t="str">
        <f t="shared" si="15"/>
        <v>女</v>
      </c>
      <c r="F122" s="7" t="s">
        <v>464</v>
      </c>
    </row>
    <row r="123" spans="1:6" ht="20.100000000000001" customHeight="1" x14ac:dyDescent="0.15">
      <c r="A123" s="5">
        <v>120</v>
      </c>
      <c r="B123" s="6" t="str">
        <f>"304820210606232620105160"</f>
        <v>304820210606232620105160</v>
      </c>
      <c r="C123" s="6" t="s">
        <v>378</v>
      </c>
      <c r="D123" s="6" t="str">
        <f>"许玲玲"</f>
        <v>许玲玲</v>
      </c>
      <c r="E123" s="6" t="str">
        <f t="shared" si="15"/>
        <v>女</v>
      </c>
      <c r="F123" s="7" t="s">
        <v>465</v>
      </c>
    </row>
    <row r="124" spans="1:6" ht="20.100000000000001" customHeight="1" x14ac:dyDescent="0.15">
      <c r="A124" s="5">
        <v>121</v>
      </c>
      <c r="B124" s="6" t="str">
        <f>"304820210606232810105165"</f>
        <v>304820210606232810105165</v>
      </c>
      <c r="C124" s="6" t="s">
        <v>378</v>
      </c>
      <c r="D124" s="6" t="str">
        <f>"陈嘉琳"</f>
        <v>陈嘉琳</v>
      </c>
      <c r="E124" s="6" t="str">
        <f t="shared" si="15"/>
        <v>女</v>
      </c>
      <c r="F124" s="7" t="s">
        <v>31</v>
      </c>
    </row>
    <row r="125" spans="1:6" ht="20.100000000000001" customHeight="1" x14ac:dyDescent="0.15">
      <c r="A125" s="5">
        <v>122</v>
      </c>
      <c r="B125" s="6" t="str">
        <f>"304820210606235345105212"</f>
        <v>304820210606235345105212</v>
      </c>
      <c r="C125" s="6" t="s">
        <v>378</v>
      </c>
      <c r="D125" s="6" t="str">
        <f>"王丽君"</f>
        <v>王丽君</v>
      </c>
      <c r="E125" s="6" t="str">
        <f t="shared" si="15"/>
        <v>女</v>
      </c>
      <c r="F125" s="7" t="s">
        <v>466</v>
      </c>
    </row>
    <row r="126" spans="1:6" ht="20.100000000000001" customHeight="1" x14ac:dyDescent="0.15">
      <c r="A126" s="5">
        <v>123</v>
      </c>
      <c r="B126" s="6" t="str">
        <f>"304820210607002634105261"</f>
        <v>304820210607002634105261</v>
      </c>
      <c r="C126" s="6" t="s">
        <v>378</v>
      </c>
      <c r="D126" s="6" t="str">
        <f>"卓日初"</f>
        <v>卓日初</v>
      </c>
      <c r="E126" s="6" t="str">
        <f>"男"</f>
        <v>男</v>
      </c>
      <c r="F126" s="7" t="s">
        <v>467</v>
      </c>
    </row>
    <row r="127" spans="1:6" ht="20.100000000000001" customHeight="1" x14ac:dyDescent="0.15">
      <c r="A127" s="5">
        <v>124</v>
      </c>
      <c r="B127" s="6" t="str">
        <f>"304820210607012243105316"</f>
        <v>304820210607012243105316</v>
      </c>
      <c r="C127" s="6" t="s">
        <v>378</v>
      </c>
      <c r="D127" s="6" t="str">
        <f>"齐见贤"</f>
        <v>齐见贤</v>
      </c>
      <c r="E127" s="6" t="str">
        <f>"男"</f>
        <v>男</v>
      </c>
      <c r="F127" s="7" t="s">
        <v>468</v>
      </c>
    </row>
    <row r="128" spans="1:6" ht="20.100000000000001" customHeight="1" x14ac:dyDescent="0.15">
      <c r="A128" s="5">
        <v>125</v>
      </c>
      <c r="B128" s="6" t="str">
        <f>"304820210607085717105481"</f>
        <v>304820210607085717105481</v>
      </c>
      <c r="C128" s="6" t="s">
        <v>378</v>
      </c>
      <c r="D128" s="6" t="str">
        <f>"黄玲妹"</f>
        <v>黄玲妹</v>
      </c>
      <c r="E128" s="6" t="str">
        <f t="shared" ref="E128:E132" si="16">"女"</f>
        <v>女</v>
      </c>
      <c r="F128" s="7" t="s">
        <v>81</v>
      </c>
    </row>
    <row r="129" spans="1:6" ht="20.100000000000001" customHeight="1" x14ac:dyDescent="0.15">
      <c r="A129" s="5">
        <v>126</v>
      </c>
      <c r="B129" s="6" t="str">
        <f>"304820210607100529105923"</f>
        <v>304820210607100529105923</v>
      </c>
      <c r="C129" s="6" t="s">
        <v>378</v>
      </c>
      <c r="D129" s="6" t="str">
        <f>"蒲贝丽"</f>
        <v>蒲贝丽</v>
      </c>
      <c r="E129" s="6" t="str">
        <f t="shared" si="16"/>
        <v>女</v>
      </c>
      <c r="F129" s="7" t="s">
        <v>469</v>
      </c>
    </row>
    <row r="130" spans="1:6" ht="20.100000000000001" customHeight="1" x14ac:dyDescent="0.15">
      <c r="A130" s="5">
        <v>127</v>
      </c>
      <c r="B130" s="6" t="str">
        <f>"304820210607100945105950"</f>
        <v>304820210607100945105950</v>
      </c>
      <c r="C130" s="6" t="s">
        <v>378</v>
      </c>
      <c r="D130" s="6" t="str">
        <f>"林艳"</f>
        <v>林艳</v>
      </c>
      <c r="E130" s="6" t="str">
        <f t="shared" si="16"/>
        <v>女</v>
      </c>
      <c r="F130" s="7" t="s">
        <v>470</v>
      </c>
    </row>
    <row r="131" spans="1:6" ht="20.100000000000001" customHeight="1" x14ac:dyDescent="0.15">
      <c r="A131" s="5">
        <v>128</v>
      </c>
      <c r="B131" s="6" t="str">
        <f>"304820210607103713106121"</f>
        <v>304820210607103713106121</v>
      </c>
      <c r="C131" s="6" t="s">
        <v>378</v>
      </c>
      <c r="D131" s="6" t="str">
        <f>"羊代香"</f>
        <v>羊代香</v>
      </c>
      <c r="E131" s="6" t="str">
        <f t="shared" si="16"/>
        <v>女</v>
      </c>
      <c r="F131" s="7" t="s">
        <v>471</v>
      </c>
    </row>
    <row r="132" spans="1:6" ht="20.100000000000001" customHeight="1" x14ac:dyDescent="0.15">
      <c r="A132" s="5">
        <v>129</v>
      </c>
      <c r="B132" s="6" t="str">
        <f>"304820210607112033106349"</f>
        <v>304820210607112033106349</v>
      </c>
      <c r="C132" s="6" t="s">
        <v>378</v>
      </c>
      <c r="D132" s="6" t="str">
        <f>"卓艳丽"</f>
        <v>卓艳丽</v>
      </c>
      <c r="E132" s="6" t="str">
        <f t="shared" si="16"/>
        <v>女</v>
      </c>
      <c r="F132" s="7" t="s">
        <v>302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625" style="1" customWidth="1"/>
    <col min="2" max="2" width="24.625" style="1" customWidth="1"/>
    <col min="3" max="3" width="14.125" style="1" customWidth="1"/>
    <col min="4" max="4" width="10.25" style="1" customWidth="1"/>
    <col min="5" max="5" width="7.75" style="1" customWidth="1"/>
    <col min="6" max="6" width="15.6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"30482021060114003763437"</f>
        <v>30482021060114003763437</v>
      </c>
      <c r="C4" s="6" t="s">
        <v>472</v>
      </c>
      <c r="D4" s="6" t="str">
        <f>"郑康敏"</f>
        <v>郑康敏</v>
      </c>
      <c r="E4" s="6" t="str">
        <f t="shared" ref="E4:E15" si="0">"女"</f>
        <v>女</v>
      </c>
      <c r="F4" s="7" t="s">
        <v>473</v>
      </c>
    </row>
    <row r="5" spans="1:6" ht="20.100000000000001" customHeight="1" x14ac:dyDescent="0.15">
      <c r="A5" s="5">
        <v>2</v>
      </c>
      <c r="B5" s="6" t="str">
        <f>"30482021060114035863479"</f>
        <v>30482021060114035863479</v>
      </c>
      <c r="C5" s="6" t="s">
        <v>472</v>
      </c>
      <c r="D5" s="6" t="str">
        <f>"刘海秋"</f>
        <v>刘海秋</v>
      </c>
      <c r="E5" s="6" t="str">
        <f t="shared" si="0"/>
        <v>女</v>
      </c>
      <c r="F5" s="7" t="s">
        <v>474</v>
      </c>
    </row>
    <row r="6" spans="1:6" ht="20.100000000000001" customHeight="1" x14ac:dyDescent="0.15">
      <c r="A6" s="5">
        <v>3</v>
      </c>
      <c r="B6" s="6" t="str">
        <f>"30482021060114041263482"</f>
        <v>30482021060114041263482</v>
      </c>
      <c r="C6" s="6" t="s">
        <v>472</v>
      </c>
      <c r="D6" s="6" t="str">
        <f>"杨童"</f>
        <v>杨童</v>
      </c>
      <c r="E6" s="6" t="str">
        <f>"男"</f>
        <v>男</v>
      </c>
      <c r="F6" s="7" t="s">
        <v>475</v>
      </c>
    </row>
    <row r="7" spans="1:6" ht="20.100000000000001" customHeight="1" x14ac:dyDescent="0.15">
      <c r="A7" s="5">
        <v>4</v>
      </c>
      <c r="B7" s="6" t="str">
        <f>"30482021060114155863601"</f>
        <v>30482021060114155863601</v>
      </c>
      <c r="C7" s="6" t="s">
        <v>472</v>
      </c>
      <c r="D7" s="6" t="str">
        <f>"吴薇薇"</f>
        <v>吴薇薇</v>
      </c>
      <c r="E7" s="6" t="str">
        <f t="shared" si="0"/>
        <v>女</v>
      </c>
      <c r="F7" s="7" t="s">
        <v>476</v>
      </c>
    </row>
    <row r="8" spans="1:6" ht="20.100000000000001" customHeight="1" x14ac:dyDescent="0.15">
      <c r="A8" s="5">
        <v>5</v>
      </c>
      <c r="B8" s="6" t="str">
        <f>"30482021060114161463605"</f>
        <v>30482021060114161463605</v>
      </c>
      <c r="C8" s="6" t="s">
        <v>472</v>
      </c>
      <c r="D8" s="6" t="str">
        <f>"潘可欣"</f>
        <v>潘可欣</v>
      </c>
      <c r="E8" s="6" t="str">
        <f t="shared" si="0"/>
        <v>女</v>
      </c>
      <c r="F8" s="7" t="s">
        <v>46</v>
      </c>
    </row>
    <row r="9" spans="1:6" ht="20.100000000000001" customHeight="1" x14ac:dyDescent="0.15">
      <c r="A9" s="5">
        <v>6</v>
      </c>
      <c r="B9" s="6" t="str">
        <f>"30482021060114370863825"</f>
        <v>30482021060114370863825</v>
      </c>
      <c r="C9" s="6" t="s">
        <v>472</v>
      </c>
      <c r="D9" s="6" t="str">
        <f>"王莉漫"</f>
        <v>王莉漫</v>
      </c>
      <c r="E9" s="6" t="str">
        <f t="shared" si="0"/>
        <v>女</v>
      </c>
      <c r="F9" s="7" t="s">
        <v>393</v>
      </c>
    </row>
    <row r="10" spans="1:6" ht="20.100000000000001" customHeight="1" x14ac:dyDescent="0.15">
      <c r="A10" s="5">
        <v>7</v>
      </c>
      <c r="B10" s="6" t="str">
        <f>"30482021060114495463987"</f>
        <v>30482021060114495463987</v>
      </c>
      <c r="C10" s="6" t="s">
        <v>472</v>
      </c>
      <c r="D10" s="6" t="str">
        <f>"李婷"</f>
        <v>李婷</v>
      </c>
      <c r="E10" s="6" t="str">
        <f t="shared" si="0"/>
        <v>女</v>
      </c>
      <c r="F10" s="7" t="s">
        <v>477</v>
      </c>
    </row>
    <row r="11" spans="1:6" ht="20.100000000000001" customHeight="1" x14ac:dyDescent="0.15">
      <c r="A11" s="5">
        <v>8</v>
      </c>
      <c r="B11" s="6" t="str">
        <f>"30482021060114521364015"</f>
        <v>30482021060114521364015</v>
      </c>
      <c r="C11" s="6" t="s">
        <v>472</v>
      </c>
      <c r="D11" s="6" t="str">
        <f>"方宝瑜"</f>
        <v>方宝瑜</v>
      </c>
      <c r="E11" s="6" t="str">
        <f t="shared" si="0"/>
        <v>女</v>
      </c>
      <c r="F11" s="7" t="s">
        <v>161</v>
      </c>
    </row>
    <row r="12" spans="1:6" ht="20.100000000000001" customHeight="1" x14ac:dyDescent="0.15">
      <c r="A12" s="5">
        <v>9</v>
      </c>
      <c r="B12" s="6" t="str">
        <f>"30482021060115021664156"</f>
        <v>30482021060115021664156</v>
      </c>
      <c r="C12" s="6" t="s">
        <v>472</v>
      </c>
      <c r="D12" s="6" t="str">
        <f>"陆倩莹"</f>
        <v>陆倩莹</v>
      </c>
      <c r="E12" s="6" t="str">
        <f t="shared" si="0"/>
        <v>女</v>
      </c>
      <c r="F12" s="7" t="s">
        <v>478</v>
      </c>
    </row>
    <row r="13" spans="1:6" ht="20.100000000000001" customHeight="1" x14ac:dyDescent="0.15">
      <c r="A13" s="5">
        <v>10</v>
      </c>
      <c r="B13" s="6" t="str">
        <f>"30482021060115374164608"</f>
        <v>30482021060115374164608</v>
      </c>
      <c r="C13" s="6" t="s">
        <v>472</v>
      </c>
      <c r="D13" s="6" t="str">
        <f>"文妃容"</f>
        <v>文妃容</v>
      </c>
      <c r="E13" s="6" t="str">
        <f t="shared" si="0"/>
        <v>女</v>
      </c>
      <c r="F13" s="7" t="s">
        <v>479</v>
      </c>
    </row>
    <row r="14" spans="1:6" ht="20.100000000000001" customHeight="1" x14ac:dyDescent="0.15">
      <c r="A14" s="5">
        <v>11</v>
      </c>
      <c r="B14" s="6" t="str">
        <f>"30482021060115504764789"</f>
        <v>30482021060115504764789</v>
      </c>
      <c r="C14" s="6" t="s">
        <v>472</v>
      </c>
      <c r="D14" s="6" t="str">
        <f>"何先茹"</f>
        <v>何先茹</v>
      </c>
      <c r="E14" s="6" t="str">
        <f t="shared" si="0"/>
        <v>女</v>
      </c>
      <c r="F14" s="7" t="s">
        <v>480</v>
      </c>
    </row>
    <row r="15" spans="1:6" ht="20.100000000000001" customHeight="1" x14ac:dyDescent="0.15">
      <c r="A15" s="5">
        <v>12</v>
      </c>
      <c r="B15" s="6" t="str">
        <f>"30482021060115540664836"</f>
        <v>30482021060115540664836</v>
      </c>
      <c r="C15" s="6" t="s">
        <v>472</v>
      </c>
      <c r="D15" s="6" t="str">
        <f>"黄燕玉"</f>
        <v>黄燕玉</v>
      </c>
      <c r="E15" s="6" t="str">
        <f t="shared" si="0"/>
        <v>女</v>
      </c>
      <c r="F15" s="7" t="s">
        <v>481</v>
      </c>
    </row>
    <row r="16" spans="1:6" ht="20.100000000000001" customHeight="1" x14ac:dyDescent="0.15">
      <c r="A16" s="5">
        <v>13</v>
      </c>
      <c r="B16" s="6" t="str">
        <f>"30482021060116141165056"</f>
        <v>30482021060116141165056</v>
      </c>
      <c r="C16" s="6" t="s">
        <v>472</v>
      </c>
      <c r="D16" s="6" t="str">
        <f>"周圣亮"</f>
        <v>周圣亮</v>
      </c>
      <c r="E16" s="6" t="str">
        <f>"男"</f>
        <v>男</v>
      </c>
      <c r="F16" s="7" t="s">
        <v>482</v>
      </c>
    </row>
    <row r="17" spans="1:6" ht="20.100000000000001" customHeight="1" x14ac:dyDescent="0.15">
      <c r="A17" s="5">
        <v>14</v>
      </c>
      <c r="B17" s="6" t="str">
        <f>"30482021060116280465264"</f>
        <v>30482021060116280465264</v>
      </c>
      <c r="C17" s="6" t="s">
        <v>472</v>
      </c>
      <c r="D17" s="6" t="str">
        <f>"何锦凤"</f>
        <v>何锦凤</v>
      </c>
      <c r="E17" s="6" t="str">
        <f t="shared" ref="E17:E48" si="1">"女"</f>
        <v>女</v>
      </c>
      <c r="F17" s="7" t="s">
        <v>223</v>
      </c>
    </row>
    <row r="18" spans="1:6" ht="20.100000000000001" customHeight="1" x14ac:dyDescent="0.15">
      <c r="A18" s="5">
        <v>15</v>
      </c>
      <c r="B18" s="6" t="str">
        <f>"30482021060116321865323"</f>
        <v>30482021060116321865323</v>
      </c>
      <c r="C18" s="6" t="s">
        <v>472</v>
      </c>
      <c r="D18" s="6" t="str">
        <f>"朱菲"</f>
        <v>朱菲</v>
      </c>
      <c r="E18" s="6" t="str">
        <f t="shared" si="1"/>
        <v>女</v>
      </c>
      <c r="F18" s="7" t="s">
        <v>483</v>
      </c>
    </row>
    <row r="19" spans="1:6" ht="20.100000000000001" customHeight="1" x14ac:dyDescent="0.15">
      <c r="A19" s="5">
        <v>16</v>
      </c>
      <c r="B19" s="6" t="str">
        <f>"30482021060117023265711"</f>
        <v>30482021060117023265711</v>
      </c>
      <c r="C19" s="6" t="s">
        <v>472</v>
      </c>
      <c r="D19" s="6" t="str">
        <f>"冯爱金"</f>
        <v>冯爱金</v>
      </c>
      <c r="E19" s="6" t="str">
        <f t="shared" si="1"/>
        <v>女</v>
      </c>
      <c r="F19" s="7" t="s">
        <v>484</v>
      </c>
    </row>
    <row r="20" spans="1:6" ht="20.100000000000001" customHeight="1" x14ac:dyDescent="0.15">
      <c r="A20" s="5">
        <v>17</v>
      </c>
      <c r="B20" s="6" t="str">
        <f>"30482021060117062265766"</f>
        <v>30482021060117062265766</v>
      </c>
      <c r="C20" s="6" t="s">
        <v>472</v>
      </c>
      <c r="D20" s="6" t="str">
        <f>"何蕾蕾"</f>
        <v>何蕾蕾</v>
      </c>
      <c r="E20" s="6" t="str">
        <f t="shared" si="1"/>
        <v>女</v>
      </c>
      <c r="F20" s="7" t="s">
        <v>485</v>
      </c>
    </row>
    <row r="21" spans="1:6" ht="20.100000000000001" customHeight="1" x14ac:dyDescent="0.15">
      <c r="A21" s="5">
        <v>18</v>
      </c>
      <c r="B21" s="6" t="str">
        <f>"30482021060117181465906"</f>
        <v>30482021060117181465906</v>
      </c>
      <c r="C21" s="6" t="s">
        <v>472</v>
      </c>
      <c r="D21" s="6" t="str">
        <f>"黎亚霞"</f>
        <v>黎亚霞</v>
      </c>
      <c r="E21" s="6" t="str">
        <f t="shared" si="1"/>
        <v>女</v>
      </c>
      <c r="F21" s="7" t="s">
        <v>486</v>
      </c>
    </row>
    <row r="22" spans="1:6" ht="20.100000000000001" customHeight="1" x14ac:dyDescent="0.15">
      <c r="A22" s="5">
        <v>19</v>
      </c>
      <c r="B22" s="6" t="str">
        <f>"30482021060117251265981"</f>
        <v>30482021060117251265981</v>
      </c>
      <c r="C22" s="6" t="s">
        <v>472</v>
      </c>
      <c r="D22" s="6" t="str">
        <f>"何娇"</f>
        <v>何娇</v>
      </c>
      <c r="E22" s="6" t="str">
        <f t="shared" si="1"/>
        <v>女</v>
      </c>
      <c r="F22" s="7" t="s">
        <v>453</v>
      </c>
    </row>
    <row r="23" spans="1:6" ht="20.100000000000001" customHeight="1" x14ac:dyDescent="0.15">
      <c r="A23" s="5">
        <v>20</v>
      </c>
      <c r="B23" s="6" t="str">
        <f>"30482021060117321366053"</f>
        <v>30482021060117321366053</v>
      </c>
      <c r="C23" s="6" t="s">
        <v>472</v>
      </c>
      <c r="D23" s="6" t="str">
        <f>"王莹"</f>
        <v>王莹</v>
      </c>
      <c r="E23" s="6" t="str">
        <f t="shared" si="1"/>
        <v>女</v>
      </c>
      <c r="F23" s="7" t="s">
        <v>487</v>
      </c>
    </row>
    <row r="24" spans="1:6" ht="20.100000000000001" customHeight="1" x14ac:dyDescent="0.15">
      <c r="A24" s="5">
        <v>21</v>
      </c>
      <c r="B24" s="6" t="str">
        <f>"30482021060117504166238"</f>
        <v>30482021060117504166238</v>
      </c>
      <c r="C24" s="6" t="s">
        <v>472</v>
      </c>
      <c r="D24" s="6" t="str">
        <f>"宋春玮"</f>
        <v>宋春玮</v>
      </c>
      <c r="E24" s="6" t="str">
        <f t="shared" si="1"/>
        <v>女</v>
      </c>
      <c r="F24" s="7" t="s">
        <v>87</v>
      </c>
    </row>
    <row r="25" spans="1:6" ht="20.100000000000001" customHeight="1" x14ac:dyDescent="0.15">
      <c r="A25" s="5">
        <v>22</v>
      </c>
      <c r="B25" s="6" t="str">
        <f>"30482021060118042166357"</f>
        <v>30482021060118042166357</v>
      </c>
      <c r="C25" s="6" t="s">
        <v>472</v>
      </c>
      <c r="D25" s="6" t="str">
        <f>"李慧"</f>
        <v>李慧</v>
      </c>
      <c r="E25" s="6" t="str">
        <f t="shared" si="1"/>
        <v>女</v>
      </c>
      <c r="F25" s="7" t="s">
        <v>488</v>
      </c>
    </row>
    <row r="26" spans="1:6" ht="20.100000000000001" customHeight="1" x14ac:dyDescent="0.15">
      <c r="A26" s="5">
        <v>23</v>
      </c>
      <c r="B26" s="6" t="str">
        <f>"30482021060118501166725"</f>
        <v>30482021060118501166725</v>
      </c>
      <c r="C26" s="6" t="s">
        <v>472</v>
      </c>
      <c r="D26" s="6" t="str">
        <f>"占英兰"</f>
        <v>占英兰</v>
      </c>
      <c r="E26" s="6" t="str">
        <f t="shared" si="1"/>
        <v>女</v>
      </c>
      <c r="F26" s="7" t="s">
        <v>489</v>
      </c>
    </row>
    <row r="27" spans="1:6" ht="20.100000000000001" customHeight="1" x14ac:dyDescent="0.15">
      <c r="A27" s="5">
        <v>24</v>
      </c>
      <c r="B27" s="6" t="str">
        <f>"30482021060118564166781"</f>
        <v>30482021060118564166781</v>
      </c>
      <c r="C27" s="6" t="s">
        <v>472</v>
      </c>
      <c r="D27" s="6" t="str">
        <f>"林苗苗"</f>
        <v>林苗苗</v>
      </c>
      <c r="E27" s="6" t="str">
        <f t="shared" si="1"/>
        <v>女</v>
      </c>
      <c r="F27" s="7" t="s">
        <v>490</v>
      </c>
    </row>
    <row r="28" spans="1:6" ht="20.100000000000001" customHeight="1" x14ac:dyDescent="0.15">
      <c r="A28" s="5">
        <v>25</v>
      </c>
      <c r="B28" s="6" t="str">
        <f>"30482021060121055868465"</f>
        <v>30482021060121055868465</v>
      </c>
      <c r="C28" s="6" t="s">
        <v>472</v>
      </c>
      <c r="D28" s="6" t="str">
        <f>"黄妮旅"</f>
        <v>黄妮旅</v>
      </c>
      <c r="E28" s="6" t="str">
        <f t="shared" si="1"/>
        <v>女</v>
      </c>
      <c r="F28" s="7" t="s">
        <v>491</v>
      </c>
    </row>
    <row r="29" spans="1:6" ht="20.100000000000001" customHeight="1" x14ac:dyDescent="0.15">
      <c r="A29" s="5">
        <v>26</v>
      </c>
      <c r="B29" s="6" t="str">
        <f>"30482021060121090268494"</f>
        <v>30482021060121090268494</v>
      </c>
      <c r="C29" s="6" t="s">
        <v>472</v>
      </c>
      <c r="D29" s="6" t="str">
        <f>"薛恒"</f>
        <v>薛恒</v>
      </c>
      <c r="E29" s="6" t="str">
        <f t="shared" si="1"/>
        <v>女</v>
      </c>
      <c r="F29" s="7" t="s">
        <v>492</v>
      </c>
    </row>
    <row r="30" spans="1:6" ht="20.100000000000001" customHeight="1" x14ac:dyDescent="0.15">
      <c r="A30" s="5">
        <v>27</v>
      </c>
      <c r="B30" s="6" t="str">
        <f>"30482021060121314268840"</f>
        <v>30482021060121314268840</v>
      </c>
      <c r="C30" s="6" t="s">
        <v>472</v>
      </c>
      <c r="D30" s="6" t="str">
        <f>"黎秋霞"</f>
        <v>黎秋霞</v>
      </c>
      <c r="E30" s="6" t="str">
        <f t="shared" si="1"/>
        <v>女</v>
      </c>
      <c r="F30" s="7" t="s">
        <v>493</v>
      </c>
    </row>
    <row r="31" spans="1:6" ht="20.100000000000001" customHeight="1" x14ac:dyDescent="0.15">
      <c r="A31" s="5">
        <v>28</v>
      </c>
      <c r="B31" s="6" t="str">
        <f>"30482021060121543769568"</f>
        <v>30482021060121543769568</v>
      </c>
      <c r="C31" s="6" t="s">
        <v>472</v>
      </c>
      <c r="D31" s="6" t="str">
        <f>"杨铭雪"</f>
        <v>杨铭雪</v>
      </c>
      <c r="E31" s="6" t="str">
        <f t="shared" si="1"/>
        <v>女</v>
      </c>
      <c r="F31" s="7" t="s">
        <v>494</v>
      </c>
    </row>
    <row r="32" spans="1:6" ht="20.100000000000001" customHeight="1" x14ac:dyDescent="0.15">
      <c r="A32" s="5">
        <v>29</v>
      </c>
      <c r="B32" s="6" t="str">
        <f>"30482021060122134669733"</f>
        <v>30482021060122134669733</v>
      </c>
      <c r="C32" s="6" t="s">
        <v>472</v>
      </c>
      <c r="D32" s="6" t="str">
        <f>"李静"</f>
        <v>李静</v>
      </c>
      <c r="E32" s="6" t="str">
        <f t="shared" si="1"/>
        <v>女</v>
      </c>
      <c r="F32" s="7" t="s">
        <v>495</v>
      </c>
    </row>
    <row r="33" spans="1:6" ht="20.100000000000001" customHeight="1" x14ac:dyDescent="0.15">
      <c r="A33" s="5">
        <v>30</v>
      </c>
      <c r="B33" s="6" t="str">
        <f>"30482021060200024470379"</f>
        <v>30482021060200024470379</v>
      </c>
      <c r="C33" s="6" t="s">
        <v>472</v>
      </c>
      <c r="D33" s="6" t="str">
        <f>"黄群"</f>
        <v>黄群</v>
      </c>
      <c r="E33" s="6" t="str">
        <f t="shared" si="1"/>
        <v>女</v>
      </c>
      <c r="F33" s="7" t="s">
        <v>496</v>
      </c>
    </row>
    <row r="34" spans="1:6" ht="20.100000000000001" customHeight="1" x14ac:dyDescent="0.15">
      <c r="A34" s="5">
        <v>31</v>
      </c>
      <c r="B34" s="6" t="str">
        <f>"30482021060202422070535"</f>
        <v>30482021060202422070535</v>
      </c>
      <c r="C34" s="6" t="s">
        <v>472</v>
      </c>
      <c r="D34" s="6" t="str">
        <f>"谢慧芬"</f>
        <v>谢慧芬</v>
      </c>
      <c r="E34" s="6" t="str">
        <f t="shared" si="1"/>
        <v>女</v>
      </c>
      <c r="F34" s="7" t="s">
        <v>131</v>
      </c>
    </row>
    <row r="35" spans="1:6" ht="20.100000000000001" customHeight="1" x14ac:dyDescent="0.15">
      <c r="A35" s="5">
        <v>32</v>
      </c>
      <c r="B35" s="6" t="str">
        <f>"30482021060208113970725"</f>
        <v>30482021060208113970725</v>
      </c>
      <c r="C35" s="6" t="s">
        <v>472</v>
      </c>
      <c r="D35" s="6" t="str">
        <f>"苏丽芳"</f>
        <v>苏丽芳</v>
      </c>
      <c r="E35" s="6" t="str">
        <f t="shared" si="1"/>
        <v>女</v>
      </c>
      <c r="F35" s="7" t="s">
        <v>270</v>
      </c>
    </row>
    <row r="36" spans="1:6" ht="20.100000000000001" customHeight="1" x14ac:dyDescent="0.15">
      <c r="A36" s="5">
        <v>33</v>
      </c>
      <c r="B36" s="6" t="str">
        <f>"30482021060209014571134"</f>
        <v>30482021060209014571134</v>
      </c>
      <c r="C36" s="6" t="s">
        <v>472</v>
      </c>
      <c r="D36" s="6" t="str">
        <f>"陈海菲"</f>
        <v>陈海菲</v>
      </c>
      <c r="E36" s="6" t="str">
        <f t="shared" si="1"/>
        <v>女</v>
      </c>
      <c r="F36" s="7" t="s">
        <v>44</v>
      </c>
    </row>
    <row r="37" spans="1:6" ht="20.100000000000001" customHeight="1" x14ac:dyDescent="0.15">
      <c r="A37" s="5">
        <v>34</v>
      </c>
      <c r="B37" s="6" t="str">
        <f>"30482021060210033671901"</f>
        <v>30482021060210033671901</v>
      </c>
      <c r="C37" s="6" t="s">
        <v>472</v>
      </c>
      <c r="D37" s="6" t="str">
        <f>"曾飞劲"</f>
        <v>曾飞劲</v>
      </c>
      <c r="E37" s="6" t="str">
        <f t="shared" si="1"/>
        <v>女</v>
      </c>
      <c r="F37" s="7" t="s">
        <v>497</v>
      </c>
    </row>
    <row r="38" spans="1:6" ht="20.100000000000001" customHeight="1" x14ac:dyDescent="0.15">
      <c r="A38" s="5">
        <v>35</v>
      </c>
      <c r="B38" s="6" t="str">
        <f>"30482021060210234072175"</f>
        <v>30482021060210234072175</v>
      </c>
      <c r="C38" s="6" t="s">
        <v>472</v>
      </c>
      <c r="D38" s="6" t="str">
        <f>"沈娇娜"</f>
        <v>沈娇娜</v>
      </c>
      <c r="E38" s="6" t="str">
        <f t="shared" si="1"/>
        <v>女</v>
      </c>
      <c r="F38" s="7" t="s">
        <v>498</v>
      </c>
    </row>
    <row r="39" spans="1:6" ht="20.100000000000001" customHeight="1" x14ac:dyDescent="0.15">
      <c r="A39" s="5">
        <v>36</v>
      </c>
      <c r="B39" s="6" t="str">
        <f>"30482021060211345073052"</f>
        <v>30482021060211345073052</v>
      </c>
      <c r="C39" s="6" t="s">
        <v>472</v>
      </c>
      <c r="D39" s="6" t="str">
        <f>"梁来选"</f>
        <v>梁来选</v>
      </c>
      <c r="E39" s="6" t="str">
        <f t="shared" si="1"/>
        <v>女</v>
      </c>
      <c r="F39" s="7" t="s">
        <v>100</v>
      </c>
    </row>
    <row r="40" spans="1:6" ht="20.100000000000001" customHeight="1" x14ac:dyDescent="0.15">
      <c r="A40" s="5">
        <v>37</v>
      </c>
      <c r="B40" s="6" t="str">
        <f>"30482021060211391873099"</f>
        <v>30482021060211391873099</v>
      </c>
      <c r="C40" s="6" t="s">
        <v>472</v>
      </c>
      <c r="D40" s="6" t="str">
        <f>"郑佳妮"</f>
        <v>郑佳妮</v>
      </c>
      <c r="E40" s="6" t="str">
        <f t="shared" si="1"/>
        <v>女</v>
      </c>
      <c r="F40" s="7" t="s">
        <v>250</v>
      </c>
    </row>
    <row r="41" spans="1:6" ht="20.100000000000001" customHeight="1" x14ac:dyDescent="0.15">
      <c r="A41" s="5">
        <v>38</v>
      </c>
      <c r="B41" s="6" t="str">
        <f>"30482021060212480373687"</f>
        <v>30482021060212480373687</v>
      </c>
      <c r="C41" s="6" t="s">
        <v>472</v>
      </c>
      <c r="D41" s="6" t="str">
        <f>"王雪花"</f>
        <v>王雪花</v>
      </c>
      <c r="E41" s="6" t="str">
        <f t="shared" si="1"/>
        <v>女</v>
      </c>
      <c r="F41" s="7" t="s">
        <v>499</v>
      </c>
    </row>
    <row r="42" spans="1:6" ht="20.100000000000001" customHeight="1" x14ac:dyDescent="0.15">
      <c r="A42" s="5">
        <v>39</v>
      </c>
      <c r="B42" s="6" t="str">
        <f>"30482021060212543673733"</f>
        <v>30482021060212543673733</v>
      </c>
      <c r="C42" s="6" t="s">
        <v>472</v>
      </c>
      <c r="D42" s="6" t="str">
        <f>"占薇薇"</f>
        <v>占薇薇</v>
      </c>
      <c r="E42" s="6" t="str">
        <f t="shared" si="1"/>
        <v>女</v>
      </c>
      <c r="F42" s="7" t="s">
        <v>500</v>
      </c>
    </row>
    <row r="43" spans="1:6" ht="20.100000000000001" customHeight="1" x14ac:dyDescent="0.15">
      <c r="A43" s="5">
        <v>40</v>
      </c>
      <c r="B43" s="6" t="str">
        <f>"30482021060212573373757"</f>
        <v>30482021060212573373757</v>
      </c>
      <c r="C43" s="6" t="s">
        <v>472</v>
      </c>
      <c r="D43" s="6" t="str">
        <f>"邓云"</f>
        <v>邓云</v>
      </c>
      <c r="E43" s="6" t="str">
        <f t="shared" si="1"/>
        <v>女</v>
      </c>
      <c r="F43" s="7" t="s">
        <v>73</v>
      </c>
    </row>
    <row r="44" spans="1:6" ht="20.100000000000001" customHeight="1" x14ac:dyDescent="0.15">
      <c r="A44" s="5">
        <v>41</v>
      </c>
      <c r="B44" s="6" t="str">
        <f>"30482021060215320974928"</f>
        <v>30482021060215320974928</v>
      </c>
      <c r="C44" s="6" t="s">
        <v>472</v>
      </c>
      <c r="D44" s="6" t="str">
        <f>"宋盈慧"</f>
        <v>宋盈慧</v>
      </c>
      <c r="E44" s="6" t="str">
        <f t="shared" si="1"/>
        <v>女</v>
      </c>
      <c r="F44" s="7" t="s">
        <v>313</v>
      </c>
    </row>
    <row r="45" spans="1:6" ht="20.100000000000001" customHeight="1" x14ac:dyDescent="0.15">
      <c r="A45" s="5">
        <v>42</v>
      </c>
      <c r="B45" s="6" t="str">
        <f>"30482021060215411075030"</f>
        <v>30482021060215411075030</v>
      </c>
      <c r="C45" s="6" t="s">
        <v>472</v>
      </c>
      <c r="D45" s="6" t="str">
        <f>"吉才丽"</f>
        <v>吉才丽</v>
      </c>
      <c r="E45" s="6" t="str">
        <f t="shared" si="1"/>
        <v>女</v>
      </c>
      <c r="F45" s="7" t="s">
        <v>501</v>
      </c>
    </row>
    <row r="46" spans="1:6" ht="20.100000000000001" customHeight="1" x14ac:dyDescent="0.15">
      <c r="A46" s="5">
        <v>43</v>
      </c>
      <c r="B46" s="6" t="str">
        <f>"30482021060216202975451"</f>
        <v>30482021060216202975451</v>
      </c>
      <c r="C46" s="6" t="s">
        <v>472</v>
      </c>
      <c r="D46" s="6" t="str">
        <f>"邢维娜"</f>
        <v>邢维娜</v>
      </c>
      <c r="E46" s="6" t="str">
        <f t="shared" si="1"/>
        <v>女</v>
      </c>
      <c r="F46" s="7" t="s">
        <v>502</v>
      </c>
    </row>
    <row r="47" spans="1:6" ht="20.100000000000001" customHeight="1" x14ac:dyDescent="0.15">
      <c r="A47" s="5">
        <v>44</v>
      </c>
      <c r="B47" s="6" t="str">
        <f>"30482021060217544476292"</f>
        <v>30482021060217544476292</v>
      </c>
      <c r="C47" s="6" t="s">
        <v>472</v>
      </c>
      <c r="D47" s="6" t="str">
        <f>"林超"</f>
        <v>林超</v>
      </c>
      <c r="E47" s="6" t="str">
        <f t="shared" si="1"/>
        <v>女</v>
      </c>
      <c r="F47" s="7" t="s">
        <v>503</v>
      </c>
    </row>
    <row r="48" spans="1:6" ht="20.100000000000001" customHeight="1" x14ac:dyDescent="0.15">
      <c r="A48" s="5">
        <v>45</v>
      </c>
      <c r="B48" s="6" t="str">
        <f>"30482021060220413477549"</f>
        <v>30482021060220413477549</v>
      </c>
      <c r="C48" s="6" t="s">
        <v>472</v>
      </c>
      <c r="D48" s="6" t="str">
        <f>"陈梦艺"</f>
        <v>陈梦艺</v>
      </c>
      <c r="E48" s="6" t="str">
        <f t="shared" si="1"/>
        <v>女</v>
      </c>
      <c r="F48" s="7" t="s">
        <v>434</v>
      </c>
    </row>
    <row r="49" spans="1:6" ht="20.100000000000001" customHeight="1" x14ac:dyDescent="0.15">
      <c r="A49" s="5">
        <v>46</v>
      </c>
      <c r="B49" s="6" t="str">
        <f>"30482021060221332377979"</f>
        <v>30482021060221332377979</v>
      </c>
      <c r="C49" s="6" t="s">
        <v>472</v>
      </c>
      <c r="D49" s="6" t="str">
        <f>"韩云生"</f>
        <v>韩云生</v>
      </c>
      <c r="E49" s="6" t="str">
        <f>"男"</f>
        <v>男</v>
      </c>
      <c r="F49" s="7" t="s">
        <v>504</v>
      </c>
    </row>
    <row r="50" spans="1:6" ht="20.100000000000001" customHeight="1" x14ac:dyDescent="0.15">
      <c r="A50" s="5">
        <v>47</v>
      </c>
      <c r="B50" s="6" t="str">
        <f>"30482021060222263178396"</f>
        <v>30482021060222263178396</v>
      </c>
      <c r="C50" s="6" t="s">
        <v>472</v>
      </c>
      <c r="D50" s="6" t="str">
        <f>"麦璇"</f>
        <v>麦璇</v>
      </c>
      <c r="E50" s="6" t="str">
        <f t="shared" ref="E50:E52" si="2">"女"</f>
        <v>女</v>
      </c>
      <c r="F50" s="7" t="s">
        <v>505</v>
      </c>
    </row>
    <row r="51" spans="1:6" ht="20.100000000000001" customHeight="1" x14ac:dyDescent="0.15">
      <c r="A51" s="5">
        <v>48</v>
      </c>
      <c r="B51" s="6" t="str">
        <f>"30482021060300162779006"</f>
        <v>30482021060300162779006</v>
      </c>
      <c r="C51" s="6" t="s">
        <v>472</v>
      </c>
      <c r="D51" s="6" t="str">
        <f>"麦树立"</f>
        <v>麦树立</v>
      </c>
      <c r="E51" s="6" t="str">
        <f t="shared" si="2"/>
        <v>女</v>
      </c>
      <c r="F51" s="7" t="s">
        <v>506</v>
      </c>
    </row>
    <row r="52" spans="1:6" ht="20.100000000000001" customHeight="1" x14ac:dyDescent="0.15">
      <c r="A52" s="5">
        <v>49</v>
      </c>
      <c r="B52" s="6" t="str">
        <f>"30482021060308213579390"</f>
        <v>30482021060308213579390</v>
      </c>
      <c r="C52" s="6" t="s">
        <v>472</v>
      </c>
      <c r="D52" s="6" t="str">
        <f>"陈小慧"</f>
        <v>陈小慧</v>
      </c>
      <c r="E52" s="6" t="str">
        <f t="shared" si="2"/>
        <v>女</v>
      </c>
      <c r="F52" s="7" t="s">
        <v>371</v>
      </c>
    </row>
    <row r="53" spans="1:6" ht="20.100000000000001" customHeight="1" x14ac:dyDescent="0.15">
      <c r="A53" s="5">
        <v>50</v>
      </c>
      <c r="B53" s="6" t="str">
        <f>"30482021060310220281048"</f>
        <v>30482021060310220281048</v>
      </c>
      <c r="C53" s="6" t="s">
        <v>472</v>
      </c>
      <c r="D53" s="6" t="str">
        <f>"王亮"</f>
        <v>王亮</v>
      </c>
      <c r="E53" s="6" t="str">
        <f>"男"</f>
        <v>男</v>
      </c>
      <c r="F53" s="7" t="s">
        <v>507</v>
      </c>
    </row>
    <row r="54" spans="1:6" ht="20.100000000000001" customHeight="1" x14ac:dyDescent="0.15">
      <c r="A54" s="5">
        <v>51</v>
      </c>
      <c r="B54" s="6" t="str">
        <f>"30482021060310500681500"</f>
        <v>30482021060310500681500</v>
      </c>
      <c r="C54" s="6" t="s">
        <v>472</v>
      </c>
      <c r="D54" s="6" t="str">
        <f>"曹天伦"</f>
        <v>曹天伦</v>
      </c>
      <c r="E54" s="6" t="str">
        <f t="shared" ref="E54:E76" si="3">"女"</f>
        <v>女</v>
      </c>
      <c r="F54" s="7" t="s">
        <v>508</v>
      </c>
    </row>
    <row r="55" spans="1:6" ht="20.100000000000001" customHeight="1" x14ac:dyDescent="0.15">
      <c r="A55" s="5">
        <v>52</v>
      </c>
      <c r="B55" s="6" t="str">
        <f>"30482021060310570881609"</f>
        <v>30482021060310570881609</v>
      </c>
      <c r="C55" s="6" t="s">
        <v>472</v>
      </c>
      <c r="D55" s="6" t="str">
        <f>"肖艳"</f>
        <v>肖艳</v>
      </c>
      <c r="E55" s="6" t="str">
        <f t="shared" si="3"/>
        <v>女</v>
      </c>
      <c r="F55" s="7" t="s">
        <v>509</v>
      </c>
    </row>
    <row r="56" spans="1:6" ht="20.100000000000001" customHeight="1" x14ac:dyDescent="0.15">
      <c r="A56" s="5">
        <v>53</v>
      </c>
      <c r="B56" s="6" t="str">
        <f>"30482021060311224282001"</f>
        <v>30482021060311224282001</v>
      </c>
      <c r="C56" s="6" t="s">
        <v>472</v>
      </c>
      <c r="D56" s="6" t="str">
        <f>"王姑女"</f>
        <v>王姑女</v>
      </c>
      <c r="E56" s="6" t="str">
        <f t="shared" si="3"/>
        <v>女</v>
      </c>
      <c r="F56" s="7" t="s">
        <v>510</v>
      </c>
    </row>
    <row r="57" spans="1:6" ht="20.100000000000001" customHeight="1" x14ac:dyDescent="0.15">
      <c r="A57" s="5">
        <v>54</v>
      </c>
      <c r="B57" s="6" t="str">
        <f>"30482021060311385982197"</f>
        <v>30482021060311385982197</v>
      </c>
      <c r="C57" s="6" t="s">
        <v>472</v>
      </c>
      <c r="D57" s="6" t="str">
        <f>"谢碧青"</f>
        <v>谢碧青</v>
      </c>
      <c r="E57" s="6" t="str">
        <f t="shared" si="3"/>
        <v>女</v>
      </c>
      <c r="F57" s="7" t="s">
        <v>511</v>
      </c>
    </row>
    <row r="58" spans="1:6" ht="20.100000000000001" customHeight="1" x14ac:dyDescent="0.15">
      <c r="A58" s="5">
        <v>55</v>
      </c>
      <c r="B58" s="6" t="str">
        <f>"30482021060314434483861"</f>
        <v>30482021060314434483861</v>
      </c>
      <c r="C58" s="6" t="s">
        <v>472</v>
      </c>
      <c r="D58" s="6" t="str">
        <f>"蒲佳雪"</f>
        <v>蒲佳雪</v>
      </c>
      <c r="E58" s="6" t="str">
        <f t="shared" si="3"/>
        <v>女</v>
      </c>
      <c r="F58" s="7" t="s">
        <v>512</v>
      </c>
    </row>
    <row r="59" spans="1:6" ht="20.100000000000001" customHeight="1" x14ac:dyDescent="0.15">
      <c r="A59" s="5">
        <v>56</v>
      </c>
      <c r="B59" s="6" t="str">
        <f>"30482021060315125384211"</f>
        <v>30482021060315125384211</v>
      </c>
      <c r="C59" s="6" t="s">
        <v>472</v>
      </c>
      <c r="D59" s="6" t="str">
        <f>"朱晨怡"</f>
        <v>朱晨怡</v>
      </c>
      <c r="E59" s="6" t="str">
        <f t="shared" si="3"/>
        <v>女</v>
      </c>
      <c r="F59" s="7" t="s">
        <v>513</v>
      </c>
    </row>
    <row r="60" spans="1:6" ht="20.100000000000001" customHeight="1" x14ac:dyDescent="0.15">
      <c r="A60" s="5">
        <v>57</v>
      </c>
      <c r="B60" s="6" t="str">
        <f>"30482021060316302385236"</f>
        <v>30482021060316302385236</v>
      </c>
      <c r="C60" s="6" t="s">
        <v>472</v>
      </c>
      <c r="D60" s="6" t="str">
        <f>"张惠婷"</f>
        <v>张惠婷</v>
      </c>
      <c r="E60" s="6" t="str">
        <f t="shared" si="3"/>
        <v>女</v>
      </c>
      <c r="F60" s="7" t="s">
        <v>94</v>
      </c>
    </row>
    <row r="61" spans="1:6" ht="20.100000000000001" customHeight="1" x14ac:dyDescent="0.15">
      <c r="A61" s="5">
        <v>58</v>
      </c>
      <c r="B61" s="6" t="str">
        <f>"30482021060318173186345"</f>
        <v>30482021060318173186345</v>
      </c>
      <c r="C61" s="6" t="s">
        <v>472</v>
      </c>
      <c r="D61" s="6" t="str">
        <f>"陈丽娇"</f>
        <v>陈丽娇</v>
      </c>
      <c r="E61" s="6" t="str">
        <f t="shared" si="3"/>
        <v>女</v>
      </c>
      <c r="F61" s="7" t="s">
        <v>514</v>
      </c>
    </row>
    <row r="62" spans="1:6" ht="20.100000000000001" customHeight="1" x14ac:dyDescent="0.15">
      <c r="A62" s="5">
        <v>59</v>
      </c>
      <c r="B62" s="6" t="str">
        <f>"30482021060318304386462"</f>
        <v>30482021060318304386462</v>
      </c>
      <c r="C62" s="6" t="s">
        <v>472</v>
      </c>
      <c r="D62" s="6" t="str">
        <f>"陈海芳"</f>
        <v>陈海芳</v>
      </c>
      <c r="E62" s="6" t="str">
        <f t="shared" si="3"/>
        <v>女</v>
      </c>
      <c r="F62" s="7" t="s">
        <v>515</v>
      </c>
    </row>
    <row r="63" spans="1:6" ht="20.100000000000001" customHeight="1" x14ac:dyDescent="0.15">
      <c r="A63" s="5">
        <v>60</v>
      </c>
      <c r="B63" s="6" t="str">
        <f>"30482021060318352786500"</f>
        <v>30482021060318352786500</v>
      </c>
      <c r="C63" s="6" t="s">
        <v>472</v>
      </c>
      <c r="D63" s="6" t="str">
        <f>"符平妹"</f>
        <v>符平妹</v>
      </c>
      <c r="E63" s="6" t="str">
        <f t="shared" si="3"/>
        <v>女</v>
      </c>
      <c r="F63" s="7" t="s">
        <v>516</v>
      </c>
    </row>
    <row r="64" spans="1:6" ht="20.100000000000001" customHeight="1" x14ac:dyDescent="0.15">
      <c r="A64" s="5">
        <v>61</v>
      </c>
      <c r="B64" s="6" t="str">
        <f>"30482021060320451487726"</f>
        <v>30482021060320451487726</v>
      </c>
      <c r="C64" s="6" t="s">
        <v>472</v>
      </c>
      <c r="D64" s="6" t="str">
        <f>"贺婷婷"</f>
        <v>贺婷婷</v>
      </c>
      <c r="E64" s="6" t="str">
        <f t="shared" si="3"/>
        <v>女</v>
      </c>
      <c r="F64" s="7" t="s">
        <v>517</v>
      </c>
    </row>
    <row r="65" spans="1:6" ht="20.100000000000001" customHeight="1" x14ac:dyDescent="0.15">
      <c r="A65" s="5">
        <v>62</v>
      </c>
      <c r="B65" s="6" t="str">
        <f>"30482021060322063688684"</f>
        <v>30482021060322063688684</v>
      </c>
      <c r="C65" s="6" t="s">
        <v>472</v>
      </c>
      <c r="D65" s="6" t="str">
        <f>"李吉恋"</f>
        <v>李吉恋</v>
      </c>
      <c r="E65" s="6" t="str">
        <f t="shared" si="3"/>
        <v>女</v>
      </c>
      <c r="F65" s="7" t="s">
        <v>353</v>
      </c>
    </row>
    <row r="66" spans="1:6" ht="20.100000000000001" customHeight="1" x14ac:dyDescent="0.15">
      <c r="A66" s="5">
        <v>63</v>
      </c>
      <c r="B66" s="6" t="str">
        <f>"30482021060322481889126"</f>
        <v>30482021060322481889126</v>
      </c>
      <c r="C66" s="6" t="s">
        <v>472</v>
      </c>
      <c r="D66" s="6" t="str">
        <f>"王二妃"</f>
        <v>王二妃</v>
      </c>
      <c r="E66" s="6" t="str">
        <f t="shared" si="3"/>
        <v>女</v>
      </c>
      <c r="F66" s="7" t="s">
        <v>194</v>
      </c>
    </row>
    <row r="67" spans="1:6" ht="20.100000000000001" customHeight="1" x14ac:dyDescent="0.15">
      <c r="A67" s="5">
        <v>64</v>
      </c>
      <c r="B67" s="6" t="str">
        <f>"30482021060407571690127"</f>
        <v>30482021060407571690127</v>
      </c>
      <c r="C67" s="6" t="s">
        <v>472</v>
      </c>
      <c r="D67" s="6" t="str">
        <f>"吴必莉"</f>
        <v>吴必莉</v>
      </c>
      <c r="E67" s="6" t="str">
        <f t="shared" si="3"/>
        <v>女</v>
      </c>
      <c r="F67" s="7" t="s">
        <v>518</v>
      </c>
    </row>
    <row r="68" spans="1:6" ht="20.100000000000001" customHeight="1" x14ac:dyDescent="0.15">
      <c r="A68" s="5">
        <v>65</v>
      </c>
      <c r="B68" s="6" t="str">
        <f>"30482021060408015190144"</f>
        <v>30482021060408015190144</v>
      </c>
      <c r="C68" s="6" t="s">
        <v>472</v>
      </c>
      <c r="D68" s="6" t="str">
        <f>"王海玲"</f>
        <v>王海玲</v>
      </c>
      <c r="E68" s="6" t="str">
        <f t="shared" si="3"/>
        <v>女</v>
      </c>
      <c r="F68" s="7" t="s">
        <v>519</v>
      </c>
    </row>
    <row r="69" spans="1:6" ht="20.100000000000001" customHeight="1" x14ac:dyDescent="0.15">
      <c r="A69" s="5">
        <v>66</v>
      </c>
      <c r="B69" s="6" t="str">
        <f>"30482021060409531091196"</f>
        <v>30482021060409531091196</v>
      </c>
      <c r="C69" s="6" t="s">
        <v>472</v>
      </c>
      <c r="D69" s="6" t="str">
        <f>"龙瑜"</f>
        <v>龙瑜</v>
      </c>
      <c r="E69" s="6" t="str">
        <f t="shared" si="3"/>
        <v>女</v>
      </c>
      <c r="F69" s="7" t="s">
        <v>44</v>
      </c>
    </row>
    <row r="70" spans="1:6" ht="20.100000000000001" customHeight="1" x14ac:dyDescent="0.15">
      <c r="A70" s="5">
        <v>67</v>
      </c>
      <c r="B70" s="6" t="str">
        <f>"30482021060411271293027"</f>
        <v>30482021060411271293027</v>
      </c>
      <c r="C70" s="6" t="s">
        <v>472</v>
      </c>
      <c r="D70" s="6" t="str">
        <f>"郑婷"</f>
        <v>郑婷</v>
      </c>
      <c r="E70" s="6" t="str">
        <f t="shared" si="3"/>
        <v>女</v>
      </c>
      <c r="F70" s="7" t="s">
        <v>520</v>
      </c>
    </row>
    <row r="71" spans="1:6" ht="20.100000000000001" customHeight="1" x14ac:dyDescent="0.15">
      <c r="A71" s="5">
        <v>68</v>
      </c>
      <c r="B71" s="6" t="str">
        <f>"30482021060411341993116"</f>
        <v>30482021060411341993116</v>
      </c>
      <c r="C71" s="6" t="s">
        <v>472</v>
      </c>
      <c r="D71" s="6" t="str">
        <f>"吴漫洪"</f>
        <v>吴漫洪</v>
      </c>
      <c r="E71" s="6" t="str">
        <f t="shared" si="3"/>
        <v>女</v>
      </c>
      <c r="F71" s="7" t="s">
        <v>324</v>
      </c>
    </row>
    <row r="72" spans="1:6" ht="20.100000000000001" customHeight="1" x14ac:dyDescent="0.15">
      <c r="A72" s="5">
        <v>69</v>
      </c>
      <c r="B72" s="6" t="str">
        <f>"30482021060412052393390"</f>
        <v>30482021060412052393390</v>
      </c>
      <c r="C72" s="6" t="s">
        <v>472</v>
      </c>
      <c r="D72" s="6" t="str">
        <f>"李若楠"</f>
        <v>李若楠</v>
      </c>
      <c r="E72" s="6" t="str">
        <f t="shared" si="3"/>
        <v>女</v>
      </c>
      <c r="F72" s="7" t="s">
        <v>521</v>
      </c>
    </row>
    <row r="73" spans="1:6" ht="20.100000000000001" customHeight="1" x14ac:dyDescent="0.15">
      <c r="A73" s="5">
        <v>70</v>
      </c>
      <c r="B73" s="6" t="str">
        <f>"30482021060412373193761"</f>
        <v>30482021060412373193761</v>
      </c>
      <c r="C73" s="6" t="s">
        <v>472</v>
      </c>
      <c r="D73" s="6" t="str">
        <f>"王英"</f>
        <v>王英</v>
      </c>
      <c r="E73" s="6" t="str">
        <f t="shared" si="3"/>
        <v>女</v>
      </c>
      <c r="F73" s="7" t="s">
        <v>522</v>
      </c>
    </row>
    <row r="74" spans="1:6" ht="20.100000000000001" customHeight="1" x14ac:dyDescent="0.15">
      <c r="A74" s="5">
        <v>71</v>
      </c>
      <c r="B74" s="6" t="str">
        <f>"30482021060413255794280"</f>
        <v>30482021060413255794280</v>
      </c>
      <c r="C74" s="6" t="s">
        <v>472</v>
      </c>
      <c r="D74" s="6" t="str">
        <f>"王芳惠子"</f>
        <v>王芳惠子</v>
      </c>
      <c r="E74" s="6" t="str">
        <f t="shared" si="3"/>
        <v>女</v>
      </c>
      <c r="F74" s="7" t="s">
        <v>523</v>
      </c>
    </row>
    <row r="75" spans="1:6" ht="20.100000000000001" customHeight="1" x14ac:dyDescent="0.15">
      <c r="A75" s="5">
        <v>72</v>
      </c>
      <c r="B75" s="6" t="str">
        <f>"30482021060415514696634"</f>
        <v>30482021060415514696634</v>
      </c>
      <c r="C75" s="6" t="s">
        <v>472</v>
      </c>
      <c r="D75" s="6" t="str">
        <f>"林彩虹"</f>
        <v>林彩虹</v>
      </c>
      <c r="E75" s="6" t="str">
        <f t="shared" si="3"/>
        <v>女</v>
      </c>
      <c r="F75" s="7" t="s">
        <v>524</v>
      </c>
    </row>
    <row r="76" spans="1:6" ht="20.100000000000001" customHeight="1" x14ac:dyDescent="0.15">
      <c r="A76" s="5">
        <v>73</v>
      </c>
      <c r="B76" s="6" t="str">
        <f>"30482021060416042096785"</f>
        <v>30482021060416042096785</v>
      </c>
      <c r="C76" s="6" t="s">
        <v>472</v>
      </c>
      <c r="D76" s="6" t="str">
        <f>"沈家芳"</f>
        <v>沈家芳</v>
      </c>
      <c r="E76" s="6" t="str">
        <f t="shared" si="3"/>
        <v>女</v>
      </c>
      <c r="F76" s="7" t="s">
        <v>37</v>
      </c>
    </row>
    <row r="77" spans="1:6" ht="20.100000000000001" customHeight="1" x14ac:dyDescent="0.15">
      <c r="A77" s="5">
        <v>74</v>
      </c>
      <c r="B77" s="6" t="str">
        <f>"30482021060416212397019"</f>
        <v>30482021060416212397019</v>
      </c>
      <c r="C77" s="6" t="s">
        <v>472</v>
      </c>
      <c r="D77" s="6" t="str">
        <f>"齐钰"</f>
        <v>齐钰</v>
      </c>
      <c r="E77" s="6" t="str">
        <f>"男"</f>
        <v>男</v>
      </c>
      <c r="F77" s="7" t="s">
        <v>525</v>
      </c>
    </row>
    <row r="78" spans="1:6" ht="20.100000000000001" customHeight="1" x14ac:dyDescent="0.15">
      <c r="A78" s="5">
        <v>75</v>
      </c>
      <c r="B78" s="6" t="str">
        <f>"30482021060416334297194"</f>
        <v>30482021060416334297194</v>
      </c>
      <c r="C78" s="6" t="s">
        <v>472</v>
      </c>
      <c r="D78" s="6" t="str">
        <f>"陈喜蓉"</f>
        <v>陈喜蓉</v>
      </c>
      <c r="E78" s="6" t="str">
        <f t="shared" ref="E78:E112" si="4">"女"</f>
        <v>女</v>
      </c>
      <c r="F78" s="7" t="s">
        <v>526</v>
      </c>
    </row>
    <row r="79" spans="1:6" ht="20.100000000000001" customHeight="1" x14ac:dyDescent="0.15">
      <c r="A79" s="5">
        <v>76</v>
      </c>
      <c r="B79" s="6" t="str">
        <f>"30482021060418072698311"</f>
        <v>30482021060418072698311</v>
      </c>
      <c r="C79" s="6" t="s">
        <v>472</v>
      </c>
      <c r="D79" s="6" t="str">
        <f>"甘小碧"</f>
        <v>甘小碧</v>
      </c>
      <c r="E79" s="6" t="str">
        <f t="shared" si="4"/>
        <v>女</v>
      </c>
      <c r="F79" s="7" t="s">
        <v>527</v>
      </c>
    </row>
    <row r="80" spans="1:6" ht="20.100000000000001" customHeight="1" x14ac:dyDescent="0.15">
      <c r="A80" s="5">
        <v>77</v>
      </c>
      <c r="B80" s="6" t="str">
        <f>"30482021060418164898349"</f>
        <v>30482021060418164898349</v>
      </c>
      <c r="C80" s="6" t="s">
        <v>472</v>
      </c>
      <c r="D80" s="6" t="str">
        <f>"陈蕊"</f>
        <v>陈蕊</v>
      </c>
      <c r="E80" s="6" t="str">
        <f t="shared" si="4"/>
        <v>女</v>
      </c>
      <c r="F80" s="7" t="s">
        <v>32</v>
      </c>
    </row>
    <row r="81" spans="1:6" ht="20.100000000000001" customHeight="1" x14ac:dyDescent="0.15">
      <c r="A81" s="5">
        <v>78</v>
      </c>
      <c r="B81" s="6" t="str">
        <f>"30482021060420145799348"</f>
        <v>30482021060420145799348</v>
      </c>
      <c r="C81" s="6" t="s">
        <v>472</v>
      </c>
      <c r="D81" s="6" t="str">
        <f>"蒙亚苗"</f>
        <v>蒙亚苗</v>
      </c>
      <c r="E81" s="6" t="str">
        <f t="shared" si="4"/>
        <v>女</v>
      </c>
      <c r="F81" s="7" t="s">
        <v>298</v>
      </c>
    </row>
    <row r="82" spans="1:6" ht="20.100000000000001" customHeight="1" x14ac:dyDescent="0.15">
      <c r="A82" s="5">
        <v>79</v>
      </c>
      <c r="B82" s="6" t="str">
        <f>"30482021060420582699492"</f>
        <v>30482021060420582699492</v>
      </c>
      <c r="C82" s="6" t="s">
        <v>472</v>
      </c>
      <c r="D82" s="6" t="str">
        <f>"王柳婷"</f>
        <v>王柳婷</v>
      </c>
      <c r="E82" s="6" t="str">
        <f t="shared" si="4"/>
        <v>女</v>
      </c>
      <c r="F82" s="7" t="s">
        <v>528</v>
      </c>
    </row>
    <row r="83" spans="1:6" ht="20.100000000000001" customHeight="1" x14ac:dyDescent="0.15">
      <c r="A83" s="5">
        <v>80</v>
      </c>
      <c r="B83" s="6" t="str">
        <f>"30482021060421004299503"</f>
        <v>30482021060421004299503</v>
      </c>
      <c r="C83" s="6" t="s">
        <v>472</v>
      </c>
      <c r="D83" s="6" t="str">
        <f>"符晓丹"</f>
        <v>符晓丹</v>
      </c>
      <c r="E83" s="6" t="str">
        <f t="shared" si="4"/>
        <v>女</v>
      </c>
      <c r="F83" s="7" t="s">
        <v>529</v>
      </c>
    </row>
    <row r="84" spans="1:6" ht="20.100000000000001" customHeight="1" x14ac:dyDescent="0.15">
      <c r="A84" s="5">
        <v>81</v>
      </c>
      <c r="B84" s="6" t="str">
        <f>"30482021060423235399921"</f>
        <v>30482021060423235399921</v>
      </c>
      <c r="C84" s="6" t="s">
        <v>472</v>
      </c>
      <c r="D84" s="6" t="str">
        <f>"吴兴晶"</f>
        <v>吴兴晶</v>
      </c>
      <c r="E84" s="6" t="str">
        <f t="shared" si="4"/>
        <v>女</v>
      </c>
      <c r="F84" s="7" t="s">
        <v>530</v>
      </c>
    </row>
    <row r="85" spans="1:6" ht="20.100000000000001" customHeight="1" x14ac:dyDescent="0.15">
      <c r="A85" s="5">
        <v>82</v>
      </c>
      <c r="B85" s="6" t="str">
        <f>"30482021060423314299939"</f>
        <v>30482021060423314299939</v>
      </c>
      <c r="C85" s="6" t="s">
        <v>472</v>
      </c>
      <c r="D85" s="6" t="str">
        <f>"阮健妃"</f>
        <v>阮健妃</v>
      </c>
      <c r="E85" s="6" t="str">
        <f t="shared" si="4"/>
        <v>女</v>
      </c>
      <c r="F85" s="7" t="s">
        <v>531</v>
      </c>
    </row>
    <row r="86" spans="1:6" ht="20.100000000000001" customHeight="1" x14ac:dyDescent="0.15">
      <c r="A86" s="5">
        <v>83</v>
      </c>
      <c r="B86" s="6" t="str">
        <f>"304820210605091544100250"</f>
        <v>304820210605091544100250</v>
      </c>
      <c r="C86" s="6" t="s">
        <v>472</v>
      </c>
      <c r="D86" s="6" t="str">
        <f>"吴彦梅"</f>
        <v>吴彦梅</v>
      </c>
      <c r="E86" s="6" t="str">
        <f t="shared" si="4"/>
        <v>女</v>
      </c>
      <c r="F86" s="7" t="s">
        <v>88</v>
      </c>
    </row>
    <row r="87" spans="1:6" ht="20.100000000000001" customHeight="1" x14ac:dyDescent="0.15">
      <c r="A87" s="5">
        <v>84</v>
      </c>
      <c r="B87" s="6" t="str">
        <f>"304820210605110953100567"</f>
        <v>304820210605110953100567</v>
      </c>
      <c r="C87" s="6" t="s">
        <v>472</v>
      </c>
      <c r="D87" s="6" t="str">
        <f>"林师"</f>
        <v>林师</v>
      </c>
      <c r="E87" s="6" t="str">
        <f t="shared" si="4"/>
        <v>女</v>
      </c>
      <c r="F87" s="7" t="s">
        <v>329</v>
      </c>
    </row>
    <row r="88" spans="1:6" ht="20.100000000000001" customHeight="1" x14ac:dyDescent="0.15">
      <c r="A88" s="5">
        <v>85</v>
      </c>
      <c r="B88" s="6" t="str">
        <f>"304820210605134301100952"</f>
        <v>304820210605134301100952</v>
      </c>
      <c r="C88" s="6" t="s">
        <v>472</v>
      </c>
      <c r="D88" s="6" t="str">
        <f>"陈元芳"</f>
        <v>陈元芳</v>
      </c>
      <c r="E88" s="6" t="str">
        <f t="shared" si="4"/>
        <v>女</v>
      </c>
      <c r="F88" s="7" t="s">
        <v>357</v>
      </c>
    </row>
    <row r="89" spans="1:6" ht="20.100000000000001" customHeight="1" x14ac:dyDescent="0.15">
      <c r="A89" s="5">
        <v>86</v>
      </c>
      <c r="B89" s="6" t="str">
        <f>"304820210605154709101282"</f>
        <v>304820210605154709101282</v>
      </c>
      <c r="C89" s="6" t="s">
        <v>472</v>
      </c>
      <c r="D89" s="6" t="str">
        <f>"王慧雅"</f>
        <v>王慧雅</v>
      </c>
      <c r="E89" s="6" t="str">
        <f t="shared" si="4"/>
        <v>女</v>
      </c>
      <c r="F89" s="7" t="s">
        <v>532</v>
      </c>
    </row>
    <row r="90" spans="1:6" ht="20.100000000000001" customHeight="1" x14ac:dyDescent="0.15">
      <c r="A90" s="5">
        <v>87</v>
      </c>
      <c r="B90" s="6" t="str">
        <f>"304820210605215352102268"</f>
        <v>304820210605215352102268</v>
      </c>
      <c r="C90" s="6" t="s">
        <v>472</v>
      </c>
      <c r="D90" s="6" t="str">
        <f>"陈新荣"</f>
        <v>陈新荣</v>
      </c>
      <c r="E90" s="6" t="str">
        <f t="shared" si="4"/>
        <v>女</v>
      </c>
      <c r="F90" s="7" t="s">
        <v>345</v>
      </c>
    </row>
    <row r="91" spans="1:6" ht="20.100000000000001" customHeight="1" x14ac:dyDescent="0.15">
      <c r="A91" s="5">
        <v>88</v>
      </c>
      <c r="B91" s="6" t="str">
        <f>"304820210605232024102494"</f>
        <v>304820210605232024102494</v>
      </c>
      <c r="C91" s="6" t="s">
        <v>472</v>
      </c>
      <c r="D91" s="6" t="str">
        <f>"陈桂南"</f>
        <v>陈桂南</v>
      </c>
      <c r="E91" s="6" t="str">
        <f t="shared" si="4"/>
        <v>女</v>
      </c>
      <c r="F91" s="7" t="s">
        <v>533</v>
      </c>
    </row>
    <row r="92" spans="1:6" ht="20.100000000000001" customHeight="1" x14ac:dyDescent="0.15">
      <c r="A92" s="5">
        <v>89</v>
      </c>
      <c r="B92" s="6" t="str">
        <f>"304820210606074837102687"</f>
        <v>304820210606074837102687</v>
      </c>
      <c r="C92" s="6" t="s">
        <v>472</v>
      </c>
      <c r="D92" s="6" t="str">
        <f>"关火妹"</f>
        <v>关火妹</v>
      </c>
      <c r="E92" s="6" t="str">
        <f t="shared" si="4"/>
        <v>女</v>
      </c>
      <c r="F92" s="7" t="s">
        <v>534</v>
      </c>
    </row>
    <row r="93" spans="1:6" ht="20.100000000000001" customHeight="1" x14ac:dyDescent="0.15">
      <c r="A93" s="5">
        <v>90</v>
      </c>
      <c r="B93" s="6" t="str">
        <f>"304820210606080255102698"</f>
        <v>304820210606080255102698</v>
      </c>
      <c r="C93" s="6" t="s">
        <v>472</v>
      </c>
      <c r="D93" s="6" t="str">
        <f>"李英"</f>
        <v>李英</v>
      </c>
      <c r="E93" s="6" t="str">
        <f t="shared" si="4"/>
        <v>女</v>
      </c>
      <c r="F93" s="7" t="s">
        <v>535</v>
      </c>
    </row>
    <row r="94" spans="1:6" ht="20.100000000000001" customHeight="1" x14ac:dyDescent="0.15">
      <c r="A94" s="5">
        <v>91</v>
      </c>
      <c r="B94" s="6" t="str">
        <f>"304820210606113537103225"</f>
        <v>304820210606113537103225</v>
      </c>
      <c r="C94" s="6" t="s">
        <v>472</v>
      </c>
      <c r="D94" s="6" t="str">
        <f>"蔡雨舟"</f>
        <v>蔡雨舟</v>
      </c>
      <c r="E94" s="6" t="str">
        <f t="shared" si="4"/>
        <v>女</v>
      </c>
      <c r="F94" s="7" t="s">
        <v>131</v>
      </c>
    </row>
    <row r="95" spans="1:6" ht="20.100000000000001" customHeight="1" x14ac:dyDescent="0.15">
      <c r="A95" s="5">
        <v>92</v>
      </c>
      <c r="B95" s="6" t="str">
        <f>"304820210606115203103277"</f>
        <v>304820210606115203103277</v>
      </c>
      <c r="C95" s="6" t="s">
        <v>472</v>
      </c>
      <c r="D95" s="6" t="str">
        <f>"黄海燕"</f>
        <v>黄海燕</v>
      </c>
      <c r="E95" s="6" t="str">
        <f t="shared" si="4"/>
        <v>女</v>
      </c>
      <c r="F95" s="7" t="s">
        <v>431</v>
      </c>
    </row>
    <row r="96" spans="1:6" ht="20.100000000000001" customHeight="1" x14ac:dyDescent="0.15">
      <c r="A96" s="5">
        <v>93</v>
      </c>
      <c r="B96" s="6" t="str">
        <f>"304820210606143051103731"</f>
        <v>304820210606143051103731</v>
      </c>
      <c r="C96" s="6" t="s">
        <v>472</v>
      </c>
      <c r="D96" s="6" t="str">
        <f>"岑苗"</f>
        <v>岑苗</v>
      </c>
      <c r="E96" s="6" t="str">
        <f t="shared" si="4"/>
        <v>女</v>
      </c>
      <c r="F96" s="7" t="s">
        <v>30</v>
      </c>
    </row>
    <row r="97" spans="1:6" ht="20.100000000000001" customHeight="1" x14ac:dyDescent="0.15">
      <c r="A97" s="5">
        <v>94</v>
      </c>
      <c r="B97" s="6" t="str">
        <f>"304820210606153436103887"</f>
        <v>304820210606153436103887</v>
      </c>
      <c r="C97" s="6" t="s">
        <v>472</v>
      </c>
      <c r="D97" s="6" t="str">
        <f>"曾紫轩"</f>
        <v>曾紫轩</v>
      </c>
      <c r="E97" s="6" t="str">
        <f t="shared" si="4"/>
        <v>女</v>
      </c>
      <c r="F97" s="7" t="s">
        <v>78</v>
      </c>
    </row>
    <row r="98" spans="1:6" ht="20.100000000000001" customHeight="1" x14ac:dyDescent="0.15">
      <c r="A98" s="5">
        <v>95</v>
      </c>
      <c r="B98" s="6" t="str">
        <f>"304820210606194142104561"</f>
        <v>304820210606194142104561</v>
      </c>
      <c r="C98" s="6" t="s">
        <v>472</v>
      </c>
      <c r="D98" s="6" t="str">
        <f>"任雅男"</f>
        <v>任雅男</v>
      </c>
      <c r="E98" s="6" t="str">
        <f t="shared" si="4"/>
        <v>女</v>
      </c>
      <c r="F98" s="7" t="s">
        <v>536</v>
      </c>
    </row>
    <row r="99" spans="1:6" ht="20.100000000000001" customHeight="1" x14ac:dyDescent="0.15">
      <c r="A99" s="5">
        <v>96</v>
      </c>
      <c r="B99" s="6" t="str">
        <f>"304820210606200000104583"</f>
        <v>304820210606200000104583</v>
      </c>
      <c r="C99" s="6" t="s">
        <v>472</v>
      </c>
      <c r="D99" s="6" t="str">
        <f>"颜春果"</f>
        <v>颜春果</v>
      </c>
      <c r="E99" s="6" t="str">
        <f t="shared" si="4"/>
        <v>女</v>
      </c>
      <c r="F99" s="7" t="s">
        <v>43</v>
      </c>
    </row>
    <row r="100" spans="1:6" ht="20.100000000000001" customHeight="1" x14ac:dyDescent="0.15">
      <c r="A100" s="5">
        <v>97</v>
      </c>
      <c r="B100" s="6" t="str">
        <f>"304820210606212416104796"</f>
        <v>304820210606212416104796</v>
      </c>
      <c r="C100" s="6" t="s">
        <v>472</v>
      </c>
      <c r="D100" s="6" t="str">
        <f>"潘璇"</f>
        <v>潘璇</v>
      </c>
      <c r="E100" s="6" t="str">
        <f t="shared" si="4"/>
        <v>女</v>
      </c>
      <c r="F100" s="7" t="s">
        <v>537</v>
      </c>
    </row>
    <row r="101" spans="1:6" ht="20.100000000000001" customHeight="1" x14ac:dyDescent="0.15">
      <c r="A101" s="5">
        <v>98</v>
      </c>
      <c r="B101" s="6" t="str">
        <f>"304820210606225355105066"</f>
        <v>304820210606225355105066</v>
      </c>
      <c r="C101" s="6" t="s">
        <v>472</v>
      </c>
      <c r="D101" s="6" t="str">
        <f>"谢楼"</f>
        <v>谢楼</v>
      </c>
      <c r="E101" s="6" t="str">
        <f t="shared" si="4"/>
        <v>女</v>
      </c>
      <c r="F101" s="7" t="s">
        <v>538</v>
      </c>
    </row>
    <row r="102" spans="1:6" ht="20.100000000000001" customHeight="1" x14ac:dyDescent="0.15">
      <c r="A102" s="5">
        <v>99</v>
      </c>
      <c r="B102" s="6" t="str">
        <f>"304820210606231936105140"</f>
        <v>304820210606231936105140</v>
      </c>
      <c r="C102" s="6" t="s">
        <v>472</v>
      </c>
      <c r="D102" s="6" t="str">
        <f>"朱旭颖"</f>
        <v>朱旭颖</v>
      </c>
      <c r="E102" s="6" t="str">
        <f t="shared" si="4"/>
        <v>女</v>
      </c>
      <c r="F102" s="7" t="s">
        <v>539</v>
      </c>
    </row>
    <row r="103" spans="1:6" ht="20.100000000000001" customHeight="1" x14ac:dyDescent="0.15">
      <c r="A103" s="5">
        <v>100</v>
      </c>
      <c r="B103" s="6" t="str">
        <f>"304820210606234743105202"</f>
        <v>304820210606234743105202</v>
      </c>
      <c r="C103" s="6" t="s">
        <v>472</v>
      </c>
      <c r="D103" s="6" t="str">
        <f>"陈思娴"</f>
        <v>陈思娴</v>
      </c>
      <c r="E103" s="6" t="str">
        <f t="shared" si="4"/>
        <v>女</v>
      </c>
      <c r="F103" s="7" t="s">
        <v>540</v>
      </c>
    </row>
    <row r="104" spans="1:6" ht="20.100000000000001" customHeight="1" x14ac:dyDescent="0.15">
      <c r="A104" s="5">
        <v>101</v>
      </c>
      <c r="B104" s="6" t="str">
        <f>"304820210606235707105218"</f>
        <v>304820210606235707105218</v>
      </c>
      <c r="C104" s="6" t="s">
        <v>472</v>
      </c>
      <c r="D104" s="6" t="str">
        <f>"韩仪"</f>
        <v>韩仪</v>
      </c>
      <c r="E104" s="6" t="str">
        <f t="shared" si="4"/>
        <v>女</v>
      </c>
      <c r="F104" s="7" t="s">
        <v>108</v>
      </c>
    </row>
    <row r="105" spans="1:6" ht="20.100000000000001" customHeight="1" x14ac:dyDescent="0.15">
      <c r="A105" s="5">
        <v>102</v>
      </c>
      <c r="B105" s="6" t="str">
        <f>"304820210607021731105342"</f>
        <v>304820210607021731105342</v>
      </c>
      <c r="C105" s="6" t="s">
        <v>472</v>
      </c>
      <c r="D105" s="6" t="str">
        <f>"董茂娥"</f>
        <v>董茂娥</v>
      </c>
      <c r="E105" s="6" t="str">
        <f t="shared" si="4"/>
        <v>女</v>
      </c>
      <c r="F105" s="7" t="s">
        <v>298</v>
      </c>
    </row>
    <row r="106" spans="1:6" ht="20.100000000000001" customHeight="1" x14ac:dyDescent="0.15">
      <c r="A106" s="5">
        <v>103</v>
      </c>
      <c r="B106" s="6" t="str">
        <f>"304820210607090159105507"</f>
        <v>304820210607090159105507</v>
      </c>
      <c r="C106" s="6" t="s">
        <v>472</v>
      </c>
      <c r="D106" s="6" t="str">
        <f>"杨明旭"</f>
        <v>杨明旭</v>
      </c>
      <c r="E106" s="6" t="str">
        <f t="shared" si="4"/>
        <v>女</v>
      </c>
      <c r="F106" s="7" t="s">
        <v>541</v>
      </c>
    </row>
    <row r="107" spans="1:6" ht="20.100000000000001" customHeight="1" x14ac:dyDescent="0.15">
      <c r="A107" s="5">
        <v>104</v>
      </c>
      <c r="B107" s="6" t="str">
        <f>"304820210607090244105516"</f>
        <v>304820210607090244105516</v>
      </c>
      <c r="C107" s="6" t="s">
        <v>472</v>
      </c>
      <c r="D107" s="6" t="str">
        <f>"符倩"</f>
        <v>符倩</v>
      </c>
      <c r="E107" s="6" t="str">
        <f t="shared" si="4"/>
        <v>女</v>
      </c>
      <c r="F107" s="7" t="s">
        <v>542</v>
      </c>
    </row>
    <row r="108" spans="1:6" ht="20.100000000000001" customHeight="1" x14ac:dyDescent="0.15">
      <c r="A108" s="5">
        <v>105</v>
      </c>
      <c r="B108" s="6" t="str">
        <f>"304820210607092957105699"</f>
        <v>304820210607092957105699</v>
      </c>
      <c r="C108" s="6" t="s">
        <v>472</v>
      </c>
      <c r="D108" s="6" t="str">
        <f>"王一伊"</f>
        <v>王一伊</v>
      </c>
      <c r="E108" s="6" t="str">
        <f t="shared" si="4"/>
        <v>女</v>
      </c>
      <c r="F108" s="7" t="s">
        <v>30</v>
      </c>
    </row>
    <row r="109" spans="1:6" ht="20.100000000000001" customHeight="1" x14ac:dyDescent="0.15">
      <c r="A109" s="5">
        <v>106</v>
      </c>
      <c r="B109" s="6" t="str">
        <f>"304820210607094347105785"</f>
        <v>304820210607094347105785</v>
      </c>
      <c r="C109" s="6" t="s">
        <v>472</v>
      </c>
      <c r="D109" s="6" t="str">
        <f>"陈珊珊"</f>
        <v>陈珊珊</v>
      </c>
      <c r="E109" s="6" t="str">
        <f t="shared" si="4"/>
        <v>女</v>
      </c>
      <c r="F109" s="7" t="s">
        <v>439</v>
      </c>
    </row>
    <row r="110" spans="1:6" ht="20.100000000000001" customHeight="1" x14ac:dyDescent="0.15">
      <c r="A110" s="5">
        <v>107</v>
      </c>
      <c r="B110" s="6" t="str">
        <f>"304820210607095759105868"</f>
        <v>304820210607095759105868</v>
      </c>
      <c r="C110" s="6" t="s">
        <v>472</v>
      </c>
      <c r="D110" s="6" t="str">
        <f>"卢秋玉"</f>
        <v>卢秋玉</v>
      </c>
      <c r="E110" s="6" t="str">
        <f t="shared" si="4"/>
        <v>女</v>
      </c>
      <c r="F110" s="7" t="s">
        <v>457</v>
      </c>
    </row>
    <row r="111" spans="1:6" ht="20.100000000000001" customHeight="1" x14ac:dyDescent="0.15">
      <c r="A111" s="5">
        <v>108</v>
      </c>
      <c r="B111" s="6" t="str">
        <f>"304820210607102746106065"</f>
        <v>304820210607102746106065</v>
      </c>
      <c r="C111" s="6" t="s">
        <v>472</v>
      </c>
      <c r="D111" s="6" t="str">
        <f>"郑慧琴"</f>
        <v>郑慧琴</v>
      </c>
      <c r="E111" s="6" t="str">
        <f t="shared" si="4"/>
        <v>女</v>
      </c>
      <c r="F111" s="7" t="s">
        <v>543</v>
      </c>
    </row>
    <row r="112" spans="1:6" ht="20.100000000000001" customHeight="1" x14ac:dyDescent="0.15">
      <c r="A112" s="5">
        <v>109</v>
      </c>
      <c r="B112" s="6" t="str">
        <f>"304820210607103219106091"</f>
        <v>304820210607103219106091</v>
      </c>
      <c r="C112" s="6" t="s">
        <v>472</v>
      </c>
      <c r="D112" s="6" t="str">
        <f>"蔡芬"</f>
        <v>蔡芬</v>
      </c>
      <c r="E112" s="6" t="str">
        <f t="shared" si="4"/>
        <v>女</v>
      </c>
      <c r="F112" s="7" t="s">
        <v>544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375" style="1" customWidth="1"/>
    <col min="2" max="2" width="24.625" style="1" customWidth="1"/>
    <col min="3" max="3" width="14.125" style="1" customWidth="1"/>
    <col min="4" max="4" width="10.75" style="1" customWidth="1"/>
    <col min="5" max="5" width="8.125" style="1" customWidth="1"/>
    <col min="6" max="6" width="14.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"30482021060114012063451"</f>
        <v>30482021060114012063451</v>
      </c>
      <c r="C4" s="6" t="s">
        <v>545</v>
      </c>
      <c r="D4" s="6" t="str">
        <f>"刘红怡"</f>
        <v>刘红怡</v>
      </c>
      <c r="E4" s="6" t="str">
        <f t="shared" ref="E4:E35" si="0">"女"</f>
        <v>女</v>
      </c>
      <c r="F4" s="7" t="s">
        <v>546</v>
      </c>
    </row>
    <row r="5" spans="1:6" ht="20.100000000000001" customHeight="1" x14ac:dyDescent="0.15">
      <c r="A5" s="5">
        <v>2</v>
      </c>
      <c r="B5" s="6" t="str">
        <f>"30482021060114021763460"</f>
        <v>30482021060114021763460</v>
      </c>
      <c r="C5" s="6" t="s">
        <v>545</v>
      </c>
      <c r="D5" s="6" t="str">
        <f>"吴小妹"</f>
        <v>吴小妹</v>
      </c>
      <c r="E5" s="6" t="str">
        <f t="shared" si="0"/>
        <v>女</v>
      </c>
      <c r="F5" s="7" t="s">
        <v>547</v>
      </c>
    </row>
    <row r="6" spans="1:6" ht="20.100000000000001" customHeight="1" x14ac:dyDescent="0.15">
      <c r="A6" s="5">
        <v>3</v>
      </c>
      <c r="B6" s="6" t="str">
        <f>"30482021060114024663465"</f>
        <v>30482021060114024663465</v>
      </c>
      <c r="C6" s="6" t="s">
        <v>545</v>
      </c>
      <c r="D6" s="6" t="str">
        <f>"林明锭"</f>
        <v>林明锭</v>
      </c>
      <c r="E6" s="6" t="str">
        <f>"男"</f>
        <v>男</v>
      </c>
      <c r="F6" s="7" t="s">
        <v>548</v>
      </c>
    </row>
    <row r="7" spans="1:6" ht="20.100000000000001" customHeight="1" x14ac:dyDescent="0.15">
      <c r="A7" s="5">
        <v>4</v>
      </c>
      <c r="B7" s="6" t="str">
        <f>"30482021060114045963492"</f>
        <v>30482021060114045963492</v>
      </c>
      <c r="C7" s="6" t="s">
        <v>545</v>
      </c>
      <c r="D7" s="6" t="str">
        <f>"王美"</f>
        <v>王美</v>
      </c>
      <c r="E7" s="6" t="str">
        <f t="shared" si="0"/>
        <v>女</v>
      </c>
      <c r="F7" s="7" t="s">
        <v>549</v>
      </c>
    </row>
    <row r="8" spans="1:6" ht="20.100000000000001" customHeight="1" x14ac:dyDescent="0.15">
      <c r="A8" s="5">
        <v>5</v>
      </c>
      <c r="B8" s="6" t="str">
        <f>"30482021060114062863512"</f>
        <v>30482021060114062863512</v>
      </c>
      <c r="C8" s="6" t="s">
        <v>545</v>
      </c>
      <c r="D8" s="6" t="str">
        <f>"陈玉丹"</f>
        <v>陈玉丹</v>
      </c>
      <c r="E8" s="6" t="str">
        <f t="shared" si="0"/>
        <v>女</v>
      </c>
      <c r="F8" s="7" t="s">
        <v>550</v>
      </c>
    </row>
    <row r="9" spans="1:6" ht="20.100000000000001" customHeight="1" x14ac:dyDescent="0.15">
      <c r="A9" s="5">
        <v>6</v>
      </c>
      <c r="B9" s="6" t="str">
        <f>"30482021060114144063591"</f>
        <v>30482021060114144063591</v>
      </c>
      <c r="C9" s="6" t="s">
        <v>545</v>
      </c>
      <c r="D9" s="6" t="str">
        <f>"林莉"</f>
        <v>林莉</v>
      </c>
      <c r="E9" s="6" t="str">
        <f t="shared" si="0"/>
        <v>女</v>
      </c>
      <c r="F9" s="7" t="s">
        <v>478</v>
      </c>
    </row>
    <row r="10" spans="1:6" ht="20.100000000000001" customHeight="1" x14ac:dyDescent="0.15">
      <c r="A10" s="5">
        <v>7</v>
      </c>
      <c r="B10" s="6" t="str">
        <f>"30482021060114252963701"</f>
        <v>30482021060114252963701</v>
      </c>
      <c r="C10" s="6" t="s">
        <v>545</v>
      </c>
      <c r="D10" s="6" t="str">
        <f>"黄小果"</f>
        <v>黄小果</v>
      </c>
      <c r="E10" s="6" t="str">
        <f t="shared" si="0"/>
        <v>女</v>
      </c>
      <c r="F10" s="7" t="s">
        <v>551</v>
      </c>
    </row>
    <row r="11" spans="1:6" ht="20.100000000000001" customHeight="1" x14ac:dyDescent="0.15">
      <c r="A11" s="5">
        <v>8</v>
      </c>
      <c r="B11" s="6" t="str">
        <f>"30482021060114323963777"</f>
        <v>30482021060114323963777</v>
      </c>
      <c r="C11" s="6" t="s">
        <v>545</v>
      </c>
      <c r="D11" s="6" t="str">
        <f>"何子曾"</f>
        <v>何子曾</v>
      </c>
      <c r="E11" s="6" t="str">
        <f t="shared" si="0"/>
        <v>女</v>
      </c>
      <c r="F11" s="7" t="s">
        <v>177</v>
      </c>
    </row>
    <row r="12" spans="1:6" ht="20.100000000000001" customHeight="1" x14ac:dyDescent="0.15">
      <c r="A12" s="5">
        <v>9</v>
      </c>
      <c r="B12" s="6" t="str">
        <f>"30482021060114425763906"</f>
        <v>30482021060114425763906</v>
      </c>
      <c r="C12" s="6" t="s">
        <v>545</v>
      </c>
      <c r="D12" s="6" t="str">
        <f>"陈贞贞"</f>
        <v>陈贞贞</v>
      </c>
      <c r="E12" s="6" t="str">
        <f t="shared" si="0"/>
        <v>女</v>
      </c>
      <c r="F12" s="7" t="s">
        <v>386</v>
      </c>
    </row>
    <row r="13" spans="1:6" ht="20.100000000000001" customHeight="1" x14ac:dyDescent="0.15">
      <c r="A13" s="5">
        <v>10</v>
      </c>
      <c r="B13" s="6" t="str">
        <f>"30482021060114542264051"</f>
        <v>30482021060114542264051</v>
      </c>
      <c r="C13" s="6" t="s">
        <v>545</v>
      </c>
      <c r="D13" s="6" t="str">
        <f>"杜阿娜"</f>
        <v>杜阿娜</v>
      </c>
      <c r="E13" s="6" t="str">
        <f t="shared" si="0"/>
        <v>女</v>
      </c>
      <c r="F13" s="7" t="s">
        <v>552</v>
      </c>
    </row>
    <row r="14" spans="1:6" ht="20.100000000000001" customHeight="1" x14ac:dyDescent="0.15">
      <c r="A14" s="5">
        <v>11</v>
      </c>
      <c r="B14" s="6" t="str">
        <f>"30482021060114570964099"</f>
        <v>30482021060114570964099</v>
      </c>
      <c r="C14" s="6" t="s">
        <v>545</v>
      </c>
      <c r="D14" s="6" t="str">
        <f>"吴秋阳"</f>
        <v>吴秋阳</v>
      </c>
      <c r="E14" s="6" t="str">
        <f t="shared" si="0"/>
        <v>女</v>
      </c>
      <c r="F14" s="7" t="s">
        <v>553</v>
      </c>
    </row>
    <row r="15" spans="1:6" ht="20.100000000000001" customHeight="1" x14ac:dyDescent="0.15">
      <c r="A15" s="5">
        <v>12</v>
      </c>
      <c r="B15" s="6" t="str">
        <f>"30482021060115002064133"</f>
        <v>30482021060115002064133</v>
      </c>
      <c r="C15" s="6" t="s">
        <v>545</v>
      </c>
      <c r="D15" s="6" t="str">
        <f>"蔡荣雪"</f>
        <v>蔡荣雪</v>
      </c>
      <c r="E15" s="6" t="str">
        <f t="shared" si="0"/>
        <v>女</v>
      </c>
      <c r="F15" s="7" t="s">
        <v>554</v>
      </c>
    </row>
    <row r="16" spans="1:6" ht="20.100000000000001" customHeight="1" x14ac:dyDescent="0.15">
      <c r="A16" s="5">
        <v>13</v>
      </c>
      <c r="B16" s="6" t="str">
        <f>"30482021060115072864227"</f>
        <v>30482021060115072864227</v>
      </c>
      <c r="C16" s="6" t="s">
        <v>545</v>
      </c>
      <c r="D16" s="6" t="str">
        <f>"王孟"</f>
        <v>王孟</v>
      </c>
      <c r="E16" s="6" t="str">
        <f t="shared" si="0"/>
        <v>女</v>
      </c>
      <c r="F16" s="7" t="s">
        <v>249</v>
      </c>
    </row>
    <row r="17" spans="1:6" ht="20.100000000000001" customHeight="1" x14ac:dyDescent="0.15">
      <c r="A17" s="5">
        <v>14</v>
      </c>
      <c r="B17" s="6" t="str">
        <f>"30482021060115075164234"</f>
        <v>30482021060115075164234</v>
      </c>
      <c r="C17" s="6" t="s">
        <v>545</v>
      </c>
      <c r="D17" s="6" t="str">
        <f>"林春香"</f>
        <v>林春香</v>
      </c>
      <c r="E17" s="6" t="str">
        <f t="shared" si="0"/>
        <v>女</v>
      </c>
      <c r="F17" s="7" t="s">
        <v>555</v>
      </c>
    </row>
    <row r="18" spans="1:6" ht="20.100000000000001" customHeight="1" x14ac:dyDescent="0.15">
      <c r="A18" s="5">
        <v>15</v>
      </c>
      <c r="B18" s="6" t="str">
        <f>"30482021060115183064377"</f>
        <v>30482021060115183064377</v>
      </c>
      <c r="C18" s="6" t="s">
        <v>545</v>
      </c>
      <c r="D18" s="6" t="str">
        <f>"庄珍妮"</f>
        <v>庄珍妮</v>
      </c>
      <c r="E18" s="6" t="str">
        <f t="shared" si="0"/>
        <v>女</v>
      </c>
      <c r="F18" s="7" t="s">
        <v>556</v>
      </c>
    </row>
    <row r="19" spans="1:6" ht="20.100000000000001" customHeight="1" x14ac:dyDescent="0.15">
      <c r="A19" s="5">
        <v>16</v>
      </c>
      <c r="B19" s="6" t="str">
        <f>"30482021060115192964388"</f>
        <v>30482021060115192964388</v>
      </c>
      <c r="C19" s="6" t="s">
        <v>545</v>
      </c>
      <c r="D19" s="6" t="str">
        <f>"王景荟"</f>
        <v>王景荟</v>
      </c>
      <c r="E19" s="6" t="str">
        <f t="shared" si="0"/>
        <v>女</v>
      </c>
      <c r="F19" s="7" t="s">
        <v>557</v>
      </c>
    </row>
    <row r="20" spans="1:6" ht="20.100000000000001" customHeight="1" x14ac:dyDescent="0.15">
      <c r="A20" s="5">
        <v>17</v>
      </c>
      <c r="B20" s="6" t="str">
        <f>"30482021060115203364403"</f>
        <v>30482021060115203364403</v>
      </c>
      <c r="C20" s="6" t="s">
        <v>545</v>
      </c>
      <c r="D20" s="6" t="str">
        <f>"莫镕蔚"</f>
        <v>莫镕蔚</v>
      </c>
      <c r="E20" s="6" t="str">
        <f t="shared" si="0"/>
        <v>女</v>
      </c>
      <c r="F20" s="7" t="s">
        <v>484</v>
      </c>
    </row>
    <row r="21" spans="1:6" ht="20.100000000000001" customHeight="1" x14ac:dyDescent="0.15">
      <c r="A21" s="5">
        <v>18</v>
      </c>
      <c r="B21" s="6" t="str">
        <f>"30482021060115312564538"</f>
        <v>30482021060115312564538</v>
      </c>
      <c r="C21" s="6" t="s">
        <v>545</v>
      </c>
      <c r="D21" s="6" t="str">
        <f>"吴多芳"</f>
        <v>吴多芳</v>
      </c>
      <c r="E21" s="6" t="str">
        <f t="shared" si="0"/>
        <v>女</v>
      </c>
      <c r="F21" s="7" t="s">
        <v>558</v>
      </c>
    </row>
    <row r="22" spans="1:6" ht="20.100000000000001" customHeight="1" x14ac:dyDescent="0.15">
      <c r="A22" s="5">
        <v>19</v>
      </c>
      <c r="B22" s="6" t="str">
        <f>"30482021060115343564579"</f>
        <v>30482021060115343564579</v>
      </c>
      <c r="C22" s="6" t="s">
        <v>545</v>
      </c>
      <c r="D22" s="6" t="str">
        <f>"陈慧"</f>
        <v>陈慧</v>
      </c>
      <c r="E22" s="6" t="str">
        <f t="shared" si="0"/>
        <v>女</v>
      </c>
      <c r="F22" s="7" t="s">
        <v>559</v>
      </c>
    </row>
    <row r="23" spans="1:6" ht="20.100000000000001" customHeight="1" x14ac:dyDescent="0.15">
      <c r="A23" s="5">
        <v>20</v>
      </c>
      <c r="B23" s="6" t="str">
        <f>"30482021060115411764657"</f>
        <v>30482021060115411764657</v>
      </c>
      <c r="C23" s="6" t="s">
        <v>545</v>
      </c>
      <c r="D23" s="6" t="str">
        <f>"黄佩兰"</f>
        <v>黄佩兰</v>
      </c>
      <c r="E23" s="6" t="str">
        <f t="shared" si="0"/>
        <v>女</v>
      </c>
      <c r="F23" s="7" t="s">
        <v>131</v>
      </c>
    </row>
    <row r="24" spans="1:6" ht="20.100000000000001" customHeight="1" x14ac:dyDescent="0.15">
      <c r="A24" s="5">
        <v>21</v>
      </c>
      <c r="B24" s="6" t="str">
        <f>"30482021060115415464665"</f>
        <v>30482021060115415464665</v>
      </c>
      <c r="C24" s="6" t="s">
        <v>545</v>
      </c>
      <c r="D24" s="6" t="str">
        <f>"梁星灿"</f>
        <v>梁星灿</v>
      </c>
      <c r="E24" s="6" t="str">
        <f t="shared" si="0"/>
        <v>女</v>
      </c>
      <c r="F24" s="7" t="s">
        <v>560</v>
      </c>
    </row>
    <row r="25" spans="1:6" ht="20.100000000000001" customHeight="1" x14ac:dyDescent="0.15">
      <c r="A25" s="5">
        <v>22</v>
      </c>
      <c r="B25" s="6" t="str">
        <f>"30482021060115481664759"</f>
        <v>30482021060115481664759</v>
      </c>
      <c r="C25" s="6" t="s">
        <v>545</v>
      </c>
      <c r="D25" s="6" t="str">
        <f>"黄丹"</f>
        <v>黄丹</v>
      </c>
      <c r="E25" s="6" t="str">
        <f t="shared" si="0"/>
        <v>女</v>
      </c>
      <c r="F25" s="7" t="s">
        <v>561</v>
      </c>
    </row>
    <row r="26" spans="1:6" ht="20.100000000000001" customHeight="1" x14ac:dyDescent="0.15">
      <c r="A26" s="5">
        <v>23</v>
      </c>
      <c r="B26" s="6" t="str">
        <f>"30482021060115491564771"</f>
        <v>30482021060115491564771</v>
      </c>
      <c r="C26" s="6" t="s">
        <v>545</v>
      </c>
      <c r="D26" s="6" t="str">
        <f>"倪津津"</f>
        <v>倪津津</v>
      </c>
      <c r="E26" s="6" t="str">
        <f t="shared" si="0"/>
        <v>女</v>
      </c>
      <c r="F26" s="7" t="s">
        <v>562</v>
      </c>
    </row>
    <row r="27" spans="1:6" ht="20.100000000000001" customHeight="1" x14ac:dyDescent="0.15">
      <c r="A27" s="5">
        <v>24</v>
      </c>
      <c r="B27" s="6" t="str">
        <f>"30482021060115511764798"</f>
        <v>30482021060115511764798</v>
      </c>
      <c r="C27" s="6" t="s">
        <v>545</v>
      </c>
      <c r="D27" s="6" t="str">
        <f>"陈梅"</f>
        <v>陈梅</v>
      </c>
      <c r="E27" s="6" t="str">
        <f t="shared" si="0"/>
        <v>女</v>
      </c>
      <c r="F27" s="7" t="s">
        <v>431</v>
      </c>
    </row>
    <row r="28" spans="1:6" ht="20.100000000000001" customHeight="1" x14ac:dyDescent="0.15">
      <c r="A28" s="5">
        <v>25</v>
      </c>
      <c r="B28" s="6" t="str">
        <f>"30482021060115523464816"</f>
        <v>30482021060115523464816</v>
      </c>
      <c r="C28" s="6" t="s">
        <v>545</v>
      </c>
      <c r="D28" s="6" t="str">
        <f>"符佳苗"</f>
        <v>符佳苗</v>
      </c>
      <c r="E28" s="6" t="str">
        <f t="shared" si="0"/>
        <v>女</v>
      </c>
      <c r="F28" s="7" t="s">
        <v>333</v>
      </c>
    </row>
    <row r="29" spans="1:6" ht="20.100000000000001" customHeight="1" x14ac:dyDescent="0.15">
      <c r="A29" s="5">
        <v>26</v>
      </c>
      <c r="B29" s="6" t="str">
        <f>"30482021060116021064915"</f>
        <v>30482021060116021064915</v>
      </c>
      <c r="C29" s="6" t="s">
        <v>545</v>
      </c>
      <c r="D29" s="6" t="str">
        <f>"任金辉"</f>
        <v>任金辉</v>
      </c>
      <c r="E29" s="6" t="str">
        <f t="shared" si="0"/>
        <v>女</v>
      </c>
      <c r="F29" s="7" t="s">
        <v>563</v>
      </c>
    </row>
    <row r="30" spans="1:6" ht="20.100000000000001" customHeight="1" x14ac:dyDescent="0.15">
      <c r="A30" s="5">
        <v>27</v>
      </c>
      <c r="B30" s="6" t="str">
        <f>"30482021060116031464926"</f>
        <v>30482021060116031464926</v>
      </c>
      <c r="C30" s="6" t="s">
        <v>545</v>
      </c>
      <c r="D30" s="6" t="str">
        <f>"黄雪"</f>
        <v>黄雪</v>
      </c>
      <c r="E30" s="6" t="str">
        <f t="shared" si="0"/>
        <v>女</v>
      </c>
      <c r="F30" s="7" t="s">
        <v>152</v>
      </c>
    </row>
    <row r="31" spans="1:6" ht="20.100000000000001" customHeight="1" x14ac:dyDescent="0.15">
      <c r="A31" s="5">
        <v>28</v>
      </c>
      <c r="B31" s="6" t="str">
        <f>"30482021060116052564952"</f>
        <v>30482021060116052564952</v>
      </c>
      <c r="C31" s="6" t="s">
        <v>545</v>
      </c>
      <c r="D31" s="6" t="str">
        <f>"林丽婷"</f>
        <v>林丽婷</v>
      </c>
      <c r="E31" s="6" t="str">
        <f t="shared" si="0"/>
        <v>女</v>
      </c>
      <c r="F31" s="7" t="s">
        <v>393</v>
      </c>
    </row>
    <row r="32" spans="1:6" ht="20.100000000000001" customHeight="1" x14ac:dyDescent="0.15">
      <c r="A32" s="5">
        <v>29</v>
      </c>
      <c r="B32" s="6" t="str">
        <f>"30482021060116154065081"</f>
        <v>30482021060116154065081</v>
      </c>
      <c r="C32" s="6" t="s">
        <v>545</v>
      </c>
      <c r="D32" s="6" t="str">
        <f>"邢春柳"</f>
        <v>邢春柳</v>
      </c>
      <c r="E32" s="6" t="str">
        <f t="shared" si="0"/>
        <v>女</v>
      </c>
      <c r="F32" s="7" t="s">
        <v>564</v>
      </c>
    </row>
    <row r="33" spans="1:6" ht="20.100000000000001" customHeight="1" x14ac:dyDescent="0.15">
      <c r="A33" s="5">
        <v>30</v>
      </c>
      <c r="B33" s="6" t="str">
        <f>"30482021060116273665256"</f>
        <v>30482021060116273665256</v>
      </c>
      <c r="C33" s="6" t="s">
        <v>545</v>
      </c>
      <c r="D33" s="6" t="str">
        <f>"蔡仁曼"</f>
        <v>蔡仁曼</v>
      </c>
      <c r="E33" s="6" t="str">
        <f t="shared" si="0"/>
        <v>女</v>
      </c>
      <c r="F33" s="7" t="s">
        <v>565</v>
      </c>
    </row>
    <row r="34" spans="1:6" ht="20.100000000000001" customHeight="1" x14ac:dyDescent="0.15">
      <c r="A34" s="5">
        <v>31</v>
      </c>
      <c r="B34" s="6" t="str">
        <f>"30482021060116390265415"</f>
        <v>30482021060116390265415</v>
      </c>
      <c r="C34" s="6" t="s">
        <v>545</v>
      </c>
      <c r="D34" s="6" t="str">
        <f>"李小林"</f>
        <v>李小林</v>
      </c>
      <c r="E34" s="6" t="str">
        <f t="shared" si="0"/>
        <v>女</v>
      </c>
      <c r="F34" s="7" t="s">
        <v>566</v>
      </c>
    </row>
    <row r="35" spans="1:6" ht="20.100000000000001" customHeight="1" x14ac:dyDescent="0.15">
      <c r="A35" s="5">
        <v>32</v>
      </c>
      <c r="B35" s="6" t="str">
        <f>"30482021060116421465456"</f>
        <v>30482021060116421465456</v>
      </c>
      <c r="C35" s="6" t="s">
        <v>545</v>
      </c>
      <c r="D35" s="6" t="str">
        <f>"符定妹"</f>
        <v>符定妹</v>
      </c>
      <c r="E35" s="6" t="str">
        <f t="shared" si="0"/>
        <v>女</v>
      </c>
      <c r="F35" s="7" t="s">
        <v>567</v>
      </c>
    </row>
    <row r="36" spans="1:6" ht="20.100000000000001" customHeight="1" x14ac:dyDescent="0.15">
      <c r="A36" s="5">
        <v>33</v>
      </c>
      <c r="B36" s="6" t="str">
        <f>"30482021060116445965490"</f>
        <v>30482021060116445965490</v>
      </c>
      <c r="C36" s="6" t="s">
        <v>545</v>
      </c>
      <c r="D36" s="6" t="str">
        <f>"冯吉"</f>
        <v>冯吉</v>
      </c>
      <c r="E36" s="6" t="str">
        <f>"男"</f>
        <v>男</v>
      </c>
      <c r="F36" s="7" t="s">
        <v>568</v>
      </c>
    </row>
    <row r="37" spans="1:6" ht="20.100000000000001" customHeight="1" x14ac:dyDescent="0.15">
      <c r="A37" s="5">
        <v>34</v>
      </c>
      <c r="B37" s="6" t="str">
        <f>"30482021060116491365547"</f>
        <v>30482021060116491365547</v>
      </c>
      <c r="C37" s="6" t="s">
        <v>545</v>
      </c>
      <c r="D37" s="6" t="str">
        <f>"陈爱兰"</f>
        <v>陈爱兰</v>
      </c>
      <c r="E37" s="6" t="str">
        <f t="shared" ref="E37:E50" si="1">"女"</f>
        <v>女</v>
      </c>
      <c r="F37" s="7" t="s">
        <v>569</v>
      </c>
    </row>
    <row r="38" spans="1:6" ht="20.100000000000001" customHeight="1" x14ac:dyDescent="0.15">
      <c r="A38" s="5">
        <v>35</v>
      </c>
      <c r="B38" s="6" t="str">
        <f>"30482021060116533665604"</f>
        <v>30482021060116533665604</v>
      </c>
      <c r="C38" s="6" t="s">
        <v>545</v>
      </c>
      <c r="D38" s="6" t="str">
        <f>"凡文菁"</f>
        <v>凡文菁</v>
      </c>
      <c r="E38" s="6" t="str">
        <f t="shared" si="1"/>
        <v>女</v>
      </c>
      <c r="F38" s="7" t="s">
        <v>32</v>
      </c>
    </row>
    <row r="39" spans="1:6" ht="20.100000000000001" customHeight="1" x14ac:dyDescent="0.15">
      <c r="A39" s="5">
        <v>36</v>
      </c>
      <c r="B39" s="6" t="str">
        <f>"30482021060117013265700"</f>
        <v>30482021060117013265700</v>
      </c>
      <c r="C39" s="6" t="s">
        <v>545</v>
      </c>
      <c r="D39" s="6" t="str">
        <f>"黄蕾"</f>
        <v>黄蕾</v>
      </c>
      <c r="E39" s="6" t="str">
        <f t="shared" si="1"/>
        <v>女</v>
      </c>
      <c r="F39" s="7" t="s">
        <v>570</v>
      </c>
    </row>
    <row r="40" spans="1:6" ht="20.100000000000001" customHeight="1" x14ac:dyDescent="0.15">
      <c r="A40" s="5">
        <v>37</v>
      </c>
      <c r="B40" s="6" t="str">
        <f>"30482021060117034465727"</f>
        <v>30482021060117034465727</v>
      </c>
      <c r="C40" s="6" t="s">
        <v>545</v>
      </c>
      <c r="D40" s="6" t="str">
        <f>"陈娇丽"</f>
        <v>陈娇丽</v>
      </c>
      <c r="E40" s="6" t="str">
        <f t="shared" si="1"/>
        <v>女</v>
      </c>
      <c r="F40" s="7" t="s">
        <v>137</v>
      </c>
    </row>
    <row r="41" spans="1:6" ht="20.100000000000001" customHeight="1" x14ac:dyDescent="0.15">
      <c r="A41" s="5">
        <v>38</v>
      </c>
      <c r="B41" s="6" t="str">
        <f>"30482021060117051565749"</f>
        <v>30482021060117051565749</v>
      </c>
      <c r="C41" s="6" t="s">
        <v>545</v>
      </c>
      <c r="D41" s="6" t="str">
        <f>"陈秋萍"</f>
        <v>陈秋萍</v>
      </c>
      <c r="E41" s="6" t="str">
        <f t="shared" si="1"/>
        <v>女</v>
      </c>
      <c r="F41" s="7" t="s">
        <v>571</v>
      </c>
    </row>
    <row r="42" spans="1:6" ht="20.100000000000001" customHeight="1" x14ac:dyDescent="0.15">
      <c r="A42" s="5">
        <v>39</v>
      </c>
      <c r="B42" s="6" t="str">
        <f>"30482021060117074365784"</f>
        <v>30482021060117074365784</v>
      </c>
      <c r="C42" s="6" t="s">
        <v>545</v>
      </c>
      <c r="D42" s="6" t="str">
        <f>"陈英选"</f>
        <v>陈英选</v>
      </c>
      <c r="E42" s="6" t="str">
        <f t="shared" si="1"/>
        <v>女</v>
      </c>
      <c r="F42" s="7" t="s">
        <v>572</v>
      </c>
    </row>
    <row r="43" spans="1:6" ht="20.100000000000001" customHeight="1" x14ac:dyDescent="0.15">
      <c r="A43" s="5">
        <v>40</v>
      </c>
      <c r="B43" s="6" t="str">
        <f>"30482021060117152965874"</f>
        <v>30482021060117152965874</v>
      </c>
      <c r="C43" s="6" t="s">
        <v>545</v>
      </c>
      <c r="D43" s="6" t="str">
        <f>"陈志美"</f>
        <v>陈志美</v>
      </c>
      <c r="E43" s="6" t="str">
        <f t="shared" si="1"/>
        <v>女</v>
      </c>
      <c r="F43" s="7" t="s">
        <v>573</v>
      </c>
    </row>
    <row r="44" spans="1:6" ht="20.100000000000001" customHeight="1" x14ac:dyDescent="0.15">
      <c r="A44" s="5">
        <v>41</v>
      </c>
      <c r="B44" s="6" t="str">
        <f>"30482021060117274966007"</f>
        <v>30482021060117274966007</v>
      </c>
      <c r="C44" s="6" t="s">
        <v>545</v>
      </c>
      <c r="D44" s="6" t="str">
        <f>"黄淑美"</f>
        <v>黄淑美</v>
      </c>
      <c r="E44" s="6" t="str">
        <f t="shared" si="1"/>
        <v>女</v>
      </c>
      <c r="F44" s="7" t="s">
        <v>574</v>
      </c>
    </row>
    <row r="45" spans="1:6" ht="20.100000000000001" customHeight="1" x14ac:dyDescent="0.15">
      <c r="A45" s="5">
        <v>42</v>
      </c>
      <c r="B45" s="6" t="str">
        <f>"30482021060117413966153"</f>
        <v>30482021060117413966153</v>
      </c>
      <c r="C45" s="6" t="s">
        <v>545</v>
      </c>
      <c r="D45" s="6" t="str">
        <f>"杨丽嘉"</f>
        <v>杨丽嘉</v>
      </c>
      <c r="E45" s="6" t="str">
        <f t="shared" si="1"/>
        <v>女</v>
      </c>
      <c r="F45" s="7" t="s">
        <v>575</v>
      </c>
    </row>
    <row r="46" spans="1:6" ht="20.100000000000001" customHeight="1" x14ac:dyDescent="0.15">
      <c r="A46" s="5">
        <v>43</v>
      </c>
      <c r="B46" s="6" t="str">
        <f>"30482021060117543666277"</f>
        <v>30482021060117543666277</v>
      </c>
      <c r="C46" s="6" t="s">
        <v>545</v>
      </c>
      <c r="D46" s="6" t="str">
        <f>"张妙"</f>
        <v>张妙</v>
      </c>
      <c r="E46" s="6" t="str">
        <f t="shared" si="1"/>
        <v>女</v>
      </c>
      <c r="F46" s="7" t="s">
        <v>160</v>
      </c>
    </row>
    <row r="47" spans="1:6" ht="20.100000000000001" customHeight="1" x14ac:dyDescent="0.15">
      <c r="A47" s="5">
        <v>44</v>
      </c>
      <c r="B47" s="6" t="str">
        <f>"30482021060118020266340"</f>
        <v>30482021060118020266340</v>
      </c>
      <c r="C47" s="6" t="s">
        <v>545</v>
      </c>
      <c r="D47" s="6" t="str">
        <f>" 张燕"</f>
        <v xml:space="preserve"> 张燕</v>
      </c>
      <c r="E47" s="6" t="str">
        <f t="shared" si="1"/>
        <v>女</v>
      </c>
      <c r="F47" s="7" t="s">
        <v>576</v>
      </c>
    </row>
    <row r="48" spans="1:6" ht="20.100000000000001" customHeight="1" x14ac:dyDescent="0.15">
      <c r="A48" s="5">
        <v>45</v>
      </c>
      <c r="B48" s="6" t="str">
        <f>"30482021060118070166384"</f>
        <v>30482021060118070166384</v>
      </c>
      <c r="C48" s="6" t="s">
        <v>545</v>
      </c>
      <c r="D48" s="6" t="str">
        <f>"陈方容"</f>
        <v>陈方容</v>
      </c>
      <c r="E48" s="6" t="str">
        <f t="shared" si="1"/>
        <v>女</v>
      </c>
      <c r="F48" s="7" t="s">
        <v>577</v>
      </c>
    </row>
    <row r="49" spans="1:6" ht="20.100000000000001" customHeight="1" x14ac:dyDescent="0.15">
      <c r="A49" s="5">
        <v>46</v>
      </c>
      <c r="B49" s="6" t="str">
        <f>"30482021060118375866638"</f>
        <v>30482021060118375866638</v>
      </c>
      <c r="C49" s="6" t="s">
        <v>545</v>
      </c>
      <c r="D49" s="6" t="str">
        <f>"洪丽红"</f>
        <v>洪丽红</v>
      </c>
      <c r="E49" s="6" t="str">
        <f t="shared" si="1"/>
        <v>女</v>
      </c>
      <c r="F49" s="7" t="s">
        <v>578</v>
      </c>
    </row>
    <row r="50" spans="1:6" ht="20.100000000000001" customHeight="1" x14ac:dyDescent="0.15">
      <c r="A50" s="5">
        <v>47</v>
      </c>
      <c r="B50" s="6" t="str">
        <f>"30482021060118481666711"</f>
        <v>30482021060118481666711</v>
      </c>
      <c r="C50" s="6" t="s">
        <v>545</v>
      </c>
      <c r="D50" s="6" t="str">
        <f>"林燕"</f>
        <v>林燕</v>
      </c>
      <c r="E50" s="6" t="str">
        <f t="shared" si="1"/>
        <v>女</v>
      </c>
      <c r="F50" s="7" t="s">
        <v>579</v>
      </c>
    </row>
    <row r="51" spans="1:6" ht="20.100000000000001" customHeight="1" x14ac:dyDescent="0.15">
      <c r="A51" s="5">
        <v>48</v>
      </c>
      <c r="B51" s="6" t="str">
        <f>"30482021060119071366869"</f>
        <v>30482021060119071366869</v>
      </c>
      <c r="C51" s="6" t="s">
        <v>545</v>
      </c>
      <c r="D51" s="6" t="str">
        <f>"王优"</f>
        <v>王优</v>
      </c>
      <c r="E51" s="6" t="str">
        <f>"男"</f>
        <v>男</v>
      </c>
      <c r="F51" s="7" t="s">
        <v>580</v>
      </c>
    </row>
    <row r="52" spans="1:6" ht="20.100000000000001" customHeight="1" x14ac:dyDescent="0.15">
      <c r="A52" s="5">
        <v>49</v>
      </c>
      <c r="B52" s="6" t="str">
        <f>"30482021060119344967060"</f>
        <v>30482021060119344967060</v>
      </c>
      <c r="C52" s="6" t="s">
        <v>545</v>
      </c>
      <c r="D52" s="6" t="str">
        <f>"王超"</f>
        <v>王超</v>
      </c>
      <c r="E52" s="6" t="str">
        <f>"男"</f>
        <v>男</v>
      </c>
      <c r="F52" s="7" t="s">
        <v>581</v>
      </c>
    </row>
    <row r="53" spans="1:6" ht="20.100000000000001" customHeight="1" x14ac:dyDescent="0.15">
      <c r="A53" s="5">
        <v>50</v>
      </c>
      <c r="B53" s="6" t="str">
        <f>"30482021060119362867071"</f>
        <v>30482021060119362867071</v>
      </c>
      <c r="C53" s="6" t="s">
        <v>545</v>
      </c>
      <c r="D53" s="6" t="str">
        <f>"刘海珍"</f>
        <v>刘海珍</v>
      </c>
      <c r="E53" s="6" t="str">
        <f t="shared" ref="E53:E69" si="2">"女"</f>
        <v>女</v>
      </c>
      <c r="F53" s="7" t="s">
        <v>449</v>
      </c>
    </row>
    <row r="54" spans="1:6" ht="20.100000000000001" customHeight="1" x14ac:dyDescent="0.15">
      <c r="A54" s="5">
        <v>51</v>
      </c>
      <c r="B54" s="6" t="str">
        <f>"30482021060120131067990"</f>
        <v>30482021060120131067990</v>
      </c>
      <c r="C54" s="6" t="s">
        <v>545</v>
      </c>
      <c r="D54" s="6" t="str">
        <f>"黄晓雯"</f>
        <v>黄晓雯</v>
      </c>
      <c r="E54" s="6" t="str">
        <f t="shared" si="2"/>
        <v>女</v>
      </c>
      <c r="F54" s="7" t="s">
        <v>479</v>
      </c>
    </row>
    <row r="55" spans="1:6" ht="20.100000000000001" customHeight="1" x14ac:dyDescent="0.15">
      <c r="A55" s="5">
        <v>52</v>
      </c>
      <c r="B55" s="6" t="str">
        <f>"30482021060120292568143"</f>
        <v>30482021060120292568143</v>
      </c>
      <c r="C55" s="6" t="s">
        <v>545</v>
      </c>
      <c r="D55" s="6" t="str">
        <f>"吴慧"</f>
        <v>吴慧</v>
      </c>
      <c r="E55" s="6" t="str">
        <f t="shared" si="2"/>
        <v>女</v>
      </c>
      <c r="F55" s="7" t="s">
        <v>553</v>
      </c>
    </row>
    <row r="56" spans="1:6" ht="20.100000000000001" customHeight="1" x14ac:dyDescent="0.15">
      <c r="A56" s="5">
        <v>53</v>
      </c>
      <c r="B56" s="6" t="str">
        <f>"30482021060120505568333"</f>
        <v>30482021060120505568333</v>
      </c>
      <c r="C56" s="6" t="s">
        <v>545</v>
      </c>
      <c r="D56" s="6" t="str">
        <f>"符克芳"</f>
        <v>符克芳</v>
      </c>
      <c r="E56" s="6" t="str">
        <f t="shared" si="2"/>
        <v>女</v>
      </c>
      <c r="F56" s="7" t="s">
        <v>555</v>
      </c>
    </row>
    <row r="57" spans="1:6" ht="20.100000000000001" customHeight="1" x14ac:dyDescent="0.15">
      <c r="A57" s="5">
        <v>54</v>
      </c>
      <c r="B57" s="6" t="str">
        <f>"30482021060121001468414"</f>
        <v>30482021060121001468414</v>
      </c>
      <c r="C57" s="6" t="s">
        <v>545</v>
      </c>
      <c r="D57" s="6" t="str">
        <f>"林如芳"</f>
        <v>林如芳</v>
      </c>
      <c r="E57" s="6" t="str">
        <f t="shared" si="2"/>
        <v>女</v>
      </c>
      <c r="F57" s="7" t="s">
        <v>582</v>
      </c>
    </row>
    <row r="58" spans="1:6" ht="20.100000000000001" customHeight="1" x14ac:dyDescent="0.15">
      <c r="A58" s="5">
        <v>55</v>
      </c>
      <c r="B58" s="6" t="str">
        <f>"30482021060121074068482"</f>
        <v>30482021060121074068482</v>
      </c>
      <c r="C58" s="6" t="s">
        <v>545</v>
      </c>
      <c r="D58" s="6" t="str">
        <f>"周舟"</f>
        <v>周舟</v>
      </c>
      <c r="E58" s="6" t="str">
        <f t="shared" si="2"/>
        <v>女</v>
      </c>
      <c r="F58" s="7" t="s">
        <v>583</v>
      </c>
    </row>
    <row r="59" spans="1:6" ht="20.100000000000001" customHeight="1" x14ac:dyDescent="0.15">
      <c r="A59" s="5">
        <v>56</v>
      </c>
      <c r="B59" s="6" t="str">
        <f>"30482021060121093968501"</f>
        <v>30482021060121093968501</v>
      </c>
      <c r="C59" s="6" t="s">
        <v>545</v>
      </c>
      <c r="D59" s="6" t="str">
        <f>"林艳"</f>
        <v>林艳</v>
      </c>
      <c r="E59" s="6" t="str">
        <f t="shared" si="2"/>
        <v>女</v>
      </c>
      <c r="F59" s="7" t="s">
        <v>584</v>
      </c>
    </row>
    <row r="60" spans="1:6" ht="20.100000000000001" customHeight="1" x14ac:dyDescent="0.15">
      <c r="A60" s="5">
        <v>57</v>
      </c>
      <c r="B60" s="6" t="str">
        <f>"30482021060121104768510"</f>
        <v>30482021060121104768510</v>
      </c>
      <c r="C60" s="6" t="s">
        <v>545</v>
      </c>
      <c r="D60" s="6" t="str">
        <f>"郑玲玲"</f>
        <v>郑玲玲</v>
      </c>
      <c r="E60" s="6" t="str">
        <f t="shared" si="2"/>
        <v>女</v>
      </c>
      <c r="F60" s="7" t="s">
        <v>585</v>
      </c>
    </row>
    <row r="61" spans="1:6" ht="20.100000000000001" customHeight="1" x14ac:dyDescent="0.15">
      <c r="A61" s="5">
        <v>58</v>
      </c>
      <c r="B61" s="6" t="str">
        <f>"30482021060121104968511"</f>
        <v>30482021060121104968511</v>
      </c>
      <c r="C61" s="6" t="s">
        <v>545</v>
      </c>
      <c r="D61" s="6" t="str">
        <f>"陈莉香"</f>
        <v>陈莉香</v>
      </c>
      <c r="E61" s="6" t="str">
        <f t="shared" si="2"/>
        <v>女</v>
      </c>
      <c r="F61" s="7" t="s">
        <v>586</v>
      </c>
    </row>
    <row r="62" spans="1:6" ht="20.100000000000001" customHeight="1" x14ac:dyDescent="0.15">
      <c r="A62" s="5">
        <v>59</v>
      </c>
      <c r="B62" s="6" t="str">
        <f>"30482021060121153268556"</f>
        <v>30482021060121153268556</v>
      </c>
      <c r="C62" s="6" t="s">
        <v>545</v>
      </c>
      <c r="D62" s="6" t="str">
        <f>"羊春源"</f>
        <v>羊春源</v>
      </c>
      <c r="E62" s="6" t="str">
        <f t="shared" si="2"/>
        <v>女</v>
      </c>
      <c r="F62" s="7" t="s">
        <v>587</v>
      </c>
    </row>
    <row r="63" spans="1:6" ht="20.100000000000001" customHeight="1" x14ac:dyDescent="0.15">
      <c r="A63" s="5">
        <v>60</v>
      </c>
      <c r="B63" s="6" t="str">
        <f>"30482021060121243968631"</f>
        <v>30482021060121243968631</v>
      </c>
      <c r="C63" s="6" t="s">
        <v>545</v>
      </c>
      <c r="D63" s="6" t="str">
        <f>"郑榆菲"</f>
        <v>郑榆菲</v>
      </c>
      <c r="E63" s="6" t="str">
        <f t="shared" si="2"/>
        <v>女</v>
      </c>
      <c r="F63" s="7" t="s">
        <v>195</v>
      </c>
    </row>
    <row r="64" spans="1:6" ht="20.100000000000001" customHeight="1" x14ac:dyDescent="0.15">
      <c r="A64" s="5">
        <v>61</v>
      </c>
      <c r="B64" s="6" t="str">
        <f>"30482021060121381569399"</f>
        <v>30482021060121381569399</v>
      </c>
      <c r="C64" s="6" t="s">
        <v>545</v>
      </c>
      <c r="D64" s="6" t="str">
        <f>"唐小花"</f>
        <v>唐小花</v>
      </c>
      <c r="E64" s="6" t="str">
        <f t="shared" si="2"/>
        <v>女</v>
      </c>
      <c r="F64" s="7" t="s">
        <v>566</v>
      </c>
    </row>
    <row r="65" spans="1:6" ht="20.100000000000001" customHeight="1" x14ac:dyDescent="0.15">
      <c r="A65" s="5">
        <v>62</v>
      </c>
      <c r="B65" s="6" t="str">
        <f>"30482021060121394869414"</f>
        <v>30482021060121394869414</v>
      </c>
      <c r="C65" s="6" t="s">
        <v>545</v>
      </c>
      <c r="D65" s="6" t="str">
        <f>"陈娜"</f>
        <v>陈娜</v>
      </c>
      <c r="E65" s="6" t="str">
        <f t="shared" si="2"/>
        <v>女</v>
      </c>
      <c r="F65" s="7" t="s">
        <v>409</v>
      </c>
    </row>
    <row r="66" spans="1:6" ht="20.100000000000001" customHeight="1" x14ac:dyDescent="0.15">
      <c r="A66" s="5">
        <v>63</v>
      </c>
      <c r="B66" s="6" t="str">
        <f>"30482021060122200369786"</f>
        <v>30482021060122200369786</v>
      </c>
      <c r="C66" s="6" t="s">
        <v>545</v>
      </c>
      <c r="D66" s="6" t="str">
        <f>"洪小月"</f>
        <v>洪小月</v>
      </c>
      <c r="E66" s="6" t="str">
        <f t="shared" si="2"/>
        <v>女</v>
      </c>
      <c r="F66" s="7" t="s">
        <v>179</v>
      </c>
    </row>
    <row r="67" spans="1:6" ht="20.100000000000001" customHeight="1" x14ac:dyDescent="0.15">
      <c r="A67" s="5">
        <v>64</v>
      </c>
      <c r="B67" s="6" t="str">
        <f>"30482021060122444070010"</f>
        <v>30482021060122444070010</v>
      </c>
      <c r="C67" s="6" t="s">
        <v>545</v>
      </c>
      <c r="D67" s="6" t="str">
        <f>"郁星星"</f>
        <v>郁星星</v>
      </c>
      <c r="E67" s="6" t="str">
        <f t="shared" si="2"/>
        <v>女</v>
      </c>
      <c r="F67" s="7" t="s">
        <v>588</v>
      </c>
    </row>
    <row r="68" spans="1:6" ht="20.100000000000001" customHeight="1" x14ac:dyDescent="0.15">
      <c r="A68" s="5">
        <v>65</v>
      </c>
      <c r="B68" s="6" t="str">
        <f>"30482021060122480670028"</f>
        <v>30482021060122480670028</v>
      </c>
      <c r="C68" s="6" t="s">
        <v>545</v>
      </c>
      <c r="D68" s="6" t="str">
        <f>"陈莲花"</f>
        <v>陈莲花</v>
      </c>
      <c r="E68" s="6" t="str">
        <f t="shared" si="2"/>
        <v>女</v>
      </c>
      <c r="F68" s="7" t="s">
        <v>589</v>
      </c>
    </row>
    <row r="69" spans="1:6" ht="20.100000000000001" customHeight="1" x14ac:dyDescent="0.15">
      <c r="A69" s="5">
        <v>66</v>
      </c>
      <c r="B69" s="6" t="str">
        <f>"30482021060123362570298"</f>
        <v>30482021060123362570298</v>
      </c>
      <c r="C69" s="6" t="s">
        <v>545</v>
      </c>
      <c r="D69" s="6" t="str">
        <f>"陈荟妃"</f>
        <v>陈荟妃</v>
      </c>
      <c r="E69" s="6" t="str">
        <f t="shared" si="2"/>
        <v>女</v>
      </c>
      <c r="F69" s="7" t="s">
        <v>207</v>
      </c>
    </row>
    <row r="70" spans="1:6" ht="20.100000000000001" customHeight="1" x14ac:dyDescent="0.15">
      <c r="A70" s="5">
        <v>67</v>
      </c>
      <c r="B70" s="6" t="str">
        <f>"30482021060123543570352"</f>
        <v>30482021060123543570352</v>
      </c>
      <c r="C70" s="6" t="s">
        <v>545</v>
      </c>
      <c r="D70" s="6" t="str">
        <f>"徐伟强"</f>
        <v>徐伟强</v>
      </c>
      <c r="E70" s="6" t="str">
        <f>"男"</f>
        <v>男</v>
      </c>
      <c r="F70" s="7" t="s">
        <v>590</v>
      </c>
    </row>
    <row r="71" spans="1:6" ht="20.100000000000001" customHeight="1" x14ac:dyDescent="0.15">
      <c r="A71" s="5">
        <v>68</v>
      </c>
      <c r="B71" s="6" t="str">
        <f>"30482021060207410770630"</f>
        <v>30482021060207410770630</v>
      </c>
      <c r="C71" s="6" t="s">
        <v>545</v>
      </c>
      <c r="D71" s="6" t="str">
        <f>"孙燕娜"</f>
        <v>孙燕娜</v>
      </c>
      <c r="E71" s="6" t="str">
        <f t="shared" ref="E71:E98" si="3">"女"</f>
        <v>女</v>
      </c>
      <c r="F71" s="7" t="s">
        <v>591</v>
      </c>
    </row>
    <row r="72" spans="1:6" ht="20.100000000000001" customHeight="1" x14ac:dyDescent="0.15">
      <c r="A72" s="5">
        <v>69</v>
      </c>
      <c r="B72" s="6" t="str">
        <f>"30482021060207421570633"</f>
        <v>30482021060207421570633</v>
      </c>
      <c r="C72" s="6" t="s">
        <v>545</v>
      </c>
      <c r="D72" s="6" t="str">
        <f>"赵彩丹"</f>
        <v>赵彩丹</v>
      </c>
      <c r="E72" s="6" t="str">
        <f t="shared" si="3"/>
        <v>女</v>
      </c>
      <c r="F72" s="7" t="s">
        <v>592</v>
      </c>
    </row>
    <row r="73" spans="1:6" ht="20.100000000000001" customHeight="1" x14ac:dyDescent="0.15">
      <c r="A73" s="5">
        <v>70</v>
      </c>
      <c r="B73" s="6" t="str">
        <f>"30482021060208130670734"</f>
        <v>30482021060208130670734</v>
      </c>
      <c r="C73" s="6" t="s">
        <v>545</v>
      </c>
      <c r="D73" s="6" t="str">
        <f>"张是语"</f>
        <v>张是语</v>
      </c>
      <c r="E73" s="6" t="str">
        <f t="shared" si="3"/>
        <v>女</v>
      </c>
      <c r="F73" s="7" t="s">
        <v>299</v>
      </c>
    </row>
    <row r="74" spans="1:6" ht="20.100000000000001" customHeight="1" x14ac:dyDescent="0.15">
      <c r="A74" s="5">
        <v>71</v>
      </c>
      <c r="B74" s="6" t="str">
        <f>"30482021060208143370739"</f>
        <v>30482021060208143370739</v>
      </c>
      <c r="C74" s="6" t="s">
        <v>545</v>
      </c>
      <c r="D74" s="6" t="str">
        <f>"吴金琼"</f>
        <v>吴金琼</v>
      </c>
      <c r="E74" s="6" t="str">
        <f t="shared" si="3"/>
        <v>女</v>
      </c>
      <c r="F74" s="7" t="s">
        <v>479</v>
      </c>
    </row>
    <row r="75" spans="1:6" ht="20.100000000000001" customHeight="1" x14ac:dyDescent="0.15">
      <c r="A75" s="5">
        <v>72</v>
      </c>
      <c r="B75" s="6" t="str">
        <f>"30482021060208214070785"</f>
        <v>30482021060208214070785</v>
      </c>
      <c r="C75" s="6" t="s">
        <v>545</v>
      </c>
      <c r="D75" s="6" t="str">
        <f>"姜小莉"</f>
        <v>姜小莉</v>
      </c>
      <c r="E75" s="6" t="str">
        <f t="shared" si="3"/>
        <v>女</v>
      </c>
      <c r="F75" s="7" t="s">
        <v>593</v>
      </c>
    </row>
    <row r="76" spans="1:6" ht="20.100000000000001" customHeight="1" x14ac:dyDescent="0.15">
      <c r="A76" s="5">
        <v>73</v>
      </c>
      <c r="B76" s="6" t="str">
        <f>"30482021060208460370984"</f>
        <v>30482021060208460370984</v>
      </c>
      <c r="C76" s="6" t="s">
        <v>545</v>
      </c>
      <c r="D76" s="6" t="str">
        <f>"林永教"</f>
        <v>林永教</v>
      </c>
      <c r="E76" s="6" t="str">
        <f t="shared" si="3"/>
        <v>女</v>
      </c>
      <c r="F76" s="7" t="s">
        <v>594</v>
      </c>
    </row>
    <row r="77" spans="1:6" ht="20.100000000000001" customHeight="1" x14ac:dyDescent="0.15">
      <c r="A77" s="5">
        <v>74</v>
      </c>
      <c r="B77" s="6" t="str">
        <f>"30482021060209002371120"</f>
        <v>30482021060209002371120</v>
      </c>
      <c r="C77" s="6" t="s">
        <v>545</v>
      </c>
      <c r="D77" s="6" t="str">
        <f>"关江盈"</f>
        <v>关江盈</v>
      </c>
      <c r="E77" s="6" t="str">
        <f t="shared" si="3"/>
        <v>女</v>
      </c>
      <c r="F77" s="7" t="s">
        <v>595</v>
      </c>
    </row>
    <row r="78" spans="1:6" ht="20.100000000000001" customHeight="1" x14ac:dyDescent="0.15">
      <c r="A78" s="5">
        <v>75</v>
      </c>
      <c r="B78" s="6" t="str">
        <f>"30482021060209142971269"</f>
        <v>30482021060209142971269</v>
      </c>
      <c r="C78" s="6" t="s">
        <v>545</v>
      </c>
      <c r="D78" s="6" t="str">
        <f>"周富"</f>
        <v>周富</v>
      </c>
      <c r="E78" s="6" t="str">
        <f t="shared" si="3"/>
        <v>女</v>
      </c>
      <c r="F78" s="7" t="s">
        <v>596</v>
      </c>
    </row>
    <row r="79" spans="1:6" ht="20.100000000000001" customHeight="1" x14ac:dyDescent="0.15">
      <c r="A79" s="5">
        <v>76</v>
      </c>
      <c r="B79" s="6" t="str">
        <f>"30482021060209180371312"</f>
        <v>30482021060209180371312</v>
      </c>
      <c r="C79" s="6" t="s">
        <v>545</v>
      </c>
      <c r="D79" s="6" t="str">
        <f>"王莉"</f>
        <v>王莉</v>
      </c>
      <c r="E79" s="6" t="str">
        <f t="shared" si="3"/>
        <v>女</v>
      </c>
      <c r="F79" s="7" t="s">
        <v>597</v>
      </c>
    </row>
    <row r="80" spans="1:6" ht="20.100000000000001" customHeight="1" x14ac:dyDescent="0.15">
      <c r="A80" s="5">
        <v>77</v>
      </c>
      <c r="B80" s="6" t="str">
        <f>"30482021060209355071523"</f>
        <v>30482021060209355071523</v>
      </c>
      <c r="C80" s="6" t="s">
        <v>545</v>
      </c>
      <c r="D80" s="6" t="str">
        <f>"陈茵茵"</f>
        <v>陈茵茵</v>
      </c>
      <c r="E80" s="6" t="str">
        <f t="shared" si="3"/>
        <v>女</v>
      </c>
      <c r="F80" s="7" t="s">
        <v>334</v>
      </c>
    </row>
    <row r="81" spans="1:6" ht="20.100000000000001" customHeight="1" x14ac:dyDescent="0.15">
      <c r="A81" s="5">
        <v>78</v>
      </c>
      <c r="B81" s="6" t="str">
        <f>"30482021060210042971920"</f>
        <v>30482021060210042971920</v>
      </c>
      <c r="C81" s="6" t="s">
        <v>545</v>
      </c>
      <c r="D81" s="6" t="str">
        <f>"王海珊"</f>
        <v>王海珊</v>
      </c>
      <c r="E81" s="6" t="str">
        <f t="shared" si="3"/>
        <v>女</v>
      </c>
      <c r="F81" s="7" t="s">
        <v>401</v>
      </c>
    </row>
    <row r="82" spans="1:6" ht="20.100000000000001" customHeight="1" x14ac:dyDescent="0.15">
      <c r="A82" s="5">
        <v>79</v>
      </c>
      <c r="B82" s="6" t="str">
        <f>"30482021060210115972011"</f>
        <v>30482021060210115972011</v>
      </c>
      <c r="C82" s="6" t="s">
        <v>545</v>
      </c>
      <c r="D82" s="6" t="str">
        <f>"陈小霞"</f>
        <v>陈小霞</v>
      </c>
      <c r="E82" s="6" t="str">
        <f t="shared" si="3"/>
        <v>女</v>
      </c>
      <c r="F82" s="7" t="s">
        <v>598</v>
      </c>
    </row>
    <row r="83" spans="1:6" ht="20.100000000000001" customHeight="1" x14ac:dyDescent="0.15">
      <c r="A83" s="5">
        <v>80</v>
      </c>
      <c r="B83" s="6" t="str">
        <f>"30482021060210133872033"</f>
        <v>30482021060210133872033</v>
      </c>
      <c r="C83" s="6" t="s">
        <v>545</v>
      </c>
      <c r="D83" s="6" t="str">
        <f>"吴云"</f>
        <v>吴云</v>
      </c>
      <c r="E83" s="6" t="str">
        <f t="shared" si="3"/>
        <v>女</v>
      </c>
      <c r="F83" s="7" t="s">
        <v>463</v>
      </c>
    </row>
    <row r="84" spans="1:6" ht="20.100000000000001" customHeight="1" x14ac:dyDescent="0.15">
      <c r="A84" s="5">
        <v>81</v>
      </c>
      <c r="B84" s="6" t="str">
        <f>"30482021060210540272592"</f>
        <v>30482021060210540272592</v>
      </c>
      <c r="C84" s="6" t="s">
        <v>545</v>
      </c>
      <c r="D84" s="6" t="str">
        <f>"王棉"</f>
        <v>王棉</v>
      </c>
      <c r="E84" s="6" t="str">
        <f t="shared" si="3"/>
        <v>女</v>
      </c>
      <c r="F84" s="7" t="s">
        <v>401</v>
      </c>
    </row>
    <row r="85" spans="1:6" ht="20.100000000000001" customHeight="1" x14ac:dyDescent="0.15">
      <c r="A85" s="5">
        <v>82</v>
      </c>
      <c r="B85" s="6" t="str">
        <f>"30482021060210572572636"</f>
        <v>30482021060210572572636</v>
      </c>
      <c r="C85" s="6" t="s">
        <v>545</v>
      </c>
      <c r="D85" s="6" t="str">
        <f>"许文雅"</f>
        <v>许文雅</v>
      </c>
      <c r="E85" s="6" t="str">
        <f t="shared" si="3"/>
        <v>女</v>
      </c>
      <c r="F85" s="7" t="s">
        <v>599</v>
      </c>
    </row>
    <row r="86" spans="1:6" ht="20.100000000000001" customHeight="1" x14ac:dyDescent="0.15">
      <c r="A86" s="5">
        <v>83</v>
      </c>
      <c r="B86" s="6" t="str">
        <f>"30482021060211101572789"</f>
        <v>30482021060211101572789</v>
      </c>
      <c r="C86" s="6" t="s">
        <v>545</v>
      </c>
      <c r="D86" s="6" t="str">
        <f>"李秋燕"</f>
        <v>李秋燕</v>
      </c>
      <c r="E86" s="6" t="str">
        <f t="shared" si="3"/>
        <v>女</v>
      </c>
      <c r="F86" s="7" t="s">
        <v>600</v>
      </c>
    </row>
    <row r="87" spans="1:6" ht="20.100000000000001" customHeight="1" x14ac:dyDescent="0.15">
      <c r="A87" s="5">
        <v>84</v>
      </c>
      <c r="B87" s="6" t="str">
        <f>"30482021060211133472824"</f>
        <v>30482021060211133472824</v>
      </c>
      <c r="C87" s="6" t="s">
        <v>545</v>
      </c>
      <c r="D87" s="6" t="str">
        <f>"汪艳婷"</f>
        <v>汪艳婷</v>
      </c>
      <c r="E87" s="6" t="str">
        <f t="shared" si="3"/>
        <v>女</v>
      </c>
      <c r="F87" s="7" t="s">
        <v>601</v>
      </c>
    </row>
    <row r="88" spans="1:6" ht="20.100000000000001" customHeight="1" x14ac:dyDescent="0.15">
      <c r="A88" s="5">
        <v>85</v>
      </c>
      <c r="B88" s="6" t="str">
        <f>"30482021060212182073408"</f>
        <v>30482021060212182073408</v>
      </c>
      <c r="C88" s="6" t="s">
        <v>545</v>
      </c>
      <c r="D88" s="6" t="str">
        <f>"谢浩玲"</f>
        <v>谢浩玲</v>
      </c>
      <c r="E88" s="6" t="str">
        <f t="shared" si="3"/>
        <v>女</v>
      </c>
      <c r="F88" s="7" t="s">
        <v>602</v>
      </c>
    </row>
    <row r="89" spans="1:6" ht="20.100000000000001" customHeight="1" x14ac:dyDescent="0.15">
      <c r="A89" s="5">
        <v>86</v>
      </c>
      <c r="B89" s="6" t="str">
        <f>"30482021060212421473642"</f>
        <v>30482021060212421473642</v>
      </c>
      <c r="C89" s="6" t="s">
        <v>545</v>
      </c>
      <c r="D89" s="6" t="str">
        <f>"李攀"</f>
        <v>李攀</v>
      </c>
      <c r="E89" s="6" t="str">
        <f t="shared" si="3"/>
        <v>女</v>
      </c>
      <c r="F89" s="7" t="s">
        <v>603</v>
      </c>
    </row>
    <row r="90" spans="1:6" ht="20.100000000000001" customHeight="1" x14ac:dyDescent="0.15">
      <c r="A90" s="5">
        <v>87</v>
      </c>
      <c r="B90" s="6" t="str">
        <f>"30482021060212541673729"</f>
        <v>30482021060212541673729</v>
      </c>
      <c r="C90" s="6" t="s">
        <v>545</v>
      </c>
      <c r="D90" s="6" t="str">
        <f>"林先容"</f>
        <v>林先容</v>
      </c>
      <c r="E90" s="6" t="str">
        <f t="shared" si="3"/>
        <v>女</v>
      </c>
      <c r="F90" s="7" t="s">
        <v>604</v>
      </c>
    </row>
    <row r="91" spans="1:6" ht="20.100000000000001" customHeight="1" x14ac:dyDescent="0.15">
      <c r="A91" s="5">
        <v>88</v>
      </c>
      <c r="B91" s="6" t="str">
        <f>"30482021060213064373830"</f>
        <v>30482021060213064373830</v>
      </c>
      <c r="C91" s="6" t="s">
        <v>545</v>
      </c>
      <c r="D91" s="6" t="str">
        <f>"朱美丽"</f>
        <v>朱美丽</v>
      </c>
      <c r="E91" s="6" t="str">
        <f t="shared" si="3"/>
        <v>女</v>
      </c>
      <c r="F91" s="7" t="s">
        <v>605</v>
      </c>
    </row>
    <row r="92" spans="1:6" ht="20.100000000000001" customHeight="1" x14ac:dyDescent="0.15">
      <c r="A92" s="5">
        <v>89</v>
      </c>
      <c r="B92" s="6" t="str">
        <f>"30482021060213122973874"</f>
        <v>30482021060213122973874</v>
      </c>
      <c r="C92" s="6" t="s">
        <v>545</v>
      </c>
      <c r="D92" s="6" t="str">
        <f>"高佩玲"</f>
        <v>高佩玲</v>
      </c>
      <c r="E92" s="6" t="str">
        <f t="shared" si="3"/>
        <v>女</v>
      </c>
      <c r="F92" s="7" t="s">
        <v>606</v>
      </c>
    </row>
    <row r="93" spans="1:6" ht="20.100000000000001" customHeight="1" x14ac:dyDescent="0.15">
      <c r="A93" s="5">
        <v>90</v>
      </c>
      <c r="B93" s="6" t="str">
        <f>"30482021060213342274025"</f>
        <v>30482021060213342274025</v>
      </c>
      <c r="C93" s="6" t="s">
        <v>545</v>
      </c>
      <c r="D93" s="6" t="str">
        <f>"王玉香"</f>
        <v>王玉香</v>
      </c>
      <c r="E93" s="6" t="str">
        <f t="shared" si="3"/>
        <v>女</v>
      </c>
      <c r="F93" s="7" t="s">
        <v>190</v>
      </c>
    </row>
    <row r="94" spans="1:6" ht="20.100000000000001" customHeight="1" x14ac:dyDescent="0.15">
      <c r="A94" s="5">
        <v>91</v>
      </c>
      <c r="B94" s="6" t="str">
        <f>"30482021060214382774382"</f>
        <v>30482021060214382774382</v>
      </c>
      <c r="C94" s="6" t="s">
        <v>545</v>
      </c>
      <c r="D94" s="6" t="str">
        <f>"杜丽佳"</f>
        <v>杜丽佳</v>
      </c>
      <c r="E94" s="6" t="str">
        <f t="shared" si="3"/>
        <v>女</v>
      </c>
      <c r="F94" s="7" t="s">
        <v>552</v>
      </c>
    </row>
    <row r="95" spans="1:6" ht="20.100000000000001" customHeight="1" x14ac:dyDescent="0.15">
      <c r="A95" s="5">
        <v>92</v>
      </c>
      <c r="B95" s="6" t="str">
        <f>"30482021060215030374608"</f>
        <v>30482021060215030374608</v>
      </c>
      <c r="C95" s="6" t="s">
        <v>545</v>
      </c>
      <c r="D95" s="6" t="str">
        <f>"许月春"</f>
        <v>许月春</v>
      </c>
      <c r="E95" s="6" t="str">
        <f t="shared" si="3"/>
        <v>女</v>
      </c>
      <c r="F95" s="7" t="s">
        <v>607</v>
      </c>
    </row>
    <row r="96" spans="1:6" ht="20.100000000000001" customHeight="1" x14ac:dyDescent="0.15">
      <c r="A96" s="5">
        <v>93</v>
      </c>
      <c r="B96" s="6" t="str">
        <f>"30482021060215261274850"</f>
        <v>30482021060215261274850</v>
      </c>
      <c r="C96" s="6" t="s">
        <v>545</v>
      </c>
      <c r="D96" s="6" t="str">
        <f>"陈亿娜"</f>
        <v>陈亿娜</v>
      </c>
      <c r="E96" s="6" t="str">
        <f t="shared" si="3"/>
        <v>女</v>
      </c>
      <c r="F96" s="7" t="s">
        <v>608</v>
      </c>
    </row>
    <row r="97" spans="1:6" ht="20.100000000000001" customHeight="1" x14ac:dyDescent="0.15">
      <c r="A97" s="5">
        <v>94</v>
      </c>
      <c r="B97" s="6" t="str">
        <f>"30482021060215435775064"</f>
        <v>30482021060215435775064</v>
      </c>
      <c r="C97" s="6" t="s">
        <v>545</v>
      </c>
      <c r="D97" s="6" t="str">
        <f>"吴伟花"</f>
        <v>吴伟花</v>
      </c>
      <c r="E97" s="6" t="str">
        <f t="shared" si="3"/>
        <v>女</v>
      </c>
      <c r="F97" s="7" t="s">
        <v>609</v>
      </c>
    </row>
    <row r="98" spans="1:6" ht="20.100000000000001" customHeight="1" x14ac:dyDescent="0.15">
      <c r="A98" s="5">
        <v>95</v>
      </c>
      <c r="B98" s="6" t="str">
        <f>"30482021060216171875419"</f>
        <v>30482021060216171875419</v>
      </c>
      <c r="C98" s="6" t="s">
        <v>545</v>
      </c>
      <c r="D98" s="6" t="str">
        <f>"云丹雨"</f>
        <v>云丹雨</v>
      </c>
      <c r="E98" s="6" t="str">
        <f t="shared" si="3"/>
        <v>女</v>
      </c>
      <c r="F98" s="7" t="s">
        <v>610</v>
      </c>
    </row>
    <row r="99" spans="1:6" ht="20.100000000000001" customHeight="1" x14ac:dyDescent="0.15">
      <c r="A99" s="5">
        <v>96</v>
      </c>
      <c r="B99" s="6" t="str">
        <f>"30482021060216280975516"</f>
        <v>30482021060216280975516</v>
      </c>
      <c r="C99" s="6" t="s">
        <v>545</v>
      </c>
      <c r="D99" s="6" t="str">
        <f>"陈元冲"</f>
        <v>陈元冲</v>
      </c>
      <c r="E99" s="6" t="str">
        <f>"男"</f>
        <v>男</v>
      </c>
      <c r="F99" s="7" t="s">
        <v>611</v>
      </c>
    </row>
    <row r="100" spans="1:6" ht="20.100000000000001" customHeight="1" x14ac:dyDescent="0.15">
      <c r="A100" s="5">
        <v>97</v>
      </c>
      <c r="B100" s="6" t="str">
        <f>"30482021060217191076012"</f>
        <v>30482021060217191076012</v>
      </c>
      <c r="C100" s="6" t="s">
        <v>545</v>
      </c>
      <c r="D100" s="6" t="str">
        <f>"陈汉玉"</f>
        <v>陈汉玉</v>
      </c>
      <c r="E100" s="6" t="str">
        <f t="shared" ref="E100:E117" si="4">"女"</f>
        <v>女</v>
      </c>
      <c r="F100" s="7" t="s">
        <v>612</v>
      </c>
    </row>
    <row r="101" spans="1:6" ht="20.100000000000001" customHeight="1" x14ac:dyDescent="0.15">
      <c r="A101" s="5">
        <v>98</v>
      </c>
      <c r="B101" s="6" t="str">
        <f>"30482021060217323776121"</f>
        <v>30482021060217323776121</v>
      </c>
      <c r="C101" s="6" t="s">
        <v>545</v>
      </c>
      <c r="D101" s="6" t="str">
        <f>"陈春燕"</f>
        <v>陈春燕</v>
      </c>
      <c r="E101" s="6" t="str">
        <f t="shared" si="4"/>
        <v>女</v>
      </c>
      <c r="F101" s="7" t="s">
        <v>613</v>
      </c>
    </row>
    <row r="102" spans="1:6" ht="20.100000000000001" customHeight="1" x14ac:dyDescent="0.15">
      <c r="A102" s="5">
        <v>99</v>
      </c>
      <c r="B102" s="6" t="str">
        <f>"30482021060217491076245"</f>
        <v>30482021060217491076245</v>
      </c>
      <c r="C102" s="6" t="s">
        <v>545</v>
      </c>
      <c r="D102" s="6" t="str">
        <f>"王初乾"</f>
        <v>王初乾</v>
      </c>
      <c r="E102" s="6" t="str">
        <f t="shared" si="4"/>
        <v>女</v>
      </c>
      <c r="F102" s="7" t="s">
        <v>141</v>
      </c>
    </row>
    <row r="103" spans="1:6" ht="20.100000000000001" customHeight="1" x14ac:dyDescent="0.15">
      <c r="A103" s="5">
        <v>100</v>
      </c>
      <c r="B103" s="6" t="str">
        <f>"30482021060218185076458"</f>
        <v>30482021060218185076458</v>
      </c>
      <c r="C103" s="6" t="s">
        <v>545</v>
      </c>
      <c r="D103" s="6" t="str">
        <f>"冯才颜"</f>
        <v>冯才颜</v>
      </c>
      <c r="E103" s="6" t="str">
        <f t="shared" si="4"/>
        <v>女</v>
      </c>
      <c r="F103" s="7" t="s">
        <v>614</v>
      </c>
    </row>
    <row r="104" spans="1:6" ht="20.100000000000001" customHeight="1" x14ac:dyDescent="0.15">
      <c r="A104" s="5">
        <v>101</v>
      </c>
      <c r="B104" s="6" t="str">
        <f>"30482021060218334076567"</f>
        <v>30482021060218334076567</v>
      </c>
      <c r="C104" s="6" t="s">
        <v>545</v>
      </c>
      <c r="D104" s="6" t="str">
        <f>"陈青霞"</f>
        <v>陈青霞</v>
      </c>
      <c r="E104" s="6" t="str">
        <f t="shared" si="4"/>
        <v>女</v>
      </c>
      <c r="F104" s="7" t="s">
        <v>615</v>
      </c>
    </row>
    <row r="105" spans="1:6" ht="20.100000000000001" customHeight="1" x14ac:dyDescent="0.15">
      <c r="A105" s="5">
        <v>102</v>
      </c>
      <c r="B105" s="6" t="str">
        <f>"30482021060219142776832"</f>
        <v>30482021060219142776832</v>
      </c>
      <c r="C105" s="6" t="s">
        <v>545</v>
      </c>
      <c r="D105" s="6" t="str">
        <f>"王誉蓉"</f>
        <v>王誉蓉</v>
      </c>
      <c r="E105" s="6" t="str">
        <f t="shared" si="4"/>
        <v>女</v>
      </c>
      <c r="F105" s="7" t="s">
        <v>436</v>
      </c>
    </row>
    <row r="106" spans="1:6" ht="20.100000000000001" customHeight="1" x14ac:dyDescent="0.15">
      <c r="A106" s="5">
        <v>103</v>
      </c>
      <c r="B106" s="6" t="str">
        <f>"30482021060219301176943"</f>
        <v>30482021060219301176943</v>
      </c>
      <c r="C106" s="6" t="s">
        <v>545</v>
      </c>
      <c r="D106" s="6" t="str">
        <f>"文丽珍"</f>
        <v>文丽珍</v>
      </c>
      <c r="E106" s="6" t="str">
        <f t="shared" si="4"/>
        <v>女</v>
      </c>
      <c r="F106" s="7" t="s">
        <v>616</v>
      </c>
    </row>
    <row r="107" spans="1:6" ht="20.100000000000001" customHeight="1" x14ac:dyDescent="0.15">
      <c r="A107" s="5">
        <v>104</v>
      </c>
      <c r="B107" s="6" t="str">
        <f>"30482021060220074677250"</f>
        <v>30482021060220074677250</v>
      </c>
      <c r="C107" s="6" t="s">
        <v>545</v>
      </c>
      <c r="D107" s="6" t="str">
        <f>"林珠珠"</f>
        <v>林珠珠</v>
      </c>
      <c r="E107" s="6" t="str">
        <f t="shared" si="4"/>
        <v>女</v>
      </c>
      <c r="F107" s="7" t="s">
        <v>43</v>
      </c>
    </row>
    <row r="108" spans="1:6" ht="20.100000000000001" customHeight="1" x14ac:dyDescent="0.15">
      <c r="A108" s="5">
        <v>105</v>
      </c>
      <c r="B108" s="6" t="str">
        <f>"30482021060221160277839"</f>
        <v>30482021060221160277839</v>
      </c>
      <c r="C108" s="6" t="s">
        <v>545</v>
      </c>
      <c r="D108" s="6" t="str">
        <f>"潘泉欣"</f>
        <v>潘泉欣</v>
      </c>
      <c r="E108" s="6" t="str">
        <f t="shared" si="4"/>
        <v>女</v>
      </c>
      <c r="F108" s="7" t="s">
        <v>617</v>
      </c>
    </row>
    <row r="109" spans="1:6" ht="20.100000000000001" customHeight="1" x14ac:dyDescent="0.15">
      <c r="A109" s="5">
        <v>106</v>
      </c>
      <c r="B109" s="6" t="str">
        <f>"30482021060221263877934"</f>
        <v>30482021060221263877934</v>
      </c>
      <c r="C109" s="6" t="s">
        <v>545</v>
      </c>
      <c r="D109" s="6" t="str">
        <f>"叶玉会"</f>
        <v>叶玉会</v>
      </c>
      <c r="E109" s="6" t="str">
        <f t="shared" si="4"/>
        <v>女</v>
      </c>
      <c r="F109" s="7" t="s">
        <v>618</v>
      </c>
    </row>
    <row r="110" spans="1:6" ht="20.100000000000001" customHeight="1" x14ac:dyDescent="0.15">
      <c r="A110" s="5">
        <v>107</v>
      </c>
      <c r="B110" s="6" t="str">
        <f>"30482021060221314477968"</f>
        <v>30482021060221314477968</v>
      </c>
      <c r="C110" s="6" t="s">
        <v>545</v>
      </c>
      <c r="D110" s="6" t="str">
        <f>"李美桂"</f>
        <v>李美桂</v>
      </c>
      <c r="E110" s="6" t="str">
        <f t="shared" si="4"/>
        <v>女</v>
      </c>
      <c r="F110" s="7" t="s">
        <v>539</v>
      </c>
    </row>
    <row r="111" spans="1:6" ht="20.100000000000001" customHeight="1" x14ac:dyDescent="0.15">
      <c r="A111" s="5">
        <v>108</v>
      </c>
      <c r="B111" s="6" t="str">
        <f>"30482021060221353178000"</f>
        <v>30482021060221353178000</v>
      </c>
      <c r="C111" s="6" t="s">
        <v>545</v>
      </c>
      <c r="D111" s="6" t="str">
        <f>"薛桃秋"</f>
        <v>薛桃秋</v>
      </c>
      <c r="E111" s="6" t="str">
        <f t="shared" si="4"/>
        <v>女</v>
      </c>
      <c r="F111" s="7" t="s">
        <v>391</v>
      </c>
    </row>
    <row r="112" spans="1:6" ht="20.100000000000001" customHeight="1" x14ac:dyDescent="0.15">
      <c r="A112" s="5">
        <v>109</v>
      </c>
      <c r="B112" s="6" t="str">
        <f>"30482021060221474778087"</f>
        <v>30482021060221474778087</v>
      </c>
      <c r="C112" s="6" t="s">
        <v>545</v>
      </c>
      <c r="D112" s="6" t="str">
        <f>"谭小梅"</f>
        <v>谭小梅</v>
      </c>
      <c r="E112" s="6" t="str">
        <f t="shared" si="4"/>
        <v>女</v>
      </c>
      <c r="F112" s="7" t="s">
        <v>619</v>
      </c>
    </row>
    <row r="113" spans="1:6" ht="20.100000000000001" customHeight="1" x14ac:dyDescent="0.15">
      <c r="A113" s="5">
        <v>110</v>
      </c>
      <c r="B113" s="6" t="str">
        <f>"30482021060221581078167"</f>
        <v>30482021060221581078167</v>
      </c>
      <c r="C113" s="6" t="s">
        <v>545</v>
      </c>
      <c r="D113" s="6" t="str">
        <f>"陈玉霞"</f>
        <v>陈玉霞</v>
      </c>
      <c r="E113" s="6" t="str">
        <f t="shared" si="4"/>
        <v>女</v>
      </c>
      <c r="F113" s="7" t="s">
        <v>73</v>
      </c>
    </row>
    <row r="114" spans="1:6" ht="20.100000000000001" customHeight="1" x14ac:dyDescent="0.15">
      <c r="A114" s="5">
        <v>111</v>
      </c>
      <c r="B114" s="6" t="str">
        <f>"30482021060222030378205"</f>
        <v>30482021060222030378205</v>
      </c>
      <c r="C114" s="6" t="s">
        <v>545</v>
      </c>
      <c r="D114" s="6" t="str">
        <f>"吴小通"</f>
        <v>吴小通</v>
      </c>
      <c r="E114" s="6" t="str">
        <f t="shared" si="4"/>
        <v>女</v>
      </c>
      <c r="F114" s="7" t="s">
        <v>620</v>
      </c>
    </row>
    <row r="115" spans="1:6" ht="20.100000000000001" customHeight="1" x14ac:dyDescent="0.15">
      <c r="A115" s="5">
        <v>112</v>
      </c>
      <c r="B115" s="6" t="str">
        <f>"30482021060222054378224"</f>
        <v>30482021060222054378224</v>
      </c>
      <c r="C115" s="6" t="s">
        <v>545</v>
      </c>
      <c r="D115" s="6" t="str">
        <f>"张雅婷"</f>
        <v>张雅婷</v>
      </c>
      <c r="E115" s="6" t="str">
        <f t="shared" si="4"/>
        <v>女</v>
      </c>
      <c r="F115" s="7" t="s">
        <v>621</v>
      </c>
    </row>
    <row r="116" spans="1:6" ht="20.100000000000001" customHeight="1" x14ac:dyDescent="0.15">
      <c r="A116" s="5">
        <v>113</v>
      </c>
      <c r="B116" s="6" t="str">
        <f>"30482021060300340479043"</f>
        <v>30482021060300340479043</v>
      </c>
      <c r="C116" s="6" t="s">
        <v>545</v>
      </c>
      <c r="D116" s="6" t="str">
        <f>"林琪"</f>
        <v>林琪</v>
      </c>
      <c r="E116" s="6" t="str">
        <f t="shared" si="4"/>
        <v>女</v>
      </c>
      <c r="F116" s="7" t="s">
        <v>622</v>
      </c>
    </row>
    <row r="117" spans="1:6" ht="20.100000000000001" customHeight="1" x14ac:dyDescent="0.15">
      <c r="A117" s="5">
        <v>114</v>
      </c>
      <c r="B117" s="6" t="str">
        <f>"30482021060301052579088"</f>
        <v>30482021060301052579088</v>
      </c>
      <c r="C117" s="6" t="s">
        <v>545</v>
      </c>
      <c r="D117" s="6" t="str">
        <f>"周萍"</f>
        <v>周萍</v>
      </c>
      <c r="E117" s="6" t="str">
        <f t="shared" si="4"/>
        <v>女</v>
      </c>
      <c r="F117" s="7" t="s">
        <v>623</v>
      </c>
    </row>
    <row r="118" spans="1:6" ht="20.100000000000001" customHeight="1" x14ac:dyDescent="0.15">
      <c r="A118" s="5">
        <v>115</v>
      </c>
      <c r="B118" s="6" t="str">
        <f>"30482021060306283779159"</f>
        <v>30482021060306283779159</v>
      </c>
      <c r="C118" s="6" t="s">
        <v>545</v>
      </c>
      <c r="D118" s="6" t="str">
        <f>"利朋"</f>
        <v>利朋</v>
      </c>
      <c r="E118" s="6" t="str">
        <f>"男"</f>
        <v>男</v>
      </c>
      <c r="F118" s="7" t="s">
        <v>624</v>
      </c>
    </row>
    <row r="119" spans="1:6" ht="20.100000000000001" customHeight="1" x14ac:dyDescent="0.15">
      <c r="A119" s="5">
        <v>116</v>
      </c>
      <c r="B119" s="6" t="str">
        <f>"30482021060309352580294"</f>
        <v>30482021060309352580294</v>
      </c>
      <c r="C119" s="6" t="s">
        <v>545</v>
      </c>
      <c r="D119" s="6" t="str">
        <f>"黎阿娇"</f>
        <v>黎阿娇</v>
      </c>
      <c r="E119" s="6" t="str">
        <f t="shared" ref="E119:E132" si="5">"女"</f>
        <v>女</v>
      </c>
      <c r="F119" s="7" t="s">
        <v>625</v>
      </c>
    </row>
    <row r="120" spans="1:6" ht="20.100000000000001" customHeight="1" x14ac:dyDescent="0.15">
      <c r="A120" s="5">
        <v>117</v>
      </c>
      <c r="B120" s="6" t="str">
        <f>"30482021060310011780699"</f>
        <v>30482021060310011780699</v>
      </c>
      <c r="C120" s="6" t="s">
        <v>545</v>
      </c>
      <c r="D120" s="6" t="str">
        <f>"吴小兰"</f>
        <v>吴小兰</v>
      </c>
      <c r="E120" s="6" t="str">
        <f t="shared" si="5"/>
        <v>女</v>
      </c>
      <c r="F120" s="7" t="s">
        <v>626</v>
      </c>
    </row>
    <row r="121" spans="1:6" ht="20.100000000000001" customHeight="1" x14ac:dyDescent="0.15">
      <c r="A121" s="5">
        <v>118</v>
      </c>
      <c r="B121" s="6" t="str">
        <f>"30482021060310273381130"</f>
        <v>30482021060310273381130</v>
      </c>
      <c r="C121" s="6" t="s">
        <v>545</v>
      </c>
      <c r="D121" s="6" t="str">
        <f>"陈怡"</f>
        <v>陈怡</v>
      </c>
      <c r="E121" s="6" t="str">
        <f t="shared" si="5"/>
        <v>女</v>
      </c>
      <c r="F121" s="7" t="s">
        <v>627</v>
      </c>
    </row>
    <row r="122" spans="1:6" ht="20.100000000000001" customHeight="1" x14ac:dyDescent="0.15">
      <c r="A122" s="5">
        <v>119</v>
      </c>
      <c r="B122" s="6" t="str">
        <f>"30482021060311022481701"</f>
        <v>30482021060311022481701</v>
      </c>
      <c r="C122" s="6" t="s">
        <v>545</v>
      </c>
      <c r="D122" s="6" t="str">
        <f>"毛斐"</f>
        <v>毛斐</v>
      </c>
      <c r="E122" s="6" t="str">
        <f t="shared" si="5"/>
        <v>女</v>
      </c>
      <c r="F122" s="7" t="s">
        <v>628</v>
      </c>
    </row>
    <row r="123" spans="1:6" ht="20.100000000000001" customHeight="1" x14ac:dyDescent="0.15">
      <c r="A123" s="5">
        <v>120</v>
      </c>
      <c r="B123" s="6" t="str">
        <f>"30482021060311194581962"</f>
        <v>30482021060311194581962</v>
      </c>
      <c r="C123" s="6" t="s">
        <v>545</v>
      </c>
      <c r="D123" s="6" t="str">
        <f>"王思宇"</f>
        <v>王思宇</v>
      </c>
      <c r="E123" s="6" t="str">
        <f t="shared" si="5"/>
        <v>女</v>
      </c>
      <c r="F123" s="7" t="s">
        <v>629</v>
      </c>
    </row>
    <row r="124" spans="1:6" ht="20.100000000000001" customHeight="1" x14ac:dyDescent="0.15">
      <c r="A124" s="5">
        <v>121</v>
      </c>
      <c r="B124" s="6" t="str">
        <f>"30482021060315190984305"</f>
        <v>30482021060315190984305</v>
      </c>
      <c r="C124" s="6" t="s">
        <v>545</v>
      </c>
      <c r="D124" s="6" t="str">
        <f>"唐永佳"</f>
        <v>唐永佳</v>
      </c>
      <c r="E124" s="6" t="str">
        <f t="shared" si="5"/>
        <v>女</v>
      </c>
      <c r="F124" s="7" t="s">
        <v>630</v>
      </c>
    </row>
    <row r="125" spans="1:6" ht="20.100000000000001" customHeight="1" x14ac:dyDescent="0.15">
      <c r="A125" s="5">
        <v>122</v>
      </c>
      <c r="B125" s="6" t="str">
        <f>"30482021060316112085014"</f>
        <v>30482021060316112085014</v>
      </c>
      <c r="C125" s="6" t="s">
        <v>545</v>
      </c>
      <c r="D125" s="6" t="str">
        <f>"周金叶"</f>
        <v>周金叶</v>
      </c>
      <c r="E125" s="6" t="str">
        <f t="shared" si="5"/>
        <v>女</v>
      </c>
      <c r="F125" s="7" t="s">
        <v>44</v>
      </c>
    </row>
    <row r="126" spans="1:6" ht="20.100000000000001" customHeight="1" x14ac:dyDescent="0.15">
      <c r="A126" s="5">
        <v>123</v>
      </c>
      <c r="B126" s="6" t="str">
        <f>"30482021060316275485205"</f>
        <v>30482021060316275485205</v>
      </c>
      <c r="C126" s="6" t="s">
        <v>545</v>
      </c>
      <c r="D126" s="6" t="str">
        <f>"梁馨允"</f>
        <v>梁馨允</v>
      </c>
      <c r="E126" s="6" t="str">
        <f t="shared" si="5"/>
        <v>女</v>
      </c>
      <c r="F126" s="7" t="s">
        <v>631</v>
      </c>
    </row>
    <row r="127" spans="1:6" ht="20.100000000000001" customHeight="1" x14ac:dyDescent="0.15">
      <c r="A127" s="5">
        <v>124</v>
      </c>
      <c r="B127" s="6" t="str">
        <f>"30482021060318053786242"</f>
        <v>30482021060318053786242</v>
      </c>
      <c r="C127" s="6" t="s">
        <v>545</v>
      </c>
      <c r="D127" s="6" t="str">
        <f>"黄小翠"</f>
        <v>黄小翠</v>
      </c>
      <c r="E127" s="6" t="str">
        <f t="shared" si="5"/>
        <v>女</v>
      </c>
      <c r="F127" s="7" t="s">
        <v>191</v>
      </c>
    </row>
    <row r="128" spans="1:6" ht="20.100000000000001" customHeight="1" x14ac:dyDescent="0.15">
      <c r="A128" s="5">
        <v>125</v>
      </c>
      <c r="B128" s="6" t="str">
        <f>"30482021060318270586427"</f>
        <v>30482021060318270586427</v>
      </c>
      <c r="C128" s="6" t="s">
        <v>545</v>
      </c>
      <c r="D128" s="6" t="str">
        <f>"符会媛"</f>
        <v>符会媛</v>
      </c>
      <c r="E128" s="6" t="str">
        <f t="shared" si="5"/>
        <v>女</v>
      </c>
      <c r="F128" s="7" t="s">
        <v>632</v>
      </c>
    </row>
    <row r="129" spans="1:6" ht="20.100000000000001" customHeight="1" x14ac:dyDescent="0.15">
      <c r="A129" s="5">
        <v>126</v>
      </c>
      <c r="B129" s="6" t="str">
        <f>"30482021060318492686629"</f>
        <v>30482021060318492686629</v>
      </c>
      <c r="C129" s="6" t="s">
        <v>545</v>
      </c>
      <c r="D129" s="6" t="str">
        <f>"毛泽秋"</f>
        <v>毛泽秋</v>
      </c>
      <c r="E129" s="6" t="str">
        <f t="shared" si="5"/>
        <v>女</v>
      </c>
      <c r="F129" s="7" t="s">
        <v>633</v>
      </c>
    </row>
    <row r="130" spans="1:6" ht="20.100000000000001" customHeight="1" x14ac:dyDescent="0.15">
      <c r="A130" s="5">
        <v>127</v>
      </c>
      <c r="B130" s="6" t="str">
        <f>"30482021060319261186931"</f>
        <v>30482021060319261186931</v>
      </c>
      <c r="C130" s="6" t="s">
        <v>545</v>
      </c>
      <c r="D130" s="6" t="str">
        <f>"陈香池"</f>
        <v>陈香池</v>
      </c>
      <c r="E130" s="6" t="str">
        <f t="shared" si="5"/>
        <v>女</v>
      </c>
      <c r="F130" s="7" t="s">
        <v>44</v>
      </c>
    </row>
    <row r="131" spans="1:6" ht="20.100000000000001" customHeight="1" x14ac:dyDescent="0.15">
      <c r="A131" s="5">
        <v>128</v>
      </c>
      <c r="B131" s="6" t="str">
        <f>"30482021060320131587359"</f>
        <v>30482021060320131587359</v>
      </c>
      <c r="C131" s="6" t="s">
        <v>545</v>
      </c>
      <c r="D131" s="6" t="str">
        <f>"周滢"</f>
        <v>周滢</v>
      </c>
      <c r="E131" s="6" t="str">
        <f t="shared" si="5"/>
        <v>女</v>
      </c>
      <c r="F131" s="7" t="s">
        <v>634</v>
      </c>
    </row>
    <row r="132" spans="1:6" ht="20.100000000000001" customHeight="1" x14ac:dyDescent="0.15">
      <c r="A132" s="5">
        <v>129</v>
      </c>
      <c r="B132" s="6" t="str">
        <f>"30482021060320432387701"</f>
        <v>30482021060320432387701</v>
      </c>
      <c r="C132" s="6" t="s">
        <v>545</v>
      </c>
      <c r="D132" s="6" t="str">
        <f>"符海娟"</f>
        <v>符海娟</v>
      </c>
      <c r="E132" s="6" t="str">
        <f t="shared" si="5"/>
        <v>女</v>
      </c>
      <c r="F132" s="7" t="s">
        <v>635</v>
      </c>
    </row>
    <row r="133" spans="1:6" ht="20.100000000000001" customHeight="1" x14ac:dyDescent="0.15">
      <c r="A133" s="5">
        <v>130</v>
      </c>
      <c r="B133" s="6" t="str">
        <f>"30482021060321441388421"</f>
        <v>30482021060321441388421</v>
      </c>
      <c r="C133" s="6" t="s">
        <v>545</v>
      </c>
      <c r="D133" s="6" t="str">
        <f>"许祥"</f>
        <v>许祥</v>
      </c>
      <c r="E133" s="6" t="str">
        <f>"男"</f>
        <v>男</v>
      </c>
      <c r="F133" s="7" t="s">
        <v>636</v>
      </c>
    </row>
    <row r="134" spans="1:6" ht="20.100000000000001" customHeight="1" x14ac:dyDescent="0.15">
      <c r="A134" s="5">
        <v>131</v>
      </c>
      <c r="B134" s="6" t="str">
        <f>"30482021060323095189324"</f>
        <v>30482021060323095189324</v>
      </c>
      <c r="C134" s="6" t="s">
        <v>545</v>
      </c>
      <c r="D134" s="6" t="str">
        <f>"吴小艳"</f>
        <v>吴小艳</v>
      </c>
      <c r="E134" s="6" t="str">
        <f t="shared" ref="E134:E140" si="6">"女"</f>
        <v>女</v>
      </c>
      <c r="F134" s="7" t="s">
        <v>637</v>
      </c>
    </row>
    <row r="135" spans="1:6" ht="20.100000000000001" customHeight="1" x14ac:dyDescent="0.15">
      <c r="A135" s="5">
        <v>132</v>
      </c>
      <c r="B135" s="6" t="str">
        <f>"30482021060408194690223"</f>
        <v>30482021060408194690223</v>
      </c>
      <c r="C135" s="6" t="s">
        <v>545</v>
      </c>
      <c r="D135" s="6" t="str">
        <f>"黎金玉"</f>
        <v>黎金玉</v>
      </c>
      <c r="E135" s="6" t="str">
        <f t="shared" si="6"/>
        <v>女</v>
      </c>
      <c r="F135" s="7" t="s">
        <v>68</v>
      </c>
    </row>
    <row r="136" spans="1:6" ht="20.100000000000001" customHeight="1" x14ac:dyDescent="0.15">
      <c r="A136" s="5">
        <v>133</v>
      </c>
      <c r="B136" s="6" t="str">
        <f>"30482021060409202990813"</f>
        <v>30482021060409202990813</v>
      </c>
      <c r="C136" s="6" t="s">
        <v>545</v>
      </c>
      <c r="D136" s="6" t="str">
        <f>"李婷"</f>
        <v>李婷</v>
      </c>
      <c r="E136" s="6" t="str">
        <f t="shared" si="6"/>
        <v>女</v>
      </c>
      <c r="F136" s="7" t="s">
        <v>638</v>
      </c>
    </row>
    <row r="137" spans="1:6" ht="20.100000000000001" customHeight="1" x14ac:dyDescent="0.15">
      <c r="A137" s="5">
        <v>134</v>
      </c>
      <c r="B137" s="6" t="str">
        <f>"30482021060409552891225"</f>
        <v>30482021060409552891225</v>
      </c>
      <c r="C137" s="6" t="s">
        <v>545</v>
      </c>
      <c r="D137" s="6" t="str">
        <f>"孙雅娜"</f>
        <v>孙雅娜</v>
      </c>
      <c r="E137" s="6" t="str">
        <f t="shared" si="6"/>
        <v>女</v>
      </c>
      <c r="F137" s="7" t="s">
        <v>639</v>
      </c>
    </row>
    <row r="138" spans="1:6" ht="20.100000000000001" customHeight="1" x14ac:dyDescent="0.15">
      <c r="A138" s="5">
        <v>135</v>
      </c>
      <c r="B138" s="6" t="str">
        <f>"30482021060410261991650"</f>
        <v>30482021060410261991650</v>
      </c>
      <c r="C138" s="6" t="s">
        <v>545</v>
      </c>
      <c r="D138" s="6" t="str">
        <f>"蔡月燕"</f>
        <v>蔡月燕</v>
      </c>
      <c r="E138" s="6" t="str">
        <f t="shared" si="6"/>
        <v>女</v>
      </c>
      <c r="F138" s="7" t="s">
        <v>640</v>
      </c>
    </row>
    <row r="139" spans="1:6" ht="20.100000000000001" customHeight="1" x14ac:dyDescent="0.15">
      <c r="A139" s="5">
        <v>136</v>
      </c>
      <c r="B139" s="6" t="str">
        <f>"30482021060410472991935"</f>
        <v>30482021060410472991935</v>
      </c>
      <c r="C139" s="6" t="s">
        <v>545</v>
      </c>
      <c r="D139" s="6" t="str">
        <f>"张少玲"</f>
        <v>张少玲</v>
      </c>
      <c r="E139" s="6" t="str">
        <f t="shared" si="6"/>
        <v>女</v>
      </c>
      <c r="F139" s="7" t="s">
        <v>250</v>
      </c>
    </row>
    <row r="140" spans="1:6" ht="20.100000000000001" customHeight="1" x14ac:dyDescent="0.15">
      <c r="A140" s="5">
        <v>137</v>
      </c>
      <c r="B140" s="6" t="str">
        <f>"30482021060412032993373"</f>
        <v>30482021060412032993373</v>
      </c>
      <c r="C140" s="6" t="s">
        <v>545</v>
      </c>
      <c r="D140" s="6" t="str">
        <f>"王能"</f>
        <v>王能</v>
      </c>
      <c r="E140" s="6" t="str">
        <f t="shared" si="6"/>
        <v>女</v>
      </c>
      <c r="F140" s="7" t="s">
        <v>641</v>
      </c>
    </row>
    <row r="141" spans="1:6" ht="20.100000000000001" customHeight="1" x14ac:dyDescent="0.15">
      <c r="A141" s="5">
        <v>138</v>
      </c>
      <c r="B141" s="6" t="str">
        <f>"30482021060412343793725"</f>
        <v>30482021060412343793725</v>
      </c>
      <c r="C141" s="6" t="s">
        <v>545</v>
      </c>
      <c r="D141" s="6" t="str">
        <f>"林猷钧"</f>
        <v>林猷钧</v>
      </c>
      <c r="E141" s="6" t="str">
        <f>"男"</f>
        <v>男</v>
      </c>
      <c r="F141" s="7" t="s">
        <v>642</v>
      </c>
    </row>
    <row r="142" spans="1:6" ht="20.100000000000001" customHeight="1" x14ac:dyDescent="0.15">
      <c r="A142" s="5">
        <v>139</v>
      </c>
      <c r="B142" s="6" t="str">
        <f>"30482021060412585394005"</f>
        <v>30482021060412585394005</v>
      </c>
      <c r="C142" s="6" t="s">
        <v>545</v>
      </c>
      <c r="D142" s="6" t="str">
        <f>"吴芳惠"</f>
        <v>吴芳惠</v>
      </c>
      <c r="E142" s="6" t="str">
        <f t="shared" ref="E142:E197" si="7">"女"</f>
        <v>女</v>
      </c>
      <c r="F142" s="7" t="s">
        <v>643</v>
      </c>
    </row>
    <row r="143" spans="1:6" ht="20.100000000000001" customHeight="1" x14ac:dyDescent="0.15">
      <c r="A143" s="5">
        <v>140</v>
      </c>
      <c r="B143" s="6" t="str">
        <f>"30482021060414110894941"</f>
        <v>30482021060414110894941</v>
      </c>
      <c r="C143" s="6" t="s">
        <v>545</v>
      </c>
      <c r="D143" s="6" t="str">
        <f>"李仙"</f>
        <v>李仙</v>
      </c>
      <c r="E143" s="6" t="str">
        <f t="shared" si="7"/>
        <v>女</v>
      </c>
      <c r="F143" s="7" t="s">
        <v>644</v>
      </c>
    </row>
    <row r="144" spans="1:6" ht="20.100000000000001" customHeight="1" x14ac:dyDescent="0.15">
      <c r="A144" s="5">
        <v>141</v>
      </c>
      <c r="B144" s="6" t="str">
        <f>"30482021060415211496214"</f>
        <v>30482021060415211496214</v>
      </c>
      <c r="C144" s="6" t="s">
        <v>545</v>
      </c>
      <c r="D144" s="6" t="str">
        <f>"王正月"</f>
        <v>王正月</v>
      </c>
      <c r="E144" s="6" t="str">
        <f t="shared" si="7"/>
        <v>女</v>
      </c>
      <c r="F144" s="7" t="s">
        <v>645</v>
      </c>
    </row>
    <row r="145" spans="1:6" ht="20.100000000000001" customHeight="1" x14ac:dyDescent="0.15">
      <c r="A145" s="5">
        <v>142</v>
      </c>
      <c r="B145" s="6" t="str">
        <f>"30482021060417282697914"</f>
        <v>30482021060417282697914</v>
      </c>
      <c r="C145" s="6" t="s">
        <v>545</v>
      </c>
      <c r="D145" s="6" t="str">
        <f>"马清明"</f>
        <v>马清明</v>
      </c>
      <c r="E145" s="6" t="str">
        <f t="shared" si="7"/>
        <v>女</v>
      </c>
      <c r="F145" s="7" t="s">
        <v>646</v>
      </c>
    </row>
    <row r="146" spans="1:6" ht="20.100000000000001" customHeight="1" x14ac:dyDescent="0.15">
      <c r="A146" s="5">
        <v>143</v>
      </c>
      <c r="B146" s="6" t="str">
        <f>"30482021060418080798314"</f>
        <v>30482021060418080798314</v>
      </c>
      <c r="C146" s="6" t="s">
        <v>545</v>
      </c>
      <c r="D146" s="6" t="str">
        <f>"李小驳"</f>
        <v>李小驳</v>
      </c>
      <c r="E146" s="6" t="str">
        <f t="shared" si="7"/>
        <v>女</v>
      </c>
      <c r="F146" s="7" t="s">
        <v>73</v>
      </c>
    </row>
    <row r="147" spans="1:6" ht="20.100000000000001" customHeight="1" x14ac:dyDescent="0.15">
      <c r="A147" s="5">
        <v>144</v>
      </c>
      <c r="B147" s="6" t="str">
        <f>"30482021060418185998363"</f>
        <v>30482021060418185998363</v>
      </c>
      <c r="C147" s="6" t="s">
        <v>545</v>
      </c>
      <c r="D147" s="6" t="str">
        <f>"王美纺"</f>
        <v>王美纺</v>
      </c>
      <c r="E147" s="6" t="str">
        <f t="shared" si="7"/>
        <v>女</v>
      </c>
      <c r="F147" s="7" t="s">
        <v>647</v>
      </c>
    </row>
    <row r="148" spans="1:6" ht="20.100000000000001" customHeight="1" x14ac:dyDescent="0.15">
      <c r="A148" s="5">
        <v>145</v>
      </c>
      <c r="B148" s="6" t="str">
        <f>"30482021060419173599161"</f>
        <v>30482021060419173599161</v>
      </c>
      <c r="C148" s="6" t="s">
        <v>545</v>
      </c>
      <c r="D148" s="6" t="str">
        <f>"符学晶"</f>
        <v>符学晶</v>
      </c>
      <c r="E148" s="6" t="str">
        <f t="shared" si="7"/>
        <v>女</v>
      </c>
      <c r="F148" s="7" t="s">
        <v>648</v>
      </c>
    </row>
    <row r="149" spans="1:6" ht="20.100000000000001" customHeight="1" x14ac:dyDescent="0.15">
      <c r="A149" s="5">
        <v>146</v>
      </c>
      <c r="B149" s="6" t="str">
        <f>"30482021060422194999729"</f>
        <v>30482021060422194999729</v>
      </c>
      <c r="C149" s="6" t="s">
        <v>545</v>
      </c>
      <c r="D149" s="6" t="str">
        <f>"黄许英"</f>
        <v>黄许英</v>
      </c>
      <c r="E149" s="6" t="str">
        <f t="shared" si="7"/>
        <v>女</v>
      </c>
      <c r="F149" s="7" t="s">
        <v>649</v>
      </c>
    </row>
    <row r="150" spans="1:6" ht="20.100000000000001" customHeight="1" x14ac:dyDescent="0.15">
      <c r="A150" s="5">
        <v>147</v>
      </c>
      <c r="B150" s="6" t="str">
        <f>"30482021060422383699795"</f>
        <v>30482021060422383699795</v>
      </c>
      <c r="C150" s="6" t="s">
        <v>545</v>
      </c>
      <c r="D150" s="6" t="str">
        <f>"洪冬玮"</f>
        <v>洪冬玮</v>
      </c>
      <c r="E150" s="6" t="str">
        <f t="shared" si="7"/>
        <v>女</v>
      </c>
      <c r="F150" s="7" t="s">
        <v>650</v>
      </c>
    </row>
    <row r="151" spans="1:6" ht="20.100000000000001" customHeight="1" x14ac:dyDescent="0.15">
      <c r="A151" s="5">
        <v>148</v>
      </c>
      <c r="B151" s="6" t="str">
        <f>"304820210605103923100463"</f>
        <v>304820210605103923100463</v>
      </c>
      <c r="C151" s="6" t="s">
        <v>545</v>
      </c>
      <c r="D151" s="6" t="str">
        <f>"文学虹"</f>
        <v>文学虹</v>
      </c>
      <c r="E151" s="6" t="str">
        <f t="shared" si="7"/>
        <v>女</v>
      </c>
      <c r="F151" s="7" t="s">
        <v>651</v>
      </c>
    </row>
    <row r="152" spans="1:6" ht="20.100000000000001" customHeight="1" x14ac:dyDescent="0.15">
      <c r="A152" s="5">
        <v>149</v>
      </c>
      <c r="B152" s="6" t="str">
        <f>"304820210605104304100476"</f>
        <v>304820210605104304100476</v>
      </c>
      <c r="C152" s="6" t="s">
        <v>545</v>
      </c>
      <c r="D152" s="6" t="str">
        <f>"甘金婷"</f>
        <v>甘金婷</v>
      </c>
      <c r="E152" s="6" t="str">
        <f t="shared" si="7"/>
        <v>女</v>
      </c>
      <c r="F152" s="7" t="s">
        <v>652</v>
      </c>
    </row>
    <row r="153" spans="1:6" ht="20.100000000000001" customHeight="1" x14ac:dyDescent="0.15">
      <c r="A153" s="5">
        <v>150</v>
      </c>
      <c r="B153" s="6" t="str">
        <f>"304820210605143425101078"</f>
        <v>304820210605143425101078</v>
      </c>
      <c r="C153" s="6" t="s">
        <v>545</v>
      </c>
      <c r="D153" s="6" t="str">
        <f>"吴春秀"</f>
        <v>吴春秀</v>
      </c>
      <c r="E153" s="6" t="str">
        <f t="shared" si="7"/>
        <v>女</v>
      </c>
      <c r="F153" s="7" t="s">
        <v>352</v>
      </c>
    </row>
    <row r="154" spans="1:6" ht="20.100000000000001" customHeight="1" x14ac:dyDescent="0.15">
      <c r="A154" s="5">
        <v>151</v>
      </c>
      <c r="B154" s="6" t="str">
        <f>"304820210605145904101150"</f>
        <v>304820210605145904101150</v>
      </c>
      <c r="C154" s="6" t="s">
        <v>545</v>
      </c>
      <c r="D154" s="6" t="str">
        <f>"彭国婷"</f>
        <v>彭国婷</v>
      </c>
      <c r="E154" s="6" t="str">
        <f t="shared" si="7"/>
        <v>女</v>
      </c>
      <c r="F154" s="7" t="s">
        <v>653</v>
      </c>
    </row>
    <row r="155" spans="1:6" ht="20.100000000000001" customHeight="1" x14ac:dyDescent="0.15">
      <c r="A155" s="5">
        <v>152</v>
      </c>
      <c r="B155" s="6" t="str">
        <f>"304820210605160624101332"</f>
        <v>304820210605160624101332</v>
      </c>
      <c r="C155" s="6" t="s">
        <v>545</v>
      </c>
      <c r="D155" s="6" t="str">
        <f>"李嘉丽"</f>
        <v>李嘉丽</v>
      </c>
      <c r="E155" s="6" t="str">
        <f t="shared" si="7"/>
        <v>女</v>
      </c>
      <c r="F155" s="7" t="s">
        <v>270</v>
      </c>
    </row>
    <row r="156" spans="1:6" ht="20.100000000000001" customHeight="1" x14ac:dyDescent="0.15">
      <c r="A156" s="5">
        <v>153</v>
      </c>
      <c r="B156" s="6" t="str">
        <f>"304820210605172918101578"</f>
        <v>304820210605172918101578</v>
      </c>
      <c r="C156" s="6" t="s">
        <v>545</v>
      </c>
      <c r="D156" s="6" t="str">
        <f>"吉妹"</f>
        <v>吉妹</v>
      </c>
      <c r="E156" s="6" t="str">
        <f t="shared" si="7"/>
        <v>女</v>
      </c>
      <c r="F156" s="7" t="s">
        <v>654</v>
      </c>
    </row>
    <row r="157" spans="1:6" ht="20.100000000000001" customHeight="1" x14ac:dyDescent="0.15">
      <c r="A157" s="5">
        <v>154</v>
      </c>
      <c r="B157" s="6" t="str">
        <f>"304820210605175741101658"</f>
        <v>304820210605175741101658</v>
      </c>
      <c r="C157" s="6" t="s">
        <v>545</v>
      </c>
      <c r="D157" s="6" t="str">
        <f>"张海虹"</f>
        <v>张海虹</v>
      </c>
      <c r="E157" s="6" t="str">
        <f t="shared" si="7"/>
        <v>女</v>
      </c>
      <c r="F157" s="7" t="s">
        <v>655</v>
      </c>
    </row>
    <row r="158" spans="1:6" ht="20.100000000000001" customHeight="1" x14ac:dyDescent="0.15">
      <c r="A158" s="5">
        <v>155</v>
      </c>
      <c r="B158" s="6" t="str">
        <f>"304820210605192306101854"</f>
        <v>304820210605192306101854</v>
      </c>
      <c r="C158" s="6" t="s">
        <v>545</v>
      </c>
      <c r="D158" s="6" t="str">
        <f>"陈多翠"</f>
        <v>陈多翠</v>
      </c>
      <c r="E158" s="6" t="str">
        <f t="shared" si="7"/>
        <v>女</v>
      </c>
      <c r="F158" s="7" t="s">
        <v>350</v>
      </c>
    </row>
    <row r="159" spans="1:6" ht="20.100000000000001" customHeight="1" x14ac:dyDescent="0.15">
      <c r="A159" s="5">
        <v>156</v>
      </c>
      <c r="B159" s="6" t="str">
        <f>"304820210605210031102103"</f>
        <v>304820210605210031102103</v>
      </c>
      <c r="C159" s="6" t="s">
        <v>545</v>
      </c>
      <c r="D159" s="6" t="str">
        <f>"王中意"</f>
        <v>王中意</v>
      </c>
      <c r="E159" s="6" t="str">
        <f t="shared" si="7"/>
        <v>女</v>
      </c>
      <c r="F159" s="7" t="s">
        <v>21</v>
      </c>
    </row>
    <row r="160" spans="1:6" ht="20.100000000000001" customHeight="1" x14ac:dyDescent="0.15">
      <c r="A160" s="5">
        <v>157</v>
      </c>
      <c r="B160" s="6" t="str">
        <f>"304820210605211012102134"</f>
        <v>304820210605211012102134</v>
      </c>
      <c r="C160" s="6" t="s">
        <v>545</v>
      </c>
      <c r="D160" s="6" t="str">
        <f>"符金花"</f>
        <v>符金花</v>
      </c>
      <c r="E160" s="6" t="str">
        <f t="shared" si="7"/>
        <v>女</v>
      </c>
      <c r="F160" s="7" t="s">
        <v>23</v>
      </c>
    </row>
    <row r="161" spans="1:6" ht="20.100000000000001" customHeight="1" x14ac:dyDescent="0.15">
      <c r="A161" s="5">
        <v>158</v>
      </c>
      <c r="B161" s="6" t="str">
        <f>"304820210605213831102219"</f>
        <v>304820210605213831102219</v>
      </c>
      <c r="C161" s="6" t="s">
        <v>545</v>
      </c>
      <c r="D161" s="6" t="str">
        <f>"林小女"</f>
        <v>林小女</v>
      </c>
      <c r="E161" s="6" t="str">
        <f t="shared" si="7"/>
        <v>女</v>
      </c>
      <c r="F161" s="7" t="s">
        <v>291</v>
      </c>
    </row>
    <row r="162" spans="1:6" ht="20.100000000000001" customHeight="1" x14ac:dyDescent="0.15">
      <c r="A162" s="5">
        <v>159</v>
      </c>
      <c r="B162" s="6" t="str">
        <f>"304820210605221102102313"</f>
        <v>304820210605221102102313</v>
      </c>
      <c r="C162" s="6" t="s">
        <v>545</v>
      </c>
      <c r="D162" s="6" t="str">
        <f>"钟丽玲"</f>
        <v>钟丽玲</v>
      </c>
      <c r="E162" s="6" t="str">
        <f t="shared" si="7"/>
        <v>女</v>
      </c>
      <c r="F162" s="7" t="s">
        <v>656</v>
      </c>
    </row>
    <row r="163" spans="1:6" ht="20.100000000000001" customHeight="1" x14ac:dyDescent="0.15">
      <c r="A163" s="5">
        <v>160</v>
      </c>
      <c r="B163" s="6" t="str">
        <f>"304820210606000422102568"</f>
        <v>304820210606000422102568</v>
      </c>
      <c r="C163" s="6" t="s">
        <v>545</v>
      </c>
      <c r="D163" s="6" t="str">
        <f>"刘小菊"</f>
        <v>刘小菊</v>
      </c>
      <c r="E163" s="6" t="str">
        <f t="shared" si="7"/>
        <v>女</v>
      </c>
      <c r="F163" s="7" t="s">
        <v>657</v>
      </c>
    </row>
    <row r="164" spans="1:6" ht="20.100000000000001" customHeight="1" x14ac:dyDescent="0.15">
      <c r="A164" s="5">
        <v>161</v>
      </c>
      <c r="B164" s="6" t="str">
        <f>"304820210606083037102734"</f>
        <v>304820210606083037102734</v>
      </c>
      <c r="C164" s="6" t="s">
        <v>545</v>
      </c>
      <c r="D164" s="6" t="str">
        <f>"邱惠清"</f>
        <v>邱惠清</v>
      </c>
      <c r="E164" s="6" t="str">
        <f t="shared" si="7"/>
        <v>女</v>
      </c>
      <c r="F164" s="7" t="s">
        <v>256</v>
      </c>
    </row>
    <row r="165" spans="1:6" ht="20.100000000000001" customHeight="1" x14ac:dyDescent="0.15">
      <c r="A165" s="5">
        <v>162</v>
      </c>
      <c r="B165" s="6" t="str">
        <f>"304820210606090027102782"</f>
        <v>304820210606090027102782</v>
      </c>
      <c r="C165" s="6" t="s">
        <v>545</v>
      </c>
      <c r="D165" s="6" t="str">
        <f>"梁静"</f>
        <v>梁静</v>
      </c>
      <c r="E165" s="6" t="str">
        <f t="shared" si="7"/>
        <v>女</v>
      </c>
      <c r="F165" s="7" t="s">
        <v>658</v>
      </c>
    </row>
    <row r="166" spans="1:6" ht="20.100000000000001" customHeight="1" x14ac:dyDescent="0.15">
      <c r="A166" s="5">
        <v>163</v>
      </c>
      <c r="B166" s="6" t="str">
        <f>"304820210606093055102848"</f>
        <v>304820210606093055102848</v>
      </c>
      <c r="C166" s="6" t="s">
        <v>545</v>
      </c>
      <c r="D166" s="6" t="str">
        <f>"张小英"</f>
        <v>张小英</v>
      </c>
      <c r="E166" s="6" t="str">
        <f t="shared" si="7"/>
        <v>女</v>
      </c>
      <c r="F166" s="7" t="s">
        <v>659</v>
      </c>
    </row>
    <row r="167" spans="1:6" ht="20.100000000000001" customHeight="1" x14ac:dyDescent="0.15">
      <c r="A167" s="5">
        <v>164</v>
      </c>
      <c r="B167" s="6" t="str">
        <f>"304820210606095352102906"</f>
        <v>304820210606095352102906</v>
      </c>
      <c r="C167" s="6" t="s">
        <v>545</v>
      </c>
      <c r="D167" s="6" t="str">
        <f>"梁春苗"</f>
        <v>梁春苗</v>
      </c>
      <c r="E167" s="6" t="str">
        <f t="shared" si="7"/>
        <v>女</v>
      </c>
      <c r="F167" s="7" t="s">
        <v>660</v>
      </c>
    </row>
    <row r="168" spans="1:6" ht="20.100000000000001" customHeight="1" x14ac:dyDescent="0.15">
      <c r="A168" s="5">
        <v>165</v>
      </c>
      <c r="B168" s="6" t="str">
        <f>"304820210606102154102993"</f>
        <v>304820210606102154102993</v>
      </c>
      <c r="C168" s="6" t="s">
        <v>545</v>
      </c>
      <c r="D168" s="6" t="str">
        <f>"陈雪珠"</f>
        <v>陈雪珠</v>
      </c>
      <c r="E168" s="6" t="str">
        <f t="shared" si="7"/>
        <v>女</v>
      </c>
      <c r="F168" s="7" t="s">
        <v>661</v>
      </c>
    </row>
    <row r="169" spans="1:6" ht="20.100000000000001" customHeight="1" x14ac:dyDescent="0.15">
      <c r="A169" s="5">
        <v>166</v>
      </c>
      <c r="B169" s="6" t="str">
        <f>"304820210606103024103015"</f>
        <v>304820210606103024103015</v>
      </c>
      <c r="C169" s="6" t="s">
        <v>545</v>
      </c>
      <c r="D169" s="6" t="str">
        <f>"张小婷"</f>
        <v>张小婷</v>
      </c>
      <c r="E169" s="6" t="str">
        <f t="shared" si="7"/>
        <v>女</v>
      </c>
      <c r="F169" s="7" t="s">
        <v>31</v>
      </c>
    </row>
    <row r="170" spans="1:6" ht="20.100000000000001" customHeight="1" x14ac:dyDescent="0.15">
      <c r="A170" s="5">
        <v>167</v>
      </c>
      <c r="B170" s="6" t="str">
        <f>"304820210606125710103455"</f>
        <v>304820210606125710103455</v>
      </c>
      <c r="C170" s="6" t="s">
        <v>545</v>
      </c>
      <c r="D170" s="6" t="str">
        <f>"邢巧云"</f>
        <v>邢巧云</v>
      </c>
      <c r="E170" s="6" t="str">
        <f t="shared" si="7"/>
        <v>女</v>
      </c>
      <c r="F170" s="7" t="s">
        <v>662</v>
      </c>
    </row>
    <row r="171" spans="1:6" ht="20.100000000000001" customHeight="1" x14ac:dyDescent="0.15">
      <c r="A171" s="5">
        <v>168</v>
      </c>
      <c r="B171" s="6" t="str">
        <f>"304820210606125946103465"</f>
        <v>304820210606125946103465</v>
      </c>
      <c r="C171" s="6" t="s">
        <v>545</v>
      </c>
      <c r="D171" s="6" t="str">
        <f>"黄彩红"</f>
        <v>黄彩红</v>
      </c>
      <c r="E171" s="6" t="str">
        <f t="shared" si="7"/>
        <v>女</v>
      </c>
      <c r="F171" s="7" t="s">
        <v>663</v>
      </c>
    </row>
    <row r="172" spans="1:6" ht="20.100000000000001" customHeight="1" x14ac:dyDescent="0.15">
      <c r="A172" s="5">
        <v>169</v>
      </c>
      <c r="B172" s="6" t="str">
        <f>"304820210606130245103476"</f>
        <v>304820210606130245103476</v>
      </c>
      <c r="C172" s="6" t="s">
        <v>545</v>
      </c>
      <c r="D172" s="6" t="str">
        <f>"符玉娘"</f>
        <v>符玉娘</v>
      </c>
      <c r="E172" s="6" t="str">
        <f t="shared" si="7"/>
        <v>女</v>
      </c>
      <c r="F172" s="7" t="s">
        <v>664</v>
      </c>
    </row>
    <row r="173" spans="1:6" ht="20.100000000000001" customHeight="1" x14ac:dyDescent="0.15">
      <c r="A173" s="5">
        <v>170</v>
      </c>
      <c r="B173" s="6" t="str">
        <f>"304820210606140949103679"</f>
        <v>304820210606140949103679</v>
      </c>
      <c r="C173" s="6" t="s">
        <v>545</v>
      </c>
      <c r="D173" s="6" t="str">
        <f>"林琅"</f>
        <v>林琅</v>
      </c>
      <c r="E173" s="6" t="str">
        <f t="shared" si="7"/>
        <v>女</v>
      </c>
      <c r="F173" s="7" t="s">
        <v>259</v>
      </c>
    </row>
    <row r="174" spans="1:6" ht="20.100000000000001" customHeight="1" x14ac:dyDescent="0.15">
      <c r="A174" s="5">
        <v>171</v>
      </c>
      <c r="B174" s="6" t="str">
        <f>"304820210606142152103707"</f>
        <v>304820210606142152103707</v>
      </c>
      <c r="C174" s="6" t="s">
        <v>545</v>
      </c>
      <c r="D174" s="6" t="str">
        <f>"吴小婷"</f>
        <v>吴小婷</v>
      </c>
      <c r="E174" s="6" t="str">
        <f t="shared" si="7"/>
        <v>女</v>
      </c>
      <c r="F174" s="7" t="s">
        <v>213</v>
      </c>
    </row>
    <row r="175" spans="1:6" ht="20.100000000000001" customHeight="1" x14ac:dyDescent="0.15">
      <c r="A175" s="5">
        <v>172</v>
      </c>
      <c r="B175" s="6" t="str">
        <f>"304820210606164246104117"</f>
        <v>304820210606164246104117</v>
      </c>
      <c r="C175" s="6" t="s">
        <v>545</v>
      </c>
      <c r="D175" s="6" t="str">
        <f>"陈泽娇"</f>
        <v>陈泽娇</v>
      </c>
      <c r="E175" s="6" t="str">
        <f t="shared" si="7"/>
        <v>女</v>
      </c>
      <c r="F175" s="7" t="s">
        <v>665</v>
      </c>
    </row>
    <row r="176" spans="1:6" ht="20.100000000000001" customHeight="1" x14ac:dyDescent="0.15">
      <c r="A176" s="5">
        <v>173</v>
      </c>
      <c r="B176" s="6" t="str">
        <f>"304820210606191353104508"</f>
        <v>304820210606191353104508</v>
      </c>
      <c r="C176" s="6" t="s">
        <v>545</v>
      </c>
      <c r="D176" s="6" t="str">
        <f>"梁菲"</f>
        <v>梁菲</v>
      </c>
      <c r="E176" s="6" t="str">
        <f t="shared" si="7"/>
        <v>女</v>
      </c>
      <c r="F176" s="7" t="s">
        <v>659</v>
      </c>
    </row>
    <row r="177" spans="1:6" ht="20.100000000000001" customHeight="1" x14ac:dyDescent="0.15">
      <c r="A177" s="5">
        <v>174</v>
      </c>
      <c r="B177" s="6" t="str">
        <f>"304820210606192346104530"</f>
        <v>304820210606192346104530</v>
      </c>
      <c r="C177" s="6" t="s">
        <v>545</v>
      </c>
      <c r="D177" s="6" t="str">
        <f>"王小敏"</f>
        <v>王小敏</v>
      </c>
      <c r="E177" s="6" t="str">
        <f t="shared" si="7"/>
        <v>女</v>
      </c>
      <c r="F177" s="7" t="s">
        <v>666</v>
      </c>
    </row>
    <row r="178" spans="1:6" ht="20.100000000000001" customHeight="1" x14ac:dyDescent="0.15">
      <c r="A178" s="5">
        <v>175</v>
      </c>
      <c r="B178" s="6" t="str">
        <f>"304820210606202732104632"</f>
        <v>304820210606202732104632</v>
      </c>
      <c r="C178" s="6" t="s">
        <v>545</v>
      </c>
      <c r="D178" s="6" t="str">
        <f>"李菲"</f>
        <v>李菲</v>
      </c>
      <c r="E178" s="6" t="str">
        <f t="shared" si="7"/>
        <v>女</v>
      </c>
      <c r="F178" s="7" t="s">
        <v>667</v>
      </c>
    </row>
    <row r="179" spans="1:6" ht="20.100000000000001" customHeight="1" x14ac:dyDescent="0.15">
      <c r="A179" s="5">
        <v>176</v>
      </c>
      <c r="B179" s="6" t="str">
        <f>"304820210606204315104678"</f>
        <v>304820210606204315104678</v>
      </c>
      <c r="C179" s="6" t="s">
        <v>545</v>
      </c>
      <c r="D179" s="6" t="str">
        <f>"占宗丽"</f>
        <v>占宗丽</v>
      </c>
      <c r="E179" s="6" t="str">
        <f t="shared" si="7"/>
        <v>女</v>
      </c>
      <c r="F179" s="7" t="s">
        <v>668</v>
      </c>
    </row>
    <row r="180" spans="1:6" ht="20.100000000000001" customHeight="1" x14ac:dyDescent="0.15">
      <c r="A180" s="5">
        <v>177</v>
      </c>
      <c r="B180" s="6" t="str">
        <f>"304820210606210005104731"</f>
        <v>304820210606210005104731</v>
      </c>
      <c r="C180" s="6" t="s">
        <v>545</v>
      </c>
      <c r="D180" s="6" t="str">
        <f>"朱艳芬"</f>
        <v>朱艳芬</v>
      </c>
      <c r="E180" s="6" t="str">
        <f t="shared" si="7"/>
        <v>女</v>
      </c>
      <c r="F180" s="7" t="s">
        <v>669</v>
      </c>
    </row>
    <row r="181" spans="1:6" ht="20.100000000000001" customHeight="1" x14ac:dyDescent="0.15">
      <c r="A181" s="5">
        <v>178</v>
      </c>
      <c r="B181" s="6" t="str">
        <f>"304820210606211756104779"</f>
        <v>304820210606211756104779</v>
      </c>
      <c r="C181" s="6" t="s">
        <v>545</v>
      </c>
      <c r="D181" s="6" t="str">
        <f>"钟王芳"</f>
        <v>钟王芳</v>
      </c>
      <c r="E181" s="6" t="str">
        <f t="shared" si="7"/>
        <v>女</v>
      </c>
      <c r="F181" s="7" t="s">
        <v>527</v>
      </c>
    </row>
    <row r="182" spans="1:6" ht="20.100000000000001" customHeight="1" x14ac:dyDescent="0.15">
      <c r="A182" s="5">
        <v>179</v>
      </c>
      <c r="B182" s="6" t="str">
        <f>"304820210606214524104859"</f>
        <v>304820210606214524104859</v>
      </c>
      <c r="C182" s="6" t="s">
        <v>545</v>
      </c>
      <c r="D182" s="6" t="str">
        <f>"何应蕊"</f>
        <v>何应蕊</v>
      </c>
      <c r="E182" s="6" t="str">
        <f t="shared" si="7"/>
        <v>女</v>
      </c>
      <c r="F182" s="7" t="s">
        <v>670</v>
      </c>
    </row>
    <row r="183" spans="1:6" ht="20.100000000000001" customHeight="1" x14ac:dyDescent="0.15">
      <c r="A183" s="5">
        <v>180</v>
      </c>
      <c r="B183" s="6" t="str">
        <f>"304820210606215555104887"</f>
        <v>304820210606215555104887</v>
      </c>
      <c r="C183" s="6" t="s">
        <v>545</v>
      </c>
      <c r="D183" s="6" t="str">
        <f>"谢川秋"</f>
        <v>谢川秋</v>
      </c>
      <c r="E183" s="6" t="str">
        <f t="shared" si="7"/>
        <v>女</v>
      </c>
      <c r="F183" s="7" t="s">
        <v>671</v>
      </c>
    </row>
    <row r="184" spans="1:6" ht="20.100000000000001" customHeight="1" x14ac:dyDescent="0.15">
      <c r="A184" s="5">
        <v>181</v>
      </c>
      <c r="B184" s="6" t="str">
        <f>"304820210606221558104960"</f>
        <v>304820210606221558104960</v>
      </c>
      <c r="C184" s="6" t="s">
        <v>545</v>
      </c>
      <c r="D184" s="6" t="str">
        <f>"王锡霞"</f>
        <v>王锡霞</v>
      </c>
      <c r="E184" s="6" t="str">
        <f t="shared" si="7"/>
        <v>女</v>
      </c>
      <c r="F184" s="7" t="s">
        <v>253</v>
      </c>
    </row>
    <row r="185" spans="1:6" ht="20.100000000000001" customHeight="1" x14ac:dyDescent="0.15">
      <c r="A185" s="5">
        <v>182</v>
      </c>
      <c r="B185" s="6" t="str">
        <f>"304820210606222413104985"</f>
        <v>304820210606222413104985</v>
      </c>
      <c r="C185" s="6" t="s">
        <v>545</v>
      </c>
      <c r="D185" s="6" t="str">
        <f>"吴兴兰"</f>
        <v>吴兴兰</v>
      </c>
      <c r="E185" s="6" t="str">
        <f t="shared" si="7"/>
        <v>女</v>
      </c>
      <c r="F185" s="7" t="s">
        <v>601</v>
      </c>
    </row>
    <row r="186" spans="1:6" ht="20.100000000000001" customHeight="1" x14ac:dyDescent="0.15">
      <c r="A186" s="5">
        <v>183</v>
      </c>
      <c r="B186" s="6" t="str">
        <f>"304820210606233602105182"</f>
        <v>304820210606233602105182</v>
      </c>
      <c r="C186" s="6" t="s">
        <v>545</v>
      </c>
      <c r="D186" s="6" t="str">
        <f>"杜小慧"</f>
        <v>杜小慧</v>
      </c>
      <c r="E186" s="6" t="str">
        <f t="shared" si="7"/>
        <v>女</v>
      </c>
      <c r="F186" s="7" t="s">
        <v>659</v>
      </c>
    </row>
    <row r="187" spans="1:6" ht="20.100000000000001" customHeight="1" x14ac:dyDescent="0.15">
      <c r="A187" s="5">
        <v>184</v>
      </c>
      <c r="B187" s="6" t="str">
        <f>"304820210607015020105332"</f>
        <v>304820210607015020105332</v>
      </c>
      <c r="C187" s="6" t="s">
        <v>545</v>
      </c>
      <c r="D187" s="6" t="str">
        <f>"符雨萌"</f>
        <v>符雨萌</v>
      </c>
      <c r="E187" s="6" t="str">
        <f t="shared" si="7"/>
        <v>女</v>
      </c>
      <c r="F187" s="7" t="s">
        <v>672</v>
      </c>
    </row>
    <row r="188" spans="1:6" ht="20.100000000000001" customHeight="1" x14ac:dyDescent="0.15">
      <c r="A188" s="5">
        <v>185</v>
      </c>
      <c r="B188" s="6" t="str">
        <f>"304820210607080334105381"</f>
        <v>304820210607080334105381</v>
      </c>
      <c r="C188" s="6" t="s">
        <v>545</v>
      </c>
      <c r="D188" s="6" t="str">
        <f>"吴云瑶"</f>
        <v>吴云瑶</v>
      </c>
      <c r="E188" s="6" t="str">
        <f t="shared" si="7"/>
        <v>女</v>
      </c>
      <c r="F188" s="7" t="s">
        <v>673</v>
      </c>
    </row>
    <row r="189" spans="1:6" ht="20.100000000000001" customHeight="1" x14ac:dyDescent="0.15">
      <c r="A189" s="5">
        <v>186</v>
      </c>
      <c r="B189" s="6" t="str">
        <f>"304820210607083600105437"</f>
        <v>304820210607083600105437</v>
      </c>
      <c r="C189" s="6" t="s">
        <v>545</v>
      </c>
      <c r="D189" s="6" t="str">
        <f>"叶芷苗"</f>
        <v>叶芷苗</v>
      </c>
      <c r="E189" s="6" t="str">
        <f t="shared" si="7"/>
        <v>女</v>
      </c>
      <c r="F189" s="7" t="s">
        <v>674</v>
      </c>
    </row>
    <row r="190" spans="1:6" ht="20.100000000000001" customHeight="1" x14ac:dyDescent="0.15">
      <c r="A190" s="5">
        <v>187</v>
      </c>
      <c r="B190" s="6" t="str">
        <f>"304820210607091502105618"</f>
        <v>304820210607091502105618</v>
      </c>
      <c r="C190" s="6" t="s">
        <v>545</v>
      </c>
      <c r="D190" s="6" t="str">
        <f>"叶秋余"</f>
        <v>叶秋余</v>
      </c>
      <c r="E190" s="6" t="str">
        <f t="shared" si="7"/>
        <v>女</v>
      </c>
      <c r="F190" s="7" t="s">
        <v>332</v>
      </c>
    </row>
    <row r="191" spans="1:6" ht="20.100000000000001" customHeight="1" x14ac:dyDescent="0.15">
      <c r="A191" s="5">
        <v>188</v>
      </c>
      <c r="B191" s="6" t="str">
        <f>"304820210607092255105650"</f>
        <v>304820210607092255105650</v>
      </c>
      <c r="C191" s="6" t="s">
        <v>545</v>
      </c>
      <c r="D191" s="6" t="str">
        <f>"王怡"</f>
        <v>王怡</v>
      </c>
      <c r="E191" s="6" t="str">
        <f t="shared" si="7"/>
        <v>女</v>
      </c>
      <c r="F191" s="7" t="s">
        <v>415</v>
      </c>
    </row>
    <row r="192" spans="1:6" ht="20.100000000000001" customHeight="1" x14ac:dyDescent="0.15">
      <c r="A192" s="5">
        <v>189</v>
      </c>
      <c r="B192" s="6" t="str">
        <f>"304820210607092855105687"</f>
        <v>304820210607092855105687</v>
      </c>
      <c r="C192" s="6" t="s">
        <v>545</v>
      </c>
      <c r="D192" s="6" t="str">
        <f>"李桂萍"</f>
        <v>李桂萍</v>
      </c>
      <c r="E192" s="6" t="str">
        <f t="shared" si="7"/>
        <v>女</v>
      </c>
      <c r="F192" s="7" t="s">
        <v>561</v>
      </c>
    </row>
    <row r="193" spans="1:6" ht="20.100000000000001" customHeight="1" x14ac:dyDescent="0.15">
      <c r="A193" s="5">
        <v>190</v>
      </c>
      <c r="B193" s="6" t="str">
        <f>"304820210607092934105696"</f>
        <v>304820210607092934105696</v>
      </c>
      <c r="C193" s="6" t="s">
        <v>545</v>
      </c>
      <c r="D193" s="6" t="str">
        <f>"梁海姗"</f>
        <v>梁海姗</v>
      </c>
      <c r="E193" s="6" t="str">
        <f t="shared" si="7"/>
        <v>女</v>
      </c>
      <c r="F193" s="7" t="s">
        <v>649</v>
      </c>
    </row>
    <row r="194" spans="1:6" ht="20.100000000000001" customHeight="1" x14ac:dyDescent="0.15">
      <c r="A194" s="5">
        <v>191</v>
      </c>
      <c r="B194" s="6" t="str">
        <f>"304820210607100841105945"</f>
        <v>304820210607100841105945</v>
      </c>
      <c r="C194" s="6" t="s">
        <v>545</v>
      </c>
      <c r="D194" s="6" t="str">
        <f>"刘小清"</f>
        <v>刘小清</v>
      </c>
      <c r="E194" s="6" t="str">
        <f t="shared" si="7"/>
        <v>女</v>
      </c>
      <c r="F194" s="7" t="s">
        <v>675</v>
      </c>
    </row>
    <row r="195" spans="1:6" ht="20.100000000000001" customHeight="1" x14ac:dyDescent="0.15">
      <c r="A195" s="5">
        <v>192</v>
      </c>
      <c r="B195" s="6" t="str">
        <f>"304820210607102447106053"</f>
        <v>304820210607102447106053</v>
      </c>
      <c r="C195" s="6" t="s">
        <v>545</v>
      </c>
      <c r="D195" s="6" t="str">
        <f>"韦健秋"</f>
        <v>韦健秋</v>
      </c>
      <c r="E195" s="6" t="str">
        <f t="shared" si="7"/>
        <v>女</v>
      </c>
      <c r="F195" s="7" t="s">
        <v>676</v>
      </c>
    </row>
    <row r="196" spans="1:6" ht="20.100000000000001" customHeight="1" x14ac:dyDescent="0.15">
      <c r="A196" s="5">
        <v>193</v>
      </c>
      <c r="B196" s="6" t="str">
        <f>"304820210607112321106361"</f>
        <v>304820210607112321106361</v>
      </c>
      <c r="C196" s="6" t="s">
        <v>545</v>
      </c>
      <c r="D196" s="6" t="str">
        <f>"蔡娟惠"</f>
        <v>蔡娟惠</v>
      </c>
      <c r="E196" s="6" t="str">
        <f t="shared" si="7"/>
        <v>女</v>
      </c>
      <c r="F196" s="7" t="s">
        <v>12</v>
      </c>
    </row>
    <row r="197" spans="1:6" ht="20.100000000000001" customHeight="1" x14ac:dyDescent="0.15">
      <c r="A197" s="5">
        <v>194</v>
      </c>
      <c r="B197" s="6" t="str">
        <f>"304820210607113128106403"</f>
        <v>304820210607113128106403</v>
      </c>
      <c r="C197" s="6" t="s">
        <v>545</v>
      </c>
      <c r="D197" s="6" t="str">
        <f>"钟仙妍"</f>
        <v>钟仙妍</v>
      </c>
      <c r="E197" s="6" t="str">
        <f t="shared" si="7"/>
        <v>女</v>
      </c>
      <c r="F197" s="7" t="s">
        <v>179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5" style="1" customWidth="1"/>
    <col min="2" max="2" width="24.625" style="1" customWidth="1"/>
    <col min="3" max="3" width="14.125" style="1" customWidth="1"/>
    <col min="4" max="4" width="11.5" style="1" customWidth="1"/>
    <col min="5" max="5" width="8.625" style="1" customWidth="1"/>
    <col min="6" max="6" width="17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"30482021060114041763483"</f>
        <v>30482021060114041763483</v>
      </c>
      <c r="C4" s="6" t="s">
        <v>677</v>
      </c>
      <c r="D4" s="6" t="str">
        <f>"陈奕伊"</f>
        <v>陈奕伊</v>
      </c>
      <c r="E4" s="6" t="str">
        <f t="shared" ref="E4:E6" si="0">"女"</f>
        <v>女</v>
      </c>
      <c r="F4" s="7" t="s">
        <v>678</v>
      </c>
    </row>
    <row r="5" spans="1:6" ht="20.100000000000001" customHeight="1" x14ac:dyDescent="0.15">
      <c r="A5" s="5">
        <v>2</v>
      </c>
      <c r="B5" s="6" t="str">
        <f>"30482021060114540964043"</f>
        <v>30482021060114540964043</v>
      </c>
      <c r="C5" s="6" t="s">
        <v>677</v>
      </c>
      <c r="D5" s="6" t="str">
        <f>"陈盈"</f>
        <v>陈盈</v>
      </c>
      <c r="E5" s="6" t="str">
        <f t="shared" si="0"/>
        <v>女</v>
      </c>
      <c r="F5" s="7" t="s">
        <v>27</v>
      </c>
    </row>
    <row r="6" spans="1:6" ht="20.100000000000001" customHeight="1" x14ac:dyDescent="0.15">
      <c r="A6" s="5">
        <v>3</v>
      </c>
      <c r="B6" s="6" t="str">
        <f>"30482021060115452964717"</f>
        <v>30482021060115452964717</v>
      </c>
      <c r="C6" s="6" t="s">
        <v>677</v>
      </c>
      <c r="D6" s="6" t="str">
        <f>"陈美玉"</f>
        <v>陈美玉</v>
      </c>
      <c r="E6" s="6" t="str">
        <f t="shared" si="0"/>
        <v>女</v>
      </c>
      <c r="F6" s="7" t="s">
        <v>679</v>
      </c>
    </row>
    <row r="7" spans="1:6" ht="20.100000000000001" customHeight="1" x14ac:dyDescent="0.15">
      <c r="A7" s="5">
        <v>4</v>
      </c>
      <c r="B7" s="6" t="str">
        <f>"30482021060116173865109"</f>
        <v>30482021060116173865109</v>
      </c>
      <c r="C7" s="6" t="s">
        <v>677</v>
      </c>
      <c r="D7" s="6" t="str">
        <f>"袁聪"</f>
        <v>袁聪</v>
      </c>
      <c r="E7" s="6" t="str">
        <f t="shared" ref="E7:E10" si="1">"男"</f>
        <v>男</v>
      </c>
      <c r="F7" s="7" t="s">
        <v>680</v>
      </c>
    </row>
    <row r="8" spans="1:6" ht="20.100000000000001" customHeight="1" x14ac:dyDescent="0.15">
      <c r="A8" s="5">
        <v>5</v>
      </c>
      <c r="B8" s="6" t="str">
        <f>"30482021060116315065317"</f>
        <v>30482021060116315065317</v>
      </c>
      <c r="C8" s="6" t="s">
        <v>677</v>
      </c>
      <c r="D8" s="6" t="str">
        <f>"王羽"</f>
        <v>王羽</v>
      </c>
      <c r="E8" s="6" t="str">
        <f t="shared" ref="E8:E15" si="2">"女"</f>
        <v>女</v>
      </c>
      <c r="F8" s="7" t="s">
        <v>681</v>
      </c>
    </row>
    <row r="9" spans="1:6" ht="20.100000000000001" customHeight="1" x14ac:dyDescent="0.15">
      <c r="A9" s="5">
        <v>6</v>
      </c>
      <c r="B9" s="6" t="str">
        <f>"30482021060117164965890"</f>
        <v>30482021060117164965890</v>
      </c>
      <c r="C9" s="6" t="s">
        <v>677</v>
      </c>
      <c r="D9" s="6" t="str">
        <f>"曾令嘉"</f>
        <v>曾令嘉</v>
      </c>
      <c r="E9" s="6" t="str">
        <f t="shared" si="1"/>
        <v>男</v>
      </c>
      <c r="F9" s="7" t="s">
        <v>682</v>
      </c>
    </row>
    <row r="10" spans="1:6" ht="20.100000000000001" customHeight="1" x14ac:dyDescent="0.15">
      <c r="A10" s="5">
        <v>7</v>
      </c>
      <c r="B10" s="6" t="str">
        <f>"30482021060117330666064"</f>
        <v>30482021060117330666064</v>
      </c>
      <c r="C10" s="6" t="s">
        <v>677</v>
      </c>
      <c r="D10" s="6" t="str">
        <f>"王永确"</f>
        <v>王永确</v>
      </c>
      <c r="E10" s="6" t="str">
        <f t="shared" si="1"/>
        <v>男</v>
      </c>
      <c r="F10" s="7" t="s">
        <v>683</v>
      </c>
    </row>
    <row r="11" spans="1:6" ht="20.100000000000001" customHeight="1" x14ac:dyDescent="0.15">
      <c r="A11" s="5">
        <v>8</v>
      </c>
      <c r="B11" s="6" t="str">
        <f>"30482021060117360566103"</f>
        <v>30482021060117360566103</v>
      </c>
      <c r="C11" s="6" t="s">
        <v>677</v>
      </c>
      <c r="D11" s="6" t="str">
        <f>"符慧接"</f>
        <v>符慧接</v>
      </c>
      <c r="E11" s="6" t="str">
        <f t="shared" si="2"/>
        <v>女</v>
      </c>
      <c r="F11" s="7" t="s">
        <v>171</v>
      </c>
    </row>
    <row r="12" spans="1:6" ht="20.100000000000001" customHeight="1" x14ac:dyDescent="0.15">
      <c r="A12" s="5">
        <v>9</v>
      </c>
      <c r="B12" s="6" t="str">
        <f>"30482021060118493266720"</f>
        <v>30482021060118493266720</v>
      </c>
      <c r="C12" s="6" t="s">
        <v>677</v>
      </c>
      <c r="D12" s="6" t="str">
        <f>"薛和玉"</f>
        <v>薛和玉</v>
      </c>
      <c r="E12" s="6" t="str">
        <f t="shared" si="2"/>
        <v>女</v>
      </c>
      <c r="F12" s="7" t="s">
        <v>684</v>
      </c>
    </row>
    <row r="13" spans="1:6" ht="20.100000000000001" customHeight="1" x14ac:dyDescent="0.15">
      <c r="A13" s="5">
        <v>10</v>
      </c>
      <c r="B13" s="6" t="str">
        <f>"30482021060119475867169"</f>
        <v>30482021060119475867169</v>
      </c>
      <c r="C13" s="6" t="s">
        <v>677</v>
      </c>
      <c r="D13" s="6" t="str">
        <f>"何民丹"</f>
        <v>何民丹</v>
      </c>
      <c r="E13" s="6" t="str">
        <f t="shared" si="2"/>
        <v>女</v>
      </c>
      <c r="F13" s="7" t="s">
        <v>454</v>
      </c>
    </row>
    <row r="14" spans="1:6" ht="20.100000000000001" customHeight="1" x14ac:dyDescent="0.15">
      <c r="A14" s="5">
        <v>11</v>
      </c>
      <c r="B14" s="6" t="str">
        <f>"30482021060120045467929"</f>
        <v>30482021060120045467929</v>
      </c>
      <c r="C14" s="6" t="s">
        <v>677</v>
      </c>
      <c r="D14" s="6" t="str">
        <f>"何深敏"</f>
        <v>何深敏</v>
      </c>
      <c r="E14" s="6" t="str">
        <f t="shared" si="2"/>
        <v>女</v>
      </c>
      <c r="F14" s="7" t="s">
        <v>685</v>
      </c>
    </row>
    <row r="15" spans="1:6" ht="20.100000000000001" customHeight="1" x14ac:dyDescent="0.15">
      <c r="A15" s="5">
        <v>12</v>
      </c>
      <c r="B15" s="6" t="str">
        <f>"30482021060123253070251"</f>
        <v>30482021060123253070251</v>
      </c>
      <c r="C15" s="6" t="s">
        <v>677</v>
      </c>
      <c r="D15" s="6" t="str">
        <f>"骆美梅"</f>
        <v>骆美梅</v>
      </c>
      <c r="E15" s="6" t="str">
        <f t="shared" si="2"/>
        <v>女</v>
      </c>
      <c r="F15" s="7" t="s">
        <v>686</v>
      </c>
    </row>
    <row r="16" spans="1:6" ht="20.100000000000001" customHeight="1" x14ac:dyDescent="0.15">
      <c r="A16" s="5">
        <v>13</v>
      </c>
      <c r="B16" s="6" t="str">
        <f>"30482021060206321570570"</f>
        <v>30482021060206321570570</v>
      </c>
      <c r="C16" s="6" t="s">
        <v>677</v>
      </c>
      <c r="D16" s="6" t="str">
        <f>"林于雀"</f>
        <v>林于雀</v>
      </c>
      <c r="E16" s="6" t="str">
        <f>"男"</f>
        <v>男</v>
      </c>
      <c r="F16" s="7" t="s">
        <v>687</v>
      </c>
    </row>
    <row r="17" spans="1:6" ht="20.100000000000001" customHeight="1" x14ac:dyDescent="0.15">
      <c r="A17" s="5">
        <v>14</v>
      </c>
      <c r="B17" s="6" t="str">
        <f>"30482021060208385570921"</f>
        <v>30482021060208385570921</v>
      </c>
      <c r="C17" s="6" t="s">
        <v>677</v>
      </c>
      <c r="D17" s="6" t="str">
        <f>"陈太淑"</f>
        <v>陈太淑</v>
      </c>
      <c r="E17" s="6" t="str">
        <f t="shared" ref="E17:E21" si="3">"女"</f>
        <v>女</v>
      </c>
      <c r="F17" s="7" t="s">
        <v>25</v>
      </c>
    </row>
    <row r="18" spans="1:6" ht="20.100000000000001" customHeight="1" x14ac:dyDescent="0.15">
      <c r="A18" s="5">
        <v>15</v>
      </c>
      <c r="B18" s="6" t="str">
        <f>"30482021060210295672275"</f>
        <v>30482021060210295672275</v>
      </c>
      <c r="C18" s="6" t="s">
        <v>677</v>
      </c>
      <c r="D18" s="6" t="str">
        <f>"王巧"</f>
        <v>王巧</v>
      </c>
      <c r="E18" s="6" t="str">
        <f t="shared" si="3"/>
        <v>女</v>
      </c>
      <c r="F18" s="7" t="s">
        <v>688</v>
      </c>
    </row>
    <row r="19" spans="1:6" ht="20.100000000000001" customHeight="1" x14ac:dyDescent="0.15">
      <c r="A19" s="5">
        <v>16</v>
      </c>
      <c r="B19" s="6" t="str">
        <f>"30482021060211082672766"</f>
        <v>30482021060211082672766</v>
      </c>
      <c r="C19" s="6" t="s">
        <v>677</v>
      </c>
      <c r="D19" s="6" t="str">
        <f>"林丹"</f>
        <v>林丹</v>
      </c>
      <c r="E19" s="6" t="str">
        <f t="shared" si="3"/>
        <v>女</v>
      </c>
      <c r="F19" s="7" t="s">
        <v>689</v>
      </c>
    </row>
    <row r="20" spans="1:6" ht="20.100000000000001" customHeight="1" x14ac:dyDescent="0.15">
      <c r="A20" s="5">
        <v>17</v>
      </c>
      <c r="B20" s="6" t="str">
        <f>"30482021060212572573755"</f>
        <v>30482021060212572573755</v>
      </c>
      <c r="C20" s="6" t="s">
        <v>677</v>
      </c>
      <c r="D20" s="6" t="str">
        <f>"张晓静"</f>
        <v>张晓静</v>
      </c>
      <c r="E20" s="6" t="str">
        <f t="shared" si="3"/>
        <v>女</v>
      </c>
      <c r="F20" s="7" t="s">
        <v>690</v>
      </c>
    </row>
    <row r="21" spans="1:6" ht="20.100000000000001" customHeight="1" x14ac:dyDescent="0.15">
      <c r="A21" s="5">
        <v>18</v>
      </c>
      <c r="B21" s="6" t="str">
        <f>"30482021060215142474723"</f>
        <v>30482021060215142474723</v>
      </c>
      <c r="C21" s="6" t="s">
        <v>677</v>
      </c>
      <c r="D21" s="6" t="str">
        <f>"王晓春"</f>
        <v>王晓春</v>
      </c>
      <c r="E21" s="6" t="str">
        <f t="shared" si="3"/>
        <v>女</v>
      </c>
      <c r="F21" s="7" t="s">
        <v>435</v>
      </c>
    </row>
    <row r="22" spans="1:6" ht="20.100000000000001" customHeight="1" x14ac:dyDescent="0.15">
      <c r="A22" s="5">
        <v>19</v>
      </c>
      <c r="B22" s="6" t="str">
        <f>"30482021060216535275766"</f>
        <v>30482021060216535275766</v>
      </c>
      <c r="C22" s="6" t="s">
        <v>677</v>
      </c>
      <c r="D22" s="6" t="str">
        <f>"王录武"</f>
        <v>王录武</v>
      </c>
      <c r="E22" s="6" t="str">
        <f>"男"</f>
        <v>男</v>
      </c>
      <c r="F22" s="7" t="s">
        <v>691</v>
      </c>
    </row>
    <row r="23" spans="1:6" ht="20.100000000000001" customHeight="1" x14ac:dyDescent="0.15">
      <c r="A23" s="5">
        <v>20</v>
      </c>
      <c r="B23" s="6" t="str">
        <f>"30482021060217070575881"</f>
        <v>30482021060217070575881</v>
      </c>
      <c r="C23" s="6" t="s">
        <v>677</v>
      </c>
      <c r="D23" s="6" t="str">
        <f>"杨井桑"</f>
        <v>杨井桑</v>
      </c>
      <c r="E23" s="6" t="str">
        <f t="shared" ref="E23:E27" si="4">"女"</f>
        <v>女</v>
      </c>
      <c r="F23" s="7" t="s">
        <v>81</v>
      </c>
    </row>
    <row r="24" spans="1:6" ht="20.100000000000001" customHeight="1" x14ac:dyDescent="0.15">
      <c r="A24" s="5">
        <v>21</v>
      </c>
      <c r="B24" s="6" t="str">
        <f>"30482021060222164978311"</f>
        <v>30482021060222164978311</v>
      </c>
      <c r="C24" s="6" t="s">
        <v>677</v>
      </c>
      <c r="D24" s="6" t="str">
        <f>"王学钦"</f>
        <v>王学钦</v>
      </c>
      <c r="E24" s="6" t="str">
        <f t="shared" ref="E24:E31" si="5">"男"</f>
        <v>男</v>
      </c>
      <c r="F24" s="7" t="s">
        <v>692</v>
      </c>
    </row>
    <row r="25" spans="1:6" ht="20.100000000000001" customHeight="1" x14ac:dyDescent="0.15">
      <c r="A25" s="5">
        <v>22</v>
      </c>
      <c r="B25" s="6" t="str">
        <f>"30482021060223184978757"</f>
        <v>30482021060223184978757</v>
      </c>
      <c r="C25" s="6" t="s">
        <v>677</v>
      </c>
      <c r="D25" s="6" t="str">
        <f>"文凤甜"</f>
        <v>文凤甜</v>
      </c>
      <c r="E25" s="6" t="str">
        <f t="shared" si="4"/>
        <v>女</v>
      </c>
      <c r="F25" s="7" t="s">
        <v>693</v>
      </c>
    </row>
    <row r="26" spans="1:6" ht="20.100000000000001" customHeight="1" x14ac:dyDescent="0.15">
      <c r="A26" s="5">
        <v>23</v>
      </c>
      <c r="B26" s="6" t="str">
        <f>"30482021060309412480381"</f>
        <v>30482021060309412480381</v>
      </c>
      <c r="C26" s="6" t="s">
        <v>677</v>
      </c>
      <c r="D26" s="6" t="str">
        <f>"董伟净"</f>
        <v>董伟净</v>
      </c>
      <c r="E26" s="6" t="str">
        <f t="shared" si="4"/>
        <v>女</v>
      </c>
      <c r="F26" s="7" t="s">
        <v>694</v>
      </c>
    </row>
    <row r="27" spans="1:6" ht="20.100000000000001" customHeight="1" x14ac:dyDescent="0.15">
      <c r="A27" s="5">
        <v>24</v>
      </c>
      <c r="B27" s="6" t="str">
        <f>"30482021060309444880430"</f>
        <v>30482021060309444880430</v>
      </c>
      <c r="C27" s="6" t="s">
        <v>677</v>
      </c>
      <c r="D27" s="6" t="str">
        <f>"王霞"</f>
        <v>王霞</v>
      </c>
      <c r="E27" s="6" t="str">
        <f t="shared" si="4"/>
        <v>女</v>
      </c>
      <c r="F27" s="7" t="s">
        <v>695</v>
      </c>
    </row>
    <row r="28" spans="1:6" ht="20.100000000000001" customHeight="1" x14ac:dyDescent="0.15">
      <c r="A28" s="5">
        <v>25</v>
      </c>
      <c r="B28" s="6" t="str">
        <f>"30482021060323123289355"</f>
        <v>30482021060323123289355</v>
      </c>
      <c r="C28" s="6" t="s">
        <v>677</v>
      </c>
      <c r="D28" s="6" t="str">
        <f>"李厚先"</f>
        <v>李厚先</v>
      </c>
      <c r="E28" s="6" t="str">
        <f t="shared" si="5"/>
        <v>男</v>
      </c>
      <c r="F28" s="7" t="s">
        <v>696</v>
      </c>
    </row>
    <row r="29" spans="1:6" ht="20.100000000000001" customHeight="1" x14ac:dyDescent="0.15">
      <c r="A29" s="5">
        <v>26</v>
      </c>
      <c r="B29" s="6" t="str">
        <f>"30482021060400194089728"</f>
        <v>30482021060400194089728</v>
      </c>
      <c r="C29" s="6" t="s">
        <v>677</v>
      </c>
      <c r="D29" s="6" t="str">
        <f>"肖灿友"</f>
        <v>肖灿友</v>
      </c>
      <c r="E29" s="6" t="str">
        <f t="shared" si="5"/>
        <v>男</v>
      </c>
      <c r="F29" s="7" t="s">
        <v>697</v>
      </c>
    </row>
    <row r="30" spans="1:6" ht="20.100000000000001" customHeight="1" x14ac:dyDescent="0.15">
      <c r="A30" s="5">
        <v>27</v>
      </c>
      <c r="B30" s="6" t="str">
        <f>"30482021060416594197522"</f>
        <v>30482021060416594197522</v>
      </c>
      <c r="C30" s="6" t="s">
        <v>677</v>
      </c>
      <c r="D30" s="6" t="str">
        <f>"蓝志华"</f>
        <v>蓝志华</v>
      </c>
      <c r="E30" s="6" t="str">
        <f t="shared" si="5"/>
        <v>男</v>
      </c>
      <c r="F30" s="7" t="s">
        <v>698</v>
      </c>
    </row>
    <row r="31" spans="1:6" ht="20.100000000000001" customHeight="1" x14ac:dyDescent="0.15">
      <c r="A31" s="5">
        <v>28</v>
      </c>
      <c r="B31" s="6" t="str">
        <f>"304820210605230853102473"</f>
        <v>304820210605230853102473</v>
      </c>
      <c r="C31" s="6" t="s">
        <v>677</v>
      </c>
      <c r="D31" s="6" t="str">
        <f>"丁在勇"</f>
        <v>丁在勇</v>
      </c>
      <c r="E31" s="6" t="str">
        <f t="shared" si="5"/>
        <v>男</v>
      </c>
      <c r="F31" s="7" t="s">
        <v>699</v>
      </c>
    </row>
    <row r="32" spans="1:6" ht="20.100000000000001" customHeight="1" x14ac:dyDescent="0.15">
      <c r="A32" s="5">
        <v>29</v>
      </c>
      <c r="B32" s="6" t="str">
        <f>"304820210606001606102581"</f>
        <v>304820210606001606102581</v>
      </c>
      <c r="C32" s="6" t="s">
        <v>677</v>
      </c>
      <c r="D32" s="6" t="str">
        <f>"黎倩曼"</f>
        <v>黎倩曼</v>
      </c>
      <c r="E32" s="6" t="str">
        <f t="shared" ref="E32:E35" si="6">"女"</f>
        <v>女</v>
      </c>
      <c r="F32" s="7" t="s">
        <v>700</v>
      </c>
    </row>
    <row r="33" spans="1:6" ht="20.100000000000001" customHeight="1" x14ac:dyDescent="0.15">
      <c r="A33" s="5">
        <v>30</v>
      </c>
      <c r="B33" s="6" t="str">
        <f>"304820210606160849103999"</f>
        <v>304820210606160849103999</v>
      </c>
      <c r="C33" s="6" t="s">
        <v>677</v>
      </c>
      <c r="D33" s="6" t="str">
        <f>"李姑"</f>
        <v>李姑</v>
      </c>
      <c r="E33" s="6" t="str">
        <f t="shared" si="6"/>
        <v>女</v>
      </c>
      <c r="F33" s="7" t="s">
        <v>701</v>
      </c>
    </row>
    <row r="34" spans="1:6" ht="20.100000000000001" customHeight="1" x14ac:dyDescent="0.15">
      <c r="A34" s="5">
        <v>31</v>
      </c>
      <c r="B34" s="6" t="str">
        <f>"304820210606194250104564"</f>
        <v>304820210606194250104564</v>
      </c>
      <c r="C34" s="6" t="s">
        <v>677</v>
      </c>
      <c r="D34" s="6" t="str">
        <f>"陈税"</f>
        <v>陈税</v>
      </c>
      <c r="E34" s="6" t="str">
        <f>"男"</f>
        <v>男</v>
      </c>
      <c r="F34" s="7" t="s">
        <v>702</v>
      </c>
    </row>
    <row r="35" spans="1:6" ht="20.100000000000001" customHeight="1" x14ac:dyDescent="0.15">
      <c r="A35" s="5">
        <v>32</v>
      </c>
      <c r="B35" s="6" t="str">
        <f>"304820210607092740105682"</f>
        <v>304820210607092740105682</v>
      </c>
      <c r="C35" s="6" t="s">
        <v>677</v>
      </c>
      <c r="D35" s="6" t="str">
        <f>"李敏"</f>
        <v>李敏</v>
      </c>
      <c r="E35" s="6" t="str">
        <f t="shared" si="6"/>
        <v>女</v>
      </c>
      <c r="F35" s="7" t="s">
        <v>703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5.875" style="1" customWidth="1"/>
    <col min="2" max="2" width="24.625" style="1" customWidth="1"/>
    <col min="3" max="3" width="14.125" style="1" customWidth="1"/>
    <col min="4" max="4" width="10.75" style="1" customWidth="1"/>
    <col min="5" max="5" width="7.75" style="1" customWidth="1"/>
    <col min="6" max="6" width="14.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"30482021060114035663478"</f>
        <v>30482021060114035663478</v>
      </c>
      <c r="C4" s="6" t="s">
        <v>704</v>
      </c>
      <c r="D4" s="6" t="str">
        <f>"李彩花"</f>
        <v>李彩花</v>
      </c>
      <c r="E4" s="6" t="str">
        <f t="shared" ref="E4:E6" si="0">"女"</f>
        <v>女</v>
      </c>
      <c r="F4" s="7" t="s">
        <v>705</v>
      </c>
    </row>
    <row r="5" spans="1:6" ht="20.100000000000001" customHeight="1" x14ac:dyDescent="0.15">
      <c r="A5" s="5">
        <v>2</v>
      </c>
      <c r="B5" s="6" t="str">
        <f>"30482021060114204363649"</f>
        <v>30482021060114204363649</v>
      </c>
      <c r="C5" s="6" t="s">
        <v>704</v>
      </c>
      <c r="D5" s="6" t="str">
        <f>"王惠敏"</f>
        <v>王惠敏</v>
      </c>
      <c r="E5" s="6" t="str">
        <f t="shared" si="0"/>
        <v>女</v>
      </c>
      <c r="F5" s="7" t="s">
        <v>160</v>
      </c>
    </row>
    <row r="6" spans="1:6" ht="20.100000000000001" customHeight="1" x14ac:dyDescent="0.15">
      <c r="A6" s="5">
        <v>3</v>
      </c>
      <c r="B6" s="6" t="str">
        <f>"30482021060114205163650"</f>
        <v>30482021060114205163650</v>
      </c>
      <c r="C6" s="6" t="s">
        <v>704</v>
      </c>
      <c r="D6" s="6" t="str">
        <f>"符尤晶"</f>
        <v>符尤晶</v>
      </c>
      <c r="E6" s="6" t="str">
        <f t="shared" si="0"/>
        <v>女</v>
      </c>
      <c r="F6" s="7" t="s">
        <v>706</v>
      </c>
    </row>
    <row r="7" spans="1:6" ht="20.100000000000001" customHeight="1" x14ac:dyDescent="0.15">
      <c r="A7" s="5">
        <v>4</v>
      </c>
      <c r="B7" s="6" t="str">
        <f>"30482021060114261163706"</f>
        <v>30482021060114261163706</v>
      </c>
      <c r="C7" s="6" t="s">
        <v>704</v>
      </c>
      <c r="D7" s="6" t="str">
        <f>"周麒"</f>
        <v>周麒</v>
      </c>
      <c r="E7" s="6" t="str">
        <f>"男"</f>
        <v>男</v>
      </c>
      <c r="F7" s="7" t="s">
        <v>707</v>
      </c>
    </row>
    <row r="8" spans="1:6" ht="20.100000000000001" customHeight="1" x14ac:dyDescent="0.15">
      <c r="A8" s="5">
        <v>5</v>
      </c>
      <c r="B8" s="6" t="str">
        <f>"30482021060114281163732"</f>
        <v>30482021060114281163732</v>
      </c>
      <c r="C8" s="6" t="s">
        <v>704</v>
      </c>
      <c r="D8" s="6" t="str">
        <f>"潘孝德"</f>
        <v>潘孝德</v>
      </c>
      <c r="E8" s="6" t="str">
        <f>"男"</f>
        <v>男</v>
      </c>
      <c r="F8" s="7" t="s">
        <v>708</v>
      </c>
    </row>
    <row r="9" spans="1:6" ht="20.100000000000001" customHeight="1" x14ac:dyDescent="0.15">
      <c r="A9" s="5">
        <v>6</v>
      </c>
      <c r="B9" s="6" t="str">
        <f>"30482021060114535164038"</f>
        <v>30482021060114535164038</v>
      </c>
      <c r="C9" s="6" t="s">
        <v>704</v>
      </c>
      <c r="D9" s="6" t="str">
        <f>"韩玉娟"</f>
        <v>韩玉娟</v>
      </c>
      <c r="E9" s="6" t="str">
        <f t="shared" ref="E9:E16" si="1">"女"</f>
        <v>女</v>
      </c>
      <c r="F9" s="7" t="s">
        <v>102</v>
      </c>
    </row>
    <row r="10" spans="1:6" ht="20.100000000000001" customHeight="1" x14ac:dyDescent="0.15">
      <c r="A10" s="5">
        <v>7</v>
      </c>
      <c r="B10" s="6" t="str">
        <f>"30482021060115002564134"</f>
        <v>30482021060115002564134</v>
      </c>
      <c r="C10" s="6" t="s">
        <v>704</v>
      </c>
      <c r="D10" s="6" t="str">
        <f>"符海媚"</f>
        <v>符海媚</v>
      </c>
      <c r="E10" s="6" t="str">
        <f t="shared" si="1"/>
        <v>女</v>
      </c>
      <c r="F10" s="7" t="s">
        <v>709</v>
      </c>
    </row>
    <row r="11" spans="1:6" ht="20.100000000000001" customHeight="1" x14ac:dyDescent="0.15">
      <c r="A11" s="5">
        <v>8</v>
      </c>
      <c r="B11" s="6" t="str">
        <f>"30482021060115193064389"</f>
        <v>30482021060115193064389</v>
      </c>
      <c r="C11" s="6" t="s">
        <v>704</v>
      </c>
      <c r="D11" s="6" t="str">
        <f>"吴园园"</f>
        <v>吴园园</v>
      </c>
      <c r="E11" s="6" t="str">
        <f t="shared" si="1"/>
        <v>女</v>
      </c>
      <c r="F11" s="7" t="s">
        <v>637</v>
      </c>
    </row>
    <row r="12" spans="1:6" ht="20.100000000000001" customHeight="1" x14ac:dyDescent="0.15">
      <c r="A12" s="5">
        <v>9</v>
      </c>
      <c r="B12" s="6" t="str">
        <f>"30482021060115402164639"</f>
        <v>30482021060115402164639</v>
      </c>
      <c r="C12" s="6" t="s">
        <v>704</v>
      </c>
      <c r="D12" s="6" t="str">
        <f>"黄晨"</f>
        <v>黄晨</v>
      </c>
      <c r="E12" s="6" t="str">
        <f t="shared" si="1"/>
        <v>女</v>
      </c>
      <c r="F12" s="7" t="s">
        <v>710</v>
      </c>
    </row>
    <row r="13" spans="1:6" ht="20.100000000000001" customHeight="1" x14ac:dyDescent="0.15">
      <c r="A13" s="5">
        <v>10</v>
      </c>
      <c r="B13" s="6" t="str">
        <f>"30482021060115412264658"</f>
        <v>30482021060115412264658</v>
      </c>
      <c r="C13" s="6" t="s">
        <v>704</v>
      </c>
      <c r="D13" s="6" t="str">
        <f>"杜小莉"</f>
        <v>杜小莉</v>
      </c>
      <c r="E13" s="6" t="str">
        <f t="shared" si="1"/>
        <v>女</v>
      </c>
      <c r="F13" s="7" t="s">
        <v>711</v>
      </c>
    </row>
    <row r="14" spans="1:6" ht="20.100000000000001" customHeight="1" x14ac:dyDescent="0.15">
      <c r="A14" s="5">
        <v>11</v>
      </c>
      <c r="B14" s="6" t="str">
        <f>"30482021060115420064668"</f>
        <v>30482021060115420064668</v>
      </c>
      <c r="C14" s="6" t="s">
        <v>704</v>
      </c>
      <c r="D14" s="6" t="str">
        <f>"陈华妮"</f>
        <v>陈华妮</v>
      </c>
      <c r="E14" s="6" t="str">
        <f t="shared" si="1"/>
        <v>女</v>
      </c>
      <c r="F14" s="7" t="s">
        <v>457</v>
      </c>
    </row>
    <row r="15" spans="1:6" ht="20.100000000000001" customHeight="1" x14ac:dyDescent="0.15">
      <c r="A15" s="5">
        <v>12</v>
      </c>
      <c r="B15" s="6" t="str">
        <f>"30482021060115500564783"</f>
        <v>30482021060115500564783</v>
      </c>
      <c r="C15" s="6" t="s">
        <v>704</v>
      </c>
      <c r="D15" s="6" t="str">
        <f>"王雪"</f>
        <v>王雪</v>
      </c>
      <c r="E15" s="6" t="str">
        <f t="shared" si="1"/>
        <v>女</v>
      </c>
      <c r="F15" s="7" t="s">
        <v>602</v>
      </c>
    </row>
    <row r="16" spans="1:6" ht="20.100000000000001" customHeight="1" x14ac:dyDescent="0.15">
      <c r="A16" s="5">
        <v>13</v>
      </c>
      <c r="B16" s="6" t="str">
        <f>"30482021060115563164850"</f>
        <v>30482021060115563164850</v>
      </c>
      <c r="C16" s="6" t="s">
        <v>704</v>
      </c>
      <c r="D16" s="6" t="str">
        <f>"吴玉妹"</f>
        <v>吴玉妹</v>
      </c>
      <c r="E16" s="6" t="str">
        <f t="shared" si="1"/>
        <v>女</v>
      </c>
      <c r="F16" s="7" t="s">
        <v>712</v>
      </c>
    </row>
    <row r="17" spans="1:6" ht="20.100000000000001" customHeight="1" x14ac:dyDescent="0.15">
      <c r="A17" s="5">
        <v>14</v>
      </c>
      <c r="B17" s="6" t="str">
        <f>"30482021060116141865059"</f>
        <v>30482021060116141865059</v>
      </c>
      <c r="C17" s="6" t="s">
        <v>704</v>
      </c>
      <c r="D17" s="6" t="str">
        <f>"何林学"</f>
        <v>何林学</v>
      </c>
      <c r="E17" s="6" t="str">
        <f t="shared" ref="E17:E21" si="2">"男"</f>
        <v>男</v>
      </c>
      <c r="F17" s="7" t="s">
        <v>713</v>
      </c>
    </row>
    <row r="18" spans="1:6" ht="20.100000000000001" customHeight="1" x14ac:dyDescent="0.15">
      <c r="A18" s="5">
        <v>15</v>
      </c>
      <c r="B18" s="6" t="str">
        <f>"30482021060116184965118"</f>
        <v>30482021060116184965118</v>
      </c>
      <c r="C18" s="6" t="s">
        <v>704</v>
      </c>
      <c r="D18" s="6" t="str">
        <f>"朱世伟"</f>
        <v>朱世伟</v>
      </c>
      <c r="E18" s="6" t="str">
        <f t="shared" si="2"/>
        <v>男</v>
      </c>
      <c r="F18" s="7" t="s">
        <v>714</v>
      </c>
    </row>
    <row r="19" spans="1:6" ht="20.100000000000001" customHeight="1" x14ac:dyDescent="0.15">
      <c r="A19" s="5">
        <v>16</v>
      </c>
      <c r="B19" s="6" t="str">
        <f>"30482021060116362065377"</f>
        <v>30482021060116362065377</v>
      </c>
      <c r="C19" s="6" t="s">
        <v>704</v>
      </c>
      <c r="D19" s="6" t="str">
        <f>"陈丽平"</f>
        <v>陈丽平</v>
      </c>
      <c r="E19" s="6" t="str">
        <f t="shared" ref="E19:E33" si="3">"女"</f>
        <v>女</v>
      </c>
      <c r="F19" s="7" t="s">
        <v>715</v>
      </c>
    </row>
    <row r="20" spans="1:6" ht="20.100000000000001" customHeight="1" x14ac:dyDescent="0.15">
      <c r="A20" s="5">
        <v>17</v>
      </c>
      <c r="B20" s="6" t="str">
        <f>"30482021060116445965489"</f>
        <v>30482021060116445965489</v>
      </c>
      <c r="C20" s="6" t="s">
        <v>704</v>
      </c>
      <c r="D20" s="6" t="str">
        <f>"郑蕾"</f>
        <v>郑蕾</v>
      </c>
      <c r="E20" s="6" t="str">
        <f t="shared" si="3"/>
        <v>女</v>
      </c>
      <c r="F20" s="7" t="s">
        <v>250</v>
      </c>
    </row>
    <row r="21" spans="1:6" ht="20.100000000000001" customHeight="1" x14ac:dyDescent="0.15">
      <c r="A21" s="5">
        <v>18</v>
      </c>
      <c r="B21" s="6" t="str">
        <f>"30482021060116462765507"</f>
        <v>30482021060116462765507</v>
      </c>
      <c r="C21" s="6" t="s">
        <v>704</v>
      </c>
      <c r="D21" s="6" t="str">
        <f>"黄卓行"</f>
        <v>黄卓行</v>
      </c>
      <c r="E21" s="6" t="str">
        <f t="shared" si="2"/>
        <v>男</v>
      </c>
      <c r="F21" s="7" t="s">
        <v>716</v>
      </c>
    </row>
    <row r="22" spans="1:6" ht="20.100000000000001" customHeight="1" x14ac:dyDescent="0.15">
      <c r="A22" s="5">
        <v>19</v>
      </c>
      <c r="B22" s="6" t="str">
        <f>"30482021060116463965510"</f>
        <v>30482021060116463965510</v>
      </c>
      <c r="C22" s="6" t="s">
        <v>704</v>
      </c>
      <c r="D22" s="6" t="str">
        <f>"陈迎醒"</f>
        <v>陈迎醒</v>
      </c>
      <c r="E22" s="6" t="str">
        <f t="shared" si="3"/>
        <v>女</v>
      </c>
      <c r="F22" s="7" t="s">
        <v>717</v>
      </c>
    </row>
    <row r="23" spans="1:6" ht="20.100000000000001" customHeight="1" x14ac:dyDescent="0.15">
      <c r="A23" s="5">
        <v>20</v>
      </c>
      <c r="B23" s="6" t="str">
        <f>"30482021060116501265561"</f>
        <v>30482021060116501265561</v>
      </c>
      <c r="C23" s="6" t="s">
        <v>704</v>
      </c>
      <c r="D23" s="6" t="str">
        <f>"麦丽惠"</f>
        <v>麦丽惠</v>
      </c>
      <c r="E23" s="6" t="str">
        <f t="shared" si="3"/>
        <v>女</v>
      </c>
      <c r="F23" s="7" t="s">
        <v>718</v>
      </c>
    </row>
    <row r="24" spans="1:6" ht="20.100000000000001" customHeight="1" x14ac:dyDescent="0.15">
      <c r="A24" s="5">
        <v>21</v>
      </c>
      <c r="B24" s="6" t="str">
        <f>"30482021060116552765633"</f>
        <v>30482021060116552765633</v>
      </c>
      <c r="C24" s="6" t="s">
        <v>704</v>
      </c>
      <c r="D24" s="6" t="str">
        <f>"吴冬梅"</f>
        <v>吴冬梅</v>
      </c>
      <c r="E24" s="6" t="str">
        <f t="shared" si="3"/>
        <v>女</v>
      </c>
      <c r="F24" s="7" t="s">
        <v>654</v>
      </c>
    </row>
    <row r="25" spans="1:6" ht="20.100000000000001" customHeight="1" x14ac:dyDescent="0.15">
      <c r="A25" s="5">
        <v>22</v>
      </c>
      <c r="B25" s="6" t="str">
        <f>"30482021060117071965774"</f>
        <v>30482021060117071965774</v>
      </c>
      <c r="C25" s="6" t="s">
        <v>704</v>
      </c>
      <c r="D25" s="6" t="str">
        <f>"符芳颖"</f>
        <v>符芳颖</v>
      </c>
      <c r="E25" s="6" t="str">
        <f t="shared" si="3"/>
        <v>女</v>
      </c>
      <c r="F25" s="7" t="s">
        <v>37</v>
      </c>
    </row>
    <row r="26" spans="1:6" ht="20.100000000000001" customHeight="1" x14ac:dyDescent="0.15">
      <c r="A26" s="5">
        <v>23</v>
      </c>
      <c r="B26" s="6" t="str">
        <f>"30482021060117080665788"</f>
        <v>30482021060117080665788</v>
      </c>
      <c r="C26" s="6" t="s">
        <v>704</v>
      </c>
      <c r="D26" s="6" t="str">
        <f>"黄杰馨"</f>
        <v>黄杰馨</v>
      </c>
      <c r="E26" s="6" t="str">
        <f t="shared" si="3"/>
        <v>女</v>
      </c>
      <c r="F26" s="7" t="s">
        <v>719</v>
      </c>
    </row>
    <row r="27" spans="1:6" ht="20.100000000000001" customHeight="1" x14ac:dyDescent="0.15">
      <c r="A27" s="5">
        <v>24</v>
      </c>
      <c r="B27" s="6" t="str">
        <f>"30482021060117123765845"</f>
        <v>30482021060117123765845</v>
      </c>
      <c r="C27" s="6" t="s">
        <v>704</v>
      </c>
      <c r="D27" s="6" t="str">
        <f>"陈江"</f>
        <v>陈江</v>
      </c>
      <c r="E27" s="6" t="str">
        <f t="shared" si="3"/>
        <v>女</v>
      </c>
      <c r="F27" s="7" t="s">
        <v>720</v>
      </c>
    </row>
    <row r="28" spans="1:6" ht="20.100000000000001" customHeight="1" x14ac:dyDescent="0.15">
      <c r="A28" s="5">
        <v>25</v>
      </c>
      <c r="B28" s="6" t="str">
        <f>"30482021060117202665931"</f>
        <v>30482021060117202665931</v>
      </c>
      <c r="C28" s="6" t="s">
        <v>704</v>
      </c>
      <c r="D28" s="6" t="str">
        <f>"吴金香"</f>
        <v>吴金香</v>
      </c>
      <c r="E28" s="6" t="str">
        <f t="shared" si="3"/>
        <v>女</v>
      </c>
      <c r="F28" s="7" t="s">
        <v>300</v>
      </c>
    </row>
    <row r="29" spans="1:6" ht="20.100000000000001" customHeight="1" x14ac:dyDescent="0.15">
      <c r="A29" s="5">
        <v>26</v>
      </c>
      <c r="B29" s="6" t="str">
        <f>"30482021060117335266075"</f>
        <v>30482021060117335266075</v>
      </c>
      <c r="C29" s="6" t="s">
        <v>704</v>
      </c>
      <c r="D29" s="6" t="str">
        <f>"文陈华"</f>
        <v>文陈华</v>
      </c>
      <c r="E29" s="6" t="str">
        <f t="shared" si="3"/>
        <v>女</v>
      </c>
      <c r="F29" s="7" t="s">
        <v>721</v>
      </c>
    </row>
    <row r="30" spans="1:6" ht="20.100000000000001" customHeight="1" x14ac:dyDescent="0.15">
      <c r="A30" s="5">
        <v>27</v>
      </c>
      <c r="B30" s="6" t="str">
        <f>"30482021060117375266122"</f>
        <v>30482021060117375266122</v>
      </c>
      <c r="C30" s="6" t="s">
        <v>704</v>
      </c>
      <c r="D30" s="6" t="str">
        <f>"李燕婷"</f>
        <v>李燕婷</v>
      </c>
      <c r="E30" s="6" t="str">
        <f t="shared" si="3"/>
        <v>女</v>
      </c>
      <c r="F30" s="7" t="s">
        <v>722</v>
      </c>
    </row>
    <row r="31" spans="1:6" ht="20.100000000000001" customHeight="1" x14ac:dyDescent="0.15">
      <c r="A31" s="5">
        <v>28</v>
      </c>
      <c r="B31" s="6" t="str">
        <f>"30482021060117493166227"</f>
        <v>30482021060117493166227</v>
      </c>
      <c r="C31" s="6" t="s">
        <v>704</v>
      </c>
      <c r="D31" s="6" t="str">
        <f>"林烨"</f>
        <v>林烨</v>
      </c>
      <c r="E31" s="6" t="str">
        <f t="shared" si="3"/>
        <v>女</v>
      </c>
      <c r="F31" s="7" t="s">
        <v>81</v>
      </c>
    </row>
    <row r="32" spans="1:6" ht="20.100000000000001" customHeight="1" x14ac:dyDescent="0.15">
      <c r="A32" s="5">
        <v>29</v>
      </c>
      <c r="B32" s="6" t="str">
        <f>"30482021060117583466307"</f>
        <v>30482021060117583466307</v>
      </c>
      <c r="C32" s="6" t="s">
        <v>704</v>
      </c>
      <c r="D32" s="6" t="str">
        <f>"曹杨琪"</f>
        <v>曹杨琪</v>
      </c>
      <c r="E32" s="6" t="str">
        <f t="shared" si="3"/>
        <v>女</v>
      </c>
      <c r="F32" s="7" t="s">
        <v>440</v>
      </c>
    </row>
    <row r="33" spans="1:6" ht="20.100000000000001" customHeight="1" x14ac:dyDescent="0.15">
      <c r="A33" s="5">
        <v>30</v>
      </c>
      <c r="B33" s="6" t="str">
        <f>"30482021060118062966377"</f>
        <v>30482021060118062966377</v>
      </c>
      <c r="C33" s="6" t="s">
        <v>704</v>
      </c>
      <c r="D33" s="6" t="str">
        <f>"唐燕萍"</f>
        <v>唐燕萍</v>
      </c>
      <c r="E33" s="6" t="str">
        <f t="shared" si="3"/>
        <v>女</v>
      </c>
      <c r="F33" s="7" t="s">
        <v>723</v>
      </c>
    </row>
    <row r="34" spans="1:6" ht="20.100000000000001" customHeight="1" x14ac:dyDescent="0.15">
      <c r="A34" s="5">
        <v>31</v>
      </c>
      <c r="B34" s="6" t="str">
        <f>"30482021060118274566555"</f>
        <v>30482021060118274566555</v>
      </c>
      <c r="C34" s="6" t="s">
        <v>704</v>
      </c>
      <c r="D34" s="6" t="str">
        <f>"许明文"</f>
        <v>许明文</v>
      </c>
      <c r="E34" s="6" t="str">
        <f>"男"</f>
        <v>男</v>
      </c>
      <c r="F34" s="7" t="s">
        <v>724</v>
      </c>
    </row>
    <row r="35" spans="1:6" ht="20.100000000000001" customHeight="1" x14ac:dyDescent="0.15">
      <c r="A35" s="5">
        <v>32</v>
      </c>
      <c r="B35" s="6" t="str">
        <f>"30482021060118470366699"</f>
        <v>30482021060118470366699</v>
      </c>
      <c r="C35" s="6" t="s">
        <v>704</v>
      </c>
      <c r="D35" s="6" t="str">
        <f>"王慧玲"</f>
        <v>王慧玲</v>
      </c>
      <c r="E35" s="6" t="str">
        <f t="shared" ref="E35:E53" si="4">"女"</f>
        <v>女</v>
      </c>
      <c r="F35" s="7" t="s">
        <v>725</v>
      </c>
    </row>
    <row r="36" spans="1:6" ht="20.100000000000001" customHeight="1" x14ac:dyDescent="0.15">
      <c r="A36" s="5">
        <v>33</v>
      </c>
      <c r="B36" s="6" t="str">
        <f>"30482021060118502866730"</f>
        <v>30482021060118502866730</v>
      </c>
      <c r="C36" s="6" t="s">
        <v>704</v>
      </c>
      <c r="D36" s="6" t="str">
        <f>"梁如竟"</f>
        <v>梁如竟</v>
      </c>
      <c r="E36" s="6" t="str">
        <f t="shared" si="4"/>
        <v>女</v>
      </c>
      <c r="F36" s="7" t="s">
        <v>134</v>
      </c>
    </row>
    <row r="37" spans="1:6" ht="20.100000000000001" customHeight="1" x14ac:dyDescent="0.15">
      <c r="A37" s="5">
        <v>34</v>
      </c>
      <c r="B37" s="6" t="str">
        <f>"30482021060119054966859"</f>
        <v>30482021060119054966859</v>
      </c>
      <c r="C37" s="6" t="s">
        <v>704</v>
      </c>
      <c r="D37" s="6" t="str">
        <f>"周玲"</f>
        <v>周玲</v>
      </c>
      <c r="E37" s="6" t="str">
        <f t="shared" si="4"/>
        <v>女</v>
      </c>
      <c r="F37" s="7" t="s">
        <v>250</v>
      </c>
    </row>
    <row r="38" spans="1:6" ht="20.100000000000001" customHeight="1" x14ac:dyDescent="0.15">
      <c r="A38" s="5">
        <v>35</v>
      </c>
      <c r="B38" s="6" t="str">
        <f>"30482021060119223966966"</f>
        <v>30482021060119223966966</v>
      </c>
      <c r="C38" s="6" t="s">
        <v>704</v>
      </c>
      <c r="D38" s="6" t="str">
        <f>"曾雨晶"</f>
        <v>曾雨晶</v>
      </c>
      <c r="E38" s="6" t="str">
        <f t="shared" si="4"/>
        <v>女</v>
      </c>
      <c r="F38" s="7" t="s">
        <v>473</v>
      </c>
    </row>
    <row r="39" spans="1:6" ht="20.100000000000001" customHeight="1" x14ac:dyDescent="0.15">
      <c r="A39" s="5">
        <v>36</v>
      </c>
      <c r="B39" s="6" t="str">
        <f>"30482021060119470667159"</f>
        <v>30482021060119470667159</v>
      </c>
      <c r="C39" s="6" t="s">
        <v>704</v>
      </c>
      <c r="D39" s="6" t="str">
        <f>"陈香女"</f>
        <v>陈香女</v>
      </c>
      <c r="E39" s="6" t="str">
        <f t="shared" si="4"/>
        <v>女</v>
      </c>
      <c r="F39" s="7" t="s">
        <v>726</v>
      </c>
    </row>
    <row r="40" spans="1:6" ht="20.100000000000001" customHeight="1" x14ac:dyDescent="0.15">
      <c r="A40" s="5">
        <v>37</v>
      </c>
      <c r="B40" s="6" t="str">
        <f>"30482021060120134667997"</f>
        <v>30482021060120134667997</v>
      </c>
      <c r="C40" s="6" t="s">
        <v>704</v>
      </c>
      <c r="D40" s="6" t="str">
        <f>"王艳梅"</f>
        <v>王艳梅</v>
      </c>
      <c r="E40" s="6" t="str">
        <f t="shared" si="4"/>
        <v>女</v>
      </c>
      <c r="F40" s="7" t="s">
        <v>556</v>
      </c>
    </row>
    <row r="41" spans="1:6" ht="20.100000000000001" customHeight="1" x14ac:dyDescent="0.15">
      <c r="A41" s="5">
        <v>38</v>
      </c>
      <c r="B41" s="6" t="str">
        <f>"30482021060120513468339"</f>
        <v>30482021060120513468339</v>
      </c>
      <c r="C41" s="6" t="s">
        <v>704</v>
      </c>
      <c r="D41" s="6" t="str">
        <f>"文隋江"</f>
        <v>文隋江</v>
      </c>
      <c r="E41" s="6" t="str">
        <f t="shared" si="4"/>
        <v>女</v>
      </c>
      <c r="F41" s="7" t="s">
        <v>727</v>
      </c>
    </row>
    <row r="42" spans="1:6" ht="20.100000000000001" customHeight="1" x14ac:dyDescent="0.15">
      <c r="A42" s="5">
        <v>39</v>
      </c>
      <c r="B42" s="6" t="str">
        <f>"30482021060121091568498"</f>
        <v>30482021060121091568498</v>
      </c>
      <c r="C42" s="6" t="s">
        <v>704</v>
      </c>
      <c r="D42" s="6" t="str">
        <f>"郑丕华"</f>
        <v>郑丕华</v>
      </c>
      <c r="E42" s="6" t="str">
        <f t="shared" si="4"/>
        <v>女</v>
      </c>
      <c r="F42" s="7" t="s">
        <v>87</v>
      </c>
    </row>
    <row r="43" spans="1:6" ht="20.100000000000001" customHeight="1" x14ac:dyDescent="0.15">
      <c r="A43" s="5">
        <v>40</v>
      </c>
      <c r="B43" s="6" t="str">
        <f>"30482021060121442469467"</f>
        <v>30482021060121442469467</v>
      </c>
      <c r="C43" s="6" t="s">
        <v>704</v>
      </c>
      <c r="D43" s="6" t="str">
        <f>"陈欣怡"</f>
        <v>陈欣怡</v>
      </c>
      <c r="E43" s="6" t="str">
        <f t="shared" si="4"/>
        <v>女</v>
      </c>
      <c r="F43" s="7" t="s">
        <v>728</v>
      </c>
    </row>
    <row r="44" spans="1:6" ht="20.100000000000001" customHeight="1" x14ac:dyDescent="0.15">
      <c r="A44" s="5">
        <v>41</v>
      </c>
      <c r="B44" s="6" t="str">
        <f>"30482021060121484669511"</f>
        <v>30482021060121484669511</v>
      </c>
      <c r="C44" s="6" t="s">
        <v>704</v>
      </c>
      <c r="D44" s="6" t="str">
        <f>"候国羽"</f>
        <v>候国羽</v>
      </c>
      <c r="E44" s="6" t="str">
        <f t="shared" si="4"/>
        <v>女</v>
      </c>
      <c r="F44" s="7" t="s">
        <v>729</v>
      </c>
    </row>
    <row r="45" spans="1:6" ht="20.100000000000001" customHeight="1" x14ac:dyDescent="0.15">
      <c r="A45" s="5">
        <v>42</v>
      </c>
      <c r="B45" s="6" t="str">
        <f>"30482021060121561769585"</f>
        <v>30482021060121561769585</v>
      </c>
      <c r="C45" s="6" t="s">
        <v>704</v>
      </c>
      <c r="D45" s="6" t="str">
        <f>"王正颖"</f>
        <v>王正颖</v>
      </c>
      <c r="E45" s="6" t="str">
        <f t="shared" si="4"/>
        <v>女</v>
      </c>
      <c r="F45" s="7" t="s">
        <v>730</v>
      </c>
    </row>
    <row r="46" spans="1:6" ht="20.100000000000001" customHeight="1" x14ac:dyDescent="0.15">
      <c r="A46" s="5">
        <v>43</v>
      </c>
      <c r="B46" s="6" t="str">
        <f>"30482021060121574869602"</f>
        <v>30482021060121574869602</v>
      </c>
      <c r="C46" s="6" t="s">
        <v>704</v>
      </c>
      <c r="D46" s="6" t="str">
        <f>"蔡小娜"</f>
        <v>蔡小娜</v>
      </c>
      <c r="E46" s="6" t="str">
        <f t="shared" si="4"/>
        <v>女</v>
      </c>
      <c r="F46" s="7" t="s">
        <v>731</v>
      </c>
    </row>
    <row r="47" spans="1:6" ht="20.100000000000001" customHeight="1" x14ac:dyDescent="0.15">
      <c r="A47" s="5">
        <v>44</v>
      </c>
      <c r="B47" s="6" t="str">
        <f>"30482021060122135869734"</f>
        <v>30482021060122135869734</v>
      </c>
      <c r="C47" s="6" t="s">
        <v>704</v>
      </c>
      <c r="D47" s="6" t="str">
        <f>"周冬雪"</f>
        <v>周冬雪</v>
      </c>
      <c r="E47" s="6" t="str">
        <f t="shared" si="4"/>
        <v>女</v>
      </c>
      <c r="F47" s="7" t="s">
        <v>30</v>
      </c>
    </row>
    <row r="48" spans="1:6" ht="20.100000000000001" customHeight="1" x14ac:dyDescent="0.15">
      <c r="A48" s="5">
        <v>45</v>
      </c>
      <c r="B48" s="6" t="str">
        <f>"30482021060123075170153"</f>
        <v>30482021060123075170153</v>
      </c>
      <c r="C48" s="6" t="s">
        <v>704</v>
      </c>
      <c r="D48" s="6" t="str">
        <f>"郑佳丽"</f>
        <v>郑佳丽</v>
      </c>
      <c r="E48" s="6" t="str">
        <f t="shared" si="4"/>
        <v>女</v>
      </c>
      <c r="F48" s="7" t="s">
        <v>732</v>
      </c>
    </row>
    <row r="49" spans="1:6" ht="20.100000000000001" customHeight="1" x14ac:dyDescent="0.15">
      <c r="A49" s="5">
        <v>46</v>
      </c>
      <c r="B49" s="6" t="str">
        <f>"30482021060123091170162"</f>
        <v>30482021060123091170162</v>
      </c>
      <c r="C49" s="6" t="s">
        <v>704</v>
      </c>
      <c r="D49" s="6" t="str">
        <f>"林丽丹"</f>
        <v>林丽丹</v>
      </c>
      <c r="E49" s="6" t="str">
        <f t="shared" si="4"/>
        <v>女</v>
      </c>
      <c r="F49" s="7" t="s">
        <v>733</v>
      </c>
    </row>
    <row r="50" spans="1:6" ht="20.100000000000001" customHeight="1" x14ac:dyDescent="0.15">
      <c r="A50" s="5">
        <v>47</v>
      </c>
      <c r="B50" s="6" t="str">
        <f>"30482021060123210870230"</f>
        <v>30482021060123210870230</v>
      </c>
      <c r="C50" s="6" t="s">
        <v>704</v>
      </c>
      <c r="D50" s="6" t="str">
        <f>"林觉蓝"</f>
        <v>林觉蓝</v>
      </c>
      <c r="E50" s="6" t="str">
        <f t="shared" si="4"/>
        <v>女</v>
      </c>
      <c r="F50" s="7" t="s">
        <v>734</v>
      </c>
    </row>
    <row r="51" spans="1:6" ht="20.100000000000001" customHeight="1" x14ac:dyDescent="0.15">
      <c r="A51" s="5">
        <v>48</v>
      </c>
      <c r="B51" s="6" t="str">
        <f>"30482021060123262370256"</f>
        <v>30482021060123262370256</v>
      </c>
      <c r="C51" s="6" t="s">
        <v>704</v>
      </c>
      <c r="D51" s="6" t="str">
        <f>"刘妹"</f>
        <v>刘妹</v>
      </c>
      <c r="E51" s="6" t="str">
        <f t="shared" si="4"/>
        <v>女</v>
      </c>
      <c r="F51" s="7" t="s">
        <v>735</v>
      </c>
    </row>
    <row r="52" spans="1:6" ht="20.100000000000001" customHeight="1" x14ac:dyDescent="0.15">
      <c r="A52" s="5">
        <v>49</v>
      </c>
      <c r="B52" s="6" t="str">
        <f>"30482021060200034270382"</f>
        <v>30482021060200034270382</v>
      </c>
      <c r="C52" s="6" t="s">
        <v>704</v>
      </c>
      <c r="D52" s="6" t="str">
        <f>"陈惠儿"</f>
        <v>陈惠儿</v>
      </c>
      <c r="E52" s="6" t="str">
        <f t="shared" si="4"/>
        <v>女</v>
      </c>
      <c r="F52" s="7" t="s">
        <v>736</v>
      </c>
    </row>
    <row r="53" spans="1:6" ht="20.100000000000001" customHeight="1" x14ac:dyDescent="0.15">
      <c r="A53" s="5">
        <v>50</v>
      </c>
      <c r="B53" s="6" t="str">
        <f>"30482021060200094070400"</f>
        <v>30482021060200094070400</v>
      </c>
      <c r="C53" s="6" t="s">
        <v>704</v>
      </c>
      <c r="D53" s="6" t="str">
        <f>"周子乃"</f>
        <v>周子乃</v>
      </c>
      <c r="E53" s="6" t="str">
        <f t="shared" si="4"/>
        <v>女</v>
      </c>
      <c r="F53" s="7" t="s">
        <v>737</v>
      </c>
    </row>
    <row r="54" spans="1:6" ht="20.100000000000001" customHeight="1" x14ac:dyDescent="0.15">
      <c r="A54" s="5">
        <v>51</v>
      </c>
      <c r="B54" s="6" t="str">
        <f>"30482021060201012070488"</f>
        <v>30482021060201012070488</v>
      </c>
      <c r="C54" s="6" t="s">
        <v>704</v>
      </c>
      <c r="D54" s="6" t="str">
        <f>"羊壮荣"</f>
        <v>羊壮荣</v>
      </c>
      <c r="E54" s="6" t="str">
        <f t="shared" ref="E54:E56" si="5">"男"</f>
        <v>男</v>
      </c>
      <c r="F54" s="7" t="s">
        <v>738</v>
      </c>
    </row>
    <row r="55" spans="1:6" ht="20.100000000000001" customHeight="1" x14ac:dyDescent="0.15">
      <c r="A55" s="5">
        <v>52</v>
      </c>
      <c r="B55" s="6" t="str">
        <f>"30482021060208363370897"</f>
        <v>30482021060208363370897</v>
      </c>
      <c r="C55" s="6" t="s">
        <v>704</v>
      </c>
      <c r="D55" s="6" t="str">
        <f>"陈祚淀"</f>
        <v>陈祚淀</v>
      </c>
      <c r="E55" s="6" t="str">
        <f t="shared" si="5"/>
        <v>男</v>
      </c>
      <c r="F55" s="7" t="s">
        <v>739</v>
      </c>
    </row>
    <row r="56" spans="1:6" ht="20.100000000000001" customHeight="1" x14ac:dyDescent="0.15">
      <c r="A56" s="5">
        <v>53</v>
      </c>
      <c r="B56" s="6" t="str">
        <f>"30482021060208370870903"</f>
        <v>30482021060208370870903</v>
      </c>
      <c r="C56" s="6" t="s">
        <v>704</v>
      </c>
      <c r="D56" s="6" t="str">
        <f>"吴贻照"</f>
        <v>吴贻照</v>
      </c>
      <c r="E56" s="6" t="str">
        <f t="shared" si="5"/>
        <v>男</v>
      </c>
      <c r="F56" s="7" t="s">
        <v>740</v>
      </c>
    </row>
    <row r="57" spans="1:6" ht="20.100000000000001" customHeight="1" x14ac:dyDescent="0.15">
      <c r="A57" s="5">
        <v>54</v>
      </c>
      <c r="B57" s="6" t="str">
        <f>"30482021060208375870912"</f>
        <v>30482021060208375870912</v>
      </c>
      <c r="C57" s="6" t="s">
        <v>704</v>
      </c>
      <c r="D57" s="6" t="str">
        <f>"邢潇斤"</f>
        <v>邢潇斤</v>
      </c>
      <c r="E57" s="6" t="str">
        <f t="shared" ref="E57:E60" si="6">"女"</f>
        <v>女</v>
      </c>
      <c r="F57" s="7" t="s">
        <v>741</v>
      </c>
    </row>
    <row r="58" spans="1:6" ht="20.100000000000001" customHeight="1" x14ac:dyDescent="0.15">
      <c r="A58" s="5">
        <v>55</v>
      </c>
      <c r="B58" s="6" t="str">
        <f>"30482021060208584871102"</f>
        <v>30482021060208584871102</v>
      </c>
      <c r="C58" s="6" t="s">
        <v>704</v>
      </c>
      <c r="D58" s="6" t="str">
        <f>"梁丽贞"</f>
        <v>梁丽贞</v>
      </c>
      <c r="E58" s="6" t="str">
        <f t="shared" si="6"/>
        <v>女</v>
      </c>
      <c r="F58" s="7" t="s">
        <v>742</v>
      </c>
    </row>
    <row r="59" spans="1:6" ht="20.100000000000001" customHeight="1" x14ac:dyDescent="0.15">
      <c r="A59" s="5">
        <v>56</v>
      </c>
      <c r="B59" s="6" t="str">
        <f>"30482021060209101971238"</f>
        <v>30482021060209101971238</v>
      </c>
      <c r="C59" s="6" t="s">
        <v>704</v>
      </c>
      <c r="D59" s="6" t="str">
        <f>"卢珊珊"</f>
        <v>卢珊珊</v>
      </c>
      <c r="E59" s="6" t="str">
        <f t="shared" si="6"/>
        <v>女</v>
      </c>
      <c r="F59" s="7" t="s">
        <v>743</v>
      </c>
    </row>
    <row r="60" spans="1:6" ht="20.100000000000001" customHeight="1" x14ac:dyDescent="0.15">
      <c r="A60" s="5">
        <v>57</v>
      </c>
      <c r="B60" s="6" t="str">
        <f>"30482021060209345771513"</f>
        <v>30482021060209345771513</v>
      </c>
      <c r="C60" s="6" t="s">
        <v>704</v>
      </c>
      <c r="D60" s="6" t="str">
        <f>"符春蕾"</f>
        <v>符春蕾</v>
      </c>
      <c r="E60" s="6" t="str">
        <f t="shared" si="6"/>
        <v>女</v>
      </c>
      <c r="F60" s="7" t="s">
        <v>744</v>
      </c>
    </row>
    <row r="61" spans="1:6" ht="20.100000000000001" customHeight="1" x14ac:dyDescent="0.15">
      <c r="A61" s="5">
        <v>58</v>
      </c>
      <c r="B61" s="6" t="str">
        <f>"30482021060209453971674"</f>
        <v>30482021060209453971674</v>
      </c>
      <c r="C61" s="6" t="s">
        <v>704</v>
      </c>
      <c r="D61" s="6" t="str">
        <f>"郑智虎"</f>
        <v>郑智虎</v>
      </c>
      <c r="E61" s="6" t="str">
        <f>"男"</f>
        <v>男</v>
      </c>
      <c r="F61" s="7" t="s">
        <v>745</v>
      </c>
    </row>
    <row r="62" spans="1:6" ht="20.100000000000001" customHeight="1" x14ac:dyDescent="0.15">
      <c r="A62" s="5">
        <v>59</v>
      </c>
      <c r="B62" s="6" t="str">
        <f>"30482021060209493071723"</f>
        <v>30482021060209493071723</v>
      </c>
      <c r="C62" s="6" t="s">
        <v>704</v>
      </c>
      <c r="D62" s="6" t="str">
        <f>"曾玲"</f>
        <v>曾玲</v>
      </c>
      <c r="E62" s="6" t="str">
        <f t="shared" ref="E62:E71" si="7">"女"</f>
        <v>女</v>
      </c>
      <c r="F62" s="7" t="s">
        <v>100</v>
      </c>
    </row>
    <row r="63" spans="1:6" ht="20.100000000000001" customHeight="1" x14ac:dyDescent="0.15">
      <c r="A63" s="5">
        <v>60</v>
      </c>
      <c r="B63" s="6" t="str">
        <f>"30482021060210011871871"</f>
        <v>30482021060210011871871</v>
      </c>
      <c r="C63" s="6" t="s">
        <v>704</v>
      </c>
      <c r="D63" s="6" t="str">
        <f>"符春媚"</f>
        <v>符春媚</v>
      </c>
      <c r="E63" s="6" t="str">
        <f t="shared" si="7"/>
        <v>女</v>
      </c>
      <c r="F63" s="7" t="s">
        <v>498</v>
      </c>
    </row>
    <row r="64" spans="1:6" ht="20.100000000000001" customHeight="1" x14ac:dyDescent="0.15">
      <c r="A64" s="5">
        <v>61</v>
      </c>
      <c r="B64" s="6" t="str">
        <f>"30482021060210153872066"</f>
        <v>30482021060210153872066</v>
      </c>
      <c r="C64" s="6" t="s">
        <v>704</v>
      </c>
      <c r="D64" s="6" t="str">
        <f>"王小怡"</f>
        <v>王小怡</v>
      </c>
      <c r="E64" s="6" t="str">
        <f t="shared" si="7"/>
        <v>女</v>
      </c>
      <c r="F64" s="7" t="s">
        <v>746</v>
      </c>
    </row>
    <row r="65" spans="1:6" ht="20.100000000000001" customHeight="1" x14ac:dyDescent="0.15">
      <c r="A65" s="5">
        <v>62</v>
      </c>
      <c r="B65" s="6" t="str">
        <f>"30482021060210244072195"</f>
        <v>30482021060210244072195</v>
      </c>
      <c r="C65" s="6" t="s">
        <v>704</v>
      </c>
      <c r="D65" s="6" t="str">
        <f>"杨燕"</f>
        <v>杨燕</v>
      </c>
      <c r="E65" s="6" t="str">
        <f t="shared" si="7"/>
        <v>女</v>
      </c>
      <c r="F65" s="7" t="s">
        <v>747</v>
      </c>
    </row>
    <row r="66" spans="1:6" ht="20.100000000000001" customHeight="1" x14ac:dyDescent="0.15">
      <c r="A66" s="5">
        <v>63</v>
      </c>
      <c r="B66" s="6" t="str">
        <f>"30482021060210261372213"</f>
        <v>30482021060210261372213</v>
      </c>
      <c r="C66" s="6" t="s">
        <v>704</v>
      </c>
      <c r="D66" s="6" t="str">
        <f>"陈芳深"</f>
        <v>陈芳深</v>
      </c>
      <c r="E66" s="6" t="str">
        <f t="shared" si="7"/>
        <v>女</v>
      </c>
      <c r="F66" s="7" t="s">
        <v>748</v>
      </c>
    </row>
    <row r="67" spans="1:6" ht="20.100000000000001" customHeight="1" x14ac:dyDescent="0.15">
      <c r="A67" s="5">
        <v>64</v>
      </c>
      <c r="B67" s="6" t="str">
        <f>"30482021060210261372214"</f>
        <v>30482021060210261372214</v>
      </c>
      <c r="C67" s="6" t="s">
        <v>704</v>
      </c>
      <c r="D67" s="6" t="str">
        <f>"张素"</f>
        <v>张素</v>
      </c>
      <c r="E67" s="6" t="str">
        <f t="shared" si="7"/>
        <v>女</v>
      </c>
      <c r="F67" s="7" t="s">
        <v>749</v>
      </c>
    </row>
    <row r="68" spans="1:6" ht="20.100000000000001" customHeight="1" x14ac:dyDescent="0.15">
      <c r="A68" s="5">
        <v>65</v>
      </c>
      <c r="B68" s="6" t="str">
        <f>"30482021060210341772330"</f>
        <v>30482021060210341772330</v>
      </c>
      <c r="C68" s="6" t="s">
        <v>704</v>
      </c>
      <c r="D68" s="6" t="str">
        <f>"王梅"</f>
        <v>王梅</v>
      </c>
      <c r="E68" s="6" t="str">
        <f t="shared" si="7"/>
        <v>女</v>
      </c>
      <c r="F68" s="7" t="s">
        <v>633</v>
      </c>
    </row>
    <row r="69" spans="1:6" ht="20.100000000000001" customHeight="1" x14ac:dyDescent="0.15">
      <c r="A69" s="5">
        <v>66</v>
      </c>
      <c r="B69" s="6" t="str">
        <f>"30482021060210351972342"</f>
        <v>30482021060210351972342</v>
      </c>
      <c r="C69" s="6" t="s">
        <v>704</v>
      </c>
      <c r="D69" s="6" t="str">
        <f>"龙嫔嫔"</f>
        <v>龙嫔嫔</v>
      </c>
      <c r="E69" s="6" t="str">
        <f t="shared" si="7"/>
        <v>女</v>
      </c>
      <c r="F69" s="7" t="s">
        <v>619</v>
      </c>
    </row>
    <row r="70" spans="1:6" ht="20.100000000000001" customHeight="1" x14ac:dyDescent="0.15">
      <c r="A70" s="5">
        <v>67</v>
      </c>
      <c r="B70" s="6" t="str">
        <f>"30482021060210510872556"</f>
        <v>30482021060210510872556</v>
      </c>
      <c r="C70" s="6" t="s">
        <v>704</v>
      </c>
      <c r="D70" s="6" t="str">
        <f>"陈夏珠"</f>
        <v>陈夏珠</v>
      </c>
      <c r="E70" s="6" t="str">
        <f t="shared" si="7"/>
        <v>女</v>
      </c>
      <c r="F70" s="7" t="s">
        <v>290</v>
      </c>
    </row>
    <row r="71" spans="1:6" ht="20.100000000000001" customHeight="1" x14ac:dyDescent="0.15">
      <c r="A71" s="5">
        <v>68</v>
      </c>
      <c r="B71" s="6" t="str">
        <f>"30482021060210573172638"</f>
        <v>30482021060210573172638</v>
      </c>
      <c r="C71" s="6" t="s">
        <v>704</v>
      </c>
      <c r="D71" s="6" t="str">
        <f>"李林霖"</f>
        <v>李林霖</v>
      </c>
      <c r="E71" s="6" t="str">
        <f t="shared" si="7"/>
        <v>女</v>
      </c>
      <c r="F71" s="7" t="s">
        <v>750</v>
      </c>
    </row>
    <row r="72" spans="1:6" ht="20.100000000000001" customHeight="1" x14ac:dyDescent="0.15">
      <c r="A72" s="5">
        <v>69</v>
      </c>
      <c r="B72" s="6" t="str">
        <f>"30482021060211100072783"</f>
        <v>30482021060211100072783</v>
      </c>
      <c r="C72" s="6" t="s">
        <v>704</v>
      </c>
      <c r="D72" s="6" t="str">
        <f>"符大云"</f>
        <v>符大云</v>
      </c>
      <c r="E72" s="6" t="str">
        <f>"男"</f>
        <v>男</v>
      </c>
      <c r="F72" s="7" t="s">
        <v>751</v>
      </c>
    </row>
    <row r="73" spans="1:6" ht="20.100000000000001" customHeight="1" x14ac:dyDescent="0.15">
      <c r="A73" s="5">
        <v>70</v>
      </c>
      <c r="B73" s="6" t="str">
        <f>"30482021060212241173458"</f>
        <v>30482021060212241173458</v>
      </c>
      <c r="C73" s="6" t="s">
        <v>704</v>
      </c>
      <c r="D73" s="6" t="str">
        <f>"陈季香"</f>
        <v>陈季香</v>
      </c>
      <c r="E73" s="6" t="str">
        <f t="shared" ref="E73:E111" si="8">"女"</f>
        <v>女</v>
      </c>
      <c r="F73" s="7" t="s">
        <v>752</v>
      </c>
    </row>
    <row r="74" spans="1:6" ht="20.100000000000001" customHeight="1" x14ac:dyDescent="0.15">
      <c r="A74" s="5">
        <v>71</v>
      </c>
      <c r="B74" s="6" t="str">
        <f>"30482021060213564774139"</f>
        <v>30482021060213564774139</v>
      </c>
      <c r="C74" s="6" t="s">
        <v>704</v>
      </c>
      <c r="D74" s="6" t="str">
        <f>"王若岚"</f>
        <v>王若岚</v>
      </c>
      <c r="E74" s="6" t="str">
        <f t="shared" si="8"/>
        <v>女</v>
      </c>
      <c r="F74" s="7" t="s">
        <v>753</v>
      </c>
    </row>
    <row r="75" spans="1:6" ht="20.100000000000001" customHeight="1" x14ac:dyDescent="0.15">
      <c r="A75" s="5">
        <v>72</v>
      </c>
      <c r="B75" s="6" t="str">
        <f>"30482021060214455874441"</f>
        <v>30482021060214455874441</v>
      </c>
      <c r="C75" s="6" t="s">
        <v>704</v>
      </c>
      <c r="D75" s="6" t="str">
        <f>"刘晓霜"</f>
        <v>刘晓霜</v>
      </c>
      <c r="E75" s="6" t="str">
        <f t="shared" si="8"/>
        <v>女</v>
      </c>
      <c r="F75" s="7" t="s">
        <v>754</v>
      </c>
    </row>
    <row r="76" spans="1:6" ht="20.100000000000001" customHeight="1" x14ac:dyDescent="0.15">
      <c r="A76" s="5">
        <v>73</v>
      </c>
      <c r="B76" s="6" t="str">
        <f>"30482021060214502274481"</f>
        <v>30482021060214502274481</v>
      </c>
      <c r="C76" s="6" t="s">
        <v>704</v>
      </c>
      <c r="D76" s="6" t="str">
        <f>"陈海云"</f>
        <v>陈海云</v>
      </c>
      <c r="E76" s="6" t="str">
        <f t="shared" si="8"/>
        <v>女</v>
      </c>
      <c r="F76" s="7" t="s">
        <v>31</v>
      </c>
    </row>
    <row r="77" spans="1:6" ht="20.100000000000001" customHeight="1" x14ac:dyDescent="0.15">
      <c r="A77" s="5">
        <v>74</v>
      </c>
      <c r="B77" s="6" t="str">
        <f>"30482021060214561174536"</f>
        <v>30482021060214561174536</v>
      </c>
      <c r="C77" s="6" t="s">
        <v>704</v>
      </c>
      <c r="D77" s="6" t="str">
        <f>"闵雅"</f>
        <v>闵雅</v>
      </c>
      <c r="E77" s="6" t="str">
        <f t="shared" si="8"/>
        <v>女</v>
      </c>
      <c r="F77" s="7" t="s">
        <v>755</v>
      </c>
    </row>
    <row r="78" spans="1:6" ht="20.100000000000001" customHeight="1" x14ac:dyDescent="0.15">
      <c r="A78" s="5">
        <v>75</v>
      </c>
      <c r="B78" s="6" t="str">
        <f>"30482021060215164774751"</f>
        <v>30482021060215164774751</v>
      </c>
      <c r="C78" s="6" t="s">
        <v>704</v>
      </c>
      <c r="D78" s="6" t="str">
        <f>"王巧婷"</f>
        <v>王巧婷</v>
      </c>
      <c r="E78" s="6" t="str">
        <f t="shared" si="8"/>
        <v>女</v>
      </c>
      <c r="F78" s="7" t="s">
        <v>756</v>
      </c>
    </row>
    <row r="79" spans="1:6" ht="20.100000000000001" customHeight="1" x14ac:dyDescent="0.15">
      <c r="A79" s="5">
        <v>76</v>
      </c>
      <c r="B79" s="6" t="str">
        <f>"30482021060215423275045"</f>
        <v>30482021060215423275045</v>
      </c>
      <c r="C79" s="6" t="s">
        <v>704</v>
      </c>
      <c r="D79" s="6" t="str">
        <f>"李欣"</f>
        <v>李欣</v>
      </c>
      <c r="E79" s="6" t="str">
        <f t="shared" si="8"/>
        <v>女</v>
      </c>
      <c r="F79" s="7" t="s">
        <v>464</v>
      </c>
    </row>
    <row r="80" spans="1:6" ht="20.100000000000001" customHeight="1" x14ac:dyDescent="0.15">
      <c r="A80" s="5">
        <v>77</v>
      </c>
      <c r="B80" s="6" t="str">
        <f>"30482021060215443975074"</f>
        <v>30482021060215443975074</v>
      </c>
      <c r="C80" s="6" t="s">
        <v>704</v>
      </c>
      <c r="D80" s="6" t="str">
        <f>"王昱蓓"</f>
        <v>王昱蓓</v>
      </c>
      <c r="E80" s="6" t="str">
        <f t="shared" si="8"/>
        <v>女</v>
      </c>
      <c r="F80" s="7" t="s">
        <v>277</v>
      </c>
    </row>
    <row r="81" spans="1:6" ht="20.100000000000001" customHeight="1" x14ac:dyDescent="0.15">
      <c r="A81" s="5">
        <v>78</v>
      </c>
      <c r="B81" s="6" t="str">
        <f>"30482021060216131475379"</f>
        <v>30482021060216131475379</v>
      </c>
      <c r="C81" s="6" t="s">
        <v>704</v>
      </c>
      <c r="D81" s="6" t="str">
        <f>"     王来银"</f>
        <v xml:space="preserve">     王来银</v>
      </c>
      <c r="E81" s="6" t="str">
        <f t="shared" si="8"/>
        <v>女</v>
      </c>
      <c r="F81" s="7" t="s">
        <v>673</v>
      </c>
    </row>
    <row r="82" spans="1:6" ht="20.100000000000001" customHeight="1" x14ac:dyDescent="0.15">
      <c r="A82" s="5">
        <v>79</v>
      </c>
      <c r="B82" s="6" t="str">
        <f>"30482021060216333275571"</f>
        <v>30482021060216333275571</v>
      </c>
      <c r="C82" s="6" t="s">
        <v>704</v>
      </c>
      <c r="D82" s="6" t="str">
        <f>"林芳金"</f>
        <v>林芳金</v>
      </c>
      <c r="E82" s="6" t="str">
        <f t="shared" si="8"/>
        <v>女</v>
      </c>
      <c r="F82" s="7" t="s">
        <v>757</v>
      </c>
    </row>
    <row r="83" spans="1:6" ht="20.100000000000001" customHeight="1" x14ac:dyDescent="0.15">
      <c r="A83" s="5">
        <v>80</v>
      </c>
      <c r="B83" s="6" t="str">
        <f>"30482021060216394075636"</f>
        <v>30482021060216394075636</v>
      </c>
      <c r="C83" s="6" t="s">
        <v>704</v>
      </c>
      <c r="D83" s="6" t="str">
        <f>"卢耀娟"</f>
        <v>卢耀娟</v>
      </c>
      <c r="E83" s="6" t="str">
        <f t="shared" si="8"/>
        <v>女</v>
      </c>
      <c r="F83" s="7" t="s">
        <v>758</v>
      </c>
    </row>
    <row r="84" spans="1:6" ht="20.100000000000001" customHeight="1" x14ac:dyDescent="0.15">
      <c r="A84" s="5">
        <v>81</v>
      </c>
      <c r="B84" s="6" t="str">
        <f>"30482021060216445075686"</f>
        <v>30482021060216445075686</v>
      </c>
      <c r="C84" s="6" t="s">
        <v>704</v>
      </c>
      <c r="D84" s="6" t="str">
        <f>"梁蓝尹"</f>
        <v>梁蓝尹</v>
      </c>
      <c r="E84" s="6" t="str">
        <f t="shared" si="8"/>
        <v>女</v>
      </c>
      <c r="F84" s="7" t="s">
        <v>183</v>
      </c>
    </row>
    <row r="85" spans="1:6" ht="20.100000000000001" customHeight="1" x14ac:dyDescent="0.15">
      <c r="A85" s="5">
        <v>82</v>
      </c>
      <c r="B85" s="6" t="str">
        <f>"30482021060216511075743"</f>
        <v>30482021060216511075743</v>
      </c>
      <c r="C85" s="6" t="s">
        <v>704</v>
      </c>
      <c r="D85" s="6" t="str">
        <f>"苏家露"</f>
        <v>苏家露</v>
      </c>
      <c r="E85" s="6" t="str">
        <f t="shared" si="8"/>
        <v>女</v>
      </c>
      <c r="F85" s="7" t="s">
        <v>759</v>
      </c>
    </row>
    <row r="86" spans="1:6" ht="20.100000000000001" customHeight="1" x14ac:dyDescent="0.15">
      <c r="A86" s="5">
        <v>83</v>
      </c>
      <c r="B86" s="6" t="str">
        <f>"30482021060217294576104"</f>
        <v>30482021060217294576104</v>
      </c>
      <c r="C86" s="6" t="s">
        <v>704</v>
      </c>
      <c r="D86" s="6" t="str">
        <f>"任丽颖"</f>
        <v>任丽颖</v>
      </c>
      <c r="E86" s="6" t="str">
        <f t="shared" si="8"/>
        <v>女</v>
      </c>
      <c r="F86" s="7" t="s">
        <v>30</v>
      </c>
    </row>
    <row r="87" spans="1:6" ht="20.100000000000001" customHeight="1" x14ac:dyDescent="0.15">
      <c r="A87" s="5">
        <v>84</v>
      </c>
      <c r="B87" s="6" t="str">
        <f>"30482021060217315976117"</f>
        <v>30482021060217315976117</v>
      </c>
      <c r="C87" s="6" t="s">
        <v>704</v>
      </c>
      <c r="D87" s="6" t="str">
        <f>"王春香"</f>
        <v>王春香</v>
      </c>
      <c r="E87" s="6" t="str">
        <f t="shared" si="8"/>
        <v>女</v>
      </c>
      <c r="F87" s="7" t="s">
        <v>760</v>
      </c>
    </row>
    <row r="88" spans="1:6" ht="20.100000000000001" customHeight="1" x14ac:dyDescent="0.15">
      <c r="A88" s="5">
        <v>85</v>
      </c>
      <c r="B88" s="6" t="str">
        <f>"30482021060217584276318"</f>
        <v>30482021060217584276318</v>
      </c>
      <c r="C88" s="6" t="s">
        <v>704</v>
      </c>
      <c r="D88" s="6" t="str">
        <f>"李小连"</f>
        <v>李小连</v>
      </c>
      <c r="E88" s="6" t="str">
        <f t="shared" si="8"/>
        <v>女</v>
      </c>
      <c r="F88" s="7" t="s">
        <v>637</v>
      </c>
    </row>
    <row r="89" spans="1:6" ht="20.100000000000001" customHeight="1" x14ac:dyDescent="0.15">
      <c r="A89" s="5">
        <v>86</v>
      </c>
      <c r="B89" s="6" t="str">
        <f>"30482021060218411376614"</f>
        <v>30482021060218411376614</v>
      </c>
      <c r="C89" s="6" t="s">
        <v>704</v>
      </c>
      <c r="D89" s="6" t="str">
        <f>"林飞转"</f>
        <v>林飞转</v>
      </c>
      <c r="E89" s="6" t="str">
        <f t="shared" si="8"/>
        <v>女</v>
      </c>
      <c r="F89" s="7" t="s">
        <v>87</v>
      </c>
    </row>
    <row r="90" spans="1:6" ht="20.100000000000001" customHeight="1" x14ac:dyDescent="0.15">
      <c r="A90" s="5">
        <v>87</v>
      </c>
      <c r="B90" s="6" t="str">
        <f>"30482021060220255677403"</f>
        <v>30482021060220255677403</v>
      </c>
      <c r="C90" s="6" t="s">
        <v>704</v>
      </c>
      <c r="D90" s="6" t="str">
        <f>"林璧冰"</f>
        <v>林璧冰</v>
      </c>
      <c r="E90" s="6" t="str">
        <f t="shared" si="8"/>
        <v>女</v>
      </c>
      <c r="F90" s="7" t="s">
        <v>761</v>
      </c>
    </row>
    <row r="91" spans="1:6" ht="20.100000000000001" customHeight="1" x14ac:dyDescent="0.15">
      <c r="A91" s="5">
        <v>88</v>
      </c>
      <c r="B91" s="6" t="str">
        <f>"30482021060220290177430"</f>
        <v>30482021060220290177430</v>
      </c>
      <c r="C91" s="6" t="s">
        <v>704</v>
      </c>
      <c r="D91" s="6" t="str">
        <f>"庄丽株"</f>
        <v>庄丽株</v>
      </c>
      <c r="E91" s="6" t="str">
        <f t="shared" si="8"/>
        <v>女</v>
      </c>
      <c r="F91" s="7" t="s">
        <v>762</v>
      </c>
    </row>
    <row r="92" spans="1:6" ht="20.100000000000001" customHeight="1" x14ac:dyDescent="0.15">
      <c r="A92" s="5">
        <v>89</v>
      </c>
      <c r="B92" s="6" t="str">
        <f>"30482021060220340577481"</f>
        <v>30482021060220340577481</v>
      </c>
      <c r="C92" s="6" t="s">
        <v>704</v>
      </c>
      <c r="D92" s="6" t="str">
        <f>"林小夏"</f>
        <v>林小夏</v>
      </c>
      <c r="E92" s="6" t="str">
        <f t="shared" si="8"/>
        <v>女</v>
      </c>
      <c r="F92" s="7" t="s">
        <v>140</v>
      </c>
    </row>
    <row r="93" spans="1:6" ht="20.100000000000001" customHeight="1" x14ac:dyDescent="0.15">
      <c r="A93" s="5">
        <v>90</v>
      </c>
      <c r="B93" s="6" t="str">
        <f>"30482021060220595977712"</f>
        <v>30482021060220595977712</v>
      </c>
      <c r="C93" s="6" t="s">
        <v>704</v>
      </c>
      <c r="D93" s="6" t="str">
        <f>"许华平"</f>
        <v>许华平</v>
      </c>
      <c r="E93" s="6" t="str">
        <f t="shared" si="8"/>
        <v>女</v>
      </c>
      <c r="F93" s="7" t="s">
        <v>763</v>
      </c>
    </row>
    <row r="94" spans="1:6" ht="20.100000000000001" customHeight="1" x14ac:dyDescent="0.15">
      <c r="A94" s="5">
        <v>91</v>
      </c>
      <c r="B94" s="6" t="str">
        <f>"30482021060221490178094"</f>
        <v>30482021060221490178094</v>
      </c>
      <c r="C94" s="6" t="s">
        <v>704</v>
      </c>
      <c r="D94" s="6" t="str">
        <f>"刘芷琳"</f>
        <v>刘芷琳</v>
      </c>
      <c r="E94" s="6" t="str">
        <f t="shared" si="8"/>
        <v>女</v>
      </c>
      <c r="F94" s="7" t="s">
        <v>764</v>
      </c>
    </row>
    <row r="95" spans="1:6" ht="20.100000000000001" customHeight="1" x14ac:dyDescent="0.15">
      <c r="A95" s="5">
        <v>92</v>
      </c>
      <c r="B95" s="6" t="str">
        <f>"30482021060221521578113"</f>
        <v>30482021060221521578113</v>
      </c>
      <c r="C95" s="6" t="s">
        <v>704</v>
      </c>
      <c r="D95" s="6" t="str">
        <f>"曾曼群"</f>
        <v>曾曼群</v>
      </c>
      <c r="E95" s="6" t="str">
        <f t="shared" si="8"/>
        <v>女</v>
      </c>
      <c r="F95" s="7" t="s">
        <v>111</v>
      </c>
    </row>
    <row r="96" spans="1:6" ht="20.100000000000001" customHeight="1" x14ac:dyDescent="0.15">
      <c r="A96" s="5">
        <v>93</v>
      </c>
      <c r="B96" s="6" t="str">
        <f>"30482021060223063878693"</f>
        <v>30482021060223063878693</v>
      </c>
      <c r="C96" s="6" t="s">
        <v>704</v>
      </c>
      <c r="D96" s="6" t="str">
        <f>"陈婷"</f>
        <v>陈婷</v>
      </c>
      <c r="E96" s="6" t="str">
        <f t="shared" si="8"/>
        <v>女</v>
      </c>
      <c r="F96" s="7" t="s">
        <v>765</v>
      </c>
    </row>
    <row r="97" spans="1:6" ht="20.100000000000001" customHeight="1" x14ac:dyDescent="0.15">
      <c r="A97" s="5">
        <v>94</v>
      </c>
      <c r="B97" s="6" t="str">
        <f>"30482021060300213079013"</f>
        <v>30482021060300213079013</v>
      </c>
      <c r="C97" s="6" t="s">
        <v>704</v>
      </c>
      <c r="D97" s="6" t="str">
        <f>"陈芸"</f>
        <v>陈芸</v>
      </c>
      <c r="E97" s="6" t="str">
        <f t="shared" si="8"/>
        <v>女</v>
      </c>
      <c r="F97" s="7" t="s">
        <v>766</v>
      </c>
    </row>
    <row r="98" spans="1:6" ht="20.100000000000001" customHeight="1" x14ac:dyDescent="0.15">
      <c r="A98" s="5">
        <v>95</v>
      </c>
      <c r="B98" s="6" t="str">
        <f>"30482021060308290279452"</f>
        <v>30482021060308290279452</v>
      </c>
      <c r="C98" s="6" t="s">
        <v>704</v>
      </c>
      <c r="D98" s="6" t="str">
        <f>"李冰"</f>
        <v>李冰</v>
      </c>
      <c r="E98" s="6" t="str">
        <f t="shared" si="8"/>
        <v>女</v>
      </c>
      <c r="F98" s="7" t="s">
        <v>371</v>
      </c>
    </row>
    <row r="99" spans="1:6" ht="20.100000000000001" customHeight="1" x14ac:dyDescent="0.15">
      <c r="A99" s="5">
        <v>96</v>
      </c>
      <c r="B99" s="6" t="str">
        <f>"30482021060309000479800"</f>
        <v>30482021060309000479800</v>
      </c>
      <c r="C99" s="6" t="s">
        <v>704</v>
      </c>
      <c r="D99" s="6" t="str">
        <f>"陈少珠"</f>
        <v>陈少珠</v>
      </c>
      <c r="E99" s="6" t="str">
        <f t="shared" si="8"/>
        <v>女</v>
      </c>
      <c r="F99" s="7" t="s">
        <v>767</v>
      </c>
    </row>
    <row r="100" spans="1:6" ht="20.100000000000001" customHeight="1" x14ac:dyDescent="0.15">
      <c r="A100" s="5">
        <v>97</v>
      </c>
      <c r="B100" s="6" t="str">
        <f>"30482021060309202280064"</f>
        <v>30482021060309202280064</v>
      </c>
      <c r="C100" s="6" t="s">
        <v>704</v>
      </c>
      <c r="D100" s="6" t="str">
        <f>"文秀好"</f>
        <v>文秀好</v>
      </c>
      <c r="E100" s="6" t="str">
        <f t="shared" si="8"/>
        <v>女</v>
      </c>
      <c r="F100" s="7" t="s">
        <v>768</v>
      </c>
    </row>
    <row r="101" spans="1:6" ht="20.100000000000001" customHeight="1" x14ac:dyDescent="0.15">
      <c r="A101" s="5">
        <v>98</v>
      </c>
      <c r="B101" s="6" t="str">
        <f>"30482021060310065380794"</f>
        <v>30482021060310065380794</v>
      </c>
      <c r="C101" s="6" t="s">
        <v>704</v>
      </c>
      <c r="D101" s="6" t="str">
        <f>"陈爱选"</f>
        <v>陈爱选</v>
      </c>
      <c r="E101" s="6" t="str">
        <f t="shared" si="8"/>
        <v>女</v>
      </c>
      <c r="F101" s="7" t="s">
        <v>304</v>
      </c>
    </row>
    <row r="102" spans="1:6" ht="20.100000000000001" customHeight="1" x14ac:dyDescent="0.15">
      <c r="A102" s="5">
        <v>99</v>
      </c>
      <c r="B102" s="6" t="str">
        <f>"30482021060311094681824"</f>
        <v>30482021060311094681824</v>
      </c>
      <c r="C102" s="6" t="s">
        <v>704</v>
      </c>
      <c r="D102" s="6" t="str">
        <f>"陈佳玲"</f>
        <v>陈佳玲</v>
      </c>
      <c r="E102" s="6" t="str">
        <f t="shared" si="8"/>
        <v>女</v>
      </c>
      <c r="F102" s="7" t="s">
        <v>439</v>
      </c>
    </row>
    <row r="103" spans="1:6" ht="20.100000000000001" customHeight="1" x14ac:dyDescent="0.15">
      <c r="A103" s="5">
        <v>100</v>
      </c>
      <c r="B103" s="6" t="str">
        <f>"30482021060311382182187"</f>
        <v>30482021060311382182187</v>
      </c>
      <c r="C103" s="6" t="s">
        <v>704</v>
      </c>
      <c r="D103" s="6" t="str">
        <f>"黄冠婷"</f>
        <v>黄冠婷</v>
      </c>
      <c r="E103" s="6" t="str">
        <f t="shared" si="8"/>
        <v>女</v>
      </c>
      <c r="F103" s="7" t="s">
        <v>736</v>
      </c>
    </row>
    <row r="104" spans="1:6" ht="20.100000000000001" customHeight="1" x14ac:dyDescent="0.15">
      <c r="A104" s="5">
        <v>101</v>
      </c>
      <c r="B104" s="6" t="str">
        <f>"30482021060315543984807"</f>
        <v>30482021060315543984807</v>
      </c>
      <c r="C104" s="6" t="s">
        <v>704</v>
      </c>
      <c r="D104" s="6" t="str">
        <f>"吴小丹"</f>
        <v>吴小丹</v>
      </c>
      <c r="E104" s="6" t="str">
        <f t="shared" si="8"/>
        <v>女</v>
      </c>
      <c r="F104" s="7" t="s">
        <v>769</v>
      </c>
    </row>
    <row r="105" spans="1:6" ht="20.100000000000001" customHeight="1" x14ac:dyDescent="0.15">
      <c r="A105" s="5">
        <v>102</v>
      </c>
      <c r="B105" s="6" t="str">
        <f>"30482021060317121685720"</f>
        <v>30482021060317121685720</v>
      </c>
      <c r="C105" s="6" t="s">
        <v>704</v>
      </c>
      <c r="D105" s="6" t="str">
        <f>"张才欢"</f>
        <v>张才欢</v>
      </c>
      <c r="E105" s="6" t="str">
        <f t="shared" si="8"/>
        <v>女</v>
      </c>
      <c r="F105" s="7" t="s">
        <v>770</v>
      </c>
    </row>
    <row r="106" spans="1:6" ht="20.100000000000001" customHeight="1" x14ac:dyDescent="0.15">
      <c r="A106" s="5">
        <v>103</v>
      </c>
      <c r="B106" s="6" t="str">
        <f>"30482021060317500686114"</f>
        <v>30482021060317500686114</v>
      </c>
      <c r="C106" s="6" t="s">
        <v>704</v>
      </c>
      <c r="D106" s="6" t="str">
        <f>"吕丹丹"</f>
        <v>吕丹丹</v>
      </c>
      <c r="E106" s="6" t="str">
        <f t="shared" si="8"/>
        <v>女</v>
      </c>
      <c r="F106" s="7" t="s">
        <v>771</v>
      </c>
    </row>
    <row r="107" spans="1:6" ht="20.100000000000001" customHeight="1" x14ac:dyDescent="0.15">
      <c r="A107" s="5">
        <v>104</v>
      </c>
      <c r="B107" s="6" t="str">
        <f>"30482021060319051086753"</f>
        <v>30482021060319051086753</v>
      </c>
      <c r="C107" s="6" t="s">
        <v>704</v>
      </c>
      <c r="D107" s="6" t="str">
        <f>"朱娇"</f>
        <v>朱娇</v>
      </c>
      <c r="E107" s="6" t="str">
        <f t="shared" si="8"/>
        <v>女</v>
      </c>
      <c r="F107" s="7" t="s">
        <v>673</v>
      </c>
    </row>
    <row r="108" spans="1:6" ht="20.100000000000001" customHeight="1" x14ac:dyDescent="0.15">
      <c r="A108" s="5">
        <v>105</v>
      </c>
      <c r="B108" s="6" t="str">
        <f>"30482021060319520987150"</f>
        <v>30482021060319520987150</v>
      </c>
      <c r="C108" s="6" t="s">
        <v>704</v>
      </c>
      <c r="D108" s="6" t="str">
        <f>"张丽霜"</f>
        <v>张丽霜</v>
      </c>
      <c r="E108" s="6" t="str">
        <f t="shared" si="8"/>
        <v>女</v>
      </c>
      <c r="F108" s="7" t="s">
        <v>772</v>
      </c>
    </row>
    <row r="109" spans="1:6" ht="20.100000000000001" customHeight="1" x14ac:dyDescent="0.15">
      <c r="A109" s="5">
        <v>106</v>
      </c>
      <c r="B109" s="6" t="str">
        <f>"30482021060322271488931"</f>
        <v>30482021060322271488931</v>
      </c>
      <c r="C109" s="6" t="s">
        <v>704</v>
      </c>
      <c r="D109" s="6" t="str">
        <f>"羊冬盖"</f>
        <v>羊冬盖</v>
      </c>
      <c r="E109" s="6" t="str">
        <f t="shared" si="8"/>
        <v>女</v>
      </c>
      <c r="F109" s="7" t="s">
        <v>773</v>
      </c>
    </row>
    <row r="110" spans="1:6" ht="20.100000000000001" customHeight="1" x14ac:dyDescent="0.15">
      <c r="A110" s="5">
        <v>107</v>
      </c>
      <c r="B110" s="6" t="str">
        <f>"30482021060322572289218"</f>
        <v>30482021060322572289218</v>
      </c>
      <c r="C110" s="6" t="s">
        <v>704</v>
      </c>
      <c r="D110" s="6" t="str">
        <f>"岑娜"</f>
        <v>岑娜</v>
      </c>
      <c r="E110" s="6" t="str">
        <f t="shared" si="8"/>
        <v>女</v>
      </c>
      <c r="F110" s="7" t="s">
        <v>774</v>
      </c>
    </row>
    <row r="111" spans="1:6" ht="20.100000000000001" customHeight="1" x14ac:dyDescent="0.15">
      <c r="A111" s="5">
        <v>108</v>
      </c>
      <c r="B111" s="6" t="str">
        <f>"30482021060323101589330"</f>
        <v>30482021060323101589330</v>
      </c>
      <c r="C111" s="6" t="s">
        <v>704</v>
      </c>
      <c r="D111" s="6" t="str">
        <f>"林彬彬"</f>
        <v>林彬彬</v>
      </c>
      <c r="E111" s="6" t="str">
        <f t="shared" si="8"/>
        <v>女</v>
      </c>
      <c r="F111" s="7" t="s">
        <v>775</v>
      </c>
    </row>
    <row r="112" spans="1:6" ht="20.100000000000001" customHeight="1" x14ac:dyDescent="0.15">
      <c r="A112" s="5">
        <v>109</v>
      </c>
      <c r="B112" s="6" t="str">
        <f>"30482021060407162090025"</f>
        <v>30482021060407162090025</v>
      </c>
      <c r="C112" s="6" t="s">
        <v>704</v>
      </c>
      <c r="D112" s="6" t="str">
        <f>"邓亚漂"</f>
        <v>邓亚漂</v>
      </c>
      <c r="E112" s="6" t="str">
        <f>"男"</f>
        <v>男</v>
      </c>
      <c r="F112" s="7" t="s">
        <v>776</v>
      </c>
    </row>
    <row r="113" spans="1:6" ht="20.100000000000001" customHeight="1" x14ac:dyDescent="0.15">
      <c r="A113" s="5">
        <v>110</v>
      </c>
      <c r="B113" s="6" t="str">
        <f>"30482021060407323690063"</f>
        <v>30482021060407323690063</v>
      </c>
      <c r="C113" s="6" t="s">
        <v>704</v>
      </c>
      <c r="D113" s="6" t="str">
        <f>"黄彩玉"</f>
        <v>黄彩玉</v>
      </c>
      <c r="E113" s="6" t="str">
        <f t="shared" ref="E113:E121" si="9">"女"</f>
        <v>女</v>
      </c>
      <c r="F113" s="7" t="s">
        <v>777</v>
      </c>
    </row>
    <row r="114" spans="1:6" ht="20.100000000000001" customHeight="1" x14ac:dyDescent="0.15">
      <c r="A114" s="5">
        <v>111</v>
      </c>
      <c r="B114" s="6" t="str">
        <f>"30482021060409095790693"</f>
        <v>30482021060409095790693</v>
      </c>
      <c r="C114" s="6" t="s">
        <v>704</v>
      </c>
      <c r="D114" s="6" t="str">
        <f>"吴晓珍"</f>
        <v>吴晓珍</v>
      </c>
      <c r="E114" s="6" t="str">
        <f t="shared" si="9"/>
        <v>女</v>
      </c>
      <c r="F114" s="7" t="s">
        <v>633</v>
      </c>
    </row>
    <row r="115" spans="1:6" ht="20.100000000000001" customHeight="1" x14ac:dyDescent="0.15">
      <c r="A115" s="5">
        <v>112</v>
      </c>
      <c r="B115" s="6" t="str">
        <f>"30482021060409255990878"</f>
        <v>30482021060409255990878</v>
      </c>
      <c r="C115" s="6" t="s">
        <v>704</v>
      </c>
      <c r="D115" s="6" t="str">
        <f>"黄静仪"</f>
        <v>黄静仪</v>
      </c>
      <c r="E115" s="6" t="str">
        <f t="shared" si="9"/>
        <v>女</v>
      </c>
      <c r="F115" s="7" t="s">
        <v>778</v>
      </c>
    </row>
    <row r="116" spans="1:6" ht="20.100000000000001" customHeight="1" x14ac:dyDescent="0.15">
      <c r="A116" s="5">
        <v>113</v>
      </c>
      <c r="B116" s="6" t="str">
        <f>"30482021060409533791203"</f>
        <v>30482021060409533791203</v>
      </c>
      <c r="C116" s="6" t="s">
        <v>704</v>
      </c>
      <c r="D116" s="6" t="str">
        <f>"李秋"</f>
        <v>李秋</v>
      </c>
      <c r="E116" s="6" t="str">
        <f t="shared" si="9"/>
        <v>女</v>
      </c>
      <c r="F116" s="7" t="s">
        <v>779</v>
      </c>
    </row>
    <row r="117" spans="1:6" ht="20.100000000000001" customHeight="1" x14ac:dyDescent="0.15">
      <c r="A117" s="5">
        <v>114</v>
      </c>
      <c r="B117" s="6" t="str">
        <f>"30482021060410145191476"</f>
        <v>30482021060410145191476</v>
      </c>
      <c r="C117" s="6" t="s">
        <v>704</v>
      </c>
      <c r="D117" s="6" t="str">
        <f>"钟文莹"</f>
        <v>钟文莹</v>
      </c>
      <c r="E117" s="6" t="str">
        <f t="shared" si="9"/>
        <v>女</v>
      </c>
      <c r="F117" s="7" t="s">
        <v>780</v>
      </c>
    </row>
    <row r="118" spans="1:6" ht="20.100000000000001" customHeight="1" x14ac:dyDescent="0.15">
      <c r="A118" s="5">
        <v>115</v>
      </c>
      <c r="B118" s="6" t="str">
        <f>"30482021060411084992817"</f>
        <v>30482021060411084992817</v>
      </c>
      <c r="C118" s="6" t="s">
        <v>704</v>
      </c>
      <c r="D118" s="6" t="str">
        <f>"叶芷芹"</f>
        <v>叶芷芹</v>
      </c>
      <c r="E118" s="6" t="str">
        <f t="shared" si="9"/>
        <v>女</v>
      </c>
      <c r="F118" s="7" t="s">
        <v>781</v>
      </c>
    </row>
    <row r="119" spans="1:6" ht="20.100000000000001" customHeight="1" x14ac:dyDescent="0.15">
      <c r="A119" s="5">
        <v>116</v>
      </c>
      <c r="B119" s="6" t="str">
        <f>"30482021060411094892831"</f>
        <v>30482021060411094892831</v>
      </c>
      <c r="C119" s="6" t="s">
        <v>704</v>
      </c>
      <c r="D119" s="6" t="str">
        <f>"黄阳玲"</f>
        <v>黄阳玲</v>
      </c>
      <c r="E119" s="6" t="str">
        <f t="shared" si="9"/>
        <v>女</v>
      </c>
      <c r="F119" s="7" t="s">
        <v>184</v>
      </c>
    </row>
    <row r="120" spans="1:6" ht="20.100000000000001" customHeight="1" x14ac:dyDescent="0.15">
      <c r="A120" s="5">
        <v>117</v>
      </c>
      <c r="B120" s="6" t="str">
        <f>"30482021060413450794448"</f>
        <v>30482021060413450794448</v>
      </c>
      <c r="C120" s="6" t="s">
        <v>704</v>
      </c>
      <c r="D120" s="6" t="str">
        <f>"蔡鸣艺"</f>
        <v>蔡鸣艺</v>
      </c>
      <c r="E120" s="6" t="str">
        <f t="shared" si="9"/>
        <v>女</v>
      </c>
      <c r="F120" s="7" t="s">
        <v>782</v>
      </c>
    </row>
    <row r="121" spans="1:6" ht="20.100000000000001" customHeight="1" x14ac:dyDescent="0.15">
      <c r="A121" s="5">
        <v>118</v>
      </c>
      <c r="B121" s="6" t="str">
        <f>"30482021060415040495941"</f>
        <v>30482021060415040495941</v>
      </c>
      <c r="C121" s="6" t="s">
        <v>704</v>
      </c>
      <c r="D121" s="6" t="str">
        <f>"吴秋桂"</f>
        <v>吴秋桂</v>
      </c>
      <c r="E121" s="6" t="str">
        <f t="shared" si="9"/>
        <v>女</v>
      </c>
      <c r="F121" s="7" t="s">
        <v>497</v>
      </c>
    </row>
    <row r="122" spans="1:6" ht="20.100000000000001" customHeight="1" x14ac:dyDescent="0.15">
      <c r="A122" s="5">
        <v>119</v>
      </c>
      <c r="B122" s="6" t="str">
        <f>"30482021060417144997706"</f>
        <v>30482021060417144997706</v>
      </c>
      <c r="C122" s="6" t="s">
        <v>704</v>
      </c>
      <c r="D122" s="6" t="str">
        <f>"林峰"</f>
        <v>林峰</v>
      </c>
      <c r="E122" s="6" t="str">
        <f>"男"</f>
        <v>男</v>
      </c>
      <c r="F122" s="7" t="s">
        <v>417</v>
      </c>
    </row>
    <row r="123" spans="1:6" ht="20.100000000000001" customHeight="1" x14ac:dyDescent="0.15">
      <c r="A123" s="5">
        <v>120</v>
      </c>
      <c r="B123" s="6" t="str">
        <f>"30482021060417281197910"</f>
        <v>30482021060417281197910</v>
      </c>
      <c r="C123" s="6" t="s">
        <v>704</v>
      </c>
      <c r="D123" s="6" t="str">
        <f>"吴凡"</f>
        <v>吴凡</v>
      </c>
      <c r="E123" s="6" t="str">
        <f t="shared" ref="E123:E126" si="10">"女"</f>
        <v>女</v>
      </c>
      <c r="F123" s="7" t="s">
        <v>783</v>
      </c>
    </row>
    <row r="124" spans="1:6" ht="20.100000000000001" customHeight="1" x14ac:dyDescent="0.15">
      <c r="A124" s="5">
        <v>121</v>
      </c>
      <c r="B124" s="6" t="str">
        <f>"30482021060422180499725"</f>
        <v>30482021060422180499725</v>
      </c>
      <c r="C124" s="6" t="s">
        <v>704</v>
      </c>
      <c r="D124" s="6" t="str">
        <f>"罗彩玲"</f>
        <v>罗彩玲</v>
      </c>
      <c r="E124" s="6" t="str">
        <f t="shared" si="10"/>
        <v>女</v>
      </c>
      <c r="F124" s="7" t="s">
        <v>784</v>
      </c>
    </row>
    <row r="125" spans="1:6" ht="20.100000000000001" customHeight="1" x14ac:dyDescent="0.15">
      <c r="A125" s="5">
        <v>122</v>
      </c>
      <c r="B125" s="6" t="str">
        <f>"30482021060423191499908"</f>
        <v>30482021060423191499908</v>
      </c>
      <c r="C125" s="6" t="s">
        <v>704</v>
      </c>
      <c r="D125" s="6" t="str">
        <f>"麦小琴"</f>
        <v>麦小琴</v>
      </c>
      <c r="E125" s="6" t="str">
        <f t="shared" si="10"/>
        <v>女</v>
      </c>
      <c r="F125" s="7" t="s">
        <v>414</v>
      </c>
    </row>
    <row r="126" spans="1:6" ht="20.100000000000001" customHeight="1" x14ac:dyDescent="0.15">
      <c r="A126" s="5">
        <v>123</v>
      </c>
      <c r="B126" s="6" t="str">
        <f>"304820210605132259100912"</f>
        <v>304820210605132259100912</v>
      </c>
      <c r="C126" s="6" t="s">
        <v>704</v>
      </c>
      <c r="D126" s="6" t="str">
        <f>"陈琼彩"</f>
        <v>陈琼彩</v>
      </c>
      <c r="E126" s="6" t="str">
        <f t="shared" si="10"/>
        <v>女</v>
      </c>
      <c r="F126" s="7" t="s">
        <v>602</v>
      </c>
    </row>
    <row r="127" spans="1:6" ht="20.100000000000001" customHeight="1" x14ac:dyDescent="0.15">
      <c r="A127" s="5">
        <v>124</v>
      </c>
      <c r="B127" s="6" t="str">
        <f>"304820210605140843101015"</f>
        <v>304820210605140843101015</v>
      </c>
      <c r="C127" s="6" t="s">
        <v>704</v>
      </c>
      <c r="D127" s="6" t="str">
        <f>"符子帅"</f>
        <v>符子帅</v>
      </c>
      <c r="E127" s="6" t="str">
        <f>"男"</f>
        <v>男</v>
      </c>
      <c r="F127" s="7" t="s">
        <v>785</v>
      </c>
    </row>
    <row r="128" spans="1:6" ht="20.100000000000001" customHeight="1" x14ac:dyDescent="0.15">
      <c r="A128" s="5">
        <v>125</v>
      </c>
      <c r="B128" s="6" t="str">
        <f>"304820210605181516101707"</f>
        <v>304820210605181516101707</v>
      </c>
      <c r="C128" s="6" t="s">
        <v>704</v>
      </c>
      <c r="D128" s="6" t="str">
        <f>"梁珀玮"</f>
        <v>梁珀玮</v>
      </c>
      <c r="E128" s="6" t="str">
        <f>"男"</f>
        <v>男</v>
      </c>
      <c r="F128" s="7" t="s">
        <v>786</v>
      </c>
    </row>
    <row r="129" spans="1:6" ht="20.100000000000001" customHeight="1" x14ac:dyDescent="0.15">
      <c r="A129" s="5">
        <v>126</v>
      </c>
      <c r="B129" s="6" t="str">
        <f>"304820210605211729102152"</f>
        <v>304820210605211729102152</v>
      </c>
      <c r="C129" s="6" t="s">
        <v>704</v>
      </c>
      <c r="D129" s="6" t="str">
        <f>"吴华靖"</f>
        <v>吴华靖</v>
      </c>
      <c r="E129" s="6" t="str">
        <f t="shared" ref="E129:E139" si="11">"女"</f>
        <v>女</v>
      </c>
      <c r="F129" s="7" t="s">
        <v>235</v>
      </c>
    </row>
    <row r="130" spans="1:6" ht="20.100000000000001" customHeight="1" x14ac:dyDescent="0.15">
      <c r="A130" s="5">
        <v>127</v>
      </c>
      <c r="B130" s="6" t="str">
        <f>"304820210605235034102548"</f>
        <v>304820210605235034102548</v>
      </c>
      <c r="C130" s="6" t="s">
        <v>704</v>
      </c>
      <c r="D130" s="6" t="str">
        <f>"郑秋丽"</f>
        <v>郑秋丽</v>
      </c>
      <c r="E130" s="6" t="str">
        <f t="shared" si="11"/>
        <v>女</v>
      </c>
      <c r="F130" s="7" t="s">
        <v>787</v>
      </c>
    </row>
    <row r="131" spans="1:6" ht="20.100000000000001" customHeight="1" x14ac:dyDescent="0.15">
      <c r="A131" s="5">
        <v>128</v>
      </c>
      <c r="B131" s="6" t="str">
        <f>"304820210606105828103111"</f>
        <v>304820210606105828103111</v>
      </c>
      <c r="C131" s="6" t="s">
        <v>704</v>
      </c>
      <c r="D131" s="6" t="str">
        <f>"吴碧"</f>
        <v>吴碧</v>
      </c>
      <c r="E131" s="6" t="str">
        <f t="shared" si="11"/>
        <v>女</v>
      </c>
      <c r="F131" s="7" t="s">
        <v>788</v>
      </c>
    </row>
    <row r="132" spans="1:6" ht="20.100000000000001" customHeight="1" x14ac:dyDescent="0.15">
      <c r="A132" s="5">
        <v>129</v>
      </c>
      <c r="B132" s="6" t="str">
        <f>"304820210606114423103252"</f>
        <v>304820210606114423103252</v>
      </c>
      <c r="C132" s="6" t="s">
        <v>704</v>
      </c>
      <c r="D132" s="6" t="str">
        <f>"黄雪慧"</f>
        <v>黄雪慧</v>
      </c>
      <c r="E132" s="6" t="str">
        <f t="shared" si="11"/>
        <v>女</v>
      </c>
      <c r="F132" s="7" t="s">
        <v>789</v>
      </c>
    </row>
    <row r="133" spans="1:6" ht="20.100000000000001" customHeight="1" x14ac:dyDescent="0.15">
      <c r="A133" s="5">
        <v>130</v>
      </c>
      <c r="B133" s="6" t="str">
        <f>"304820210606124825103434"</f>
        <v>304820210606124825103434</v>
      </c>
      <c r="C133" s="6" t="s">
        <v>704</v>
      </c>
      <c r="D133" s="6" t="str">
        <f>"李玉妹"</f>
        <v>李玉妹</v>
      </c>
      <c r="E133" s="6" t="str">
        <f t="shared" si="11"/>
        <v>女</v>
      </c>
      <c r="F133" s="7" t="s">
        <v>479</v>
      </c>
    </row>
    <row r="134" spans="1:6" ht="20.100000000000001" customHeight="1" x14ac:dyDescent="0.15">
      <c r="A134" s="5">
        <v>131</v>
      </c>
      <c r="B134" s="6" t="str">
        <f>"304820210606155220103952"</f>
        <v>304820210606155220103952</v>
      </c>
      <c r="C134" s="6" t="s">
        <v>704</v>
      </c>
      <c r="D134" s="6" t="str">
        <f>"陈春羽"</f>
        <v>陈春羽</v>
      </c>
      <c r="E134" s="6" t="str">
        <f t="shared" si="11"/>
        <v>女</v>
      </c>
      <c r="F134" s="7" t="s">
        <v>43</v>
      </c>
    </row>
    <row r="135" spans="1:6" ht="20.100000000000001" customHeight="1" x14ac:dyDescent="0.15">
      <c r="A135" s="5">
        <v>132</v>
      </c>
      <c r="B135" s="6" t="str">
        <f>"304820210606171922104260"</f>
        <v>304820210606171922104260</v>
      </c>
      <c r="C135" s="6" t="s">
        <v>704</v>
      </c>
      <c r="D135" s="6" t="str">
        <f>"林敏敏"</f>
        <v>林敏敏</v>
      </c>
      <c r="E135" s="6" t="str">
        <f t="shared" si="11"/>
        <v>女</v>
      </c>
      <c r="F135" s="7" t="s">
        <v>790</v>
      </c>
    </row>
    <row r="136" spans="1:6" ht="20.100000000000001" customHeight="1" x14ac:dyDescent="0.15">
      <c r="A136" s="5">
        <v>133</v>
      </c>
      <c r="B136" s="6" t="str">
        <f>"304820210606201754104615"</f>
        <v>304820210606201754104615</v>
      </c>
      <c r="C136" s="6" t="s">
        <v>704</v>
      </c>
      <c r="D136" s="6" t="str">
        <f>"何珊洁"</f>
        <v>何珊洁</v>
      </c>
      <c r="E136" s="6" t="str">
        <f t="shared" si="11"/>
        <v>女</v>
      </c>
      <c r="F136" s="7" t="s">
        <v>791</v>
      </c>
    </row>
    <row r="137" spans="1:6" ht="20.100000000000001" customHeight="1" x14ac:dyDescent="0.15">
      <c r="A137" s="5">
        <v>134</v>
      </c>
      <c r="B137" s="6" t="str">
        <f>"304820210606202258104626"</f>
        <v>304820210606202258104626</v>
      </c>
      <c r="C137" s="6" t="s">
        <v>704</v>
      </c>
      <c r="D137" s="6" t="str">
        <f>"符永悄"</f>
        <v>符永悄</v>
      </c>
      <c r="E137" s="6" t="str">
        <f t="shared" si="11"/>
        <v>女</v>
      </c>
      <c r="F137" s="7" t="s">
        <v>792</v>
      </c>
    </row>
    <row r="138" spans="1:6" ht="20.100000000000001" customHeight="1" x14ac:dyDescent="0.15">
      <c r="A138" s="5">
        <v>135</v>
      </c>
      <c r="B138" s="6" t="str">
        <f>"304820210606204204104675"</f>
        <v>304820210606204204104675</v>
      </c>
      <c r="C138" s="6" t="s">
        <v>704</v>
      </c>
      <c r="D138" s="6" t="str">
        <f>"符永丹"</f>
        <v>符永丹</v>
      </c>
      <c r="E138" s="6" t="str">
        <f t="shared" si="11"/>
        <v>女</v>
      </c>
      <c r="F138" s="7" t="s">
        <v>792</v>
      </c>
    </row>
    <row r="139" spans="1:6" ht="20.100000000000001" customHeight="1" x14ac:dyDescent="0.15">
      <c r="A139" s="5">
        <v>136</v>
      </c>
      <c r="B139" s="6" t="str">
        <f>"304820210606205948104730"</f>
        <v>304820210606205948104730</v>
      </c>
      <c r="C139" s="6" t="s">
        <v>704</v>
      </c>
      <c r="D139" s="6" t="str">
        <f>"邢日自"</f>
        <v>邢日自</v>
      </c>
      <c r="E139" s="6" t="str">
        <f t="shared" si="11"/>
        <v>女</v>
      </c>
      <c r="F139" s="7" t="s">
        <v>793</v>
      </c>
    </row>
    <row r="140" spans="1:6" ht="20.100000000000001" customHeight="1" x14ac:dyDescent="0.15">
      <c r="A140" s="5">
        <v>137</v>
      </c>
      <c r="B140" s="6" t="str">
        <f>"304820210606220057104902"</f>
        <v>304820210606220057104902</v>
      </c>
      <c r="C140" s="6" t="s">
        <v>704</v>
      </c>
      <c r="D140" s="6" t="str">
        <f>"冯行宏"</f>
        <v>冯行宏</v>
      </c>
      <c r="E140" s="6" t="str">
        <f>"男"</f>
        <v>男</v>
      </c>
      <c r="F140" s="7" t="s">
        <v>794</v>
      </c>
    </row>
    <row r="141" spans="1:6" ht="20.100000000000001" customHeight="1" x14ac:dyDescent="0.15">
      <c r="A141" s="5">
        <v>138</v>
      </c>
      <c r="B141" s="6" t="str">
        <f>"304820210606220341104913"</f>
        <v>304820210606220341104913</v>
      </c>
      <c r="C141" s="6" t="s">
        <v>704</v>
      </c>
      <c r="D141" s="6" t="str">
        <f>"杨婵娟"</f>
        <v>杨婵娟</v>
      </c>
      <c r="E141" s="6" t="str">
        <f t="shared" ref="E141:E148" si="12">"女"</f>
        <v>女</v>
      </c>
      <c r="F141" s="7" t="s">
        <v>795</v>
      </c>
    </row>
    <row r="142" spans="1:6" ht="20.100000000000001" customHeight="1" x14ac:dyDescent="0.15">
      <c r="A142" s="5">
        <v>139</v>
      </c>
      <c r="B142" s="6" t="str">
        <f>"304820210606220703104921"</f>
        <v>304820210606220703104921</v>
      </c>
      <c r="C142" s="6" t="s">
        <v>704</v>
      </c>
      <c r="D142" s="6" t="str">
        <f>"陈瑶瑶"</f>
        <v>陈瑶瑶</v>
      </c>
      <c r="E142" s="6" t="str">
        <f t="shared" si="12"/>
        <v>女</v>
      </c>
      <c r="F142" s="7" t="s">
        <v>796</v>
      </c>
    </row>
    <row r="143" spans="1:6" ht="20.100000000000001" customHeight="1" x14ac:dyDescent="0.15">
      <c r="A143" s="5">
        <v>140</v>
      </c>
      <c r="B143" s="6" t="str">
        <f>"304820210606221625104965"</f>
        <v>304820210606221625104965</v>
      </c>
      <c r="C143" s="6" t="s">
        <v>704</v>
      </c>
      <c r="D143" s="6" t="str">
        <f>"金罗诗"</f>
        <v>金罗诗</v>
      </c>
      <c r="E143" s="6" t="str">
        <f t="shared" si="12"/>
        <v>女</v>
      </c>
      <c r="F143" s="7" t="s">
        <v>797</v>
      </c>
    </row>
    <row r="144" spans="1:6" ht="20.100000000000001" customHeight="1" x14ac:dyDescent="0.15">
      <c r="A144" s="5">
        <v>141</v>
      </c>
      <c r="B144" s="6" t="str">
        <f>"304820210606225210105058"</f>
        <v>304820210606225210105058</v>
      </c>
      <c r="C144" s="6" t="s">
        <v>704</v>
      </c>
      <c r="D144" s="6" t="str">
        <f>"苏媛"</f>
        <v>苏媛</v>
      </c>
      <c r="E144" s="6" t="str">
        <f t="shared" si="12"/>
        <v>女</v>
      </c>
      <c r="F144" s="7" t="s">
        <v>13</v>
      </c>
    </row>
    <row r="145" spans="1:6" ht="20.100000000000001" customHeight="1" x14ac:dyDescent="0.15">
      <c r="A145" s="5">
        <v>142</v>
      </c>
      <c r="B145" s="6" t="str">
        <f>"304820210607072541105370"</f>
        <v>304820210607072541105370</v>
      </c>
      <c r="C145" s="6" t="s">
        <v>704</v>
      </c>
      <c r="D145" s="6" t="str">
        <f>"王榆媛"</f>
        <v>王榆媛</v>
      </c>
      <c r="E145" s="6" t="str">
        <f t="shared" si="12"/>
        <v>女</v>
      </c>
      <c r="F145" s="7" t="s">
        <v>48</v>
      </c>
    </row>
    <row r="146" spans="1:6" ht="20.100000000000001" customHeight="1" x14ac:dyDescent="0.15">
      <c r="A146" s="5">
        <v>143</v>
      </c>
      <c r="B146" s="6" t="str">
        <f>"304820210607092713105679"</f>
        <v>304820210607092713105679</v>
      </c>
      <c r="C146" s="6" t="s">
        <v>704</v>
      </c>
      <c r="D146" s="6" t="str">
        <f>"王小霞"</f>
        <v>王小霞</v>
      </c>
      <c r="E146" s="6" t="str">
        <f t="shared" si="12"/>
        <v>女</v>
      </c>
      <c r="F146" s="7" t="s">
        <v>94</v>
      </c>
    </row>
    <row r="147" spans="1:6" ht="20.100000000000001" customHeight="1" x14ac:dyDescent="0.15">
      <c r="A147" s="5">
        <v>144</v>
      </c>
      <c r="B147" s="6" t="str">
        <f>"304820210607105205106198"</f>
        <v>304820210607105205106198</v>
      </c>
      <c r="C147" s="6" t="s">
        <v>704</v>
      </c>
      <c r="D147" s="6" t="str">
        <f>"卞航帆"</f>
        <v>卞航帆</v>
      </c>
      <c r="E147" s="6" t="str">
        <f t="shared" si="12"/>
        <v>女</v>
      </c>
      <c r="F147" s="7" t="s">
        <v>798</v>
      </c>
    </row>
    <row r="148" spans="1:6" ht="20.100000000000001" customHeight="1" x14ac:dyDescent="0.15">
      <c r="A148" s="5">
        <v>145</v>
      </c>
      <c r="B148" s="6" t="str">
        <f>"304820210607112208106356"</f>
        <v>304820210607112208106356</v>
      </c>
      <c r="C148" s="6" t="s">
        <v>704</v>
      </c>
      <c r="D148" s="6" t="str">
        <f>"韩妙怡"</f>
        <v>韩妙怡</v>
      </c>
      <c r="E148" s="6" t="str">
        <f t="shared" si="12"/>
        <v>女</v>
      </c>
      <c r="F148" s="7" t="s">
        <v>384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2"/>
    </sheetView>
  </sheetViews>
  <sheetFormatPr defaultColWidth="9" defaultRowHeight="20.100000000000001" customHeight="1" x14ac:dyDescent="0.15"/>
  <cols>
    <col min="1" max="1" width="6.25" style="1" customWidth="1"/>
    <col min="2" max="2" width="24.625" style="1" customWidth="1"/>
    <col min="3" max="3" width="14.125" style="1" customWidth="1"/>
    <col min="4" max="4" width="10" style="1" customWidth="1"/>
    <col min="5" max="5" width="7.5" style="1" customWidth="1"/>
    <col min="6" max="6" width="18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"30482021060114185763632"</f>
        <v>30482021060114185763632</v>
      </c>
      <c r="C4" s="6" t="s">
        <v>799</v>
      </c>
      <c r="D4" s="6" t="str">
        <f>"张芸"</f>
        <v>张芸</v>
      </c>
      <c r="E4" s="6" t="str">
        <f t="shared" ref="E4:E7" si="0">"女"</f>
        <v>女</v>
      </c>
      <c r="F4" s="7" t="s">
        <v>800</v>
      </c>
    </row>
    <row r="5" spans="1:6" ht="20.100000000000001" customHeight="1" x14ac:dyDescent="0.15">
      <c r="A5" s="5">
        <v>2</v>
      </c>
      <c r="B5" s="6" t="str">
        <f>"30482021060115020564153"</f>
        <v>30482021060115020564153</v>
      </c>
      <c r="C5" s="6" t="s">
        <v>799</v>
      </c>
      <c r="D5" s="6" t="str">
        <f>"曾曼曼"</f>
        <v>曾曼曼</v>
      </c>
      <c r="E5" s="6" t="str">
        <f t="shared" si="0"/>
        <v>女</v>
      </c>
      <c r="F5" s="7" t="s">
        <v>801</v>
      </c>
    </row>
    <row r="6" spans="1:6" ht="20.100000000000001" customHeight="1" x14ac:dyDescent="0.15">
      <c r="A6" s="5">
        <v>3</v>
      </c>
      <c r="B6" s="6" t="str">
        <f>"30482021060115125164308"</f>
        <v>30482021060115125164308</v>
      </c>
      <c r="C6" s="6" t="s">
        <v>799</v>
      </c>
      <c r="D6" s="6" t="str">
        <f>"王明玉"</f>
        <v>王明玉</v>
      </c>
      <c r="E6" s="6" t="str">
        <f t="shared" si="0"/>
        <v>女</v>
      </c>
      <c r="F6" s="7" t="s">
        <v>328</v>
      </c>
    </row>
    <row r="7" spans="1:6" ht="20.100000000000001" customHeight="1" x14ac:dyDescent="0.15">
      <c r="A7" s="5">
        <v>4</v>
      </c>
      <c r="B7" s="6" t="str">
        <f>"30482021060116440465480"</f>
        <v>30482021060116440465480</v>
      </c>
      <c r="C7" s="6" t="s">
        <v>799</v>
      </c>
      <c r="D7" s="6" t="str">
        <f>"李娇"</f>
        <v>李娇</v>
      </c>
      <c r="E7" s="6" t="str">
        <f t="shared" si="0"/>
        <v>女</v>
      </c>
      <c r="F7" s="7" t="s">
        <v>802</v>
      </c>
    </row>
    <row r="8" spans="1:6" ht="20.100000000000001" customHeight="1" x14ac:dyDescent="0.15">
      <c r="A8" s="5">
        <v>5</v>
      </c>
      <c r="B8" s="6" t="str">
        <f>"30482021060117265165997"</f>
        <v>30482021060117265165997</v>
      </c>
      <c r="C8" s="6" t="s">
        <v>799</v>
      </c>
      <c r="D8" s="6" t="str">
        <f>"韩成林"</f>
        <v>韩成林</v>
      </c>
      <c r="E8" s="6" t="str">
        <f t="shared" ref="E8:E12" si="1">"男"</f>
        <v>男</v>
      </c>
      <c r="F8" s="7" t="s">
        <v>803</v>
      </c>
    </row>
    <row r="9" spans="1:6" ht="20.100000000000001" customHeight="1" x14ac:dyDescent="0.15">
      <c r="A9" s="5">
        <v>6</v>
      </c>
      <c r="B9" s="6" t="str">
        <f>"30482021060118281966559"</f>
        <v>30482021060118281966559</v>
      </c>
      <c r="C9" s="6" t="s">
        <v>799</v>
      </c>
      <c r="D9" s="6" t="str">
        <f>"符端"</f>
        <v>符端</v>
      </c>
      <c r="E9" s="6" t="str">
        <f t="shared" si="1"/>
        <v>男</v>
      </c>
      <c r="F9" s="7" t="s">
        <v>504</v>
      </c>
    </row>
    <row r="10" spans="1:6" ht="20.100000000000001" customHeight="1" x14ac:dyDescent="0.15">
      <c r="A10" s="5">
        <v>7</v>
      </c>
      <c r="B10" s="6" t="str">
        <f>"30482021060118324666593"</f>
        <v>30482021060118324666593</v>
      </c>
      <c r="C10" s="6" t="s">
        <v>799</v>
      </c>
      <c r="D10" s="6" t="str">
        <f>"黄晖"</f>
        <v>黄晖</v>
      </c>
      <c r="E10" s="6" t="str">
        <f t="shared" ref="E10:E16" si="2">"女"</f>
        <v>女</v>
      </c>
      <c r="F10" s="7" t="s">
        <v>804</v>
      </c>
    </row>
    <row r="11" spans="1:6" ht="20.100000000000001" customHeight="1" x14ac:dyDescent="0.15">
      <c r="A11" s="5">
        <v>8</v>
      </c>
      <c r="B11" s="6" t="str">
        <f>"30482021060121282468671"</f>
        <v>30482021060121282468671</v>
      </c>
      <c r="C11" s="6" t="s">
        <v>799</v>
      </c>
      <c r="D11" s="6" t="str">
        <f>"陈怡欣"</f>
        <v>陈怡欣</v>
      </c>
      <c r="E11" s="6" t="str">
        <f t="shared" si="2"/>
        <v>女</v>
      </c>
      <c r="F11" s="7" t="s">
        <v>805</v>
      </c>
    </row>
    <row r="12" spans="1:6" ht="20.100000000000001" customHeight="1" x14ac:dyDescent="0.15">
      <c r="A12" s="5">
        <v>9</v>
      </c>
      <c r="B12" s="6" t="str">
        <f>"30482021060122190669775"</f>
        <v>30482021060122190669775</v>
      </c>
      <c r="C12" s="6" t="s">
        <v>799</v>
      </c>
      <c r="D12" s="6" t="str">
        <f>"吴源权"</f>
        <v>吴源权</v>
      </c>
      <c r="E12" s="6" t="str">
        <f t="shared" si="1"/>
        <v>男</v>
      </c>
      <c r="F12" s="7" t="s">
        <v>806</v>
      </c>
    </row>
    <row r="13" spans="1:6" ht="20.100000000000001" customHeight="1" x14ac:dyDescent="0.15">
      <c r="A13" s="5">
        <v>10</v>
      </c>
      <c r="B13" s="6" t="str">
        <f>"30482021060122202369792"</f>
        <v>30482021060122202369792</v>
      </c>
      <c r="C13" s="6" t="s">
        <v>799</v>
      </c>
      <c r="D13" s="6" t="str">
        <f>"陶力源"</f>
        <v>陶力源</v>
      </c>
      <c r="E13" s="6" t="str">
        <f t="shared" si="2"/>
        <v>女</v>
      </c>
      <c r="F13" s="7" t="s">
        <v>807</v>
      </c>
    </row>
    <row r="14" spans="1:6" ht="20.100000000000001" customHeight="1" x14ac:dyDescent="0.15">
      <c r="A14" s="5">
        <v>11</v>
      </c>
      <c r="B14" s="6" t="str">
        <f>"30482021060210463472495"</f>
        <v>30482021060210463472495</v>
      </c>
      <c r="C14" s="6" t="s">
        <v>799</v>
      </c>
      <c r="D14" s="6" t="str">
        <f>"符爱妃"</f>
        <v>符爱妃</v>
      </c>
      <c r="E14" s="6" t="str">
        <f t="shared" si="2"/>
        <v>女</v>
      </c>
      <c r="F14" s="7" t="s">
        <v>561</v>
      </c>
    </row>
    <row r="15" spans="1:6" ht="20.100000000000001" customHeight="1" x14ac:dyDescent="0.15">
      <c r="A15" s="5">
        <v>12</v>
      </c>
      <c r="B15" s="6" t="str">
        <f>"30482021060217325876125"</f>
        <v>30482021060217325876125</v>
      </c>
      <c r="C15" s="6" t="s">
        <v>799</v>
      </c>
      <c r="D15" s="6" t="str">
        <f>"赵雪妃"</f>
        <v>赵雪妃</v>
      </c>
      <c r="E15" s="6" t="str">
        <f t="shared" si="2"/>
        <v>女</v>
      </c>
      <c r="F15" s="7" t="s">
        <v>396</v>
      </c>
    </row>
    <row r="16" spans="1:6" ht="20.100000000000001" customHeight="1" x14ac:dyDescent="0.15">
      <c r="A16" s="5">
        <v>13</v>
      </c>
      <c r="B16" s="6" t="str">
        <f>"30482021060309114979945"</f>
        <v>30482021060309114979945</v>
      </c>
      <c r="C16" s="6" t="s">
        <v>799</v>
      </c>
      <c r="D16" s="6" t="str">
        <f>"王芳青"</f>
        <v>王芳青</v>
      </c>
      <c r="E16" s="6" t="str">
        <f t="shared" si="2"/>
        <v>女</v>
      </c>
      <c r="F16" s="7" t="s">
        <v>239</v>
      </c>
    </row>
    <row r="17" spans="1:6" ht="20.100000000000001" customHeight="1" x14ac:dyDescent="0.15">
      <c r="A17" s="5">
        <v>14</v>
      </c>
      <c r="B17" s="6" t="str">
        <f>"30482021060315491084734"</f>
        <v>30482021060315491084734</v>
      </c>
      <c r="C17" s="6" t="s">
        <v>799</v>
      </c>
      <c r="D17" s="6" t="str">
        <f>"符谷权"</f>
        <v>符谷权</v>
      </c>
      <c r="E17" s="6" t="str">
        <f>"男"</f>
        <v>男</v>
      </c>
      <c r="F17" s="7" t="s">
        <v>808</v>
      </c>
    </row>
    <row r="18" spans="1:6" ht="20.100000000000001" customHeight="1" x14ac:dyDescent="0.15">
      <c r="A18" s="5">
        <v>15</v>
      </c>
      <c r="B18" s="6" t="str">
        <f>"30482021060320420687688"</f>
        <v>30482021060320420687688</v>
      </c>
      <c r="C18" s="6" t="s">
        <v>799</v>
      </c>
      <c r="D18" s="6" t="str">
        <f>"邢莎莎"</f>
        <v>邢莎莎</v>
      </c>
      <c r="E18" s="6" t="str">
        <f t="shared" ref="E18:E21" si="3">"女"</f>
        <v>女</v>
      </c>
      <c r="F18" s="7" t="s">
        <v>346</v>
      </c>
    </row>
    <row r="19" spans="1:6" ht="20.100000000000001" customHeight="1" x14ac:dyDescent="0.15">
      <c r="A19" s="5">
        <v>16</v>
      </c>
      <c r="B19" s="6" t="str">
        <f>"30482021060402235589915"</f>
        <v>30482021060402235589915</v>
      </c>
      <c r="C19" s="6" t="s">
        <v>799</v>
      </c>
      <c r="D19" s="6" t="str">
        <f>"杨慧妍"</f>
        <v>杨慧妍</v>
      </c>
      <c r="E19" s="6" t="str">
        <f t="shared" si="3"/>
        <v>女</v>
      </c>
      <c r="F19" s="7" t="s">
        <v>152</v>
      </c>
    </row>
    <row r="20" spans="1:6" ht="20.100000000000001" customHeight="1" x14ac:dyDescent="0.15">
      <c r="A20" s="5">
        <v>17</v>
      </c>
      <c r="B20" s="6" t="str">
        <f>"30482021060419260899186"</f>
        <v>30482021060419260899186</v>
      </c>
      <c r="C20" s="6" t="s">
        <v>799</v>
      </c>
      <c r="D20" s="6" t="str">
        <f>"姚媛"</f>
        <v>姚媛</v>
      </c>
      <c r="E20" s="6" t="str">
        <f t="shared" si="3"/>
        <v>女</v>
      </c>
      <c r="F20" s="7" t="s">
        <v>809</v>
      </c>
    </row>
    <row r="21" spans="1:6" ht="20.100000000000001" customHeight="1" x14ac:dyDescent="0.15">
      <c r="A21" s="5">
        <v>18</v>
      </c>
      <c r="B21" s="6" t="str">
        <f>"304820210606223251105009"</f>
        <v>304820210606223251105009</v>
      </c>
      <c r="C21" s="6" t="s">
        <v>799</v>
      </c>
      <c r="D21" s="6" t="str">
        <f>"苏泓"</f>
        <v>苏泓</v>
      </c>
      <c r="E21" s="6" t="str">
        <f t="shared" si="3"/>
        <v>女</v>
      </c>
      <c r="F21" s="7" t="s">
        <v>160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5" style="1" customWidth="1"/>
    <col min="2" max="2" width="24.625" style="1" customWidth="1"/>
    <col min="3" max="3" width="14.125" style="1" customWidth="1"/>
    <col min="4" max="4" width="10.125" style="1" customWidth="1"/>
    <col min="5" max="5" width="7.75" style="1" customWidth="1"/>
    <col min="6" max="6" width="15.1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"30482021060114055963505"</f>
        <v>30482021060114055963505</v>
      </c>
      <c r="C4" s="6" t="s">
        <v>810</v>
      </c>
      <c r="D4" s="6" t="str">
        <f>"李明源"</f>
        <v>李明源</v>
      </c>
      <c r="E4" s="6" t="str">
        <f t="shared" ref="E4:E6" si="0">"男"</f>
        <v>男</v>
      </c>
      <c r="F4" s="7" t="s">
        <v>15</v>
      </c>
    </row>
    <row r="5" spans="1:6" ht="20.100000000000001" customHeight="1" x14ac:dyDescent="0.15">
      <c r="A5" s="5">
        <v>2</v>
      </c>
      <c r="B5" s="6" t="str">
        <f>"30482021060114070363521"</f>
        <v>30482021060114070363521</v>
      </c>
      <c r="C5" s="6" t="s">
        <v>810</v>
      </c>
      <c r="D5" s="6" t="str">
        <f>"李南健"</f>
        <v>李南健</v>
      </c>
      <c r="E5" s="6" t="str">
        <f t="shared" si="0"/>
        <v>男</v>
      </c>
      <c r="F5" s="7" t="s">
        <v>811</v>
      </c>
    </row>
    <row r="6" spans="1:6" ht="20.100000000000001" customHeight="1" x14ac:dyDescent="0.15">
      <c r="A6" s="5">
        <v>3</v>
      </c>
      <c r="B6" s="6" t="str">
        <f>"30482021060114124763573"</f>
        <v>30482021060114124763573</v>
      </c>
      <c r="C6" s="6" t="s">
        <v>810</v>
      </c>
      <c r="D6" s="6" t="str">
        <f>"钟昌雄"</f>
        <v>钟昌雄</v>
      </c>
      <c r="E6" s="6" t="str">
        <f t="shared" si="0"/>
        <v>男</v>
      </c>
      <c r="F6" s="7" t="s">
        <v>812</v>
      </c>
    </row>
    <row r="7" spans="1:6" ht="20.100000000000001" customHeight="1" x14ac:dyDescent="0.15">
      <c r="A7" s="5">
        <v>4</v>
      </c>
      <c r="B7" s="6" t="str">
        <f>"30482021060114261063705"</f>
        <v>30482021060114261063705</v>
      </c>
      <c r="C7" s="6" t="s">
        <v>810</v>
      </c>
      <c r="D7" s="6" t="str">
        <f>"李秋月"</f>
        <v>李秋月</v>
      </c>
      <c r="E7" s="6" t="str">
        <f>"女"</f>
        <v>女</v>
      </c>
      <c r="F7" s="7" t="s">
        <v>143</v>
      </c>
    </row>
    <row r="8" spans="1:6" ht="20.100000000000001" customHeight="1" x14ac:dyDescent="0.15">
      <c r="A8" s="5">
        <v>5</v>
      </c>
      <c r="B8" s="6" t="str">
        <f>"30482021060114374363834"</f>
        <v>30482021060114374363834</v>
      </c>
      <c r="C8" s="6" t="s">
        <v>810</v>
      </c>
      <c r="D8" s="6" t="str">
        <f>"黄永钢"</f>
        <v>黄永钢</v>
      </c>
      <c r="E8" s="6" t="str">
        <f t="shared" ref="E8:E12" si="1">"男"</f>
        <v>男</v>
      </c>
      <c r="F8" s="7" t="s">
        <v>813</v>
      </c>
    </row>
    <row r="9" spans="1:6" ht="20.100000000000001" customHeight="1" x14ac:dyDescent="0.15">
      <c r="A9" s="5">
        <v>6</v>
      </c>
      <c r="B9" s="6" t="str">
        <f>"30482021060114522964018"</f>
        <v>30482021060114522964018</v>
      </c>
      <c r="C9" s="6" t="s">
        <v>810</v>
      </c>
      <c r="D9" s="6" t="str">
        <f>"王录泮"</f>
        <v>王录泮</v>
      </c>
      <c r="E9" s="6" t="str">
        <f t="shared" si="1"/>
        <v>男</v>
      </c>
      <c r="F9" s="7" t="s">
        <v>814</v>
      </c>
    </row>
    <row r="10" spans="1:6" ht="20.100000000000001" customHeight="1" x14ac:dyDescent="0.15">
      <c r="A10" s="5">
        <v>7</v>
      </c>
      <c r="B10" s="6" t="str">
        <f>"30482021060114543864058"</f>
        <v>30482021060114543864058</v>
      </c>
      <c r="C10" s="6" t="s">
        <v>810</v>
      </c>
      <c r="D10" s="6" t="str">
        <f>"符玲"</f>
        <v>符玲</v>
      </c>
      <c r="E10" s="6" t="str">
        <f>"女"</f>
        <v>女</v>
      </c>
      <c r="F10" s="7" t="s">
        <v>815</v>
      </c>
    </row>
    <row r="11" spans="1:6" ht="20.100000000000001" customHeight="1" x14ac:dyDescent="0.15">
      <c r="A11" s="5">
        <v>8</v>
      </c>
      <c r="B11" s="6" t="str">
        <f>"30482021060115140864320"</f>
        <v>30482021060115140864320</v>
      </c>
      <c r="C11" s="6" t="s">
        <v>810</v>
      </c>
      <c r="D11" s="6" t="str">
        <f>"陈王辉"</f>
        <v>陈王辉</v>
      </c>
      <c r="E11" s="6" t="str">
        <f t="shared" si="1"/>
        <v>男</v>
      </c>
      <c r="F11" s="7" t="s">
        <v>816</v>
      </c>
    </row>
    <row r="12" spans="1:6" ht="20.100000000000001" customHeight="1" x14ac:dyDescent="0.15">
      <c r="A12" s="5">
        <v>9</v>
      </c>
      <c r="B12" s="6" t="str">
        <f>"30482021060115141864323"</f>
        <v>30482021060115141864323</v>
      </c>
      <c r="C12" s="6" t="s">
        <v>810</v>
      </c>
      <c r="D12" s="6" t="str">
        <f>"王弗君"</f>
        <v>王弗君</v>
      </c>
      <c r="E12" s="6" t="str">
        <f t="shared" si="1"/>
        <v>男</v>
      </c>
      <c r="F12" s="7" t="s">
        <v>817</v>
      </c>
    </row>
    <row r="13" spans="1:6" ht="20.100000000000001" customHeight="1" x14ac:dyDescent="0.15">
      <c r="A13" s="5">
        <v>10</v>
      </c>
      <c r="B13" s="6" t="str">
        <f>"30482021060115200864395"</f>
        <v>30482021060115200864395</v>
      </c>
      <c r="C13" s="6" t="s">
        <v>810</v>
      </c>
      <c r="D13" s="6" t="str">
        <f>"唐寿彩"</f>
        <v>唐寿彩</v>
      </c>
      <c r="E13" s="6" t="str">
        <f>"女"</f>
        <v>女</v>
      </c>
      <c r="F13" s="7" t="s">
        <v>818</v>
      </c>
    </row>
    <row r="14" spans="1:6" ht="20.100000000000001" customHeight="1" x14ac:dyDescent="0.15">
      <c r="A14" s="5">
        <v>11</v>
      </c>
      <c r="B14" s="6" t="str">
        <f>"30482021060115295464515"</f>
        <v>30482021060115295464515</v>
      </c>
      <c r="C14" s="6" t="s">
        <v>810</v>
      </c>
      <c r="D14" s="6" t="str">
        <f>"张运仕"</f>
        <v>张运仕</v>
      </c>
      <c r="E14" s="6" t="str">
        <f t="shared" ref="E14:E23" si="2">"男"</f>
        <v>男</v>
      </c>
      <c r="F14" s="7" t="s">
        <v>405</v>
      </c>
    </row>
    <row r="15" spans="1:6" ht="20.100000000000001" customHeight="1" x14ac:dyDescent="0.15">
      <c r="A15" s="5">
        <v>12</v>
      </c>
      <c r="B15" s="6" t="str">
        <f>"30482021060115332764565"</f>
        <v>30482021060115332764565</v>
      </c>
      <c r="C15" s="6" t="s">
        <v>810</v>
      </c>
      <c r="D15" s="6" t="str">
        <f>"陆元深"</f>
        <v>陆元深</v>
      </c>
      <c r="E15" s="6" t="str">
        <f t="shared" si="2"/>
        <v>男</v>
      </c>
      <c r="F15" s="7" t="s">
        <v>819</v>
      </c>
    </row>
    <row r="16" spans="1:6" ht="20.100000000000001" customHeight="1" x14ac:dyDescent="0.15">
      <c r="A16" s="5">
        <v>13</v>
      </c>
      <c r="B16" s="6" t="str">
        <f>"30482021060115353264594"</f>
        <v>30482021060115353264594</v>
      </c>
      <c r="C16" s="6" t="s">
        <v>810</v>
      </c>
      <c r="D16" s="6" t="str">
        <f>"柏馨"</f>
        <v>柏馨</v>
      </c>
      <c r="E16" s="6" t="str">
        <f>"女"</f>
        <v>女</v>
      </c>
      <c r="F16" s="7" t="s">
        <v>820</v>
      </c>
    </row>
    <row r="17" spans="1:6" ht="20.100000000000001" customHeight="1" x14ac:dyDescent="0.15">
      <c r="A17" s="5">
        <v>14</v>
      </c>
      <c r="B17" s="6" t="str">
        <f>"30482021060115404964646"</f>
        <v>30482021060115404964646</v>
      </c>
      <c r="C17" s="6" t="s">
        <v>810</v>
      </c>
      <c r="D17" s="6" t="str">
        <f>"张天庆"</f>
        <v>张天庆</v>
      </c>
      <c r="E17" s="6" t="str">
        <f t="shared" si="2"/>
        <v>男</v>
      </c>
      <c r="F17" s="7" t="s">
        <v>821</v>
      </c>
    </row>
    <row r="18" spans="1:6" ht="20.100000000000001" customHeight="1" x14ac:dyDescent="0.15">
      <c r="A18" s="5">
        <v>15</v>
      </c>
      <c r="B18" s="6" t="str">
        <f>"30482021060115463264734"</f>
        <v>30482021060115463264734</v>
      </c>
      <c r="C18" s="6" t="s">
        <v>810</v>
      </c>
      <c r="D18" s="6" t="str">
        <f>"何远旺"</f>
        <v>何远旺</v>
      </c>
      <c r="E18" s="6" t="str">
        <f t="shared" si="2"/>
        <v>男</v>
      </c>
      <c r="F18" s="7" t="s">
        <v>822</v>
      </c>
    </row>
    <row r="19" spans="1:6" ht="20.100000000000001" customHeight="1" x14ac:dyDescent="0.15">
      <c r="A19" s="5">
        <v>16</v>
      </c>
      <c r="B19" s="6" t="str">
        <f>"30482021060116142865063"</f>
        <v>30482021060116142865063</v>
      </c>
      <c r="C19" s="6" t="s">
        <v>810</v>
      </c>
      <c r="D19" s="6" t="str">
        <f>"秦代威"</f>
        <v>秦代威</v>
      </c>
      <c r="E19" s="6" t="str">
        <f t="shared" si="2"/>
        <v>男</v>
      </c>
      <c r="F19" s="7" t="s">
        <v>823</v>
      </c>
    </row>
    <row r="20" spans="1:6" ht="20.100000000000001" customHeight="1" x14ac:dyDescent="0.15">
      <c r="A20" s="5">
        <v>17</v>
      </c>
      <c r="B20" s="6" t="str">
        <f>"30482021060116362265378"</f>
        <v>30482021060116362265378</v>
      </c>
      <c r="C20" s="6" t="s">
        <v>810</v>
      </c>
      <c r="D20" s="6" t="str">
        <f>"杨令捷"</f>
        <v>杨令捷</v>
      </c>
      <c r="E20" s="6" t="str">
        <f t="shared" si="2"/>
        <v>男</v>
      </c>
      <c r="F20" s="7" t="s">
        <v>824</v>
      </c>
    </row>
    <row r="21" spans="1:6" ht="20.100000000000001" customHeight="1" x14ac:dyDescent="0.15">
      <c r="A21" s="5">
        <v>18</v>
      </c>
      <c r="B21" s="6" t="str">
        <f>"30482021060116451965492"</f>
        <v>30482021060116451965492</v>
      </c>
      <c r="C21" s="6" t="s">
        <v>810</v>
      </c>
      <c r="D21" s="6" t="str">
        <f>"邓之信"</f>
        <v>邓之信</v>
      </c>
      <c r="E21" s="6" t="str">
        <f t="shared" si="2"/>
        <v>男</v>
      </c>
      <c r="F21" s="7" t="s">
        <v>825</v>
      </c>
    </row>
    <row r="22" spans="1:6" ht="20.100000000000001" customHeight="1" x14ac:dyDescent="0.15">
      <c r="A22" s="5">
        <v>19</v>
      </c>
      <c r="B22" s="6" t="str">
        <f>"30482021060117273566004"</f>
        <v>30482021060117273566004</v>
      </c>
      <c r="C22" s="6" t="s">
        <v>810</v>
      </c>
      <c r="D22" s="6" t="str">
        <f>"何纯宝"</f>
        <v>何纯宝</v>
      </c>
      <c r="E22" s="6" t="str">
        <f t="shared" si="2"/>
        <v>男</v>
      </c>
      <c r="F22" s="7" t="s">
        <v>826</v>
      </c>
    </row>
    <row r="23" spans="1:6" ht="20.100000000000001" customHeight="1" x14ac:dyDescent="0.15">
      <c r="A23" s="5">
        <v>20</v>
      </c>
      <c r="B23" s="6" t="str">
        <f>"30482021060117554866288"</f>
        <v>30482021060117554866288</v>
      </c>
      <c r="C23" s="6" t="s">
        <v>810</v>
      </c>
      <c r="D23" s="6" t="str">
        <f>"李昌寅"</f>
        <v>李昌寅</v>
      </c>
      <c r="E23" s="6" t="str">
        <f t="shared" si="2"/>
        <v>男</v>
      </c>
      <c r="F23" s="7" t="s">
        <v>827</v>
      </c>
    </row>
    <row r="24" spans="1:6" ht="20.100000000000001" customHeight="1" x14ac:dyDescent="0.15">
      <c r="A24" s="5">
        <v>21</v>
      </c>
      <c r="B24" s="6" t="str">
        <f>"30482021060119385467086"</f>
        <v>30482021060119385467086</v>
      </c>
      <c r="C24" s="6" t="s">
        <v>810</v>
      </c>
      <c r="D24" s="6" t="str">
        <f>"张秋妮"</f>
        <v>张秋妮</v>
      </c>
      <c r="E24" s="6" t="str">
        <f t="shared" ref="E24:E28" si="3">"女"</f>
        <v>女</v>
      </c>
      <c r="F24" s="7" t="s">
        <v>828</v>
      </c>
    </row>
    <row r="25" spans="1:6" ht="20.100000000000001" customHeight="1" x14ac:dyDescent="0.15">
      <c r="A25" s="5">
        <v>22</v>
      </c>
      <c r="B25" s="6" t="str">
        <f>"30482021060119593867885"</f>
        <v>30482021060119593867885</v>
      </c>
      <c r="C25" s="6" t="s">
        <v>810</v>
      </c>
      <c r="D25" s="6" t="str">
        <f>"梁朝娜"</f>
        <v>梁朝娜</v>
      </c>
      <c r="E25" s="6" t="str">
        <f t="shared" si="3"/>
        <v>女</v>
      </c>
      <c r="F25" s="7" t="s">
        <v>399</v>
      </c>
    </row>
    <row r="26" spans="1:6" ht="20.100000000000001" customHeight="1" x14ac:dyDescent="0.15">
      <c r="A26" s="5">
        <v>23</v>
      </c>
      <c r="B26" s="6" t="str">
        <f>"30482021060121414169436"</f>
        <v>30482021060121414169436</v>
      </c>
      <c r="C26" s="6" t="s">
        <v>810</v>
      </c>
      <c r="D26" s="6" t="str">
        <f>"胡昌奎"</f>
        <v>胡昌奎</v>
      </c>
      <c r="E26" s="6" t="str">
        <f t="shared" ref="E26:E30" si="4">"男"</f>
        <v>男</v>
      </c>
      <c r="F26" s="7" t="s">
        <v>829</v>
      </c>
    </row>
    <row r="27" spans="1:6" ht="20.100000000000001" customHeight="1" x14ac:dyDescent="0.15">
      <c r="A27" s="5">
        <v>24</v>
      </c>
      <c r="B27" s="6" t="str">
        <f>"30482021060122102169709"</f>
        <v>30482021060122102169709</v>
      </c>
      <c r="C27" s="6" t="s">
        <v>810</v>
      </c>
      <c r="D27" s="6" t="str">
        <f>"黄泽翔"</f>
        <v>黄泽翔</v>
      </c>
      <c r="E27" s="6" t="str">
        <f t="shared" si="4"/>
        <v>男</v>
      </c>
      <c r="F27" s="7" t="s">
        <v>830</v>
      </c>
    </row>
    <row r="28" spans="1:6" ht="20.100000000000001" customHeight="1" x14ac:dyDescent="0.15">
      <c r="A28" s="5">
        <v>25</v>
      </c>
      <c r="B28" s="6" t="str">
        <f>"30482021060123085170161"</f>
        <v>30482021060123085170161</v>
      </c>
      <c r="C28" s="6" t="s">
        <v>810</v>
      </c>
      <c r="D28" s="6" t="str">
        <f>"陈春娇"</f>
        <v>陈春娇</v>
      </c>
      <c r="E28" s="6" t="str">
        <f t="shared" si="3"/>
        <v>女</v>
      </c>
      <c r="F28" s="7" t="s">
        <v>831</v>
      </c>
    </row>
    <row r="29" spans="1:6" ht="20.100000000000001" customHeight="1" x14ac:dyDescent="0.15">
      <c r="A29" s="5">
        <v>26</v>
      </c>
      <c r="B29" s="6" t="str">
        <f>"30482021060123511770342"</f>
        <v>30482021060123511770342</v>
      </c>
      <c r="C29" s="6" t="s">
        <v>810</v>
      </c>
      <c r="D29" s="6" t="str">
        <f>"蒲道里"</f>
        <v>蒲道里</v>
      </c>
      <c r="E29" s="6" t="str">
        <f t="shared" si="4"/>
        <v>男</v>
      </c>
      <c r="F29" s="7" t="s">
        <v>832</v>
      </c>
    </row>
    <row r="30" spans="1:6" ht="20.100000000000001" customHeight="1" x14ac:dyDescent="0.15">
      <c r="A30" s="5">
        <v>27</v>
      </c>
      <c r="B30" s="6" t="str">
        <f>"30482021060207314670614"</f>
        <v>30482021060207314670614</v>
      </c>
      <c r="C30" s="6" t="s">
        <v>810</v>
      </c>
      <c r="D30" s="6" t="str">
        <f>"潘孝鹏"</f>
        <v>潘孝鹏</v>
      </c>
      <c r="E30" s="6" t="str">
        <f t="shared" si="4"/>
        <v>男</v>
      </c>
      <c r="F30" s="7" t="s">
        <v>60</v>
      </c>
    </row>
    <row r="31" spans="1:6" ht="20.100000000000001" customHeight="1" x14ac:dyDescent="0.15">
      <c r="A31" s="5">
        <v>28</v>
      </c>
      <c r="B31" s="6" t="str">
        <f>"30482021060208501971019"</f>
        <v>30482021060208501971019</v>
      </c>
      <c r="C31" s="6" t="s">
        <v>810</v>
      </c>
      <c r="D31" s="6" t="str">
        <f>"吴雅静"</f>
        <v>吴雅静</v>
      </c>
      <c r="E31" s="6" t="str">
        <f>"女"</f>
        <v>女</v>
      </c>
      <c r="F31" s="7" t="s">
        <v>767</v>
      </c>
    </row>
    <row r="32" spans="1:6" ht="20.100000000000001" customHeight="1" x14ac:dyDescent="0.15">
      <c r="A32" s="5">
        <v>29</v>
      </c>
      <c r="B32" s="6" t="str">
        <f>"30482021060208542371063"</f>
        <v>30482021060208542371063</v>
      </c>
      <c r="C32" s="6" t="s">
        <v>810</v>
      </c>
      <c r="D32" s="6" t="str">
        <f>"陈天丹"</f>
        <v>陈天丹</v>
      </c>
      <c r="E32" s="6" t="str">
        <f t="shared" ref="E32:E37" si="5">"男"</f>
        <v>男</v>
      </c>
      <c r="F32" s="7" t="s">
        <v>833</v>
      </c>
    </row>
    <row r="33" spans="1:6" ht="20.100000000000001" customHeight="1" x14ac:dyDescent="0.15">
      <c r="A33" s="5">
        <v>30</v>
      </c>
      <c r="B33" s="6" t="str">
        <f>"30482021060210102871988"</f>
        <v>30482021060210102871988</v>
      </c>
      <c r="C33" s="6" t="s">
        <v>810</v>
      </c>
      <c r="D33" s="6" t="str">
        <f>"胡宏"</f>
        <v>胡宏</v>
      </c>
      <c r="E33" s="6" t="str">
        <f t="shared" si="5"/>
        <v>男</v>
      </c>
      <c r="F33" s="7" t="s">
        <v>834</v>
      </c>
    </row>
    <row r="34" spans="1:6" ht="20.100000000000001" customHeight="1" x14ac:dyDescent="0.15">
      <c r="A34" s="5">
        <v>31</v>
      </c>
      <c r="B34" s="6" t="str">
        <f>"30482021060210172672099"</f>
        <v>30482021060210172672099</v>
      </c>
      <c r="C34" s="6" t="s">
        <v>810</v>
      </c>
      <c r="D34" s="6" t="str">
        <f>"符悦丰"</f>
        <v>符悦丰</v>
      </c>
      <c r="E34" s="6" t="str">
        <f t="shared" si="5"/>
        <v>男</v>
      </c>
      <c r="F34" s="7" t="s">
        <v>835</v>
      </c>
    </row>
    <row r="35" spans="1:6" ht="20.100000000000001" customHeight="1" x14ac:dyDescent="0.15">
      <c r="A35" s="5">
        <v>32</v>
      </c>
      <c r="B35" s="6" t="str">
        <f>"30482021060210334872324"</f>
        <v>30482021060210334872324</v>
      </c>
      <c r="C35" s="6" t="s">
        <v>810</v>
      </c>
      <c r="D35" s="6" t="str">
        <f>"朱日胜"</f>
        <v>朱日胜</v>
      </c>
      <c r="E35" s="6" t="str">
        <f t="shared" si="5"/>
        <v>男</v>
      </c>
      <c r="F35" s="7" t="s">
        <v>836</v>
      </c>
    </row>
    <row r="36" spans="1:6" ht="20.100000000000001" customHeight="1" x14ac:dyDescent="0.15">
      <c r="A36" s="5">
        <v>33</v>
      </c>
      <c r="B36" s="6" t="str">
        <f>"30482021060210400872396"</f>
        <v>30482021060210400872396</v>
      </c>
      <c r="C36" s="6" t="s">
        <v>810</v>
      </c>
      <c r="D36" s="6" t="str">
        <f>"王康峰"</f>
        <v>王康峰</v>
      </c>
      <c r="E36" s="6" t="str">
        <f t="shared" si="5"/>
        <v>男</v>
      </c>
      <c r="F36" s="7" t="s">
        <v>837</v>
      </c>
    </row>
    <row r="37" spans="1:6" ht="20.100000000000001" customHeight="1" x14ac:dyDescent="0.15">
      <c r="A37" s="5">
        <v>34</v>
      </c>
      <c r="B37" s="6" t="str">
        <f>"30482021060211524373228"</f>
        <v>30482021060211524373228</v>
      </c>
      <c r="C37" s="6" t="s">
        <v>810</v>
      </c>
      <c r="D37" s="6" t="str">
        <f>"覃鸿发"</f>
        <v>覃鸿发</v>
      </c>
      <c r="E37" s="6" t="str">
        <f t="shared" si="5"/>
        <v>男</v>
      </c>
      <c r="F37" s="7" t="s">
        <v>838</v>
      </c>
    </row>
    <row r="38" spans="1:6" ht="20.100000000000001" customHeight="1" x14ac:dyDescent="0.15">
      <c r="A38" s="5">
        <v>35</v>
      </c>
      <c r="B38" s="6" t="str">
        <f>"30482021060212131673376"</f>
        <v>30482021060212131673376</v>
      </c>
      <c r="C38" s="6" t="s">
        <v>810</v>
      </c>
      <c r="D38" s="6" t="str">
        <f>"谢立园"</f>
        <v>谢立园</v>
      </c>
      <c r="E38" s="6" t="str">
        <f t="shared" ref="E38:E43" si="6">"女"</f>
        <v>女</v>
      </c>
      <c r="F38" s="7" t="s">
        <v>637</v>
      </c>
    </row>
    <row r="39" spans="1:6" ht="20.100000000000001" customHeight="1" x14ac:dyDescent="0.15">
      <c r="A39" s="5">
        <v>36</v>
      </c>
      <c r="B39" s="6" t="str">
        <f>"30482021060213011873781"</f>
        <v>30482021060213011873781</v>
      </c>
      <c r="C39" s="6" t="s">
        <v>810</v>
      </c>
      <c r="D39" s="6" t="str">
        <f>"温伟武"</f>
        <v>温伟武</v>
      </c>
      <c r="E39" s="6" t="str">
        <f t="shared" ref="E39:E41" si="7">"男"</f>
        <v>男</v>
      </c>
      <c r="F39" s="7" t="s">
        <v>119</v>
      </c>
    </row>
    <row r="40" spans="1:6" ht="20.100000000000001" customHeight="1" x14ac:dyDescent="0.15">
      <c r="A40" s="5">
        <v>37</v>
      </c>
      <c r="B40" s="6" t="str">
        <f>"30482021060213340274023"</f>
        <v>30482021060213340274023</v>
      </c>
      <c r="C40" s="6" t="s">
        <v>810</v>
      </c>
      <c r="D40" s="6" t="str">
        <f>"黄恒兴"</f>
        <v>黄恒兴</v>
      </c>
      <c r="E40" s="6" t="str">
        <f t="shared" si="7"/>
        <v>男</v>
      </c>
      <c r="F40" s="7" t="s">
        <v>839</v>
      </c>
    </row>
    <row r="41" spans="1:6" ht="20.100000000000001" customHeight="1" x14ac:dyDescent="0.15">
      <c r="A41" s="5">
        <v>38</v>
      </c>
      <c r="B41" s="6" t="str">
        <f>"30482021060215011874587"</f>
        <v>30482021060215011874587</v>
      </c>
      <c r="C41" s="6" t="s">
        <v>810</v>
      </c>
      <c r="D41" s="6" t="str">
        <f>"高小乐"</f>
        <v>高小乐</v>
      </c>
      <c r="E41" s="6" t="str">
        <f t="shared" si="7"/>
        <v>男</v>
      </c>
      <c r="F41" s="7" t="s">
        <v>840</v>
      </c>
    </row>
    <row r="42" spans="1:6" ht="20.100000000000001" customHeight="1" x14ac:dyDescent="0.15">
      <c r="A42" s="5">
        <v>39</v>
      </c>
      <c r="B42" s="6" t="str">
        <f>"30482021060215103474679"</f>
        <v>30482021060215103474679</v>
      </c>
      <c r="C42" s="6" t="s">
        <v>810</v>
      </c>
      <c r="D42" s="6" t="str">
        <f>"孙牟奇"</f>
        <v>孙牟奇</v>
      </c>
      <c r="E42" s="6" t="str">
        <f t="shared" si="6"/>
        <v>女</v>
      </c>
      <c r="F42" s="7" t="s">
        <v>489</v>
      </c>
    </row>
    <row r="43" spans="1:6" ht="20.100000000000001" customHeight="1" x14ac:dyDescent="0.15">
      <c r="A43" s="5">
        <v>40</v>
      </c>
      <c r="B43" s="6" t="str">
        <f>"30482021060215222474806"</f>
        <v>30482021060215222474806</v>
      </c>
      <c r="C43" s="6" t="s">
        <v>810</v>
      </c>
      <c r="D43" s="6" t="str">
        <f>"王婆爱"</f>
        <v>王婆爱</v>
      </c>
      <c r="E43" s="6" t="str">
        <f t="shared" si="6"/>
        <v>女</v>
      </c>
      <c r="F43" s="7" t="s">
        <v>81</v>
      </c>
    </row>
    <row r="44" spans="1:6" ht="20.100000000000001" customHeight="1" x14ac:dyDescent="0.15">
      <c r="A44" s="5">
        <v>41</v>
      </c>
      <c r="B44" s="6" t="str">
        <f>"30482021060215494275127"</f>
        <v>30482021060215494275127</v>
      </c>
      <c r="C44" s="6" t="s">
        <v>810</v>
      </c>
      <c r="D44" s="6" t="str">
        <f>"董振豪"</f>
        <v>董振豪</v>
      </c>
      <c r="E44" s="6" t="str">
        <f>"男"</f>
        <v>男</v>
      </c>
      <c r="F44" s="7" t="s">
        <v>841</v>
      </c>
    </row>
    <row r="45" spans="1:6" ht="20.100000000000001" customHeight="1" x14ac:dyDescent="0.15">
      <c r="A45" s="5">
        <v>42</v>
      </c>
      <c r="B45" s="6" t="str">
        <f>"30482021060215514475151"</f>
        <v>30482021060215514475151</v>
      </c>
      <c r="C45" s="6" t="s">
        <v>810</v>
      </c>
      <c r="D45" s="6" t="str">
        <f>"李运恒"</f>
        <v>李运恒</v>
      </c>
      <c r="E45" s="6" t="str">
        <f>"男"</f>
        <v>男</v>
      </c>
      <c r="F45" s="7" t="s">
        <v>842</v>
      </c>
    </row>
    <row r="46" spans="1:6" ht="20.100000000000001" customHeight="1" x14ac:dyDescent="0.15">
      <c r="A46" s="5">
        <v>43</v>
      </c>
      <c r="B46" s="6" t="str">
        <f>"30482021060216060675315"</f>
        <v>30482021060216060675315</v>
      </c>
      <c r="C46" s="6" t="s">
        <v>810</v>
      </c>
      <c r="D46" s="6" t="str">
        <f>"符小朵"</f>
        <v>符小朵</v>
      </c>
      <c r="E46" s="6" t="str">
        <f t="shared" ref="E46:E49" si="8">"女"</f>
        <v>女</v>
      </c>
      <c r="F46" s="7" t="s">
        <v>843</v>
      </c>
    </row>
    <row r="47" spans="1:6" ht="20.100000000000001" customHeight="1" x14ac:dyDescent="0.15">
      <c r="A47" s="5">
        <v>44</v>
      </c>
      <c r="B47" s="6" t="str">
        <f>"30482021060216152275399"</f>
        <v>30482021060216152275399</v>
      </c>
      <c r="C47" s="6" t="s">
        <v>810</v>
      </c>
      <c r="D47" s="6" t="str">
        <f>"王建颖"</f>
        <v>王建颖</v>
      </c>
      <c r="E47" s="6" t="str">
        <f t="shared" si="8"/>
        <v>女</v>
      </c>
      <c r="F47" s="7" t="s">
        <v>844</v>
      </c>
    </row>
    <row r="48" spans="1:6" ht="20.100000000000001" customHeight="1" x14ac:dyDescent="0.15">
      <c r="A48" s="5">
        <v>45</v>
      </c>
      <c r="B48" s="6" t="str">
        <f>"30482021060218044776371"</f>
        <v>30482021060218044776371</v>
      </c>
      <c r="C48" s="6" t="s">
        <v>810</v>
      </c>
      <c r="D48" s="6" t="str">
        <f>"唐大香"</f>
        <v>唐大香</v>
      </c>
      <c r="E48" s="6" t="str">
        <f t="shared" si="8"/>
        <v>女</v>
      </c>
      <c r="F48" s="7" t="s">
        <v>845</v>
      </c>
    </row>
    <row r="49" spans="1:6" ht="20.100000000000001" customHeight="1" x14ac:dyDescent="0.15">
      <c r="A49" s="5">
        <v>46</v>
      </c>
      <c r="B49" s="6" t="str">
        <f>"30482021060307225379191"</f>
        <v>30482021060307225379191</v>
      </c>
      <c r="C49" s="6" t="s">
        <v>810</v>
      </c>
      <c r="D49" s="6" t="str">
        <f>"陈方燕"</f>
        <v>陈方燕</v>
      </c>
      <c r="E49" s="6" t="str">
        <f t="shared" si="8"/>
        <v>女</v>
      </c>
      <c r="F49" s="7" t="s">
        <v>846</v>
      </c>
    </row>
    <row r="50" spans="1:6" ht="20.100000000000001" customHeight="1" x14ac:dyDescent="0.15">
      <c r="A50" s="5">
        <v>47</v>
      </c>
      <c r="B50" s="6" t="str">
        <f>"30482021060307531879242"</f>
        <v>30482021060307531879242</v>
      </c>
      <c r="C50" s="6" t="s">
        <v>810</v>
      </c>
      <c r="D50" s="6" t="str">
        <f>"马强"</f>
        <v>马强</v>
      </c>
      <c r="E50" s="6" t="str">
        <f t="shared" ref="E50:E53" si="9">"男"</f>
        <v>男</v>
      </c>
      <c r="F50" s="7" t="s">
        <v>847</v>
      </c>
    </row>
    <row r="51" spans="1:6" ht="20.100000000000001" customHeight="1" x14ac:dyDescent="0.15">
      <c r="A51" s="5">
        <v>48</v>
      </c>
      <c r="B51" s="6" t="str">
        <f>"30482021060308094279314"</f>
        <v>30482021060308094279314</v>
      </c>
      <c r="C51" s="6" t="s">
        <v>810</v>
      </c>
      <c r="D51" s="6" t="str">
        <f>"潘在煌"</f>
        <v>潘在煌</v>
      </c>
      <c r="E51" s="6" t="str">
        <f t="shared" si="9"/>
        <v>男</v>
      </c>
      <c r="F51" s="7" t="s">
        <v>848</v>
      </c>
    </row>
    <row r="52" spans="1:6" ht="20.100000000000001" customHeight="1" x14ac:dyDescent="0.15">
      <c r="A52" s="5">
        <v>49</v>
      </c>
      <c r="B52" s="6" t="str">
        <f>"30482021060308292679458"</f>
        <v>30482021060308292679458</v>
      </c>
      <c r="C52" s="6" t="s">
        <v>810</v>
      </c>
      <c r="D52" s="6" t="str">
        <f>"陈振富"</f>
        <v>陈振富</v>
      </c>
      <c r="E52" s="6" t="str">
        <f t="shared" si="9"/>
        <v>男</v>
      </c>
      <c r="F52" s="7" t="s">
        <v>849</v>
      </c>
    </row>
    <row r="53" spans="1:6" ht="20.100000000000001" customHeight="1" x14ac:dyDescent="0.15">
      <c r="A53" s="5">
        <v>50</v>
      </c>
      <c r="B53" s="6" t="str">
        <f>"30482021060309302380223"</f>
        <v>30482021060309302380223</v>
      </c>
      <c r="C53" s="6" t="s">
        <v>810</v>
      </c>
      <c r="D53" s="6" t="str">
        <f>"杜盛"</f>
        <v>杜盛</v>
      </c>
      <c r="E53" s="6" t="str">
        <f t="shared" si="9"/>
        <v>男</v>
      </c>
      <c r="F53" s="7" t="s">
        <v>850</v>
      </c>
    </row>
    <row r="54" spans="1:6" ht="20.100000000000001" customHeight="1" x14ac:dyDescent="0.15">
      <c r="A54" s="5">
        <v>51</v>
      </c>
      <c r="B54" s="6" t="str">
        <f>"30482021060310011580698"</f>
        <v>30482021060310011580698</v>
      </c>
      <c r="C54" s="6" t="s">
        <v>810</v>
      </c>
      <c r="D54" s="6" t="str">
        <f>"王亚楠"</f>
        <v>王亚楠</v>
      </c>
      <c r="E54" s="6" t="str">
        <f>"女"</f>
        <v>女</v>
      </c>
      <c r="F54" s="7" t="s">
        <v>851</v>
      </c>
    </row>
    <row r="55" spans="1:6" ht="20.100000000000001" customHeight="1" x14ac:dyDescent="0.15">
      <c r="A55" s="5">
        <v>52</v>
      </c>
      <c r="B55" s="6" t="str">
        <f>"30482021060310240581080"</f>
        <v>30482021060310240581080</v>
      </c>
      <c r="C55" s="6" t="s">
        <v>810</v>
      </c>
      <c r="D55" s="6" t="str">
        <f>"符大树"</f>
        <v>符大树</v>
      </c>
      <c r="E55" s="6" t="str">
        <f t="shared" ref="E55:E59" si="10">"男"</f>
        <v>男</v>
      </c>
      <c r="F55" s="7" t="s">
        <v>852</v>
      </c>
    </row>
    <row r="56" spans="1:6" ht="20.100000000000001" customHeight="1" x14ac:dyDescent="0.15">
      <c r="A56" s="5">
        <v>53</v>
      </c>
      <c r="B56" s="6" t="str">
        <f>"30482021060311141881889"</f>
        <v>30482021060311141881889</v>
      </c>
      <c r="C56" s="6" t="s">
        <v>810</v>
      </c>
      <c r="D56" s="6" t="str">
        <f>"王如玉"</f>
        <v>王如玉</v>
      </c>
      <c r="E56" s="6" t="str">
        <f>"女"</f>
        <v>女</v>
      </c>
      <c r="F56" s="7" t="s">
        <v>84</v>
      </c>
    </row>
    <row r="57" spans="1:6" ht="20.100000000000001" customHeight="1" x14ac:dyDescent="0.15">
      <c r="A57" s="5">
        <v>54</v>
      </c>
      <c r="B57" s="6" t="str">
        <f>"30482021060313072983066"</f>
        <v>30482021060313072983066</v>
      </c>
      <c r="C57" s="6" t="s">
        <v>810</v>
      </c>
      <c r="D57" s="6" t="str">
        <f>"符汉光"</f>
        <v>符汉光</v>
      </c>
      <c r="E57" s="6" t="str">
        <f t="shared" si="10"/>
        <v>男</v>
      </c>
      <c r="F57" s="7" t="s">
        <v>683</v>
      </c>
    </row>
    <row r="58" spans="1:6" ht="20.100000000000001" customHeight="1" x14ac:dyDescent="0.15">
      <c r="A58" s="5">
        <v>55</v>
      </c>
      <c r="B58" s="6" t="str">
        <f>"30482021060320004787229"</f>
        <v>30482021060320004787229</v>
      </c>
      <c r="C58" s="6" t="s">
        <v>810</v>
      </c>
      <c r="D58" s="6" t="str">
        <f>"陈绵权"</f>
        <v>陈绵权</v>
      </c>
      <c r="E58" s="6" t="str">
        <f t="shared" si="10"/>
        <v>男</v>
      </c>
      <c r="F58" s="7" t="s">
        <v>853</v>
      </c>
    </row>
    <row r="59" spans="1:6" ht="20.100000000000001" customHeight="1" x14ac:dyDescent="0.15">
      <c r="A59" s="5">
        <v>56</v>
      </c>
      <c r="B59" s="6" t="str">
        <f>"30482021060320372787633"</f>
        <v>30482021060320372787633</v>
      </c>
      <c r="C59" s="6" t="s">
        <v>810</v>
      </c>
      <c r="D59" s="6" t="str">
        <f>"吴习忠"</f>
        <v>吴习忠</v>
      </c>
      <c r="E59" s="6" t="str">
        <f t="shared" si="10"/>
        <v>男</v>
      </c>
      <c r="F59" s="7" t="s">
        <v>854</v>
      </c>
    </row>
    <row r="60" spans="1:6" ht="20.100000000000001" customHeight="1" x14ac:dyDescent="0.15">
      <c r="A60" s="5">
        <v>57</v>
      </c>
      <c r="B60" s="6" t="str">
        <f>"30482021060410593892448"</f>
        <v>30482021060410593892448</v>
      </c>
      <c r="C60" s="6" t="s">
        <v>810</v>
      </c>
      <c r="D60" s="6" t="str">
        <f>"欧姝君"</f>
        <v>欧姝君</v>
      </c>
      <c r="E60" s="6" t="str">
        <f t="shared" ref="E60:E65" si="11">"女"</f>
        <v>女</v>
      </c>
      <c r="F60" s="7" t="s">
        <v>855</v>
      </c>
    </row>
    <row r="61" spans="1:6" ht="20.100000000000001" customHeight="1" x14ac:dyDescent="0.15">
      <c r="A61" s="5">
        <v>58</v>
      </c>
      <c r="B61" s="6" t="str">
        <f>"30482021060413010494021"</f>
        <v>30482021060413010494021</v>
      </c>
      <c r="C61" s="6" t="s">
        <v>810</v>
      </c>
      <c r="D61" s="6" t="str">
        <f>"黄光诚"</f>
        <v>黄光诚</v>
      </c>
      <c r="E61" s="6" t="str">
        <f t="shared" ref="E61:E73" si="12">"男"</f>
        <v>男</v>
      </c>
      <c r="F61" s="7" t="s">
        <v>856</v>
      </c>
    </row>
    <row r="62" spans="1:6" ht="20.100000000000001" customHeight="1" x14ac:dyDescent="0.15">
      <c r="A62" s="5">
        <v>59</v>
      </c>
      <c r="B62" s="6" t="str">
        <f>"30482021060413521694513"</f>
        <v>30482021060413521694513</v>
      </c>
      <c r="C62" s="6" t="s">
        <v>810</v>
      </c>
      <c r="D62" s="6" t="str">
        <f>"蔡亲澳"</f>
        <v>蔡亲澳</v>
      </c>
      <c r="E62" s="6" t="str">
        <f t="shared" si="12"/>
        <v>男</v>
      </c>
      <c r="F62" s="7" t="s">
        <v>857</v>
      </c>
    </row>
    <row r="63" spans="1:6" ht="20.100000000000001" customHeight="1" x14ac:dyDescent="0.15">
      <c r="A63" s="5">
        <v>60</v>
      </c>
      <c r="B63" s="6" t="str">
        <f>"30482021060415212196220"</f>
        <v>30482021060415212196220</v>
      </c>
      <c r="C63" s="6" t="s">
        <v>810</v>
      </c>
      <c r="D63" s="6" t="str">
        <f>"杨春艾"</f>
        <v>杨春艾</v>
      </c>
      <c r="E63" s="6" t="str">
        <f t="shared" si="11"/>
        <v>女</v>
      </c>
      <c r="F63" s="7" t="s">
        <v>858</v>
      </c>
    </row>
    <row r="64" spans="1:6" ht="20.100000000000001" customHeight="1" x14ac:dyDescent="0.15">
      <c r="A64" s="5">
        <v>61</v>
      </c>
      <c r="B64" s="6" t="str">
        <f>"30482021060416425397316"</f>
        <v>30482021060416425397316</v>
      </c>
      <c r="C64" s="6" t="s">
        <v>810</v>
      </c>
      <c r="D64" s="6" t="str">
        <f>"颜玉蕊"</f>
        <v>颜玉蕊</v>
      </c>
      <c r="E64" s="6" t="str">
        <f t="shared" si="11"/>
        <v>女</v>
      </c>
      <c r="F64" s="7" t="s">
        <v>571</v>
      </c>
    </row>
    <row r="65" spans="1:6" ht="20.100000000000001" customHeight="1" x14ac:dyDescent="0.15">
      <c r="A65" s="5">
        <v>62</v>
      </c>
      <c r="B65" s="6" t="str">
        <f>"30482021060416502997403"</f>
        <v>30482021060416502997403</v>
      </c>
      <c r="C65" s="6" t="s">
        <v>810</v>
      </c>
      <c r="D65" s="6" t="str">
        <f>"陈珺"</f>
        <v>陈珺</v>
      </c>
      <c r="E65" s="6" t="str">
        <f t="shared" si="11"/>
        <v>女</v>
      </c>
      <c r="F65" s="7" t="s">
        <v>859</v>
      </c>
    </row>
    <row r="66" spans="1:6" ht="20.100000000000001" customHeight="1" x14ac:dyDescent="0.15">
      <c r="A66" s="5">
        <v>63</v>
      </c>
      <c r="B66" s="6" t="str">
        <f>"30482021060419141299152"</f>
        <v>30482021060419141299152</v>
      </c>
      <c r="C66" s="6" t="s">
        <v>810</v>
      </c>
      <c r="D66" s="6" t="str">
        <f>"曾维旭"</f>
        <v>曾维旭</v>
      </c>
      <c r="E66" s="6" t="str">
        <f t="shared" si="12"/>
        <v>男</v>
      </c>
      <c r="F66" s="7" t="s">
        <v>860</v>
      </c>
    </row>
    <row r="67" spans="1:6" ht="20.100000000000001" customHeight="1" x14ac:dyDescent="0.15">
      <c r="A67" s="5">
        <v>64</v>
      </c>
      <c r="B67" s="6" t="str">
        <f>"30482021060423162099904"</f>
        <v>30482021060423162099904</v>
      </c>
      <c r="C67" s="6" t="s">
        <v>810</v>
      </c>
      <c r="D67" s="6" t="str">
        <f>"黄明彬"</f>
        <v>黄明彬</v>
      </c>
      <c r="E67" s="6" t="str">
        <f t="shared" si="12"/>
        <v>男</v>
      </c>
      <c r="F67" s="7" t="s">
        <v>861</v>
      </c>
    </row>
    <row r="68" spans="1:6" ht="20.100000000000001" customHeight="1" x14ac:dyDescent="0.15">
      <c r="A68" s="5">
        <v>65</v>
      </c>
      <c r="B68" s="6" t="str">
        <f>"304820210605180726101688"</f>
        <v>304820210605180726101688</v>
      </c>
      <c r="C68" s="6" t="s">
        <v>810</v>
      </c>
      <c r="D68" s="6" t="str">
        <f>"朱深平"</f>
        <v>朱深平</v>
      </c>
      <c r="E68" s="6" t="str">
        <f t="shared" si="12"/>
        <v>男</v>
      </c>
      <c r="F68" s="7" t="s">
        <v>862</v>
      </c>
    </row>
    <row r="69" spans="1:6" ht="20.100000000000001" customHeight="1" x14ac:dyDescent="0.15">
      <c r="A69" s="5">
        <v>66</v>
      </c>
      <c r="B69" s="6" t="str">
        <f>"304820210605212628102176"</f>
        <v>304820210605212628102176</v>
      </c>
      <c r="C69" s="6" t="s">
        <v>810</v>
      </c>
      <c r="D69" s="6" t="str">
        <f>"陈焕栋"</f>
        <v>陈焕栋</v>
      </c>
      <c r="E69" s="6" t="str">
        <f t="shared" si="12"/>
        <v>男</v>
      </c>
      <c r="F69" s="7" t="s">
        <v>863</v>
      </c>
    </row>
    <row r="70" spans="1:6" ht="20.100000000000001" customHeight="1" x14ac:dyDescent="0.15">
      <c r="A70" s="5">
        <v>67</v>
      </c>
      <c r="B70" s="6" t="str">
        <f>"304820210605212659102177"</f>
        <v>304820210605212659102177</v>
      </c>
      <c r="C70" s="6" t="s">
        <v>810</v>
      </c>
      <c r="D70" s="6" t="str">
        <f>"王小波"</f>
        <v>王小波</v>
      </c>
      <c r="E70" s="6" t="str">
        <f t="shared" si="12"/>
        <v>男</v>
      </c>
      <c r="F70" s="7" t="s">
        <v>864</v>
      </c>
    </row>
    <row r="71" spans="1:6" ht="20.100000000000001" customHeight="1" x14ac:dyDescent="0.15">
      <c r="A71" s="5">
        <v>68</v>
      </c>
      <c r="B71" s="6" t="str">
        <f>"304820210606104614103069"</f>
        <v>304820210606104614103069</v>
      </c>
      <c r="C71" s="6" t="s">
        <v>810</v>
      </c>
      <c r="D71" s="6" t="str">
        <f>"梁金鸿"</f>
        <v>梁金鸿</v>
      </c>
      <c r="E71" s="6" t="str">
        <f t="shared" si="12"/>
        <v>男</v>
      </c>
      <c r="F71" s="7" t="s">
        <v>865</v>
      </c>
    </row>
    <row r="72" spans="1:6" ht="20.100000000000001" customHeight="1" x14ac:dyDescent="0.15">
      <c r="A72" s="5">
        <v>69</v>
      </c>
      <c r="B72" s="6" t="str">
        <f>"304820210606185617104478"</f>
        <v>304820210606185617104478</v>
      </c>
      <c r="C72" s="6" t="s">
        <v>810</v>
      </c>
      <c r="D72" s="6" t="str">
        <f>"黄仁龙"</f>
        <v>黄仁龙</v>
      </c>
      <c r="E72" s="6" t="str">
        <f t="shared" si="12"/>
        <v>男</v>
      </c>
      <c r="F72" s="7" t="s">
        <v>866</v>
      </c>
    </row>
    <row r="73" spans="1:6" ht="20.100000000000001" customHeight="1" x14ac:dyDescent="0.15">
      <c r="A73" s="5">
        <v>70</v>
      </c>
      <c r="B73" s="6" t="str">
        <f>"304820210606213940104839"</f>
        <v>304820210606213940104839</v>
      </c>
      <c r="C73" s="6" t="s">
        <v>810</v>
      </c>
      <c r="D73" s="6" t="str">
        <f>"王鳌"</f>
        <v>王鳌</v>
      </c>
      <c r="E73" s="6" t="str">
        <f t="shared" si="12"/>
        <v>男</v>
      </c>
      <c r="F73" s="7" t="s">
        <v>867</v>
      </c>
    </row>
    <row r="74" spans="1:6" ht="20.100000000000001" customHeight="1" x14ac:dyDescent="0.15">
      <c r="A74" s="5">
        <v>71</v>
      </c>
      <c r="B74" s="6" t="str">
        <f>"304820210606230014105079"</f>
        <v>304820210606230014105079</v>
      </c>
      <c r="C74" s="6" t="s">
        <v>810</v>
      </c>
      <c r="D74" s="6" t="str">
        <f>"陈杰"</f>
        <v>陈杰</v>
      </c>
      <c r="E74" s="6" t="str">
        <f>"女"</f>
        <v>女</v>
      </c>
      <c r="F74" s="7" t="s">
        <v>712</v>
      </c>
    </row>
    <row r="75" spans="1:6" ht="20.100000000000001" customHeight="1" x14ac:dyDescent="0.15">
      <c r="A75" s="5">
        <v>72</v>
      </c>
      <c r="B75" s="6" t="str">
        <f>"304820210607085542105478"</f>
        <v>304820210607085542105478</v>
      </c>
      <c r="C75" s="6" t="s">
        <v>810</v>
      </c>
      <c r="D75" s="6" t="str">
        <f>"周凤重"</f>
        <v>周凤重</v>
      </c>
      <c r="E75" s="6" t="str">
        <f>"男"</f>
        <v>男</v>
      </c>
      <c r="F75" s="7" t="s">
        <v>868</v>
      </c>
    </row>
    <row r="76" spans="1:6" ht="20.100000000000001" customHeight="1" x14ac:dyDescent="0.15">
      <c r="A76" s="5">
        <v>73</v>
      </c>
      <c r="B76" s="6" t="str">
        <f>"304820210607101718106000"</f>
        <v>304820210607101718106000</v>
      </c>
      <c r="C76" s="6" t="s">
        <v>810</v>
      </c>
      <c r="D76" s="6" t="str">
        <f>"李莉环"</f>
        <v>李莉环</v>
      </c>
      <c r="E76" s="6" t="str">
        <f>"女"</f>
        <v>女</v>
      </c>
      <c r="F76" s="7" t="s">
        <v>796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125" style="1" customWidth="1"/>
    <col min="2" max="2" width="24.625" style="1" customWidth="1"/>
    <col min="3" max="3" width="14.125" style="1" customWidth="1"/>
    <col min="4" max="4" width="9.875" style="1" customWidth="1"/>
    <col min="5" max="5" width="8" style="1" customWidth="1"/>
    <col min="6" max="6" width="14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"30482021060114501163990"</f>
        <v>30482021060114501163990</v>
      </c>
      <c r="C4" s="6" t="s">
        <v>869</v>
      </c>
      <c r="D4" s="6" t="str">
        <f>"许月辽"</f>
        <v>许月辽</v>
      </c>
      <c r="E4" s="6" t="str">
        <f t="shared" ref="E4:E8" si="0">"女"</f>
        <v>女</v>
      </c>
      <c r="F4" s="7" t="s">
        <v>522</v>
      </c>
    </row>
    <row r="5" spans="1:6" ht="20.100000000000001" customHeight="1" x14ac:dyDescent="0.15">
      <c r="A5" s="5">
        <v>2</v>
      </c>
      <c r="B5" s="6" t="str">
        <f>"30482021060114574464105"</f>
        <v>30482021060114574464105</v>
      </c>
      <c r="C5" s="6" t="s">
        <v>869</v>
      </c>
      <c r="D5" s="6" t="str">
        <f>"李维庭"</f>
        <v>李维庭</v>
      </c>
      <c r="E5" s="6" t="str">
        <f t="shared" si="0"/>
        <v>女</v>
      </c>
      <c r="F5" s="7" t="s">
        <v>760</v>
      </c>
    </row>
    <row r="6" spans="1:6" ht="20.100000000000001" customHeight="1" x14ac:dyDescent="0.15">
      <c r="A6" s="5">
        <v>3</v>
      </c>
      <c r="B6" s="6" t="str">
        <f>"30482021060115194264393"</f>
        <v>30482021060115194264393</v>
      </c>
      <c r="C6" s="6" t="s">
        <v>869</v>
      </c>
      <c r="D6" s="6" t="str">
        <f>"陈金玉"</f>
        <v>陈金玉</v>
      </c>
      <c r="E6" s="6" t="str">
        <f t="shared" si="0"/>
        <v>女</v>
      </c>
      <c r="F6" s="7" t="s">
        <v>23</v>
      </c>
    </row>
    <row r="7" spans="1:6" ht="20.100000000000001" customHeight="1" x14ac:dyDescent="0.15">
      <c r="A7" s="5">
        <v>4</v>
      </c>
      <c r="B7" s="6" t="str">
        <f>"30482021060115353064593"</f>
        <v>30482021060115353064593</v>
      </c>
      <c r="C7" s="6" t="s">
        <v>869</v>
      </c>
      <c r="D7" s="6" t="str">
        <f>"王波"</f>
        <v>王波</v>
      </c>
      <c r="E7" s="6" t="str">
        <f t="shared" si="0"/>
        <v>女</v>
      </c>
      <c r="F7" s="7" t="s">
        <v>614</v>
      </c>
    </row>
    <row r="8" spans="1:6" ht="20.100000000000001" customHeight="1" x14ac:dyDescent="0.15">
      <c r="A8" s="5">
        <v>5</v>
      </c>
      <c r="B8" s="6" t="str">
        <f>"30482021060118141566439"</f>
        <v>30482021060118141566439</v>
      </c>
      <c r="C8" s="6" t="s">
        <v>869</v>
      </c>
      <c r="D8" s="6" t="str">
        <f>"袁美焕"</f>
        <v>袁美焕</v>
      </c>
      <c r="E8" s="6" t="str">
        <f t="shared" si="0"/>
        <v>女</v>
      </c>
      <c r="F8" s="7" t="s">
        <v>586</v>
      </c>
    </row>
    <row r="9" spans="1:6" ht="20.100000000000001" customHeight="1" x14ac:dyDescent="0.15">
      <c r="A9" s="5">
        <v>6</v>
      </c>
      <c r="B9" s="6" t="str">
        <f>"30482021060208370670902"</f>
        <v>30482021060208370670902</v>
      </c>
      <c r="C9" s="6" t="s">
        <v>869</v>
      </c>
      <c r="D9" s="6" t="str">
        <f>"韦一集"</f>
        <v>韦一集</v>
      </c>
      <c r="E9" s="6" t="str">
        <f>"男"</f>
        <v>男</v>
      </c>
      <c r="F9" s="7" t="s">
        <v>870</v>
      </c>
    </row>
    <row r="10" spans="1:6" ht="20.100000000000001" customHeight="1" x14ac:dyDescent="0.15">
      <c r="A10" s="5">
        <v>7</v>
      </c>
      <c r="B10" s="6" t="str">
        <f>"30482021060215174974764"</f>
        <v>30482021060215174974764</v>
      </c>
      <c r="C10" s="6" t="s">
        <v>869</v>
      </c>
      <c r="D10" s="6" t="str">
        <f>"王春琼"</f>
        <v>王春琼</v>
      </c>
      <c r="E10" s="6" t="str">
        <f t="shared" ref="E10:E13" si="1">"女"</f>
        <v>女</v>
      </c>
      <c r="F10" s="7" t="s">
        <v>305</v>
      </c>
    </row>
    <row r="11" spans="1:6" ht="20.100000000000001" customHeight="1" x14ac:dyDescent="0.15">
      <c r="A11" s="5">
        <v>8</v>
      </c>
      <c r="B11" s="6" t="str">
        <f>"30482021060309133079967"</f>
        <v>30482021060309133079967</v>
      </c>
      <c r="C11" s="6" t="s">
        <v>869</v>
      </c>
      <c r="D11" s="6" t="str">
        <f>"陈垂宽"</f>
        <v>陈垂宽</v>
      </c>
      <c r="E11" s="6" t="str">
        <f t="shared" si="1"/>
        <v>女</v>
      </c>
      <c r="F11" s="7" t="s">
        <v>871</v>
      </c>
    </row>
    <row r="12" spans="1:6" ht="20.100000000000001" customHeight="1" x14ac:dyDescent="0.15">
      <c r="A12" s="5">
        <v>9</v>
      </c>
      <c r="B12" s="6" t="str">
        <f>"30482021060311122681863"</f>
        <v>30482021060311122681863</v>
      </c>
      <c r="C12" s="6" t="s">
        <v>869</v>
      </c>
      <c r="D12" s="6" t="str">
        <f>"苏元丽"</f>
        <v>苏元丽</v>
      </c>
      <c r="E12" s="6" t="str">
        <f t="shared" si="1"/>
        <v>女</v>
      </c>
      <c r="F12" s="7" t="s">
        <v>760</v>
      </c>
    </row>
    <row r="13" spans="1:6" ht="20.100000000000001" customHeight="1" x14ac:dyDescent="0.15">
      <c r="A13" s="5">
        <v>10</v>
      </c>
      <c r="B13" s="6" t="str">
        <f>"30482021060317113785709"</f>
        <v>30482021060317113785709</v>
      </c>
      <c r="C13" s="6" t="s">
        <v>869</v>
      </c>
      <c r="D13" s="6" t="str">
        <f>"何君"</f>
        <v>何君</v>
      </c>
      <c r="E13" s="6" t="str">
        <f t="shared" si="1"/>
        <v>女</v>
      </c>
      <c r="F13" s="7" t="s">
        <v>872</v>
      </c>
    </row>
    <row r="14" spans="1:6" ht="20.100000000000001" customHeight="1" x14ac:dyDescent="0.15">
      <c r="A14" s="5">
        <v>11</v>
      </c>
      <c r="B14" s="6" t="str">
        <f>"30482021060321020387933"</f>
        <v>30482021060321020387933</v>
      </c>
      <c r="C14" s="6" t="s">
        <v>869</v>
      </c>
      <c r="D14" s="6" t="str">
        <f>"吴啟军"</f>
        <v>吴啟军</v>
      </c>
      <c r="E14" s="6" t="str">
        <f>"男"</f>
        <v>男</v>
      </c>
      <c r="F14" s="7" t="s">
        <v>873</v>
      </c>
    </row>
    <row r="15" spans="1:6" ht="20.100000000000001" customHeight="1" x14ac:dyDescent="0.15">
      <c r="A15" s="5">
        <v>12</v>
      </c>
      <c r="B15" s="6" t="str">
        <f>"30482021060410224591602"</f>
        <v>30482021060410224591602</v>
      </c>
      <c r="C15" s="6" t="s">
        <v>869</v>
      </c>
      <c r="D15" s="6" t="str">
        <f>"陈启兰"</f>
        <v>陈启兰</v>
      </c>
      <c r="E15" s="6" t="str">
        <f t="shared" ref="E15:E18" si="2">"女"</f>
        <v>女</v>
      </c>
      <c r="F15" s="7" t="s">
        <v>874</v>
      </c>
    </row>
    <row r="16" spans="1:6" ht="20.100000000000001" customHeight="1" x14ac:dyDescent="0.15">
      <c r="A16" s="5">
        <v>13</v>
      </c>
      <c r="B16" s="6" t="str">
        <f>"30482021060412032493371"</f>
        <v>30482021060412032493371</v>
      </c>
      <c r="C16" s="6" t="s">
        <v>869</v>
      </c>
      <c r="D16" s="6" t="str">
        <f>"薛梅岭"</f>
        <v>薛梅岭</v>
      </c>
      <c r="E16" s="6" t="str">
        <f t="shared" si="2"/>
        <v>女</v>
      </c>
      <c r="F16" s="7" t="s">
        <v>875</v>
      </c>
    </row>
    <row r="17" spans="1:6" ht="20.100000000000001" customHeight="1" x14ac:dyDescent="0.15">
      <c r="A17" s="5">
        <v>14</v>
      </c>
      <c r="B17" s="6" t="str">
        <f>"30482021060415030195931"</f>
        <v>30482021060415030195931</v>
      </c>
      <c r="C17" s="6" t="s">
        <v>869</v>
      </c>
      <c r="D17" s="6" t="str">
        <f>"陈青慧"</f>
        <v>陈青慧</v>
      </c>
      <c r="E17" s="6" t="str">
        <f t="shared" si="2"/>
        <v>女</v>
      </c>
      <c r="F17" s="7" t="s">
        <v>743</v>
      </c>
    </row>
    <row r="18" spans="1:6" ht="20.100000000000001" customHeight="1" x14ac:dyDescent="0.15">
      <c r="A18" s="5">
        <v>15</v>
      </c>
      <c r="B18" s="6" t="str">
        <f>"30482021060415122896079"</f>
        <v>30482021060415122896079</v>
      </c>
      <c r="C18" s="6" t="s">
        <v>869</v>
      </c>
      <c r="D18" s="6" t="str">
        <f>"王凌"</f>
        <v>王凌</v>
      </c>
      <c r="E18" s="6" t="str">
        <f t="shared" si="2"/>
        <v>女</v>
      </c>
      <c r="F18" s="7" t="s">
        <v>876</v>
      </c>
    </row>
    <row r="19" spans="1:6" ht="20.100000000000001" customHeight="1" x14ac:dyDescent="0.15">
      <c r="A19" s="5">
        <v>16</v>
      </c>
      <c r="B19" s="6" t="str">
        <f>"30482021060416464897359"</f>
        <v>30482021060416464897359</v>
      </c>
      <c r="C19" s="6" t="s">
        <v>869</v>
      </c>
      <c r="D19" s="6" t="str">
        <f>"陈长荟"</f>
        <v>陈长荟</v>
      </c>
      <c r="E19" s="6" t="str">
        <f t="shared" ref="E19:E22" si="3">"男"</f>
        <v>男</v>
      </c>
      <c r="F19" s="7" t="s">
        <v>877</v>
      </c>
    </row>
    <row r="20" spans="1:6" ht="20.100000000000001" customHeight="1" x14ac:dyDescent="0.15">
      <c r="A20" s="5">
        <v>17</v>
      </c>
      <c r="B20" s="6" t="str">
        <f>"304820210606191650104515"</f>
        <v>304820210606191650104515</v>
      </c>
      <c r="C20" s="6" t="s">
        <v>869</v>
      </c>
      <c r="D20" s="6" t="str">
        <f>"蔡树娇"</f>
        <v>蔡树娇</v>
      </c>
      <c r="E20" s="6" t="str">
        <f>"女"</f>
        <v>女</v>
      </c>
      <c r="F20" s="7" t="s">
        <v>84</v>
      </c>
    </row>
    <row r="21" spans="1:6" ht="20.100000000000001" customHeight="1" x14ac:dyDescent="0.15">
      <c r="A21" s="5">
        <v>18</v>
      </c>
      <c r="B21" s="6" t="str">
        <f>"304820210607011137105312"</f>
        <v>304820210607011137105312</v>
      </c>
      <c r="C21" s="6" t="s">
        <v>869</v>
      </c>
      <c r="D21" s="6" t="str">
        <f>"曾舜文"</f>
        <v>曾舜文</v>
      </c>
      <c r="E21" s="6" t="str">
        <f t="shared" si="3"/>
        <v>男</v>
      </c>
      <c r="F21" s="7" t="s">
        <v>878</v>
      </c>
    </row>
    <row r="22" spans="1:6" ht="20.100000000000001" customHeight="1" x14ac:dyDescent="0.15">
      <c r="A22" s="5">
        <v>19</v>
      </c>
      <c r="B22" s="6" t="str">
        <f>"304820210607112556106373"</f>
        <v>304820210607112556106373</v>
      </c>
      <c r="C22" s="6" t="s">
        <v>869</v>
      </c>
      <c r="D22" s="6" t="str">
        <f>"文华"</f>
        <v>文华</v>
      </c>
      <c r="E22" s="6" t="str">
        <f t="shared" si="3"/>
        <v>男</v>
      </c>
      <c r="F22" s="7" t="s">
        <v>879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75" style="1" customWidth="1"/>
    <col min="2" max="2" width="24.625" style="1" customWidth="1"/>
    <col min="3" max="3" width="14.125" style="1" customWidth="1"/>
    <col min="4" max="4" width="10.75" style="1" customWidth="1"/>
    <col min="5" max="5" width="7.75" style="1" customWidth="1"/>
    <col min="6" max="6" width="14.6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"30482021060114072563525"</f>
        <v>30482021060114072563525</v>
      </c>
      <c r="C4" s="6" t="s">
        <v>880</v>
      </c>
      <c r="D4" s="6" t="str">
        <f>"李金妹"</f>
        <v>李金妹</v>
      </c>
      <c r="E4" s="6" t="str">
        <f t="shared" ref="E4:E15" si="0">"女"</f>
        <v>女</v>
      </c>
      <c r="F4" s="7" t="s">
        <v>592</v>
      </c>
    </row>
    <row r="5" spans="1:6" ht="20.100000000000001" customHeight="1" x14ac:dyDescent="0.15">
      <c r="A5" s="5">
        <v>2</v>
      </c>
      <c r="B5" s="6" t="str">
        <f>"30482021060114230863677"</f>
        <v>30482021060114230863677</v>
      </c>
      <c r="C5" s="6" t="s">
        <v>880</v>
      </c>
      <c r="D5" s="6" t="str">
        <f>"胡虹宇"</f>
        <v>胡虹宇</v>
      </c>
      <c r="E5" s="6" t="str">
        <f t="shared" si="0"/>
        <v>女</v>
      </c>
      <c r="F5" s="7" t="s">
        <v>881</v>
      </c>
    </row>
    <row r="6" spans="1:6" ht="20.100000000000001" customHeight="1" x14ac:dyDescent="0.15">
      <c r="A6" s="5">
        <v>3</v>
      </c>
      <c r="B6" s="6" t="str">
        <f>"30482021060114360363810"</f>
        <v>30482021060114360363810</v>
      </c>
      <c r="C6" s="6" t="s">
        <v>880</v>
      </c>
      <c r="D6" s="6" t="str">
        <f>"郭晓玲"</f>
        <v>郭晓玲</v>
      </c>
      <c r="E6" s="6" t="str">
        <f t="shared" si="0"/>
        <v>女</v>
      </c>
      <c r="F6" s="7" t="s">
        <v>191</v>
      </c>
    </row>
    <row r="7" spans="1:6" ht="20.100000000000001" customHeight="1" x14ac:dyDescent="0.15">
      <c r="A7" s="5">
        <v>4</v>
      </c>
      <c r="B7" s="6" t="str">
        <f>"30482021060114402663880"</f>
        <v>30482021060114402663880</v>
      </c>
      <c r="C7" s="6" t="s">
        <v>880</v>
      </c>
      <c r="D7" s="6" t="str">
        <f>"孙小微"</f>
        <v>孙小微</v>
      </c>
      <c r="E7" s="6" t="str">
        <f t="shared" si="0"/>
        <v>女</v>
      </c>
      <c r="F7" s="7" t="s">
        <v>882</v>
      </c>
    </row>
    <row r="8" spans="1:6" ht="20.100000000000001" customHeight="1" x14ac:dyDescent="0.15">
      <c r="A8" s="5">
        <v>5</v>
      </c>
      <c r="B8" s="6" t="str">
        <f>"30482021060114560164077"</f>
        <v>30482021060114560164077</v>
      </c>
      <c r="C8" s="6" t="s">
        <v>880</v>
      </c>
      <c r="D8" s="6" t="str">
        <f>"蔡玉玲"</f>
        <v>蔡玉玲</v>
      </c>
      <c r="E8" s="6" t="str">
        <f t="shared" si="0"/>
        <v>女</v>
      </c>
      <c r="F8" s="7" t="s">
        <v>883</v>
      </c>
    </row>
    <row r="9" spans="1:6" ht="20.100000000000001" customHeight="1" x14ac:dyDescent="0.15">
      <c r="A9" s="5">
        <v>6</v>
      </c>
      <c r="B9" s="6" t="str">
        <f>"30482021060115170764364"</f>
        <v>30482021060115170764364</v>
      </c>
      <c r="C9" s="6" t="s">
        <v>880</v>
      </c>
      <c r="D9" s="6" t="str">
        <f>"黄露贤"</f>
        <v>黄露贤</v>
      </c>
      <c r="E9" s="6" t="str">
        <f t="shared" si="0"/>
        <v>女</v>
      </c>
      <c r="F9" s="7" t="s">
        <v>140</v>
      </c>
    </row>
    <row r="10" spans="1:6" ht="20.100000000000001" customHeight="1" x14ac:dyDescent="0.15">
      <c r="A10" s="5">
        <v>7</v>
      </c>
      <c r="B10" s="6" t="str">
        <f>"30482021060115170764365"</f>
        <v>30482021060115170764365</v>
      </c>
      <c r="C10" s="6" t="s">
        <v>880</v>
      </c>
      <c r="D10" s="6" t="str">
        <f>"蔡异聪"</f>
        <v>蔡异聪</v>
      </c>
      <c r="E10" s="6" t="str">
        <f t="shared" si="0"/>
        <v>女</v>
      </c>
      <c r="F10" s="7" t="s">
        <v>884</v>
      </c>
    </row>
    <row r="11" spans="1:6" ht="20.100000000000001" customHeight="1" x14ac:dyDescent="0.15">
      <c r="A11" s="5">
        <v>8</v>
      </c>
      <c r="B11" s="6" t="str">
        <f>"30482021060115224864425"</f>
        <v>30482021060115224864425</v>
      </c>
      <c r="C11" s="6" t="s">
        <v>880</v>
      </c>
      <c r="D11" s="6" t="str">
        <f>"劳海丽"</f>
        <v>劳海丽</v>
      </c>
      <c r="E11" s="6" t="str">
        <f t="shared" si="0"/>
        <v>女</v>
      </c>
      <c r="F11" s="7" t="s">
        <v>885</v>
      </c>
    </row>
    <row r="12" spans="1:6" ht="20.100000000000001" customHeight="1" x14ac:dyDescent="0.15">
      <c r="A12" s="5">
        <v>9</v>
      </c>
      <c r="B12" s="6" t="str">
        <f>"30482021060115322164548"</f>
        <v>30482021060115322164548</v>
      </c>
      <c r="C12" s="6" t="s">
        <v>880</v>
      </c>
      <c r="D12" s="6" t="str">
        <f>"秦美玲"</f>
        <v>秦美玲</v>
      </c>
      <c r="E12" s="6" t="str">
        <f t="shared" si="0"/>
        <v>女</v>
      </c>
      <c r="F12" s="7" t="s">
        <v>886</v>
      </c>
    </row>
    <row r="13" spans="1:6" ht="20.100000000000001" customHeight="1" x14ac:dyDescent="0.15">
      <c r="A13" s="5">
        <v>10</v>
      </c>
      <c r="B13" s="6" t="str">
        <f>"30482021060115465264740"</f>
        <v>30482021060115465264740</v>
      </c>
      <c r="C13" s="6" t="s">
        <v>880</v>
      </c>
      <c r="D13" s="6" t="str">
        <f>"刘珍玲"</f>
        <v>刘珍玲</v>
      </c>
      <c r="E13" s="6" t="str">
        <f t="shared" si="0"/>
        <v>女</v>
      </c>
      <c r="F13" s="7" t="s">
        <v>887</v>
      </c>
    </row>
    <row r="14" spans="1:6" ht="20.100000000000001" customHeight="1" x14ac:dyDescent="0.15">
      <c r="A14" s="5">
        <v>11</v>
      </c>
      <c r="B14" s="6" t="str">
        <f>"30482021060115534064830"</f>
        <v>30482021060115534064830</v>
      </c>
      <c r="C14" s="6" t="s">
        <v>880</v>
      </c>
      <c r="D14" s="6" t="str">
        <f>"温莉"</f>
        <v>温莉</v>
      </c>
      <c r="E14" s="6" t="str">
        <f t="shared" si="0"/>
        <v>女</v>
      </c>
      <c r="F14" s="7" t="s">
        <v>111</v>
      </c>
    </row>
    <row r="15" spans="1:6" ht="20.100000000000001" customHeight="1" x14ac:dyDescent="0.15">
      <c r="A15" s="5">
        <v>12</v>
      </c>
      <c r="B15" s="6" t="str">
        <f>"30482021060116151065073"</f>
        <v>30482021060116151065073</v>
      </c>
      <c r="C15" s="6" t="s">
        <v>880</v>
      </c>
      <c r="D15" s="6" t="str">
        <f>"黄小含"</f>
        <v>黄小含</v>
      </c>
      <c r="E15" s="6" t="str">
        <f t="shared" si="0"/>
        <v>女</v>
      </c>
      <c r="F15" s="7" t="s">
        <v>709</v>
      </c>
    </row>
    <row r="16" spans="1:6" ht="20.100000000000001" customHeight="1" x14ac:dyDescent="0.15">
      <c r="A16" s="5">
        <v>13</v>
      </c>
      <c r="B16" s="6" t="str">
        <f>"30482021060116162465092"</f>
        <v>30482021060116162465092</v>
      </c>
      <c r="C16" s="6" t="s">
        <v>880</v>
      </c>
      <c r="D16" s="6" t="str">
        <f>"翁劭轩"</f>
        <v>翁劭轩</v>
      </c>
      <c r="E16" s="6" t="str">
        <f>"男"</f>
        <v>男</v>
      </c>
      <c r="F16" s="7" t="s">
        <v>888</v>
      </c>
    </row>
    <row r="17" spans="1:6" ht="20.100000000000001" customHeight="1" x14ac:dyDescent="0.15">
      <c r="A17" s="5">
        <v>14</v>
      </c>
      <c r="B17" s="6" t="str">
        <f>"30482021060116241465208"</f>
        <v>30482021060116241465208</v>
      </c>
      <c r="C17" s="6" t="s">
        <v>880</v>
      </c>
      <c r="D17" s="6" t="str">
        <f>"罗鸿雁"</f>
        <v>罗鸿雁</v>
      </c>
      <c r="E17" s="6" t="str">
        <f t="shared" ref="E17:E24" si="1">"女"</f>
        <v>女</v>
      </c>
      <c r="F17" s="7" t="s">
        <v>889</v>
      </c>
    </row>
    <row r="18" spans="1:6" ht="20.100000000000001" customHeight="1" x14ac:dyDescent="0.15">
      <c r="A18" s="5">
        <v>15</v>
      </c>
      <c r="B18" s="6" t="str">
        <f>"30482021060117111765827"</f>
        <v>30482021060117111765827</v>
      </c>
      <c r="C18" s="6" t="s">
        <v>880</v>
      </c>
      <c r="D18" s="6" t="str">
        <f>"赵桐"</f>
        <v>赵桐</v>
      </c>
      <c r="E18" s="6" t="str">
        <f t="shared" si="1"/>
        <v>女</v>
      </c>
      <c r="F18" s="7" t="s">
        <v>890</v>
      </c>
    </row>
    <row r="19" spans="1:6" ht="20.100000000000001" customHeight="1" x14ac:dyDescent="0.15">
      <c r="A19" s="5">
        <v>16</v>
      </c>
      <c r="B19" s="6" t="str">
        <f>"30482021060118093666404"</f>
        <v>30482021060118093666404</v>
      </c>
      <c r="C19" s="6" t="s">
        <v>880</v>
      </c>
      <c r="D19" s="6" t="str">
        <f>"林雯"</f>
        <v>林雯</v>
      </c>
      <c r="E19" s="6" t="str">
        <f t="shared" si="1"/>
        <v>女</v>
      </c>
      <c r="F19" s="7" t="s">
        <v>891</v>
      </c>
    </row>
    <row r="20" spans="1:6" ht="20.100000000000001" customHeight="1" x14ac:dyDescent="0.15">
      <c r="A20" s="5">
        <v>17</v>
      </c>
      <c r="B20" s="6" t="str">
        <f>"30482021060118150966452"</f>
        <v>30482021060118150966452</v>
      </c>
      <c r="C20" s="6" t="s">
        <v>880</v>
      </c>
      <c r="D20" s="6" t="str">
        <f>"卢宛芳"</f>
        <v>卢宛芳</v>
      </c>
      <c r="E20" s="6" t="str">
        <f t="shared" si="1"/>
        <v>女</v>
      </c>
      <c r="F20" s="7" t="s">
        <v>892</v>
      </c>
    </row>
    <row r="21" spans="1:6" ht="20.100000000000001" customHeight="1" x14ac:dyDescent="0.15">
      <c r="A21" s="5">
        <v>18</v>
      </c>
      <c r="B21" s="6" t="str">
        <f>"30482021060118354866620"</f>
        <v>30482021060118354866620</v>
      </c>
      <c r="C21" s="6" t="s">
        <v>880</v>
      </c>
      <c r="D21" s="6" t="str">
        <f>"谢锦芬"</f>
        <v>谢锦芬</v>
      </c>
      <c r="E21" s="6" t="str">
        <f t="shared" si="1"/>
        <v>女</v>
      </c>
      <c r="F21" s="7" t="s">
        <v>893</v>
      </c>
    </row>
    <row r="22" spans="1:6" ht="20.100000000000001" customHeight="1" x14ac:dyDescent="0.15">
      <c r="A22" s="5">
        <v>19</v>
      </c>
      <c r="B22" s="6" t="str">
        <f>"30482021060118401866653"</f>
        <v>30482021060118401866653</v>
      </c>
      <c r="C22" s="6" t="s">
        <v>880</v>
      </c>
      <c r="D22" s="6" t="str">
        <f>"赵青翠"</f>
        <v>赵青翠</v>
      </c>
      <c r="E22" s="6" t="str">
        <f t="shared" si="1"/>
        <v>女</v>
      </c>
      <c r="F22" s="7" t="s">
        <v>586</v>
      </c>
    </row>
    <row r="23" spans="1:6" ht="20.100000000000001" customHeight="1" x14ac:dyDescent="0.15">
      <c r="A23" s="5">
        <v>20</v>
      </c>
      <c r="B23" s="6" t="str">
        <f>"30482021060119214966963"</f>
        <v>30482021060119214966963</v>
      </c>
      <c r="C23" s="6" t="s">
        <v>880</v>
      </c>
      <c r="D23" s="6" t="str">
        <f>"陈民丽"</f>
        <v>陈民丽</v>
      </c>
      <c r="E23" s="6" t="str">
        <f t="shared" si="1"/>
        <v>女</v>
      </c>
      <c r="F23" s="7" t="s">
        <v>614</v>
      </c>
    </row>
    <row r="24" spans="1:6" ht="20.100000000000001" customHeight="1" x14ac:dyDescent="0.15">
      <c r="A24" s="5">
        <v>21</v>
      </c>
      <c r="B24" s="6" t="str">
        <f>"30482021060119391167089"</f>
        <v>30482021060119391167089</v>
      </c>
      <c r="C24" s="6" t="s">
        <v>880</v>
      </c>
      <c r="D24" s="6" t="str">
        <f>"王茜"</f>
        <v>王茜</v>
      </c>
      <c r="E24" s="6" t="str">
        <f t="shared" si="1"/>
        <v>女</v>
      </c>
      <c r="F24" s="7" t="s">
        <v>12</v>
      </c>
    </row>
    <row r="25" spans="1:6" ht="20.100000000000001" customHeight="1" x14ac:dyDescent="0.15">
      <c r="A25" s="5">
        <v>22</v>
      </c>
      <c r="B25" s="6" t="str">
        <f>"30482021060119454667145"</f>
        <v>30482021060119454667145</v>
      </c>
      <c r="C25" s="6" t="s">
        <v>880</v>
      </c>
      <c r="D25" s="6" t="str">
        <f>"王崇智"</f>
        <v>王崇智</v>
      </c>
      <c r="E25" s="6" t="str">
        <f>"男"</f>
        <v>男</v>
      </c>
      <c r="F25" s="7" t="s">
        <v>894</v>
      </c>
    </row>
    <row r="26" spans="1:6" ht="20.100000000000001" customHeight="1" x14ac:dyDescent="0.15">
      <c r="A26" s="5">
        <v>23</v>
      </c>
      <c r="B26" s="6" t="str">
        <f>"30482021060120185168043"</f>
        <v>30482021060120185168043</v>
      </c>
      <c r="C26" s="6" t="s">
        <v>880</v>
      </c>
      <c r="D26" s="6" t="str">
        <f>"张爱玲"</f>
        <v>张爱玲</v>
      </c>
      <c r="E26" s="6" t="str">
        <f t="shared" ref="E26:E34" si="2">"女"</f>
        <v>女</v>
      </c>
      <c r="F26" s="7" t="s">
        <v>895</v>
      </c>
    </row>
    <row r="27" spans="1:6" ht="20.100000000000001" customHeight="1" x14ac:dyDescent="0.15">
      <c r="A27" s="5">
        <v>24</v>
      </c>
      <c r="B27" s="6" t="str">
        <f>"30482021060120293668146"</f>
        <v>30482021060120293668146</v>
      </c>
      <c r="C27" s="6" t="s">
        <v>880</v>
      </c>
      <c r="D27" s="6" t="str">
        <f>"郭小枫"</f>
        <v>郭小枫</v>
      </c>
      <c r="E27" s="6" t="str">
        <f t="shared" si="2"/>
        <v>女</v>
      </c>
      <c r="F27" s="7" t="s">
        <v>896</v>
      </c>
    </row>
    <row r="28" spans="1:6" ht="20.100000000000001" customHeight="1" x14ac:dyDescent="0.15">
      <c r="A28" s="5">
        <v>25</v>
      </c>
      <c r="B28" s="6" t="str">
        <f>"30482021060120432468259"</f>
        <v>30482021060120432468259</v>
      </c>
      <c r="C28" s="6" t="s">
        <v>880</v>
      </c>
      <c r="D28" s="6" t="str">
        <f>"黎家慧"</f>
        <v>黎家慧</v>
      </c>
      <c r="E28" s="6" t="str">
        <f t="shared" si="2"/>
        <v>女</v>
      </c>
      <c r="F28" s="7" t="s">
        <v>897</v>
      </c>
    </row>
    <row r="29" spans="1:6" ht="20.100000000000001" customHeight="1" x14ac:dyDescent="0.15">
      <c r="A29" s="5">
        <v>26</v>
      </c>
      <c r="B29" s="6" t="str">
        <f>"30482021060121120068519"</f>
        <v>30482021060121120068519</v>
      </c>
      <c r="C29" s="6" t="s">
        <v>880</v>
      </c>
      <c r="D29" s="6" t="str">
        <f>"黎小燕"</f>
        <v>黎小燕</v>
      </c>
      <c r="E29" s="6" t="str">
        <f t="shared" si="2"/>
        <v>女</v>
      </c>
      <c r="F29" s="7" t="s">
        <v>898</v>
      </c>
    </row>
    <row r="30" spans="1:6" ht="20.100000000000001" customHeight="1" x14ac:dyDescent="0.15">
      <c r="A30" s="5">
        <v>27</v>
      </c>
      <c r="B30" s="6" t="str">
        <f>"30482021060121213868602"</f>
        <v>30482021060121213868602</v>
      </c>
      <c r="C30" s="6" t="s">
        <v>880</v>
      </c>
      <c r="D30" s="6" t="str">
        <f>"吴思颖"</f>
        <v>吴思颖</v>
      </c>
      <c r="E30" s="6" t="str">
        <f t="shared" si="2"/>
        <v>女</v>
      </c>
      <c r="F30" s="7" t="s">
        <v>219</v>
      </c>
    </row>
    <row r="31" spans="1:6" ht="20.100000000000001" customHeight="1" x14ac:dyDescent="0.15">
      <c r="A31" s="5">
        <v>28</v>
      </c>
      <c r="B31" s="6" t="str">
        <f>"30482021060121462469495"</f>
        <v>30482021060121462469495</v>
      </c>
      <c r="C31" s="6" t="s">
        <v>880</v>
      </c>
      <c r="D31" s="6" t="str">
        <f>"辛夏丹"</f>
        <v>辛夏丹</v>
      </c>
      <c r="E31" s="6" t="str">
        <f t="shared" si="2"/>
        <v>女</v>
      </c>
      <c r="F31" s="7" t="s">
        <v>899</v>
      </c>
    </row>
    <row r="32" spans="1:6" ht="20.100000000000001" customHeight="1" x14ac:dyDescent="0.15">
      <c r="A32" s="5">
        <v>29</v>
      </c>
      <c r="B32" s="6" t="str">
        <f>"30482021060122011669624"</f>
        <v>30482021060122011669624</v>
      </c>
      <c r="C32" s="6" t="s">
        <v>880</v>
      </c>
      <c r="D32" s="6" t="str">
        <f>"黄美榆"</f>
        <v>黄美榆</v>
      </c>
      <c r="E32" s="6" t="str">
        <f t="shared" si="2"/>
        <v>女</v>
      </c>
      <c r="F32" s="7" t="s">
        <v>435</v>
      </c>
    </row>
    <row r="33" spans="1:6" ht="20.100000000000001" customHeight="1" x14ac:dyDescent="0.15">
      <c r="A33" s="5">
        <v>30</v>
      </c>
      <c r="B33" s="6" t="str">
        <f>"30482021060122103269711"</f>
        <v>30482021060122103269711</v>
      </c>
      <c r="C33" s="6" t="s">
        <v>880</v>
      </c>
      <c r="D33" s="6" t="str">
        <f>"王旦"</f>
        <v>王旦</v>
      </c>
      <c r="E33" s="6" t="str">
        <f t="shared" si="2"/>
        <v>女</v>
      </c>
      <c r="F33" s="7" t="s">
        <v>900</v>
      </c>
    </row>
    <row r="34" spans="1:6" ht="20.100000000000001" customHeight="1" x14ac:dyDescent="0.15">
      <c r="A34" s="5">
        <v>31</v>
      </c>
      <c r="B34" s="6" t="str">
        <f>"30482021060123345770292"</f>
        <v>30482021060123345770292</v>
      </c>
      <c r="C34" s="6" t="s">
        <v>880</v>
      </c>
      <c r="D34" s="6" t="str">
        <f>"蒋荟芳"</f>
        <v>蒋荟芳</v>
      </c>
      <c r="E34" s="6" t="str">
        <f t="shared" si="2"/>
        <v>女</v>
      </c>
      <c r="F34" s="7" t="s">
        <v>887</v>
      </c>
    </row>
    <row r="35" spans="1:6" ht="20.100000000000001" customHeight="1" x14ac:dyDescent="0.15">
      <c r="A35" s="5">
        <v>32</v>
      </c>
      <c r="B35" s="6" t="str">
        <f>"30482021060209190471322"</f>
        <v>30482021060209190471322</v>
      </c>
      <c r="C35" s="6" t="s">
        <v>880</v>
      </c>
      <c r="D35" s="6" t="str">
        <f>"刘贵东"</f>
        <v>刘贵东</v>
      </c>
      <c r="E35" s="6" t="str">
        <f>"男"</f>
        <v>男</v>
      </c>
      <c r="F35" s="7" t="s">
        <v>901</v>
      </c>
    </row>
    <row r="36" spans="1:6" ht="20.100000000000001" customHeight="1" x14ac:dyDescent="0.15">
      <c r="A36" s="5">
        <v>33</v>
      </c>
      <c r="B36" s="6" t="str">
        <f>"30482021060209194771330"</f>
        <v>30482021060209194771330</v>
      </c>
      <c r="C36" s="6" t="s">
        <v>880</v>
      </c>
      <c r="D36" s="6" t="str">
        <f>"王少换"</f>
        <v>王少换</v>
      </c>
      <c r="E36" s="6" t="str">
        <f t="shared" ref="E36:E39" si="3">"女"</f>
        <v>女</v>
      </c>
      <c r="F36" s="7" t="s">
        <v>902</v>
      </c>
    </row>
    <row r="37" spans="1:6" ht="20.100000000000001" customHeight="1" x14ac:dyDescent="0.15">
      <c r="A37" s="5">
        <v>34</v>
      </c>
      <c r="B37" s="6" t="str">
        <f>"30482021060209403271595"</f>
        <v>30482021060209403271595</v>
      </c>
      <c r="C37" s="6" t="s">
        <v>880</v>
      </c>
      <c r="D37" s="6" t="str">
        <f>"陈嫦初"</f>
        <v>陈嫦初</v>
      </c>
      <c r="E37" s="6" t="str">
        <f t="shared" si="3"/>
        <v>女</v>
      </c>
      <c r="F37" s="7" t="s">
        <v>903</v>
      </c>
    </row>
    <row r="38" spans="1:6" ht="20.100000000000001" customHeight="1" x14ac:dyDescent="0.15">
      <c r="A38" s="5">
        <v>35</v>
      </c>
      <c r="B38" s="6" t="str">
        <f>"30482021060210031971896"</f>
        <v>30482021060210031971896</v>
      </c>
      <c r="C38" s="6" t="s">
        <v>880</v>
      </c>
      <c r="D38" s="6" t="str">
        <f>"杨烨"</f>
        <v>杨烨</v>
      </c>
      <c r="E38" s="6" t="str">
        <f t="shared" si="3"/>
        <v>女</v>
      </c>
      <c r="F38" s="7" t="s">
        <v>904</v>
      </c>
    </row>
    <row r="39" spans="1:6" ht="20.100000000000001" customHeight="1" x14ac:dyDescent="0.15">
      <c r="A39" s="5">
        <v>36</v>
      </c>
      <c r="B39" s="6" t="str">
        <f>"30482021060210282372253"</f>
        <v>30482021060210282372253</v>
      </c>
      <c r="C39" s="6" t="s">
        <v>880</v>
      </c>
      <c r="D39" s="6" t="str">
        <f>"冯若妃"</f>
        <v>冯若妃</v>
      </c>
      <c r="E39" s="6" t="str">
        <f t="shared" si="3"/>
        <v>女</v>
      </c>
      <c r="F39" s="7" t="s">
        <v>905</v>
      </c>
    </row>
    <row r="40" spans="1:6" ht="20.100000000000001" customHeight="1" x14ac:dyDescent="0.15">
      <c r="A40" s="5">
        <v>37</v>
      </c>
      <c r="B40" s="6" t="str">
        <f>"30482021060211543873241"</f>
        <v>30482021060211543873241</v>
      </c>
      <c r="C40" s="6" t="s">
        <v>880</v>
      </c>
      <c r="D40" s="6" t="str">
        <f>"吴坤颖"</f>
        <v>吴坤颖</v>
      </c>
      <c r="E40" s="6" t="str">
        <f>"男"</f>
        <v>男</v>
      </c>
      <c r="F40" s="7" t="s">
        <v>906</v>
      </c>
    </row>
    <row r="41" spans="1:6" ht="20.100000000000001" customHeight="1" x14ac:dyDescent="0.15">
      <c r="A41" s="5">
        <v>38</v>
      </c>
      <c r="B41" s="6" t="str">
        <f>"30482021060213230273951"</f>
        <v>30482021060213230273951</v>
      </c>
      <c r="C41" s="6" t="s">
        <v>880</v>
      </c>
      <c r="D41" s="6" t="str">
        <f>"林杨"</f>
        <v>林杨</v>
      </c>
      <c r="E41" s="6" t="str">
        <f t="shared" ref="E41:E44" si="4">"女"</f>
        <v>女</v>
      </c>
      <c r="F41" s="7" t="s">
        <v>166</v>
      </c>
    </row>
    <row r="42" spans="1:6" ht="20.100000000000001" customHeight="1" x14ac:dyDescent="0.15">
      <c r="A42" s="5">
        <v>39</v>
      </c>
      <c r="B42" s="6" t="str">
        <f>"30482021060213313574009"</f>
        <v>30482021060213313574009</v>
      </c>
      <c r="C42" s="6" t="s">
        <v>880</v>
      </c>
      <c r="D42" s="6" t="str">
        <f>"吴长徽"</f>
        <v>吴长徽</v>
      </c>
      <c r="E42" s="6" t="str">
        <f t="shared" si="4"/>
        <v>女</v>
      </c>
      <c r="F42" s="7" t="s">
        <v>152</v>
      </c>
    </row>
    <row r="43" spans="1:6" ht="20.100000000000001" customHeight="1" x14ac:dyDescent="0.15">
      <c r="A43" s="5">
        <v>40</v>
      </c>
      <c r="B43" s="6" t="str">
        <f>"30482021060213490974098"</f>
        <v>30482021060213490974098</v>
      </c>
      <c r="C43" s="6" t="s">
        <v>880</v>
      </c>
      <c r="D43" s="6" t="str">
        <f>"冯华"</f>
        <v>冯华</v>
      </c>
      <c r="E43" s="6" t="str">
        <f t="shared" si="4"/>
        <v>女</v>
      </c>
      <c r="F43" s="7" t="s">
        <v>907</v>
      </c>
    </row>
    <row r="44" spans="1:6" ht="20.100000000000001" customHeight="1" x14ac:dyDescent="0.15">
      <c r="A44" s="5">
        <v>41</v>
      </c>
      <c r="B44" s="6" t="str">
        <f>"30482021060215450175078"</f>
        <v>30482021060215450175078</v>
      </c>
      <c r="C44" s="6" t="s">
        <v>880</v>
      </c>
      <c r="D44" s="6" t="str">
        <f>"邓婉靖"</f>
        <v>邓婉靖</v>
      </c>
      <c r="E44" s="6" t="str">
        <f t="shared" si="4"/>
        <v>女</v>
      </c>
      <c r="F44" s="7" t="s">
        <v>908</v>
      </c>
    </row>
    <row r="45" spans="1:6" ht="20.100000000000001" customHeight="1" x14ac:dyDescent="0.15">
      <c r="A45" s="5">
        <v>42</v>
      </c>
      <c r="B45" s="6" t="str">
        <f>"30482021060217091075899"</f>
        <v>30482021060217091075899</v>
      </c>
      <c r="C45" s="6" t="s">
        <v>880</v>
      </c>
      <c r="D45" s="6" t="str">
        <f>"黎太华"</f>
        <v>黎太华</v>
      </c>
      <c r="E45" s="6" t="str">
        <f>"男"</f>
        <v>男</v>
      </c>
      <c r="F45" s="7" t="s">
        <v>909</v>
      </c>
    </row>
    <row r="46" spans="1:6" ht="20.100000000000001" customHeight="1" x14ac:dyDescent="0.15">
      <c r="A46" s="5">
        <v>43</v>
      </c>
      <c r="B46" s="6" t="str">
        <f>"30482021060217222176037"</f>
        <v>30482021060217222176037</v>
      </c>
      <c r="C46" s="6" t="s">
        <v>880</v>
      </c>
      <c r="D46" s="6" t="str">
        <f>"林高茹"</f>
        <v>林高茹</v>
      </c>
      <c r="E46" s="6" t="str">
        <f t="shared" ref="E46:E60" si="5">"女"</f>
        <v>女</v>
      </c>
      <c r="F46" s="7" t="s">
        <v>910</v>
      </c>
    </row>
    <row r="47" spans="1:6" ht="20.100000000000001" customHeight="1" x14ac:dyDescent="0.15">
      <c r="A47" s="5">
        <v>44</v>
      </c>
      <c r="B47" s="6" t="str">
        <f>"30482021060218035676364"</f>
        <v>30482021060218035676364</v>
      </c>
      <c r="C47" s="6" t="s">
        <v>880</v>
      </c>
      <c r="D47" s="6" t="str">
        <f>"张艺"</f>
        <v>张艺</v>
      </c>
      <c r="E47" s="6" t="str">
        <f>"男"</f>
        <v>男</v>
      </c>
      <c r="F47" s="7" t="s">
        <v>911</v>
      </c>
    </row>
    <row r="48" spans="1:6" ht="20.100000000000001" customHeight="1" x14ac:dyDescent="0.15">
      <c r="A48" s="5">
        <v>45</v>
      </c>
      <c r="B48" s="6" t="str">
        <f>"30482021060218421876622"</f>
        <v>30482021060218421876622</v>
      </c>
      <c r="C48" s="6" t="s">
        <v>880</v>
      </c>
      <c r="D48" s="6" t="str">
        <f>"潘铭鸯"</f>
        <v>潘铭鸯</v>
      </c>
      <c r="E48" s="6" t="str">
        <f t="shared" si="5"/>
        <v>女</v>
      </c>
      <c r="F48" s="7" t="s">
        <v>250</v>
      </c>
    </row>
    <row r="49" spans="1:6" ht="20.100000000000001" customHeight="1" x14ac:dyDescent="0.15">
      <c r="A49" s="5">
        <v>46</v>
      </c>
      <c r="B49" s="6" t="str">
        <f>"30482021060218582776734"</f>
        <v>30482021060218582776734</v>
      </c>
      <c r="C49" s="6" t="s">
        <v>880</v>
      </c>
      <c r="D49" s="6" t="str">
        <f>"温芳艳"</f>
        <v>温芳艳</v>
      </c>
      <c r="E49" s="6" t="str">
        <f t="shared" si="5"/>
        <v>女</v>
      </c>
      <c r="F49" s="7" t="s">
        <v>512</v>
      </c>
    </row>
    <row r="50" spans="1:6" ht="20.100000000000001" customHeight="1" x14ac:dyDescent="0.15">
      <c r="A50" s="5">
        <v>47</v>
      </c>
      <c r="B50" s="6" t="str">
        <f>"30482021060219443177059"</f>
        <v>30482021060219443177059</v>
      </c>
      <c r="C50" s="6" t="s">
        <v>880</v>
      </c>
      <c r="D50" s="6" t="str">
        <f>"高晓梦"</f>
        <v>高晓梦</v>
      </c>
      <c r="E50" s="6" t="str">
        <f t="shared" si="5"/>
        <v>女</v>
      </c>
      <c r="F50" s="7" t="s">
        <v>208</v>
      </c>
    </row>
    <row r="51" spans="1:6" ht="20.100000000000001" customHeight="1" x14ac:dyDescent="0.15">
      <c r="A51" s="5">
        <v>48</v>
      </c>
      <c r="B51" s="6" t="str">
        <f>"30482021060220175077334"</f>
        <v>30482021060220175077334</v>
      </c>
      <c r="C51" s="6" t="s">
        <v>880</v>
      </c>
      <c r="D51" s="6" t="str">
        <f>"徐佳唯"</f>
        <v>徐佳唯</v>
      </c>
      <c r="E51" s="6" t="str">
        <f t="shared" si="5"/>
        <v>女</v>
      </c>
      <c r="F51" s="7" t="s">
        <v>912</v>
      </c>
    </row>
    <row r="52" spans="1:6" ht="20.100000000000001" customHeight="1" x14ac:dyDescent="0.15">
      <c r="A52" s="5">
        <v>49</v>
      </c>
      <c r="B52" s="6" t="str">
        <f>"30482021060220561277680"</f>
        <v>30482021060220561277680</v>
      </c>
      <c r="C52" s="6" t="s">
        <v>880</v>
      </c>
      <c r="D52" s="6" t="str">
        <f>"庄淑红"</f>
        <v>庄淑红</v>
      </c>
      <c r="E52" s="6" t="str">
        <f t="shared" si="5"/>
        <v>女</v>
      </c>
      <c r="F52" s="7" t="s">
        <v>913</v>
      </c>
    </row>
    <row r="53" spans="1:6" ht="20.100000000000001" customHeight="1" x14ac:dyDescent="0.15">
      <c r="A53" s="5">
        <v>50</v>
      </c>
      <c r="B53" s="6" t="str">
        <f>"30482021060220582377702"</f>
        <v>30482021060220582377702</v>
      </c>
      <c r="C53" s="6" t="s">
        <v>880</v>
      </c>
      <c r="D53" s="6" t="str">
        <f>"吴秋萍"</f>
        <v>吴秋萍</v>
      </c>
      <c r="E53" s="6" t="str">
        <f t="shared" si="5"/>
        <v>女</v>
      </c>
      <c r="F53" s="7" t="s">
        <v>433</v>
      </c>
    </row>
    <row r="54" spans="1:6" ht="20.100000000000001" customHeight="1" x14ac:dyDescent="0.15">
      <c r="A54" s="5">
        <v>51</v>
      </c>
      <c r="B54" s="6" t="str">
        <f>"30482021060221181377860"</f>
        <v>30482021060221181377860</v>
      </c>
      <c r="C54" s="6" t="s">
        <v>880</v>
      </c>
      <c r="D54" s="6" t="str">
        <f>"林梅雪"</f>
        <v>林梅雪</v>
      </c>
      <c r="E54" s="6" t="str">
        <f t="shared" si="5"/>
        <v>女</v>
      </c>
      <c r="F54" s="7" t="s">
        <v>43</v>
      </c>
    </row>
    <row r="55" spans="1:6" ht="20.100000000000001" customHeight="1" x14ac:dyDescent="0.15">
      <c r="A55" s="5">
        <v>52</v>
      </c>
      <c r="B55" s="6" t="str">
        <f>"30482021060221242177912"</f>
        <v>30482021060221242177912</v>
      </c>
      <c r="C55" s="6" t="s">
        <v>880</v>
      </c>
      <c r="D55" s="6" t="str">
        <f>"云杏芳"</f>
        <v>云杏芳</v>
      </c>
      <c r="E55" s="6" t="str">
        <f t="shared" si="5"/>
        <v>女</v>
      </c>
      <c r="F55" s="7" t="s">
        <v>914</v>
      </c>
    </row>
    <row r="56" spans="1:6" ht="20.100000000000001" customHeight="1" x14ac:dyDescent="0.15">
      <c r="A56" s="5">
        <v>53</v>
      </c>
      <c r="B56" s="6" t="str">
        <f>"30482021060222074378248"</f>
        <v>30482021060222074378248</v>
      </c>
      <c r="C56" s="6" t="s">
        <v>880</v>
      </c>
      <c r="D56" s="6" t="str">
        <f>"谭蕾"</f>
        <v>谭蕾</v>
      </c>
      <c r="E56" s="6" t="str">
        <f t="shared" si="5"/>
        <v>女</v>
      </c>
      <c r="F56" s="7" t="s">
        <v>531</v>
      </c>
    </row>
    <row r="57" spans="1:6" ht="20.100000000000001" customHeight="1" x14ac:dyDescent="0.15">
      <c r="A57" s="5">
        <v>54</v>
      </c>
      <c r="B57" s="6" t="str">
        <f>"30482021060307534079244"</f>
        <v>30482021060307534079244</v>
      </c>
      <c r="C57" s="6" t="s">
        <v>880</v>
      </c>
      <c r="D57" s="6" t="str">
        <f>"符琼芝"</f>
        <v>符琼芝</v>
      </c>
      <c r="E57" s="6" t="str">
        <f t="shared" si="5"/>
        <v>女</v>
      </c>
      <c r="F57" s="7" t="s">
        <v>915</v>
      </c>
    </row>
    <row r="58" spans="1:6" ht="20.100000000000001" customHeight="1" x14ac:dyDescent="0.15">
      <c r="A58" s="5">
        <v>55</v>
      </c>
      <c r="B58" s="6" t="str">
        <f>"30482021060308155379355"</f>
        <v>30482021060308155379355</v>
      </c>
      <c r="C58" s="6" t="s">
        <v>880</v>
      </c>
      <c r="D58" s="6" t="str">
        <f>"甘露"</f>
        <v>甘露</v>
      </c>
      <c r="E58" s="6" t="str">
        <f t="shared" si="5"/>
        <v>女</v>
      </c>
      <c r="F58" s="7" t="s">
        <v>531</v>
      </c>
    </row>
    <row r="59" spans="1:6" ht="20.100000000000001" customHeight="1" x14ac:dyDescent="0.15">
      <c r="A59" s="5">
        <v>56</v>
      </c>
      <c r="B59" s="6" t="str">
        <f>"30482021060309380580328"</f>
        <v>30482021060309380580328</v>
      </c>
      <c r="C59" s="6" t="s">
        <v>880</v>
      </c>
      <c r="D59" s="6" t="str">
        <f>"吴焕菊"</f>
        <v>吴焕菊</v>
      </c>
      <c r="E59" s="6" t="str">
        <f t="shared" si="5"/>
        <v>女</v>
      </c>
      <c r="F59" s="7" t="s">
        <v>773</v>
      </c>
    </row>
    <row r="60" spans="1:6" ht="20.100000000000001" customHeight="1" x14ac:dyDescent="0.15">
      <c r="A60" s="5">
        <v>57</v>
      </c>
      <c r="B60" s="6" t="str">
        <f>"30482021060310485781478"</f>
        <v>30482021060310485781478</v>
      </c>
      <c r="C60" s="6" t="s">
        <v>880</v>
      </c>
      <c r="D60" s="6" t="str">
        <f>"林贵月"</f>
        <v>林贵月</v>
      </c>
      <c r="E60" s="6" t="str">
        <f t="shared" si="5"/>
        <v>女</v>
      </c>
      <c r="F60" s="7" t="s">
        <v>589</v>
      </c>
    </row>
    <row r="61" spans="1:6" ht="20.100000000000001" customHeight="1" x14ac:dyDescent="0.15">
      <c r="A61" s="5">
        <v>58</v>
      </c>
      <c r="B61" s="6" t="str">
        <f>"30482021060311170681934"</f>
        <v>30482021060311170681934</v>
      </c>
      <c r="C61" s="6" t="s">
        <v>880</v>
      </c>
      <c r="D61" s="6" t="str">
        <f>"贺心成"</f>
        <v>贺心成</v>
      </c>
      <c r="E61" s="6" t="str">
        <f>"男"</f>
        <v>男</v>
      </c>
      <c r="F61" s="7" t="s">
        <v>916</v>
      </c>
    </row>
    <row r="62" spans="1:6" ht="20.100000000000001" customHeight="1" x14ac:dyDescent="0.15">
      <c r="A62" s="5">
        <v>59</v>
      </c>
      <c r="B62" s="6" t="str">
        <f>"30482021060311252182035"</f>
        <v>30482021060311252182035</v>
      </c>
      <c r="C62" s="6" t="s">
        <v>880</v>
      </c>
      <c r="D62" s="6" t="str">
        <f>"郑冬容"</f>
        <v>郑冬容</v>
      </c>
      <c r="E62" s="6" t="str">
        <f t="shared" ref="E62:E90" si="6">"女"</f>
        <v>女</v>
      </c>
      <c r="F62" s="7" t="s">
        <v>338</v>
      </c>
    </row>
    <row r="63" spans="1:6" ht="20.100000000000001" customHeight="1" x14ac:dyDescent="0.15">
      <c r="A63" s="5">
        <v>60</v>
      </c>
      <c r="B63" s="6" t="str">
        <f>"30482021060313595683471"</f>
        <v>30482021060313595683471</v>
      </c>
      <c r="C63" s="6" t="s">
        <v>880</v>
      </c>
      <c r="D63" s="6" t="str">
        <f>"杨帆"</f>
        <v>杨帆</v>
      </c>
      <c r="E63" s="6" t="str">
        <f t="shared" si="6"/>
        <v>女</v>
      </c>
      <c r="F63" s="7" t="s">
        <v>166</v>
      </c>
    </row>
    <row r="64" spans="1:6" ht="20.100000000000001" customHeight="1" x14ac:dyDescent="0.15">
      <c r="A64" s="5">
        <v>61</v>
      </c>
      <c r="B64" s="6" t="str">
        <f>"30482021060315235484357"</f>
        <v>30482021060315235484357</v>
      </c>
      <c r="C64" s="6" t="s">
        <v>880</v>
      </c>
      <c r="D64" s="6" t="str">
        <f>"齐小滢"</f>
        <v>齐小滢</v>
      </c>
      <c r="E64" s="6" t="str">
        <f t="shared" si="6"/>
        <v>女</v>
      </c>
      <c r="F64" s="7" t="s">
        <v>917</v>
      </c>
    </row>
    <row r="65" spans="1:6" ht="20.100000000000001" customHeight="1" x14ac:dyDescent="0.15">
      <c r="A65" s="5">
        <v>62</v>
      </c>
      <c r="B65" s="6" t="str">
        <f>"30482021060315412684615"</f>
        <v>30482021060315412684615</v>
      </c>
      <c r="C65" s="6" t="s">
        <v>880</v>
      </c>
      <c r="D65" s="6" t="str">
        <f>"曹媛媛"</f>
        <v>曹媛媛</v>
      </c>
      <c r="E65" s="6" t="str">
        <f t="shared" si="6"/>
        <v>女</v>
      </c>
      <c r="F65" s="7" t="s">
        <v>134</v>
      </c>
    </row>
    <row r="66" spans="1:6" ht="20.100000000000001" customHeight="1" x14ac:dyDescent="0.15">
      <c r="A66" s="5">
        <v>63</v>
      </c>
      <c r="B66" s="6" t="str">
        <f>"30482021060316013184894"</f>
        <v>30482021060316013184894</v>
      </c>
      <c r="C66" s="6" t="s">
        <v>880</v>
      </c>
      <c r="D66" s="6" t="str">
        <f>"李爱蓉"</f>
        <v>李爱蓉</v>
      </c>
      <c r="E66" s="6" t="str">
        <f t="shared" si="6"/>
        <v>女</v>
      </c>
      <c r="F66" s="7" t="s">
        <v>686</v>
      </c>
    </row>
    <row r="67" spans="1:6" ht="20.100000000000001" customHeight="1" x14ac:dyDescent="0.15">
      <c r="A67" s="5">
        <v>64</v>
      </c>
      <c r="B67" s="6" t="str">
        <f>"30482021060320444387720"</f>
        <v>30482021060320444387720</v>
      </c>
      <c r="C67" s="6" t="s">
        <v>880</v>
      </c>
      <c r="D67" s="6" t="str">
        <f>"林丽娟"</f>
        <v>林丽娟</v>
      </c>
      <c r="E67" s="6" t="str">
        <f t="shared" si="6"/>
        <v>女</v>
      </c>
      <c r="F67" s="7" t="s">
        <v>484</v>
      </c>
    </row>
    <row r="68" spans="1:6" ht="20.100000000000001" customHeight="1" x14ac:dyDescent="0.15">
      <c r="A68" s="5">
        <v>65</v>
      </c>
      <c r="B68" s="6" t="str">
        <f>"30482021060320444687722"</f>
        <v>30482021060320444687722</v>
      </c>
      <c r="C68" s="6" t="s">
        <v>880</v>
      </c>
      <c r="D68" s="6" t="str">
        <f>"王锡紫"</f>
        <v>王锡紫</v>
      </c>
      <c r="E68" s="6" t="str">
        <f t="shared" si="6"/>
        <v>女</v>
      </c>
      <c r="F68" s="7" t="s">
        <v>335</v>
      </c>
    </row>
    <row r="69" spans="1:6" ht="20.100000000000001" customHeight="1" x14ac:dyDescent="0.15">
      <c r="A69" s="5">
        <v>66</v>
      </c>
      <c r="B69" s="6" t="str">
        <f>"30482021060321060187985"</f>
        <v>30482021060321060187985</v>
      </c>
      <c r="C69" s="6" t="s">
        <v>880</v>
      </c>
      <c r="D69" s="6" t="str">
        <f>"陈雨欣"</f>
        <v>陈雨欣</v>
      </c>
      <c r="E69" s="6" t="str">
        <f t="shared" si="6"/>
        <v>女</v>
      </c>
      <c r="F69" s="7" t="s">
        <v>918</v>
      </c>
    </row>
    <row r="70" spans="1:6" ht="20.100000000000001" customHeight="1" x14ac:dyDescent="0.15">
      <c r="A70" s="5">
        <v>67</v>
      </c>
      <c r="B70" s="6" t="str">
        <f>"30482021060321443688423"</f>
        <v>30482021060321443688423</v>
      </c>
      <c r="C70" s="6" t="s">
        <v>880</v>
      </c>
      <c r="D70" s="6" t="str">
        <f>"李文丽"</f>
        <v>李文丽</v>
      </c>
      <c r="E70" s="6" t="str">
        <f t="shared" si="6"/>
        <v>女</v>
      </c>
      <c r="F70" s="7" t="s">
        <v>919</v>
      </c>
    </row>
    <row r="71" spans="1:6" ht="20.100000000000001" customHeight="1" x14ac:dyDescent="0.15">
      <c r="A71" s="5">
        <v>68</v>
      </c>
      <c r="B71" s="6" t="str">
        <f>"30482021060322465489114"</f>
        <v>30482021060322465489114</v>
      </c>
      <c r="C71" s="6" t="s">
        <v>880</v>
      </c>
      <c r="D71" s="6" t="str">
        <f>"陈霜"</f>
        <v>陈霜</v>
      </c>
      <c r="E71" s="6" t="str">
        <f t="shared" si="6"/>
        <v>女</v>
      </c>
      <c r="F71" s="7" t="s">
        <v>920</v>
      </c>
    </row>
    <row r="72" spans="1:6" ht="20.100000000000001" customHeight="1" x14ac:dyDescent="0.15">
      <c r="A72" s="5">
        <v>69</v>
      </c>
      <c r="B72" s="6" t="str">
        <f>"30482021060401243589872"</f>
        <v>30482021060401243589872</v>
      </c>
      <c r="C72" s="6" t="s">
        <v>880</v>
      </c>
      <c r="D72" s="6" t="str">
        <f>"黄卓丽"</f>
        <v>黄卓丽</v>
      </c>
      <c r="E72" s="6" t="str">
        <f t="shared" si="6"/>
        <v>女</v>
      </c>
      <c r="F72" s="7" t="s">
        <v>171</v>
      </c>
    </row>
    <row r="73" spans="1:6" ht="20.100000000000001" customHeight="1" x14ac:dyDescent="0.15">
      <c r="A73" s="5">
        <v>70</v>
      </c>
      <c r="B73" s="6" t="str">
        <f>"30482021060407473290098"</f>
        <v>30482021060407473290098</v>
      </c>
      <c r="C73" s="6" t="s">
        <v>880</v>
      </c>
      <c r="D73" s="6" t="str">
        <f>"苏娇雪"</f>
        <v>苏娇雪</v>
      </c>
      <c r="E73" s="6" t="str">
        <f t="shared" si="6"/>
        <v>女</v>
      </c>
      <c r="F73" s="7" t="s">
        <v>651</v>
      </c>
    </row>
    <row r="74" spans="1:6" ht="20.100000000000001" customHeight="1" x14ac:dyDescent="0.15">
      <c r="A74" s="5">
        <v>71</v>
      </c>
      <c r="B74" s="6" t="str">
        <f>"30482021060410240391617"</f>
        <v>30482021060410240391617</v>
      </c>
      <c r="C74" s="6" t="s">
        <v>880</v>
      </c>
      <c r="D74" s="6" t="str">
        <f>"李海佳"</f>
        <v>李海佳</v>
      </c>
      <c r="E74" s="6" t="str">
        <f t="shared" si="6"/>
        <v>女</v>
      </c>
      <c r="F74" s="7" t="s">
        <v>921</v>
      </c>
    </row>
    <row r="75" spans="1:6" ht="20.100000000000001" customHeight="1" x14ac:dyDescent="0.15">
      <c r="A75" s="5">
        <v>72</v>
      </c>
      <c r="B75" s="6" t="str">
        <f>"30482021060411443293198"</f>
        <v>30482021060411443293198</v>
      </c>
      <c r="C75" s="6" t="s">
        <v>880</v>
      </c>
      <c r="D75" s="6" t="str">
        <f>"吴虹臻"</f>
        <v>吴虹臻</v>
      </c>
      <c r="E75" s="6" t="str">
        <f t="shared" si="6"/>
        <v>女</v>
      </c>
      <c r="F75" s="7" t="s">
        <v>922</v>
      </c>
    </row>
    <row r="76" spans="1:6" ht="20.100000000000001" customHeight="1" x14ac:dyDescent="0.15">
      <c r="A76" s="5">
        <v>73</v>
      </c>
      <c r="B76" s="6" t="str">
        <f>"30482021060412050893387"</f>
        <v>30482021060412050893387</v>
      </c>
      <c r="C76" s="6" t="s">
        <v>880</v>
      </c>
      <c r="D76" s="6" t="str">
        <f>"云艳苗"</f>
        <v>云艳苗</v>
      </c>
      <c r="E76" s="6" t="str">
        <f t="shared" si="6"/>
        <v>女</v>
      </c>
      <c r="F76" s="7" t="s">
        <v>574</v>
      </c>
    </row>
    <row r="77" spans="1:6" ht="20.100000000000001" customHeight="1" x14ac:dyDescent="0.15">
      <c r="A77" s="5">
        <v>74</v>
      </c>
      <c r="B77" s="6" t="str">
        <f>"30482021060416432097322"</f>
        <v>30482021060416432097322</v>
      </c>
      <c r="C77" s="6" t="s">
        <v>880</v>
      </c>
      <c r="D77" s="6" t="str">
        <f>"陈海菊"</f>
        <v>陈海菊</v>
      </c>
      <c r="E77" s="6" t="str">
        <f t="shared" si="6"/>
        <v>女</v>
      </c>
      <c r="F77" s="7" t="s">
        <v>923</v>
      </c>
    </row>
    <row r="78" spans="1:6" ht="20.100000000000001" customHeight="1" x14ac:dyDescent="0.15">
      <c r="A78" s="5">
        <v>75</v>
      </c>
      <c r="B78" s="6" t="str">
        <f>"30482021060418171998350"</f>
        <v>30482021060418171998350</v>
      </c>
      <c r="C78" s="6" t="s">
        <v>880</v>
      </c>
      <c r="D78" s="6" t="str">
        <f>"黄金秋"</f>
        <v>黄金秋</v>
      </c>
      <c r="E78" s="6" t="str">
        <f t="shared" si="6"/>
        <v>女</v>
      </c>
      <c r="F78" s="7" t="s">
        <v>53</v>
      </c>
    </row>
    <row r="79" spans="1:6" ht="20.100000000000001" customHeight="1" x14ac:dyDescent="0.15">
      <c r="A79" s="5">
        <v>76</v>
      </c>
      <c r="B79" s="6" t="str">
        <f>"304820210605073547100121"</f>
        <v>304820210605073547100121</v>
      </c>
      <c r="C79" s="6" t="s">
        <v>880</v>
      </c>
      <c r="D79" s="6" t="str">
        <f>"冯聪"</f>
        <v>冯聪</v>
      </c>
      <c r="E79" s="6" t="str">
        <f t="shared" si="6"/>
        <v>女</v>
      </c>
      <c r="F79" s="7" t="s">
        <v>30</v>
      </c>
    </row>
    <row r="80" spans="1:6" ht="20.100000000000001" customHeight="1" x14ac:dyDescent="0.15">
      <c r="A80" s="5">
        <v>77</v>
      </c>
      <c r="B80" s="6" t="str">
        <f>"304820210605130416100859"</f>
        <v>304820210605130416100859</v>
      </c>
      <c r="C80" s="6" t="s">
        <v>880</v>
      </c>
      <c r="D80" s="6" t="str">
        <f>"李小晶"</f>
        <v>李小晶</v>
      </c>
      <c r="E80" s="6" t="str">
        <f t="shared" si="6"/>
        <v>女</v>
      </c>
      <c r="F80" s="7" t="s">
        <v>924</v>
      </c>
    </row>
    <row r="81" spans="1:6" ht="20.100000000000001" customHeight="1" x14ac:dyDescent="0.15">
      <c r="A81" s="5">
        <v>78</v>
      </c>
      <c r="B81" s="6" t="str">
        <f>"304820210605133336100925"</f>
        <v>304820210605133336100925</v>
      </c>
      <c r="C81" s="6" t="s">
        <v>880</v>
      </c>
      <c r="D81" s="6" t="str">
        <f>"邢璐璐"</f>
        <v>邢璐璐</v>
      </c>
      <c r="E81" s="6" t="str">
        <f t="shared" si="6"/>
        <v>女</v>
      </c>
      <c r="F81" s="7" t="s">
        <v>925</v>
      </c>
    </row>
    <row r="82" spans="1:6" ht="20.100000000000001" customHeight="1" x14ac:dyDescent="0.15">
      <c r="A82" s="5">
        <v>79</v>
      </c>
      <c r="B82" s="6" t="str">
        <f>"304820210605144754101111"</f>
        <v>304820210605144754101111</v>
      </c>
      <c r="C82" s="6" t="s">
        <v>880</v>
      </c>
      <c r="D82" s="6" t="str">
        <f>"李晶"</f>
        <v>李晶</v>
      </c>
      <c r="E82" s="6" t="str">
        <f t="shared" si="6"/>
        <v>女</v>
      </c>
      <c r="F82" s="7" t="s">
        <v>464</v>
      </c>
    </row>
    <row r="83" spans="1:6" ht="20.100000000000001" customHeight="1" x14ac:dyDescent="0.15">
      <c r="A83" s="5">
        <v>80</v>
      </c>
      <c r="B83" s="6" t="str">
        <f>"304820210605162526101395"</f>
        <v>304820210605162526101395</v>
      </c>
      <c r="C83" s="6" t="s">
        <v>880</v>
      </c>
      <c r="D83" s="6" t="str">
        <f>"庞三妹"</f>
        <v>庞三妹</v>
      </c>
      <c r="E83" s="6" t="str">
        <f t="shared" si="6"/>
        <v>女</v>
      </c>
      <c r="F83" s="7" t="s">
        <v>926</v>
      </c>
    </row>
    <row r="84" spans="1:6" ht="20.100000000000001" customHeight="1" x14ac:dyDescent="0.15">
      <c r="A84" s="5">
        <v>81</v>
      </c>
      <c r="B84" s="6" t="str">
        <f>"304820210605185713101803"</f>
        <v>304820210605185713101803</v>
      </c>
      <c r="C84" s="6" t="s">
        <v>880</v>
      </c>
      <c r="D84" s="6" t="str">
        <f>"王春暖"</f>
        <v>王春暖</v>
      </c>
      <c r="E84" s="6" t="str">
        <f t="shared" si="6"/>
        <v>女</v>
      </c>
      <c r="F84" s="7" t="s">
        <v>639</v>
      </c>
    </row>
    <row r="85" spans="1:6" ht="20.100000000000001" customHeight="1" x14ac:dyDescent="0.15">
      <c r="A85" s="5">
        <v>82</v>
      </c>
      <c r="B85" s="6" t="str">
        <f>"304820210605190310101816"</f>
        <v>304820210605190310101816</v>
      </c>
      <c r="C85" s="6" t="s">
        <v>880</v>
      </c>
      <c r="D85" s="6" t="str">
        <f>"符武婷"</f>
        <v>符武婷</v>
      </c>
      <c r="E85" s="6" t="str">
        <f t="shared" si="6"/>
        <v>女</v>
      </c>
      <c r="F85" s="7" t="s">
        <v>927</v>
      </c>
    </row>
    <row r="86" spans="1:6" ht="20.100000000000001" customHeight="1" x14ac:dyDescent="0.15">
      <c r="A86" s="5">
        <v>83</v>
      </c>
      <c r="B86" s="6" t="str">
        <f>"304820210605215731102280"</f>
        <v>304820210605215731102280</v>
      </c>
      <c r="C86" s="6" t="s">
        <v>880</v>
      </c>
      <c r="D86" s="6" t="str">
        <f>"符梦蝶"</f>
        <v>符梦蝶</v>
      </c>
      <c r="E86" s="6" t="str">
        <f t="shared" si="6"/>
        <v>女</v>
      </c>
      <c r="F86" s="7" t="s">
        <v>225</v>
      </c>
    </row>
    <row r="87" spans="1:6" ht="20.100000000000001" customHeight="1" x14ac:dyDescent="0.15">
      <c r="A87" s="5">
        <v>84</v>
      </c>
      <c r="B87" s="6" t="str">
        <f>"304820210605223758102397"</f>
        <v>304820210605223758102397</v>
      </c>
      <c r="C87" s="6" t="s">
        <v>880</v>
      </c>
      <c r="D87" s="6" t="str">
        <f>"文倩"</f>
        <v>文倩</v>
      </c>
      <c r="E87" s="6" t="str">
        <f t="shared" si="6"/>
        <v>女</v>
      </c>
      <c r="F87" s="7" t="s">
        <v>183</v>
      </c>
    </row>
    <row r="88" spans="1:6" ht="20.100000000000001" customHeight="1" x14ac:dyDescent="0.15">
      <c r="A88" s="5">
        <v>85</v>
      </c>
      <c r="B88" s="6" t="str">
        <f>"304820210605230251102464"</f>
        <v>304820210605230251102464</v>
      </c>
      <c r="C88" s="6" t="s">
        <v>880</v>
      </c>
      <c r="D88" s="6" t="str">
        <f>"羊永梅"</f>
        <v>羊永梅</v>
      </c>
      <c r="E88" s="6" t="str">
        <f t="shared" si="6"/>
        <v>女</v>
      </c>
      <c r="F88" s="7" t="s">
        <v>928</v>
      </c>
    </row>
    <row r="89" spans="1:6" ht="20.100000000000001" customHeight="1" x14ac:dyDescent="0.15">
      <c r="A89" s="5">
        <v>86</v>
      </c>
      <c r="B89" s="6" t="str">
        <f>"304820210605230917102475"</f>
        <v>304820210605230917102475</v>
      </c>
      <c r="C89" s="6" t="s">
        <v>880</v>
      </c>
      <c r="D89" s="6" t="str">
        <f>"吴文斌"</f>
        <v>吴文斌</v>
      </c>
      <c r="E89" s="6" t="str">
        <f t="shared" si="6"/>
        <v>女</v>
      </c>
      <c r="F89" s="7" t="s">
        <v>280</v>
      </c>
    </row>
    <row r="90" spans="1:6" ht="20.100000000000001" customHeight="1" x14ac:dyDescent="0.15">
      <c r="A90" s="5">
        <v>87</v>
      </c>
      <c r="B90" s="6" t="str">
        <f>"304820210606000342102566"</f>
        <v>304820210606000342102566</v>
      </c>
      <c r="C90" s="6" t="s">
        <v>880</v>
      </c>
      <c r="D90" s="6" t="str">
        <f>"吴梦思"</f>
        <v>吴梦思</v>
      </c>
      <c r="E90" s="6" t="str">
        <f t="shared" si="6"/>
        <v>女</v>
      </c>
      <c r="F90" s="7" t="s">
        <v>31</v>
      </c>
    </row>
    <row r="91" spans="1:6" ht="20.100000000000001" customHeight="1" x14ac:dyDescent="0.15">
      <c r="A91" s="5">
        <v>88</v>
      </c>
      <c r="B91" s="6" t="str">
        <f>"304820210606095752102917"</f>
        <v>304820210606095752102917</v>
      </c>
      <c r="C91" s="6" t="s">
        <v>880</v>
      </c>
      <c r="D91" s="6" t="str">
        <f>"郭泽锦"</f>
        <v>郭泽锦</v>
      </c>
      <c r="E91" s="6" t="str">
        <f>"男"</f>
        <v>男</v>
      </c>
      <c r="F91" s="7" t="s">
        <v>636</v>
      </c>
    </row>
    <row r="92" spans="1:6" ht="20.100000000000001" customHeight="1" x14ac:dyDescent="0.15">
      <c r="A92" s="5">
        <v>89</v>
      </c>
      <c r="B92" s="6" t="str">
        <f>"304820210606133511103568"</f>
        <v>304820210606133511103568</v>
      </c>
      <c r="C92" s="6" t="s">
        <v>880</v>
      </c>
      <c r="D92" s="6" t="str">
        <f>"谢海帆"</f>
        <v>谢海帆</v>
      </c>
      <c r="E92" s="6" t="str">
        <f t="shared" ref="E92:E103" si="7">"女"</f>
        <v>女</v>
      </c>
      <c r="F92" s="7" t="s">
        <v>929</v>
      </c>
    </row>
    <row r="93" spans="1:6" ht="20.100000000000001" customHeight="1" x14ac:dyDescent="0.15">
      <c r="A93" s="5">
        <v>90</v>
      </c>
      <c r="B93" s="6" t="str">
        <f>"304820210606145050103775"</f>
        <v>304820210606145050103775</v>
      </c>
      <c r="C93" s="6" t="s">
        <v>880</v>
      </c>
      <c r="D93" s="6" t="str">
        <f>"温王萍"</f>
        <v>温王萍</v>
      </c>
      <c r="E93" s="6" t="str">
        <f t="shared" si="7"/>
        <v>女</v>
      </c>
      <c r="F93" s="7" t="s">
        <v>551</v>
      </c>
    </row>
    <row r="94" spans="1:6" ht="20.100000000000001" customHeight="1" x14ac:dyDescent="0.15">
      <c r="A94" s="5">
        <v>91</v>
      </c>
      <c r="B94" s="6" t="str">
        <f>"304820210606201049104603"</f>
        <v>304820210606201049104603</v>
      </c>
      <c r="C94" s="6" t="s">
        <v>880</v>
      </c>
      <c r="D94" s="6" t="str">
        <f>"陈江雨"</f>
        <v>陈江雨</v>
      </c>
      <c r="E94" s="6" t="str">
        <f t="shared" si="7"/>
        <v>女</v>
      </c>
      <c r="F94" s="7" t="s">
        <v>31</v>
      </c>
    </row>
    <row r="95" spans="1:6" ht="20.100000000000001" customHeight="1" x14ac:dyDescent="0.15">
      <c r="A95" s="5">
        <v>92</v>
      </c>
      <c r="B95" s="6" t="str">
        <f>"304820210606202617104630"</f>
        <v>304820210606202617104630</v>
      </c>
      <c r="C95" s="6" t="s">
        <v>880</v>
      </c>
      <c r="D95" s="6" t="str">
        <f>"羊文秋"</f>
        <v>羊文秋</v>
      </c>
      <c r="E95" s="6" t="str">
        <f t="shared" si="7"/>
        <v>女</v>
      </c>
      <c r="F95" s="7" t="s">
        <v>930</v>
      </c>
    </row>
    <row r="96" spans="1:6" ht="20.100000000000001" customHeight="1" x14ac:dyDescent="0.15">
      <c r="A96" s="5">
        <v>93</v>
      </c>
      <c r="B96" s="6" t="str">
        <f>"304820210606203350104650"</f>
        <v>304820210606203350104650</v>
      </c>
      <c r="C96" s="6" t="s">
        <v>880</v>
      </c>
      <c r="D96" s="6" t="str">
        <f>"郑再娜"</f>
        <v>郑再娜</v>
      </c>
      <c r="E96" s="6" t="str">
        <f t="shared" si="7"/>
        <v>女</v>
      </c>
      <c r="F96" s="7" t="s">
        <v>931</v>
      </c>
    </row>
    <row r="97" spans="1:6" ht="20.100000000000001" customHeight="1" x14ac:dyDescent="0.15">
      <c r="A97" s="5">
        <v>94</v>
      </c>
      <c r="B97" s="6" t="str">
        <f>"304820210606221017104933"</f>
        <v>304820210606221017104933</v>
      </c>
      <c r="C97" s="6" t="s">
        <v>880</v>
      </c>
      <c r="D97" s="6" t="str">
        <f>"吴姗姗"</f>
        <v>吴姗姗</v>
      </c>
      <c r="E97" s="6" t="str">
        <f t="shared" si="7"/>
        <v>女</v>
      </c>
      <c r="F97" s="7" t="s">
        <v>479</v>
      </c>
    </row>
    <row r="98" spans="1:6" ht="20.100000000000001" customHeight="1" x14ac:dyDescent="0.15">
      <c r="A98" s="5">
        <v>95</v>
      </c>
      <c r="B98" s="6" t="str">
        <f>"304820210606223958105022"</f>
        <v>304820210606223958105022</v>
      </c>
      <c r="C98" s="6" t="s">
        <v>880</v>
      </c>
      <c r="D98" s="6" t="str">
        <f>"张莉"</f>
        <v>张莉</v>
      </c>
      <c r="E98" s="6" t="str">
        <f t="shared" si="7"/>
        <v>女</v>
      </c>
      <c r="F98" s="7" t="s">
        <v>266</v>
      </c>
    </row>
    <row r="99" spans="1:6" ht="20.100000000000001" customHeight="1" x14ac:dyDescent="0.15">
      <c r="A99" s="5">
        <v>96</v>
      </c>
      <c r="B99" s="6" t="str">
        <f>"304820210606235337105211"</f>
        <v>304820210606235337105211</v>
      </c>
      <c r="C99" s="6" t="s">
        <v>880</v>
      </c>
      <c r="D99" s="6" t="str">
        <f>"王桂妹"</f>
        <v>王桂妹</v>
      </c>
      <c r="E99" s="6" t="str">
        <f t="shared" si="7"/>
        <v>女</v>
      </c>
      <c r="F99" s="7" t="s">
        <v>403</v>
      </c>
    </row>
    <row r="100" spans="1:6" ht="20.100000000000001" customHeight="1" x14ac:dyDescent="0.15">
      <c r="A100" s="5">
        <v>97</v>
      </c>
      <c r="B100" s="6" t="str">
        <f>"304820210607002310105253"</f>
        <v>304820210607002310105253</v>
      </c>
      <c r="C100" s="6" t="s">
        <v>880</v>
      </c>
      <c r="D100" s="6" t="str">
        <f>"李斯莹"</f>
        <v>李斯莹</v>
      </c>
      <c r="E100" s="6" t="str">
        <f t="shared" si="7"/>
        <v>女</v>
      </c>
      <c r="F100" s="7" t="s">
        <v>932</v>
      </c>
    </row>
    <row r="101" spans="1:6" ht="20.100000000000001" customHeight="1" x14ac:dyDescent="0.15">
      <c r="A101" s="5">
        <v>98</v>
      </c>
      <c r="B101" s="6" t="str">
        <f>"304820210607083252105427"</f>
        <v>304820210607083252105427</v>
      </c>
      <c r="C101" s="6" t="s">
        <v>880</v>
      </c>
      <c r="D101" s="6" t="str">
        <f>"罗春"</f>
        <v>罗春</v>
      </c>
      <c r="E101" s="6" t="str">
        <f t="shared" si="7"/>
        <v>女</v>
      </c>
      <c r="F101" s="7" t="s">
        <v>130</v>
      </c>
    </row>
    <row r="102" spans="1:6" ht="20.100000000000001" customHeight="1" x14ac:dyDescent="0.15">
      <c r="A102" s="5">
        <v>99</v>
      </c>
      <c r="B102" s="6" t="str">
        <f>"304820210607083333105430"</f>
        <v>304820210607083333105430</v>
      </c>
      <c r="C102" s="6" t="s">
        <v>880</v>
      </c>
      <c r="D102" s="6" t="str">
        <f>"韩佳佳"</f>
        <v>韩佳佳</v>
      </c>
      <c r="E102" s="6" t="str">
        <f t="shared" si="7"/>
        <v>女</v>
      </c>
      <c r="F102" s="7" t="s">
        <v>933</v>
      </c>
    </row>
    <row r="103" spans="1:6" ht="20.100000000000001" customHeight="1" x14ac:dyDescent="0.15">
      <c r="A103" s="5">
        <v>100</v>
      </c>
      <c r="B103" s="6" t="str">
        <f>"304820210607100027105887"</f>
        <v>304820210607100027105887</v>
      </c>
      <c r="C103" s="6" t="s">
        <v>880</v>
      </c>
      <c r="D103" s="6" t="str">
        <f>"尹梦影"</f>
        <v>尹梦影</v>
      </c>
      <c r="E103" s="6" t="str">
        <f t="shared" si="7"/>
        <v>女</v>
      </c>
      <c r="F103" s="7" t="s">
        <v>934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.375" customWidth="1"/>
    <col min="2" max="2" width="24.625" customWidth="1"/>
    <col min="3" max="3" width="14.125" customWidth="1"/>
    <col min="4" max="4" width="14" customWidth="1"/>
    <col min="5" max="5" width="8.75" customWidth="1"/>
    <col min="6" max="6" width="15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2.1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4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12">
        <v>1</v>
      </c>
      <c r="B4" s="6" t="str">
        <f>"30482021060115233164436"</f>
        <v>30482021060115233164436</v>
      </c>
      <c r="C4" s="6" t="s">
        <v>55</v>
      </c>
      <c r="D4" s="6" t="str">
        <f>"杨蕙溶"</f>
        <v>杨蕙溶</v>
      </c>
      <c r="E4" s="6" t="str">
        <f t="shared" ref="E4:E7" si="0">"女"</f>
        <v>女</v>
      </c>
      <c r="F4" s="7" t="s">
        <v>56</v>
      </c>
    </row>
    <row r="5" spans="1:6" ht="20.100000000000001" customHeight="1" x14ac:dyDescent="0.15">
      <c r="A5" s="12">
        <v>2</v>
      </c>
      <c r="B5" s="6" t="str">
        <f>"30482021060116343865358"</f>
        <v>30482021060116343865358</v>
      </c>
      <c r="C5" s="6" t="s">
        <v>55</v>
      </c>
      <c r="D5" s="6" t="str">
        <f>"郑海月"</f>
        <v>郑海月</v>
      </c>
      <c r="E5" s="6" t="str">
        <f t="shared" si="0"/>
        <v>女</v>
      </c>
      <c r="F5" s="7" t="s">
        <v>57</v>
      </c>
    </row>
    <row r="6" spans="1:6" ht="20.100000000000001" customHeight="1" x14ac:dyDescent="0.15">
      <c r="A6" s="12">
        <v>3</v>
      </c>
      <c r="B6" s="6" t="str">
        <f>"30482021060119340967057"</f>
        <v>30482021060119340967057</v>
      </c>
      <c r="C6" s="6" t="s">
        <v>55</v>
      </c>
      <c r="D6" s="6" t="str">
        <f>"张娜娜"</f>
        <v>张娜娜</v>
      </c>
      <c r="E6" s="6" t="str">
        <f t="shared" si="0"/>
        <v>女</v>
      </c>
      <c r="F6" s="7" t="s">
        <v>58</v>
      </c>
    </row>
    <row r="7" spans="1:6" ht="20.100000000000001" customHeight="1" x14ac:dyDescent="0.15">
      <c r="A7" s="12">
        <v>4</v>
      </c>
      <c r="B7" s="6" t="str">
        <f>"30482021060209372071553"</f>
        <v>30482021060209372071553</v>
      </c>
      <c r="C7" s="6" t="s">
        <v>55</v>
      </c>
      <c r="D7" s="6" t="str">
        <f>"何诗音"</f>
        <v>何诗音</v>
      </c>
      <c r="E7" s="6" t="str">
        <f t="shared" si="0"/>
        <v>女</v>
      </c>
      <c r="F7" s="7" t="s">
        <v>59</v>
      </c>
    </row>
    <row r="8" spans="1:6" ht="20.100000000000001" customHeight="1" x14ac:dyDescent="0.15">
      <c r="A8" s="12">
        <v>5</v>
      </c>
      <c r="B8" s="6" t="str">
        <f>"30482021060212381373604"</f>
        <v>30482021060212381373604</v>
      </c>
      <c r="C8" s="6" t="s">
        <v>55</v>
      </c>
      <c r="D8" s="6" t="str">
        <f>"梁其坚"</f>
        <v>梁其坚</v>
      </c>
      <c r="E8" s="6" t="str">
        <f>"男"</f>
        <v>男</v>
      </c>
      <c r="F8" s="7" t="s">
        <v>60</v>
      </c>
    </row>
    <row r="9" spans="1:6" ht="20.100000000000001" customHeight="1" x14ac:dyDescent="0.15">
      <c r="A9" s="12">
        <v>6</v>
      </c>
      <c r="B9" s="6" t="str">
        <f>"30482021060215104974683"</f>
        <v>30482021060215104974683</v>
      </c>
      <c r="C9" s="6" t="s">
        <v>55</v>
      </c>
      <c r="D9" s="6" t="str">
        <f>"郭小燕"</f>
        <v>郭小燕</v>
      </c>
      <c r="E9" s="6" t="str">
        <f t="shared" ref="E9:E19" si="1">"女"</f>
        <v>女</v>
      </c>
      <c r="F9" s="7" t="s">
        <v>61</v>
      </c>
    </row>
    <row r="10" spans="1:6" ht="20.100000000000001" customHeight="1" x14ac:dyDescent="0.15">
      <c r="A10" s="12">
        <v>7</v>
      </c>
      <c r="B10" s="6" t="str">
        <f>"30482021060215392175013"</f>
        <v>30482021060215392175013</v>
      </c>
      <c r="C10" s="6" t="s">
        <v>55</v>
      </c>
      <c r="D10" s="6" t="str">
        <f>"林华艳"</f>
        <v>林华艳</v>
      </c>
      <c r="E10" s="6" t="str">
        <f t="shared" si="1"/>
        <v>女</v>
      </c>
      <c r="F10" s="7" t="s">
        <v>62</v>
      </c>
    </row>
    <row r="11" spans="1:6" ht="20.100000000000001" customHeight="1" x14ac:dyDescent="0.15">
      <c r="A11" s="12">
        <v>8</v>
      </c>
      <c r="B11" s="6" t="str">
        <f>"30482021060216191175437"</f>
        <v>30482021060216191175437</v>
      </c>
      <c r="C11" s="6" t="s">
        <v>55</v>
      </c>
      <c r="D11" s="6" t="str">
        <f>"刘燕女"</f>
        <v>刘燕女</v>
      </c>
      <c r="E11" s="6" t="str">
        <f t="shared" si="1"/>
        <v>女</v>
      </c>
      <c r="F11" s="7" t="s">
        <v>63</v>
      </c>
    </row>
    <row r="12" spans="1:6" ht="20.100000000000001" customHeight="1" x14ac:dyDescent="0.15">
      <c r="A12" s="12">
        <v>9</v>
      </c>
      <c r="B12" s="6" t="str">
        <f>"30482021060217453376223"</f>
        <v>30482021060217453376223</v>
      </c>
      <c r="C12" s="6" t="s">
        <v>55</v>
      </c>
      <c r="D12" s="6" t="str">
        <f>"邢芳"</f>
        <v>邢芳</v>
      </c>
      <c r="E12" s="6" t="str">
        <f t="shared" si="1"/>
        <v>女</v>
      </c>
      <c r="F12" s="7" t="s">
        <v>64</v>
      </c>
    </row>
    <row r="13" spans="1:6" ht="20.100000000000001" customHeight="1" x14ac:dyDescent="0.15">
      <c r="A13" s="12">
        <v>10</v>
      </c>
      <c r="B13" s="6" t="str">
        <f>"30482021060218211976478"</f>
        <v>30482021060218211976478</v>
      </c>
      <c r="C13" s="6" t="s">
        <v>55</v>
      </c>
      <c r="D13" s="6" t="str">
        <f>"黄霞"</f>
        <v>黄霞</v>
      </c>
      <c r="E13" s="6" t="str">
        <f t="shared" si="1"/>
        <v>女</v>
      </c>
      <c r="F13" s="7" t="s">
        <v>65</v>
      </c>
    </row>
    <row r="14" spans="1:6" ht="20.100000000000001" customHeight="1" x14ac:dyDescent="0.15">
      <c r="A14" s="12">
        <v>11</v>
      </c>
      <c r="B14" s="6" t="str">
        <f>"30482021060219151976835"</f>
        <v>30482021060219151976835</v>
      </c>
      <c r="C14" s="6" t="s">
        <v>55</v>
      </c>
      <c r="D14" s="6" t="str">
        <f>"余妙云"</f>
        <v>余妙云</v>
      </c>
      <c r="E14" s="6" t="str">
        <f t="shared" si="1"/>
        <v>女</v>
      </c>
      <c r="F14" s="7" t="s">
        <v>66</v>
      </c>
    </row>
    <row r="15" spans="1:6" ht="20.100000000000001" customHeight="1" x14ac:dyDescent="0.15">
      <c r="A15" s="12">
        <v>12</v>
      </c>
      <c r="B15" s="6" t="str">
        <f>"30482021060220193977345"</f>
        <v>30482021060220193977345</v>
      </c>
      <c r="C15" s="6" t="s">
        <v>55</v>
      </c>
      <c r="D15" s="6" t="str">
        <f>"孙小花"</f>
        <v>孙小花</v>
      </c>
      <c r="E15" s="6" t="str">
        <f t="shared" si="1"/>
        <v>女</v>
      </c>
      <c r="F15" s="7" t="s">
        <v>67</v>
      </c>
    </row>
    <row r="16" spans="1:6" ht="20.100000000000001" customHeight="1" x14ac:dyDescent="0.15">
      <c r="A16" s="12">
        <v>13</v>
      </c>
      <c r="B16" s="6" t="str">
        <f>"30482021060306442479165"</f>
        <v>30482021060306442479165</v>
      </c>
      <c r="C16" s="6" t="s">
        <v>55</v>
      </c>
      <c r="D16" s="6" t="str">
        <f>"宝丽敏"</f>
        <v>宝丽敏</v>
      </c>
      <c r="E16" s="6" t="str">
        <f t="shared" si="1"/>
        <v>女</v>
      </c>
      <c r="F16" s="7" t="s">
        <v>68</v>
      </c>
    </row>
    <row r="17" spans="1:6" ht="20.100000000000001" customHeight="1" x14ac:dyDescent="0.15">
      <c r="A17" s="12">
        <v>14</v>
      </c>
      <c r="B17" s="6" t="str">
        <f>"30482021060317331085939"</f>
        <v>30482021060317331085939</v>
      </c>
      <c r="C17" s="6" t="s">
        <v>55</v>
      </c>
      <c r="D17" s="6" t="str">
        <f>"邹丹丹"</f>
        <v>邹丹丹</v>
      </c>
      <c r="E17" s="6" t="str">
        <f t="shared" si="1"/>
        <v>女</v>
      </c>
      <c r="F17" s="7" t="s">
        <v>69</v>
      </c>
    </row>
    <row r="18" spans="1:6" ht="20.100000000000001" customHeight="1" x14ac:dyDescent="0.15">
      <c r="A18" s="12">
        <v>15</v>
      </c>
      <c r="B18" s="6" t="str">
        <f>"30482021060320214987458"</f>
        <v>30482021060320214987458</v>
      </c>
      <c r="C18" s="6" t="s">
        <v>55</v>
      </c>
      <c r="D18" s="6" t="str">
        <f>"卜雪薇"</f>
        <v>卜雪薇</v>
      </c>
      <c r="E18" s="6" t="str">
        <f t="shared" si="1"/>
        <v>女</v>
      </c>
      <c r="F18" s="7" t="s">
        <v>70</v>
      </c>
    </row>
    <row r="19" spans="1:6" ht="20.100000000000001" customHeight="1" x14ac:dyDescent="0.15">
      <c r="A19" s="12">
        <v>16</v>
      </c>
      <c r="B19" s="6" t="str">
        <f>"30482021060322512689150"</f>
        <v>30482021060322512689150</v>
      </c>
      <c r="C19" s="6" t="s">
        <v>55</v>
      </c>
      <c r="D19" s="6" t="str">
        <f>"祝娇艳"</f>
        <v>祝娇艳</v>
      </c>
      <c r="E19" s="6" t="str">
        <f t="shared" si="1"/>
        <v>女</v>
      </c>
      <c r="F19" s="7" t="s">
        <v>71</v>
      </c>
    </row>
    <row r="20" spans="1:6" ht="20.100000000000001" customHeight="1" x14ac:dyDescent="0.15">
      <c r="A20" s="12">
        <v>17</v>
      </c>
      <c r="B20" s="6" t="str">
        <f>"30482021060419203599169"</f>
        <v>30482021060419203599169</v>
      </c>
      <c r="C20" s="6" t="s">
        <v>55</v>
      </c>
      <c r="D20" s="6" t="str">
        <f>"陈建元"</f>
        <v>陈建元</v>
      </c>
      <c r="E20" s="6" t="str">
        <f>"男"</f>
        <v>男</v>
      </c>
      <c r="F20" s="7" t="s">
        <v>72</v>
      </c>
    </row>
    <row r="21" spans="1:6" ht="20.100000000000001" customHeight="1" x14ac:dyDescent="0.15">
      <c r="A21" s="12">
        <v>18</v>
      </c>
      <c r="B21" s="6" t="str">
        <f>"304820210606071811102667"</f>
        <v>304820210606071811102667</v>
      </c>
      <c r="C21" s="6" t="s">
        <v>55</v>
      </c>
      <c r="D21" s="6" t="str">
        <f>"郑燕妗"</f>
        <v>郑燕妗</v>
      </c>
      <c r="E21" s="6" t="str">
        <f t="shared" ref="E21:E23" si="2">"女"</f>
        <v>女</v>
      </c>
      <c r="F21" s="7" t="s">
        <v>73</v>
      </c>
    </row>
    <row r="22" spans="1:6" ht="20.100000000000001" customHeight="1" x14ac:dyDescent="0.15">
      <c r="A22" s="12">
        <v>19</v>
      </c>
      <c r="B22" s="6" t="str">
        <f>"304820210607001130105235"</f>
        <v>304820210607001130105235</v>
      </c>
      <c r="C22" s="6" t="s">
        <v>55</v>
      </c>
      <c r="D22" s="6" t="str">
        <f>"郭美慧"</f>
        <v>郭美慧</v>
      </c>
      <c r="E22" s="6" t="str">
        <f t="shared" si="2"/>
        <v>女</v>
      </c>
      <c r="F22" s="7" t="s">
        <v>74</v>
      </c>
    </row>
    <row r="23" spans="1:6" ht="20.100000000000001" customHeight="1" x14ac:dyDescent="0.15">
      <c r="A23" s="12">
        <v>20</v>
      </c>
      <c r="B23" s="6" t="str">
        <f>"304820210607112637106374"</f>
        <v>304820210607112637106374</v>
      </c>
      <c r="C23" s="6" t="s">
        <v>55</v>
      </c>
      <c r="D23" s="6" t="str">
        <f>"姚榕芳"</f>
        <v>姚榕芳</v>
      </c>
      <c r="E23" s="6" t="str">
        <f t="shared" si="2"/>
        <v>女</v>
      </c>
      <c r="F23" s="7" t="s">
        <v>75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8" sqref="I8"/>
    </sheetView>
  </sheetViews>
  <sheetFormatPr defaultColWidth="9" defaultRowHeight="20.100000000000001" customHeight="1" x14ac:dyDescent="0.15"/>
  <cols>
    <col min="1" max="1" width="6.125" style="1" customWidth="1"/>
    <col min="2" max="2" width="24.625" style="1" customWidth="1"/>
    <col min="3" max="3" width="14.125" style="1" customWidth="1"/>
    <col min="4" max="4" width="10.375" style="1" customWidth="1"/>
    <col min="5" max="5" width="8" style="1" customWidth="1"/>
    <col min="6" max="6" width="15.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"30482021060117474066204"</f>
        <v>30482021060117474066204</v>
      </c>
      <c r="C4" s="6" t="s">
        <v>935</v>
      </c>
      <c r="D4" s="6" t="str">
        <f>"郑君如"</f>
        <v>郑君如</v>
      </c>
      <c r="E4" s="6" t="str">
        <f t="shared" ref="E4:E12" si="0">"女"</f>
        <v>女</v>
      </c>
      <c r="F4" s="7" t="s">
        <v>25</v>
      </c>
    </row>
    <row r="5" spans="1:6" ht="20.100000000000001" customHeight="1" x14ac:dyDescent="0.15">
      <c r="A5" s="5">
        <v>2</v>
      </c>
      <c r="B5" s="6" t="str">
        <f>"30482021060119291767016"</f>
        <v>30482021060119291767016</v>
      </c>
      <c r="C5" s="6" t="s">
        <v>935</v>
      </c>
      <c r="D5" s="6" t="str">
        <f>"李明益"</f>
        <v>李明益</v>
      </c>
      <c r="E5" s="6" t="str">
        <f>"男"</f>
        <v>男</v>
      </c>
      <c r="F5" s="7" t="s">
        <v>936</v>
      </c>
    </row>
    <row r="6" spans="1:6" ht="20.100000000000001" customHeight="1" x14ac:dyDescent="0.15">
      <c r="A6" s="5">
        <v>3</v>
      </c>
      <c r="B6" s="6" t="str">
        <f>"30482021060119353767065"</f>
        <v>30482021060119353767065</v>
      </c>
      <c r="C6" s="6" t="s">
        <v>935</v>
      </c>
      <c r="D6" s="6" t="str">
        <f>"许嫚虹"</f>
        <v>许嫚虹</v>
      </c>
      <c r="E6" s="6" t="str">
        <f t="shared" si="0"/>
        <v>女</v>
      </c>
      <c r="F6" s="7" t="s">
        <v>326</v>
      </c>
    </row>
    <row r="7" spans="1:6" ht="20.100000000000001" customHeight="1" x14ac:dyDescent="0.15">
      <c r="A7" s="5">
        <v>4</v>
      </c>
      <c r="B7" s="6" t="str">
        <f>"30482021060121271768660"</f>
        <v>30482021060121271768660</v>
      </c>
      <c r="C7" s="6" t="s">
        <v>935</v>
      </c>
      <c r="D7" s="6" t="str">
        <f>"陈宥汕"</f>
        <v>陈宥汕</v>
      </c>
      <c r="E7" s="6" t="str">
        <f t="shared" si="0"/>
        <v>女</v>
      </c>
      <c r="F7" s="7" t="s">
        <v>131</v>
      </c>
    </row>
    <row r="8" spans="1:6" ht="20.100000000000001" customHeight="1" x14ac:dyDescent="0.15">
      <c r="A8" s="5">
        <v>5</v>
      </c>
      <c r="B8" s="6" t="str">
        <f>"30482021060210573672640"</f>
        <v>30482021060210573672640</v>
      </c>
      <c r="C8" s="6" t="s">
        <v>935</v>
      </c>
      <c r="D8" s="6" t="str">
        <f>"吴挺丽"</f>
        <v>吴挺丽</v>
      </c>
      <c r="E8" s="6" t="str">
        <f t="shared" si="0"/>
        <v>女</v>
      </c>
      <c r="F8" s="7" t="s">
        <v>36</v>
      </c>
    </row>
    <row r="9" spans="1:6" ht="20.100000000000001" customHeight="1" x14ac:dyDescent="0.15">
      <c r="A9" s="5">
        <v>6</v>
      </c>
      <c r="B9" s="6" t="str">
        <f>"30482021060216031875284"</f>
        <v>30482021060216031875284</v>
      </c>
      <c r="C9" s="6" t="s">
        <v>935</v>
      </c>
      <c r="D9" s="6" t="str">
        <f>"梁小叶"</f>
        <v>梁小叶</v>
      </c>
      <c r="E9" s="6" t="str">
        <f t="shared" si="0"/>
        <v>女</v>
      </c>
      <c r="F9" s="7" t="s">
        <v>937</v>
      </c>
    </row>
    <row r="10" spans="1:6" ht="20.100000000000001" customHeight="1" x14ac:dyDescent="0.15">
      <c r="A10" s="5">
        <v>7</v>
      </c>
      <c r="B10" s="6" t="str">
        <f>"30482021060311334782127"</f>
        <v>30482021060311334782127</v>
      </c>
      <c r="C10" s="6" t="s">
        <v>935</v>
      </c>
      <c r="D10" s="6" t="str">
        <f>"温馨"</f>
        <v>温馨</v>
      </c>
      <c r="E10" s="6" t="str">
        <f t="shared" si="0"/>
        <v>女</v>
      </c>
      <c r="F10" s="7" t="s">
        <v>415</v>
      </c>
    </row>
    <row r="11" spans="1:6" ht="20.100000000000001" customHeight="1" x14ac:dyDescent="0.15">
      <c r="A11" s="5">
        <v>8</v>
      </c>
      <c r="B11" s="6" t="str">
        <f>"30482021060417392298062"</f>
        <v>30482021060417392298062</v>
      </c>
      <c r="C11" s="6" t="s">
        <v>935</v>
      </c>
      <c r="D11" s="6" t="str">
        <f>"文海娜"</f>
        <v>文海娜</v>
      </c>
      <c r="E11" s="6" t="str">
        <f t="shared" si="0"/>
        <v>女</v>
      </c>
      <c r="F11" s="7" t="s">
        <v>938</v>
      </c>
    </row>
    <row r="12" spans="1:6" ht="20.100000000000001" customHeight="1" x14ac:dyDescent="0.15">
      <c r="A12" s="5">
        <v>9</v>
      </c>
      <c r="B12" s="6" t="str">
        <f>"304820210606121946103370"</f>
        <v>304820210606121946103370</v>
      </c>
      <c r="C12" s="6" t="s">
        <v>935</v>
      </c>
      <c r="D12" s="6" t="str">
        <f>"陈春蕊"</f>
        <v>陈春蕊</v>
      </c>
      <c r="E12" s="6" t="str">
        <f t="shared" si="0"/>
        <v>女</v>
      </c>
      <c r="F12" s="7" t="s">
        <v>259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375" style="1" customWidth="1"/>
    <col min="2" max="2" width="24.625" style="1" customWidth="1"/>
    <col min="3" max="3" width="14.125" style="1" customWidth="1"/>
    <col min="4" max="4" width="10.5" style="1" customWidth="1"/>
    <col min="5" max="5" width="8" style="1" customWidth="1"/>
    <col min="6" max="6" width="14.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"30482021060114363663817"</f>
        <v>30482021060114363663817</v>
      </c>
      <c r="C4" s="6" t="s">
        <v>939</v>
      </c>
      <c r="D4" s="6" t="str">
        <f>"邓海波"</f>
        <v>邓海波</v>
      </c>
      <c r="E4" s="6" t="str">
        <f t="shared" ref="E4:E16" si="0">"女"</f>
        <v>女</v>
      </c>
      <c r="F4" s="7" t="s">
        <v>900</v>
      </c>
    </row>
    <row r="5" spans="1:6" ht="20.100000000000001" customHeight="1" x14ac:dyDescent="0.15">
      <c r="A5" s="5">
        <v>2</v>
      </c>
      <c r="B5" s="6" t="str">
        <f>"30482021060114370063823"</f>
        <v>30482021060114370063823</v>
      </c>
      <c r="C5" s="6" t="s">
        <v>939</v>
      </c>
      <c r="D5" s="6" t="str">
        <f>"林春燕"</f>
        <v>林春燕</v>
      </c>
      <c r="E5" s="6" t="str">
        <f t="shared" si="0"/>
        <v>女</v>
      </c>
      <c r="F5" s="7" t="s">
        <v>940</v>
      </c>
    </row>
    <row r="6" spans="1:6" ht="20.100000000000001" customHeight="1" x14ac:dyDescent="0.15">
      <c r="A6" s="5">
        <v>3</v>
      </c>
      <c r="B6" s="6" t="str">
        <f>"30482021060115221764420"</f>
        <v>30482021060115221764420</v>
      </c>
      <c r="C6" s="6" t="s">
        <v>939</v>
      </c>
      <c r="D6" s="6" t="str">
        <f>"黄庆民"</f>
        <v>黄庆民</v>
      </c>
      <c r="E6" s="6" t="str">
        <f>"男"</f>
        <v>男</v>
      </c>
      <c r="F6" s="7" t="s">
        <v>394</v>
      </c>
    </row>
    <row r="7" spans="1:6" ht="20.100000000000001" customHeight="1" x14ac:dyDescent="0.15">
      <c r="A7" s="5">
        <v>4</v>
      </c>
      <c r="B7" s="6" t="str">
        <f>"30482021060115411264655"</f>
        <v>30482021060115411264655</v>
      </c>
      <c r="C7" s="6" t="s">
        <v>939</v>
      </c>
      <c r="D7" s="6" t="str">
        <f>"杨俊芳"</f>
        <v>杨俊芳</v>
      </c>
      <c r="E7" s="6" t="str">
        <f t="shared" si="0"/>
        <v>女</v>
      </c>
      <c r="F7" s="7" t="s">
        <v>941</v>
      </c>
    </row>
    <row r="8" spans="1:6" ht="20.100000000000001" customHeight="1" x14ac:dyDescent="0.15">
      <c r="A8" s="5">
        <v>5</v>
      </c>
      <c r="B8" s="6" t="str">
        <f>"30482021060116032264928"</f>
        <v>30482021060116032264928</v>
      </c>
      <c r="C8" s="6" t="s">
        <v>939</v>
      </c>
      <c r="D8" s="6" t="str">
        <f>"周雪晶"</f>
        <v>周雪晶</v>
      </c>
      <c r="E8" s="6" t="str">
        <f t="shared" si="0"/>
        <v>女</v>
      </c>
      <c r="F8" s="7" t="s">
        <v>37</v>
      </c>
    </row>
    <row r="9" spans="1:6" ht="20.100000000000001" customHeight="1" x14ac:dyDescent="0.15">
      <c r="A9" s="5">
        <v>6</v>
      </c>
      <c r="B9" s="6" t="str">
        <f>"30482021060116040264934"</f>
        <v>30482021060116040264934</v>
      </c>
      <c r="C9" s="6" t="s">
        <v>939</v>
      </c>
      <c r="D9" s="6" t="str">
        <f>"王惠"</f>
        <v>王惠</v>
      </c>
      <c r="E9" s="6" t="str">
        <f t="shared" si="0"/>
        <v>女</v>
      </c>
      <c r="F9" s="7" t="s">
        <v>942</v>
      </c>
    </row>
    <row r="10" spans="1:6" ht="20.100000000000001" customHeight="1" x14ac:dyDescent="0.15">
      <c r="A10" s="5">
        <v>7</v>
      </c>
      <c r="B10" s="6" t="str">
        <f>"30482021060116041164939"</f>
        <v>30482021060116041164939</v>
      </c>
      <c r="C10" s="6" t="s">
        <v>939</v>
      </c>
      <c r="D10" s="6" t="str">
        <f>"庄华曼"</f>
        <v>庄华曼</v>
      </c>
      <c r="E10" s="6" t="str">
        <f t="shared" si="0"/>
        <v>女</v>
      </c>
      <c r="F10" s="7" t="s">
        <v>100</v>
      </c>
    </row>
    <row r="11" spans="1:6" ht="20.100000000000001" customHeight="1" x14ac:dyDescent="0.15">
      <c r="A11" s="5">
        <v>8</v>
      </c>
      <c r="B11" s="6" t="str">
        <f>"30482021060116283365272"</f>
        <v>30482021060116283365272</v>
      </c>
      <c r="C11" s="6" t="s">
        <v>939</v>
      </c>
      <c r="D11" s="6" t="str">
        <f>"吴丽美"</f>
        <v>吴丽美</v>
      </c>
      <c r="E11" s="6" t="str">
        <f t="shared" si="0"/>
        <v>女</v>
      </c>
      <c r="F11" s="7" t="s">
        <v>943</v>
      </c>
    </row>
    <row r="12" spans="1:6" ht="20.100000000000001" customHeight="1" x14ac:dyDescent="0.15">
      <c r="A12" s="5">
        <v>9</v>
      </c>
      <c r="B12" s="6" t="str">
        <f>"30482021060116325965333"</f>
        <v>30482021060116325965333</v>
      </c>
      <c r="C12" s="6" t="s">
        <v>939</v>
      </c>
      <c r="D12" s="6" t="str">
        <f>"陈益丽"</f>
        <v>陈益丽</v>
      </c>
      <c r="E12" s="6" t="str">
        <f t="shared" si="0"/>
        <v>女</v>
      </c>
      <c r="F12" s="7" t="s">
        <v>436</v>
      </c>
    </row>
    <row r="13" spans="1:6" ht="20.100000000000001" customHeight="1" x14ac:dyDescent="0.15">
      <c r="A13" s="5">
        <v>10</v>
      </c>
      <c r="B13" s="6" t="str">
        <f>"30482021060116514565582"</f>
        <v>30482021060116514565582</v>
      </c>
      <c r="C13" s="6" t="s">
        <v>939</v>
      </c>
      <c r="D13" s="6" t="str">
        <f>"孟巧璞"</f>
        <v>孟巧璞</v>
      </c>
      <c r="E13" s="6" t="str">
        <f t="shared" si="0"/>
        <v>女</v>
      </c>
      <c r="F13" s="7" t="s">
        <v>37</v>
      </c>
    </row>
    <row r="14" spans="1:6" ht="20.100000000000001" customHeight="1" x14ac:dyDescent="0.15">
      <c r="A14" s="5">
        <v>11</v>
      </c>
      <c r="B14" s="6" t="str">
        <f>"30482021060116524865594"</f>
        <v>30482021060116524865594</v>
      </c>
      <c r="C14" s="6" t="s">
        <v>939</v>
      </c>
      <c r="D14" s="6" t="str">
        <f>"吴克姣"</f>
        <v>吴克姣</v>
      </c>
      <c r="E14" s="6" t="str">
        <f t="shared" si="0"/>
        <v>女</v>
      </c>
      <c r="F14" s="7" t="s">
        <v>637</v>
      </c>
    </row>
    <row r="15" spans="1:6" ht="20.100000000000001" customHeight="1" x14ac:dyDescent="0.15">
      <c r="A15" s="5">
        <v>12</v>
      </c>
      <c r="B15" s="6" t="str">
        <f>"30482021060117063865770"</f>
        <v>30482021060117063865770</v>
      </c>
      <c r="C15" s="6" t="s">
        <v>939</v>
      </c>
      <c r="D15" s="6" t="str">
        <f>"周儒"</f>
        <v>周儒</v>
      </c>
      <c r="E15" s="6" t="str">
        <f t="shared" si="0"/>
        <v>女</v>
      </c>
      <c r="F15" s="7" t="s">
        <v>331</v>
      </c>
    </row>
    <row r="16" spans="1:6" ht="20.100000000000001" customHeight="1" x14ac:dyDescent="0.15">
      <c r="A16" s="5">
        <v>13</v>
      </c>
      <c r="B16" s="6" t="str">
        <f>"30482021060117510766242"</f>
        <v>30482021060117510766242</v>
      </c>
      <c r="C16" s="6" t="s">
        <v>939</v>
      </c>
      <c r="D16" s="6" t="str">
        <f>"利声荣"</f>
        <v>利声荣</v>
      </c>
      <c r="E16" s="6" t="str">
        <f t="shared" si="0"/>
        <v>女</v>
      </c>
      <c r="F16" s="7" t="s">
        <v>944</v>
      </c>
    </row>
    <row r="17" spans="1:6" ht="20.100000000000001" customHeight="1" x14ac:dyDescent="0.15">
      <c r="A17" s="5">
        <v>14</v>
      </c>
      <c r="B17" s="6" t="str">
        <f>"30482021060118171066462"</f>
        <v>30482021060118171066462</v>
      </c>
      <c r="C17" s="6" t="s">
        <v>939</v>
      </c>
      <c r="D17" s="6" t="str">
        <f>"张瑞传"</f>
        <v>张瑞传</v>
      </c>
      <c r="E17" s="6" t="str">
        <f t="shared" ref="E17:E22" si="1">"男"</f>
        <v>男</v>
      </c>
      <c r="F17" s="7" t="s">
        <v>945</v>
      </c>
    </row>
    <row r="18" spans="1:6" ht="20.100000000000001" customHeight="1" x14ac:dyDescent="0.15">
      <c r="A18" s="5">
        <v>15</v>
      </c>
      <c r="B18" s="6" t="str">
        <f>"30482021060118424266668"</f>
        <v>30482021060118424266668</v>
      </c>
      <c r="C18" s="6" t="s">
        <v>939</v>
      </c>
      <c r="D18" s="6" t="str">
        <f>"王敏"</f>
        <v>王敏</v>
      </c>
      <c r="E18" s="6" t="str">
        <f t="shared" ref="E18:E21" si="2">"女"</f>
        <v>女</v>
      </c>
      <c r="F18" s="7" t="s">
        <v>946</v>
      </c>
    </row>
    <row r="19" spans="1:6" ht="20.100000000000001" customHeight="1" x14ac:dyDescent="0.15">
      <c r="A19" s="5">
        <v>16</v>
      </c>
      <c r="B19" s="6" t="str">
        <f>"30482021060119412867106"</f>
        <v>30482021060119412867106</v>
      </c>
      <c r="C19" s="6" t="s">
        <v>939</v>
      </c>
      <c r="D19" s="6" t="str">
        <f>"王馨晶"</f>
        <v>王馨晶</v>
      </c>
      <c r="E19" s="6" t="str">
        <f t="shared" si="2"/>
        <v>女</v>
      </c>
      <c r="F19" s="7" t="s">
        <v>433</v>
      </c>
    </row>
    <row r="20" spans="1:6" ht="20.100000000000001" customHeight="1" x14ac:dyDescent="0.15">
      <c r="A20" s="5">
        <v>17</v>
      </c>
      <c r="B20" s="6" t="str">
        <f>"30482021060119592367884"</f>
        <v>30482021060119592367884</v>
      </c>
      <c r="C20" s="6" t="s">
        <v>939</v>
      </c>
      <c r="D20" s="6" t="str">
        <f>"林硕"</f>
        <v>林硕</v>
      </c>
      <c r="E20" s="6" t="str">
        <f t="shared" si="1"/>
        <v>男</v>
      </c>
      <c r="F20" s="7" t="s">
        <v>947</v>
      </c>
    </row>
    <row r="21" spans="1:6" ht="20.100000000000001" customHeight="1" x14ac:dyDescent="0.15">
      <c r="A21" s="5">
        <v>18</v>
      </c>
      <c r="B21" s="6" t="str">
        <f>"30482021060121152368555"</f>
        <v>30482021060121152368555</v>
      </c>
      <c r="C21" s="6" t="s">
        <v>939</v>
      </c>
      <c r="D21" s="6" t="str">
        <f>"刘莉"</f>
        <v>刘莉</v>
      </c>
      <c r="E21" s="6" t="str">
        <f t="shared" si="2"/>
        <v>女</v>
      </c>
      <c r="F21" s="7" t="s">
        <v>948</v>
      </c>
    </row>
    <row r="22" spans="1:6" ht="20.100000000000001" customHeight="1" x14ac:dyDescent="0.15">
      <c r="A22" s="5">
        <v>19</v>
      </c>
      <c r="B22" s="6" t="str">
        <f>"30482021060121460469491"</f>
        <v>30482021060121460469491</v>
      </c>
      <c r="C22" s="6" t="s">
        <v>939</v>
      </c>
      <c r="D22" s="6" t="str">
        <f>"苏高立"</f>
        <v>苏高立</v>
      </c>
      <c r="E22" s="6" t="str">
        <f t="shared" si="1"/>
        <v>男</v>
      </c>
      <c r="F22" s="7" t="s">
        <v>949</v>
      </c>
    </row>
    <row r="23" spans="1:6" ht="20.100000000000001" customHeight="1" x14ac:dyDescent="0.15">
      <c r="A23" s="5">
        <v>20</v>
      </c>
      <c r="B23" s="6" t="str">
        <f>"30482021060121594169613"</f>
        <v>30482021060121594169613</v>
      </c>
      <c r="C23" s="6" t="s">
        <v>939</v>
      </c>
      <c r="D23" s="6" t="str">
        <f>"崔水珠"</f>
        <v>崔水珠</v>
      </c>
      <c r="E23" s="6" t="str">
        <f t="shared" ref="E23:E31" si="3">"女"</f>
        <v>女</v>
      </c>
      <c r="F23" s="7" t="s">
        <v>46</v>
      </c>
    </row>
    <row r="24" spans="1:6" ht="20.100000000000001" customHeight="1" x14ac:dyDescent="0.15">
      <c r="A24" s="5">
        <v>21</v>
      </c>
      <c r="B24" s="6" t="str">
        <f>"30482021060122551970065"</f>
        <v>30482021060122551970065</v>
      </c>
      <c r="C24" s="6" t="s">
        <v>939</v>
      </c>
      <c r="D24" s="6" t="str">
        <f>"黎石带"</f>
        <v>黎石带</v>
      </c>
      <c r="E24" s="6" t="str">
        <f t="shared" si="3"/>
        <v>女</v>
      </c>
      <c r="F24" s="7" t="s">
        <v>644</v>
      </c>
    </row>
    <row r="25" spans="1:6" ht="20.100000000000001" customHeight="1" x14ac:dyDescent="0.15">
      <c r="A25" s="5">
        <v>22</v>
      </c>
      <c r="B25" s="6" t="str">
        <f>"30482021060123251570249"</f>
        <v>30482021060123251570249</v>
      </c>
      <c r="C25" s="6" t="s">
        <v>939</v>
      </c>
      <c r="D25" s="6" t="str">
        <f>"李小丽"</f>
        <v>李小丽</v>
      </c>
      <c r="E25" s="6" t="str">
        <f t="shared" si="3"/>
        <v>女</v>
      </c>
      <c r="F25" s="7" t="s">
        <v>285</v>
      </c>
    </row>
    <row r="26" spans="1:6" ht="20.100000000000001" customHeight="1" x14ac:dyDescent="0.15">
      <c r="A26" s="5">
        <v>23</v>
      </c>
      <c r="B26" s="6" t="str">
        <f>"30482021060207485170651"</f>
        <v>30482021060207485170651</v>
      </c>
      <c r="C26" s="6" t="s">
        <v>939</v>
      </c>
      <c r="D26" s="6" t="str">
        <f>"符桂秋"</f>
        <v>符桂秋</v>
      </c>
      <c r="E26" s="6" t="str">
        <f t="shared" si="3"/>
        <v>女</v>
      </c>
      <c r="F26" s="7" t="s">
        <v>393</v>
      </c>
    </row>
    <row r="27" spans="1:6" ht="20.100000000000001" customHeight="1" x14ac:dyDescent="0.15">
      <c r="A27" s="5">
        <v>24</v>
      </c>
      <c r="B27" s="6" t="str">
        <f>"30482021060207593670667"</f>
        <v>30482021060207593670667</v>
      </c>
      <c r="C27" s="6" t="s">
        <v>939</v>
      </c>
      <c r="D27" s="6" t="str">
        <f>"王潇潇"</f>
        <v>王潇潇</v>
      </c>
      <c r="E27" s="6" t="str">
        <f t="shared" si="3"/>
        <v>女</v>
      </c>
      <c r="F27" s="7" t="s">
        <v>950</v>
      </c>
    </row>
    <row r="28" spans="1:6" ht="20.100000000000001" customHeight="1" x14ac:dyDescent="0.15">
      <c r="A28" s="5">
        <v>25</v>
      </c>
      <c r="B28" s="6" t="str">
        <f>"30482021060208450770972"</f>
        <v>30482021060208450770972</v>
      </c>
      <c r="C28" s="6" t="s">
        <v>939</v>
      </c>
      <c r="D28" s="6" t="str">
        <f>"陈言玲"</f>
        <v>陈言玲</v>
      </c>
      <c r="E28" s="6" t="str">
        <f t="shared" si="3"/>
        <v>女</v>
      </c>
      <c r="F28" s="7" t="s">
        <v>951</v>
      </c>
    </row>
    <row r="29" spans="1:6" ht="20.100000000000001" customHeight="1" x14ac:dyDescent="0.15">
      <c r="A29" s="5">
        <v>26</v>
      </c>
      <c r="B29" s="6" t="str">
        <f>"30482021060209041971159"</f>
        <v>30482021060209041971159</v>
      </c>
      <c r="C29" s="6" t="s">
        <v>939</v>
      </c>
      <c r="D29" s="6" t="str">
        <f>"李凤永"</f>
        <v>李凤永</v>
      </c>
      <c r="E29" s="6" t="str">
        <f t="shared" si="3"/>
        <v>女</v>
      </c>
      <c r="F29" s="7" t="s">
        <v>158</v>
      </c>
    </row>
    <row r="30" spans="1:6" ht="20.100000000000001" customHeight="1" x14ac:dyDescent="0.15">
      <c r="A30" s="5">
        <v>27</v>
      </c>
      <c r="B30" s="6" t="str">
        <f>"30482021060209093271231"</f>
        <v>30482021060209093271231</v>
      </c>
      <c r="C30" s="6" t="s">
        <v>939</v>
      </c>
      <c r="D30" s="6" t="str">
        <f>"蔡婵娟"</f>
        <v>蔡婵娟</v>
      </c>
      <c r="E30" s="6" t="str">
        <f t="shared" si="3"/>
        <v>女</v>
      </c>
      <c r="F30" s="7" t="s">
        <v>428</v>
      </c>
    </row>
    <row r="31" spans="1:6" ht="20.100000000000001" customHeight="1" x14ac:dyDescent="0.15">
      <c r="A31" s="5">
        <v>28</v>
      </c>
      <c r="B31" s="6" t="str">
        <f>"30482021060210193172120"</f>
        <v>30482021060210193172120</v>
      </c>
      <c r="C31" s="6" t="s">
        <v>939</v>
      </c>
      <c r="D31" s="6" t="str">
        <f>"黄灵敏"</f>
        <v>黄灵敏</v>
      </c>
      <c r="E31" s="6" t="str">
        <f t="shared" si="3"/>
        <v>女</v>
      </c>
      <c r="F31" s="7" t="s">
        <v>165</v>
      </c>
    </row>
    <row r="32" spans="1:6" ht="20.100000000000001" customHeight="1" x14ac:dyDescent="0.15">
      <c r="A32" s="5">
        <v>29</v>
      </c>
      <c r="B32" s="6" t="str">
        <f>"30482021060210421972433"</f>
        <v>30482021060210421972433</v>
      </c>
      <c r="C32" s="6" t="s">
        <v>939</v>
      </c>
      <c r="D32" s="6" t="str">
        <f>"梁建军"</f>
        <v>梁建军</v>
      </c>
      <c r="E32" s="6" t="str">
        <f>"男"</f>
        <v>男</v>
      </c>
      <c r="F32" s="7" t="s">
        <v>952</v>
      </c>
    </row>
    <row r="33" spans="1:6" ht="20.100000000000001" customHeight="1" x14ac:dyDescent="0.15">
      <c r="A33" s="5">
        <v>30</v>
      </c>
      <c r="B33" s="6" t="str">
        <f>"30482021060210565472630"</f>
        <v>30482021060210565472630</v>
      </c>
      <c r="C33" s="6" t="s">
        <v>939</v>
      </c>
      <c r="D33" s="6" t="str">
        <f>"蔡雨昕"</f>
        <v>蔡雨昕</v>
      </c>
      <c r="E33" s="6" t="str">
        <f t="shared" ref="E33:E35" si="4">"女"</f>
        <v>女</v>
      </c>
      <c r="F33" s="7" t="s">
        <v>48</v>
      </c>
    </row>
    <row r="34" spans="1:6" ht="20.100000000000001" customHeight="1" x14ac:dyDescent="0.15">
      <c r="A34" s="5">
        <v>31</v>
      </c>
      <c r="B34" s="6" t="str">
        <f>"30482021060211212872925"</f>
        <v>30482021060211212872925</v>
      </c>
      <c r="C34" s="6" t="s">
        <v>939</v>
      </c>
      <c r="D34" s="6" t="str">
        <f>"林丽芳"</f>
        <v>林丽芳</v>
      </c>
      <c r="E34" s="6" t="str">
        <f t="shared" si="4"/>
        <v>女</v>
      </c>
      <c r="F34" s="7" t="s">
        <v>791</v>
      </c>
    </row>
    <row r="35" spans="1:6" ht="20.100000000000001" customHeight="1" x14ac:dyDescent="0.15">
      <c r="A35" s="5">
        <v>32</v>
      </c>
      <c r="B35" s="6" t="str">
        <f>"30482021060212261473477"</f>
        <v>30482021060212261473477</v>
      </c>
      <c r="C35" s="6" t="s">
        <v>939</v>
      </c>
      <c r="D35" s="6" t="str">
        <f>"王俊闲"</f>
        <v>王俊闲</v>
      </c>
      <c r="E35" s="6" t="str">
        <f t="shared" si="4"/>
        <v>女</v>
      </c>
      <c r="F35" s="7" t="s">
        <v>953</v>
      </c>
    </row>
    <row r="36" spans="1:6" ht="20.100000000000001" customHeight="1" x14ac:dyDescent="0.15">
      <c r="A36" s="5">
        <v>33</v>
      </c>
      <c r="B36" s="6" t="str">
        <f>"30482021060212371273594"</f>
        <v>30482021060212371273594</v>
      </c>
      <c r="C36" s="6" t="s">
        <v>939</v>
      </c>
      <c r="D36" s="6" t="str">
        <f>"陈晓峰"</f>
        <v>陈晓峰</v>
      </c>
      <c r="E36" s="6" t="str">
        <f>"男"</f>
        <v>男</v>
      </c>
      <c r="F36" s="7" t="s">
        <v>954</v>
      </c>
    </row>
    <row r="37" spans="1:6" ht="20.100000000000001" customHeight="1" x14ac:dyDescent="0.15">
      <c r="A37" s="5">
        <v>34</v>
      </c>
      <c r="B37" s="6" t="str">
        <f>"30482021060213071673837"</f>
        <v>30482021060213071673837</v>
      </c>
      <c r="C37" s="6" t="s">
        <v>939</v>
      </c>
      <c r="D37" s="6" t="str">
        <f>"吴和月"</f>
        <v>吴和月</v>
      </c>
      <c r="E37" s="6" t="str">
        <f t="shared" ref="E37:E41" si="5">"女"</f>
        <v>女</v>
      </c>
      <c r="F37" s="7" t="s">
        <v>955</v>
      </c>
    </row>
    <row r="38" spans="1:6" ht="20.100000000000001" customHeight="1" x14ac:dyDescent="0.15">
      <c r="A38" s="5">
        <v>35</v>
      </c>
      <c r="B38" s="6" t="str">
        <f>"30482021060214571574553"</f>
        <v>30482021060214571574553</v>
      </c>
      <c r="C38" s="6" t="s">
        <v>939</v>
      </c>
      <c r="D38" s="6" t="str">
        <f>"王执珍"</f>
        <v>王执珍</v>
      </c>
      <c r="E38" s="6" t="str">
        <f t="shared" si="5"/>
        <v>女</v>
      </c>
      <c r="F38" s="7" t="s">
        <v>956</v>
      </c>
    </row>
    <row r="39" spans="1:6" ht="20.100000000000001" customHeight="1" x14ac:dyDescent="0.15">
      <c r="A39" s="5">
        <v>36</v>
      </c>
      <c r="B39" s="6" t="str">
        <f>"30482021060216004275254"</f>
        <v>30482021060216004275254</v>
      </c>
      <c r="C39" s="6" t="s">
        <v>939</v>
      </c>
      <c r="D39" s="6" t="str">
        <f>"陈翠红"</f>
        <v>陈翠红</v>
      </c>
      <c r="E39" s="6" t="str">
        <f t="shared" si="5"/>
        <v>女</v>
      </c>
      <c r="F39" s="7" t="s">
        <v>526</v>
      </c>
    </row>
    <row r="40" spans="1:6" ht="20.100000000000001" customHeight="1" x14ac:dyDescent="0.15">
      <c r="A40" s="5">
        <v>37</v>
      </c>
      <c r="B40" s="6" t="str">
        <f>"30482021060216132875382"</f>
        <v>30482021060216132875382</v>
      </c>
      <c r="C40" s="6" t="s">
        <v>939</v>
      </c>
      <c r="D40" s="6" t="str">
        <f>"李小霜"</f>
        <v>李小霜</v>
      </c>
      <c r="E40" s="6" t="str">
        <f t="shared" si="5"/>
        <v>女</v>
      </c>
      <c r="F40" s="7" t="s">
        <v>957</v>
      </c>
    </row>
    <row r="41" spans="1:6" ht="20.100000000000001" customHeight="1" x14ac:dyDescent="0.15">
      <c r="A41" s="5">
        <v>38</v>
      </c>
      <c r="B41" s="6" t="str">
        <f>"30482021060216583775802"</f>
        <v>30482021060216583775802</v>
      </c>
      <c r="C41" s="6" t="s">
        <v>939</v>
      </c>
      <c r="D41" s="6" t="str">
        <f>"吴春妮"</f>
        <v>吴春妮</v>
      </c>
      <c r="E41" s="6" t="str">
        <f t="shared" si="5"/>
        <v>女</v>
      </c>
      <c r="F41" s="7" t="s">
        <v>958</v>
      </c>
    </row>
    <row r="42" spans="1:6" ht="20.100000000000001" customHeight="1" x14ac:dyDescent="0.15">
      <c r="A42" s="5">
        <v>39</v>
      </c>
      <c r="B42" s="6" t="str">
        <f>"30482021060217054575870"</f>
        <v>30482021060217054575870</v>
      </c>
      <c r="C42" s="6" t="s">
        <v>939</v>
      </c>
      <c r="D42" s="6" t="str">
        <f>"陈荣善"</f>
        <v>陈荣善</v>
      </c>
      <c r="E42" s="6" t="str">
        <f t="shared" ref="E42:E46" si="6">"男"</f>
        <v>男</v>
      </c>
      <c r="F42" s="7" t="s">
        <v>959</v>
      </c>
    </row>
    <row r="43" spans="1:6" ht="20.100000000000001" customHeight="1" x14ac:dyDescent="0.15">
      <c r="A43" s="5">
        <v>40</v>
      </c>
      <c r="B43" s="6" t="str">
        <f>"30482021060217390476171"</f>
        <v>30482021060217390476171</v>
      </c>
      <c r="C43" s="6" t="s">
        <v>939</v>
      </c>
      <c r="D43" s="6" t="str">
        <f>"吴锦亮"</f>
        <v>吴锦亮</v>
      </c>
      <c r="E43" s="6" t="str">
        <f t="shared" si="6"/>
        <v>男</v>
      </c>
      <c r="F43" s="7" t="s">
        <v>803</v>
      </c>
    </row>
    <row r="44" spans="1:6" ht="20.100000000000001" customHeight="1" x14ac:dyDescent="0.15">
      <c r="A44" s="5">
        <v>41</v>
      </c>
      <c r="B44" s="6" t="str">
        <f>"30482021060217503476258"</f>
        <v>30482021060217503476258</v>
      </c>
      <c r="C44" s="6" t="s">
        <v>939</v>
      </c>
      <c r="D44" s="6" t="str">
        <f>"梁春燕"</f>
        <v>梁春燕</v>
      </c>
      <c r="E44" s="6" t="str">
        <f t="shared" ref="E44:E59" si="7">"女"</f>
        <v>女</v>
      </c>
      <c r="F44" s="7" t="s">
        <v>960</v>
      </c>
    </row>
    <row r="45" spans="1:6" ht="20.100000000000001" customHeight="1" x14ac:dyDescent="0.15">
      <c r="A45" s="5">
        <v>42</v>
      </c>
      <c r="B45" s="6" t="str">
        <f>"30482021060219212676875"</f>
        <v>30482021060219212676875</v>
      </c>
      <c r="C45" s="6" t="s">
        <v>939</v>
      </c>
      <c r="D45" s="6" t="str">
        <f>"林妮妮"</f>
        <v>林妮妮</v>
      </c>
      <c r="E45" s="6" t="str">
        <f t="shared" si="7"/>
        <v>女</v>
      </c>
      <c r="F45" s="7" t="s">
        <v>474</v>
      </c>
    </row>
    <row r="46" spans="1:6" ht="20.100000000000001" customHeight="1" x14ac:dyDescent="0.15">
      <c r="A46" s="5">
        <v>43</v>
      </c>
      <c r="B46" s="6" t="str">
        <f>"30482021060221530478119"</f>
        <v>30482021060221530478119</v>
      </c>
      <c r="C46" s="6" t="s">
        <v>939</v>
      </c>
      <c r="D46" s="6" t="str">
        <f>"黎启亮"</f>
        <v>黎启亮</v>
      </c>
      <c r="E46" s="6" t="str">
        <f t="shared" si="6"/>
        <v>男</v>
      </c>
      <c r="F46" s="7" t="s">
        <v>961</v>
      </c>
    </row>
    <row r="47" spans="1:6" ht="20.100000000000001" customHeight="1" x14ac:dyDescent="0.15">
      <c r="A47" s="5">
        <v>44</v>
      </c>
      <c r="B47" s="6" t="str">
        <f>"30482021060222543878607"</f>
        <v>30482021060222543878607</v>
      </c>
      <c r="C47" s="6" t="s">
        <v>939</v>
      </c>
      <c r="D47" s="6" t="str">
        <f>"薛莉"</f>
        <v>薛莉</v>
      </c>
      <c r="E47" s="6" t="str">
        <f t="shared" si="7"/>
        <v>女</v>
      </c>
      <c r="F47" s="7" t="s">
        <v>94</v>
      </c>
    </row>
    <row r="48" spans="1:6" ht="20.100000000000001" customHeight="1" x14ac:dyDescent="0.15">
      <c r="A48" s="5">
        <v>45</v>
      </c>
      <c r="B48" s="6" t="str">
        <f>"30482021060223040278677"</f>
        <v>30482021060223040278677</v>
      </c>
      <c r="C48" s="6" t="s">
        <v>939</v>
      </c>
      <c r="D48" s="6" t="str">
        <f>"陈品佳"</f>
        <v>陈品佳</v>
      </c>
      <c r="E48" s="6" t="str">
        <f t="shared" si="7"/>
        <v>女</v>
      </c>
      <c r="F48" s="7" t="s">
        <v>962</v>
      </c>
    </row>
    <row r="49" spans="1:6" ht="20.100000000000001" customHeight="1" x14ac:dyDescent="0.15">
      <c r="A49" s="5">
        <v>46</v>
      </c>
      <c r="B49" s="6" t="str">
        <f>"30482021060308510379670"</f>
        <v>30482021060308510379670</v>
      </c>
      <c r="C49" s="6" t="s">
        <v>939</v>
      </c>
      <c r="D49" s="6" t="str">
        <f>"韦盛"</f>
        <v>韦盛</v>
      </c>
      <c r="E49" s="6" t="str">
        <f t="shared" si="7"/>
        <v>女</v>
      </c>
      <c r="F49" s="7" t="s">
        <v>77</v>
      </c>
    </row>
    <row r="50" spans="1:6" ht="20.100000000000001" customHeight="1" x14ac:dyDescent="0.15">
      <c r="A50" s="5">
        <v>47</v>
      </c>
      <c r="B50" s="6" t="str">
        <f>"30482021060310144980931"</f>
        <v>30482021060310144980931</v>
      </c>
      <c r="C50" s="6" t="s">
        <v>939</v>
      </c>
      <c r="D50" s="6" t="str">
        <f>"欧春南"</f>
        <v>欧春南</v>
      </c>
      <c r="E50" s="6" t="str">
        <f t="shared" si="7"/>
        <v>女</v>
      </c>
      <c r="F50" s="7" t="s">
        <v>963</v>
      </c>
    </row>
    <row r="51" spans="1:6" ht="20.100000000000001" customHeight="1" x14ac:dyDescent="0.15">
      <c r="A51" s="5">
        <v>48</v>
      </c>
      <c r="B51" s="6" t="str">
        <f>"30482021060312255582674"</f>
        <v>30482021060312255582674</v>
      </c>
      <c r="C51" s="6" t="s">
        <v>939</v>
      </c>
      <c r="D51" s="6" t="str">
        <f>"周薇"</f>
        <v>周薇</v>
      </c>
      <c r="E51" s="6" t="str">
        <f t="shared" si="7"/>
        <v>女</v>
      </c>
      <c r="F51" s="7" t="s">
        <v>964</v>
      </c>
    </row>
    <row r="52" spans="1:6" ht="20.100000000000001" customHeight="1" x14ac:dyDescent="0.15">
      <c r="A52" s="5">
        <v>49</v>
      </c>
      <c r="B52" s="6" t="str">
        <f>"30482021060313305183286"</f>
        <v>30482021060313305183286</v>
      </c>
      <c r="C52" s="6" t="s">
        <v>939</v>
      </c>
      <c r="D52" s="6" t="str">
        <f>"林娟"</f>
        <v>林娟</v>
      </c>
      <c r="E52" s="6" t="str">
        <f t="shared" si="7"/>
        <v>女</v>
      </c>
      <c r="F52" s="7" t="s">
        <v>965</v>
      </c>
    </row>
    <row r="53" spans="1:6" ht="20.100000000000001" customHeight="1" x14ac:dyDescent="0.15">
      <c r="A53" s="5">
        <v>50</v>
      </c>
      <c r="B53" s="6" t="str">
        <f>"30482021060315043584110"</f>
        <v>30482021060315043584110</v>
      </c>
      <c r="C53" s="6" t="s">
        <v>939</v>
      </c>
      <c r="D53" s="6" t="str">
        <f>"吴丽娟"</f>
        <v>吴丽娟</v>
      </c>
      <c r="E53" s="6" t="str">
        <f t="shared" si="7"/>
        <v>女</v>
      </c>
      <c r="F53" s="7" t="s">
        <v>638</v>
      </c>
    </row>
    <row r="54" spans="1:6" ht="20.100000000000001" customHeight="1" x14ac:dyDescent="0.15">
      <c r="A54" s="5">
        <v>51</v>
      </c>
      <c r="B54" s="6" t="str">
        <f>"30482021060317391086001"</f>
        <v>30482021060317391086001</v>
      </c>
      <c r="C54" s="6" t="s">
        <v>939</v>
      </c>
      <c r="D54" s="6" t="str">
        <f>"刘扬扬"</f>
        <v>刘扬扬</v>
      </c>
      <c r="E54" s="6" t="str">
        <f t="shared" si="7"/>
        <v>女</v>
      </c>
      <c r="F54" s="7" t="s">
        <v>431</v>
      </c>
    </row>
    <row r="55" spans="1:6" ht="20.100000000000001" customHeight="1" x14ac:dyDescent="0.15">
      <c r="A55" s="5">
        <v>52</v>
      </c>
      <c r="B55" s="6" t="str">
        <f>"30482021060318202286373"</f>
        <v>30482021060318202286373</v>
      </c>
      <c r="C55" s="6" t="s">
        <v>939</v>
      </c>
      <c r="D55" s="6" t="str">
        <f>"李曼"</f>
        <v>李曼</v>
      </c>
      <c r="E55" s="6" t="str">
        <f t="shared" si="7"/>
        <v>女</v>
      </c>
      <c r="F55" s="7" t="s">
        <v>966</v>
      </c>
    </row>
    <row r="56" spans="1:6" ht="20.100000000000001" customHeight="1" x14ac:dyDescent="0.15">
      <c r="A56" s="5">
        <v>53</v>
      </c>
      <c r="B56" s="6" t="str">
        <f>"30482021060318244286407"</f>
        <v>30482021060318244286407</v>
      </c>
      <c r="C56" s="6" t="s">
        <v>939</v>
      </c>
      <c r="D56" s="6" t="str">
        <f>"王孟桃"</f>
        <v>王孟桃</v>
      </c>
      <c r="E56" s="6" t="str">
        <f t="shared" si="7"/>
        <v>女</v>
      </c>
      <c r="F56" s="7" t="s">
        <v>575</v>
      </c>
    </row>
    <row r="57" spans="1:6" ht="20.100000000000001" customHeight="1" x14ac:dyDescent="0.15">
      <c r="A57" s="5">
        <v>54</v>
      </c>
      <c r="B57" s="6" t="str">
        <f>"30482021060318261886419"</f>
        <v>30482021060318261886419</v>
      </c>
      <c r="C57" s="6" t="s">
        <v>939</v>
      </c>
      <c r="D57" s="6" t="str">
        <f>"郭善兰"</f>
        <v>郭善兰</v>
      </c>
      <c r="E57" s="6" t="str">
        <f t="shared" si="7"/>
        <v>女</v>
      </c>
      <c r="F57" s="7" t="s">
        <v>291</v>
      </c>
    </row>
    <row r="58" spans="1:6" ht="20.100000000000001" customHeight="1" x14ac:dyDescent="0.15">
      <c r="A58" s="5">
        <v>55</v>
      </c>
      <c r="B58" s="6" t="str">
        <f>"30482021060318372886517"</f>
        <v>30482021060318372886517</v>
      </c>
      <c r="C58" s="6" t="s">
        <v>939</v>
      </c>
      <c r="D58" s="6" t="str">
        <f>"张琦"</f>
        <v>张琦</v>
      </c>
      <c r="E58" s="6" t="str">
        <f t="shared" si="7"/>
        <v>女</v>
      </c>
      <c r="F58" s="7" t="s">
        <v>464</v>
      </c>
    </row>
    <row r="59" spans="1:6" ht="20.100000000000001" customHeight="1" x14ac:dyDescent="0.15">
      <c r="A59" s="5">
        <v>56</v>
      </c>
      <c r="B59" s="6" t="str">
        <f>"30482021060401044489845"</f>
        <v>30482021060401044489845</v>
      </c>
      <c r="C59" s="6" t="s">
        <v>939</v>
      </c>
      <c r="D59" s="6" t="str">
        <f>"吴海曼"</f>
        <v>吴海曼</v>
      </c>
      <c r="E59" s="6" t="str">
        <f t="shared" si="7"/>
        <v>女</v>
      </c>
      <c r="F59" s="7" t="s">
        <v>967</v>
      </c>
    </row>
    <row r="60" spans="1:6" ht="20.100000000000001" customHeight="1" x14ac:dyDescent="0.15">
      <c r="A60" s="5">
        <v>57</v>
      </c>
      <c r="B60" s="6" t="str">
        <f>"30482021060408120990182"</f>
        <v>30482021060408120990182</v>
      </c>
      <c r="C60" s="6" t="s">
        <v>939</v>
      </c>
      <c r="D60" s="6" t="str">
        <f>"胡涛涛"</f>
        <v>胡涛涛</v>
      </c>
      <c r="E60" s="6" t="str">
        <f>"男"</f>
        <v>男</v>
      </c>
      <c r="F60" s="7" t="s">
        <v>968</v>
      </c>
    </row>
    <row r="61" spans="1:6" ht="20.100000000000001" customHeight="1" x14ac:dyDescent="0.15">
      <c r="A61" s="5">
        <v>58</v>
      </c>
      <c r="B61" s="6" t="str">
        <f>"30482021060410392791829"</f>
        <v>30482021060410392791829</v>
      </c>
      <c r="C61" s="6" t="s">
        <v>939</v>
      </c>
      <c r="D61" s="6" t="str">
        <f>"吴晓蕾"</f>
        <v>吴晓蕾</v>
      </c>
      <c r="E61" s="6" t="str">
        <f t="shared" ref="E61:E65" si="8">"女"</f>
        <v>女</v>
      </c>
      <c r="F61" s="7" t="s">
        <v>138</v>
      </c>
    </row>
    <row r="62" spans="1:6" ht="20.100000000000001" customHeight="1" x14ac:dyDescent="0.15">
      <c r="A62" s="5">
        <v>59</v>
      </c>
      <c r="B62" s="6" t="str">
        <f>"30482021060411383393153"</f>
        <v>30482021060411383393153</v>
      </c>
      <c r="C62" s="6" t="s">
        <v>939</v>
      </c>
      <c r="D62" s="6" t="str">
        <f>"洪新蕊"</f>
        <v>洪新蕊</v>
      </c>
      <c r="E62" s="6" t="str">
        <f t="shared" si="8"/>
        <v>女</v>
      </c>
      <c r="F62" s="7" t="s">
        <v>662</v>
      </c>
    </row>
    <row r="63" spans="1:6" ht="20.100000000000001" customHeight="1" x14ac:dyDescent="0.15">
      <c r="A63" s="5">
        <v>60</v>
      </c>
      <c r="B63" s="6" t="str">
        <f>"30482021060412153993507"</f>
        <v>30482021060412153993507</v>
      </c>
      <c r="C63" s="6" t="s">
        <v>939</v>
      </c>
      <c r="D63" s="6" t="str">
        <f>"黎新钰"</f>
        <v>黎新钰</v>
      </c>
      <c r="E63" s="6" t="str">
        <f t="shared" si="8"/>
        <v>女</v>
      </c>
      <c r="F63" s="7" t="s">
        <v>31</v>
      </c>
    </row>
    <row r="64" spans="1:6" ht="20.100000000000001" customHeight="1" x14ac:dyDescent="0.15">
      <c r="A64" s="5">
        <v>61</v>
      </c>
      <c r="B64" s="6" t="str">
        <f>"30482021060412175693541"</f>
        <v>30482021060412175693541</v>
      </c>
      <c r="C64" s="6" t="s">
        <v>939</v>
      </c>
      <c r="D64" s="6" t="str">
        <f>"陈小慧"</f>
        <v>陈小慧</v>
      </c>
      <c r="E64" s="6" t="str">
        <f t="shared" si="8"/>
        <v>女</v>
      </c>
      <c r="F64" s="7" t="s">
        <v>179</v>
      </c>
    </row>
    <row r="65" spans="1:6" ht="20.100000000000001" customHeight="1" x14ac:dyDescent="0.15">
      <c r="A65" s="5">
        <v>62</v>
      </c>
      <c r="B65" s="6" t="str">
        <f>"30482021060415480896597"</f>
        <v>30482021060415480896597</v>
      </c>
      <c r="C65" s="6" t="s">
        <v>939</v>
      </c>
      <c r="D65" s="6" t="str">
        <f>"李冰虹"</f>
        <v>李冰虹</v>
      </c>
      <c r="E65" s="6" t="str">
        <f t="shared" si="8"/>
        <v>女</v>
      </c>
      <c r="F65" s="7" t="s">
        <v>77</v>
      </c>
    </row>
    <row r="66" spans="1:6" ht="20.100000000000001" customHeight="1" x14ac:dyDescent="0.15">
      <c r="A66" s="5">
        <v>63</v>
      </c>
      <c r="B66" s="6" t="str">
        <f>"30482021060423134899899"</f>
        <v>30482021060423134899899</v>
      </c>
      <c r="C66" s="6" t="s">
        <v>939</v>
      </c>
      <c r="D66" s="6" t="str">
        <f>"黄印"</f>
        <v>黄印</v>
      </c>
      <c r="E66" s="6" t="str">
        <f>"男"</f>
        <v>男</v>
      </c>
      <c r="F66" s="7" t="s">
        <v>969</v>
      </c>
    </row>
    <row r="67" spans="1:6" ht="20.100000000000001" customHeight="1" x14ac:dyDescent="0.15">
      <c r="A67" s="5">
        <v>64</v>
      </c>
      <c r="B67" s="6" t="str">
        <f>"304820210605002632100021"</f>
        <v>304820210605002632100021</v>
      </c>
      <c r="C67" s="6" t="s">
        <v>939</v>
      </c>
      <c r="D67" s="6" t="str">
        <f>"张聪"</f>
        <v>张聪</v>
      </c>
      <c r="E67" s="6" t="str">
        <f>"男"</f>
        <v>男</v>
      </c>
      <c r="F67" s="7" t="s">
        <v>970</v>
      </c>
    </row>
    <row r="68" spans="1:6" ht="20.100000000000001" customHeight="1" x14ac:dyDescent="0.15">
      <c r="A68" s="5">
        <v>65</v>
      </c>
      <c r="B68" s="6" t="str">
        <f>"304820210605091413100245"</f>
        <v>304820210605091413100245</v>
      </c>
      <c r="C68" s="6" t="s">
        <v>939</v>
      </c>
      <c r="D68" s="6" t="str">
        <f>"王彩丹"</f>
        <v>王彩丹</v>
      </c>
      <c r="E68" s="6" t="str">
        <f t="shared" ref="E68:E71" si="9">"女"</f>
        <v>女</v>
      </c>
      <c r="F68" s="7" t="s">
        <v>971</v>
      </c>
    </row>
    <row r="69" spans="1:6" ht="20.100000000000001" customHeight="1" x14ac:dyDescent="0.15">
      <c r="A69" s="5">
        <v>66</v>
      </c>
      <c r="B69" s="6" t="str">
        <f>"304820210605101628100397"</f>
        <v>304820210605101628100397</v>
      </c>
      <c r="C69" s="6" t="s">
        <v>939</v>
      </c>
      <c r="D69" s="6" t="str">
        <f>"王颖"</f>
        <v>王颖</v>
      </c>
      <c r="E69" s="6" t="str">
        <f t="shared" si="9"/>
        <v>女</v>
      </c>
      <c r="F69" s="7" t="s">
        <v>131</v>
      </c>
    </row>
    <row r="70" spans="1:6" ht="20.100000000000001" customHeight="1" x14ac:dyDescent="0.15">
      <c r="A70" s="5">
        <v>67</v>
      </c>
      <c r="B70" s="6" t="str">
        <f>"304820210605193836101891"</f>
        <v>304820210605193836101891</v>
      </c>
      <c r="C70" s="6" t="s">
        <v>939</v>
      </c>
      <c r="D70" s="6" t="str">
        <f>"唐娟"</f>
        <v>唐娟</v>
      </c>
      <c r="E70" s="6" t="str">
        <f t="shared" si="9"/>
        <v>女</v>
      </c>
      <c r="F70" s="7" t="s">
        <v>972</v>
      </c>
    </row>
    <row r="71" spans="1:6" ht="20.100000000000001" customHeight="1" x14ac:dyDescent="0.15">
      <c r="A71" s="5">
        <v>68</v>
      </c>
      <c r="B71" s="6" t="str">
        <f>"304820210605222438102359"</f>
        <v>304820210605222438102359</v>
      </c>
      <c r="C71" s="6" t="s">
        <v>939</v>
      </c>
      <c r="D71" s="6" t="str">
        <f>"李美"</f>
        <v>李美</v>
      </c>
      <c r="E71" s="6" t="str">
        <f t="shared" si="9"/>
        <v>女</v>
      </c>
      <c r="F71" s="7" t="s">
        <v>973</v>
      </c>
    </row>
    <row r="72" spans="1:6" ht="20.100000000000001" customHeight="1" x14ac:dyDescent="0.15">
      <c r="A72" s="5">
        <v>69</v>
      </c>
      <c r="B72" s="6" t="str">
        <f>"304820210606082420102729"</f>
        <v>304820210606082420102729</v>
      </c>
      <c r="C72" s="6" t="s">
        <v>939</v>
      </c>
      <c r="D72" s="6" t="str">
        <f>"陈杨涛"</f>
        <v>陈杨涛</v>
      </c>
      <c r="E72" s="6" t="str">
        <f t="shared" ref="E72:E75" si="10">"男"</f>
        <v>男</v>
      </c>
      <c r="F72" s="7" t="s">
        <v>15</v>
      </c>
    </row>
    <row r="73" spans="1:6" ht="20.100000000000001" customHeight="1" x14ac:dyDescent="0.15">
      <c r="A73" s="5">
        <v>70</v>
      </c>
      <c r="B73" s="6" t="str">
        <f>"304820210606094701102889"</f>
        <v>304820210606094701102889</v>
      </c>
      <c r="C73" s="6" t="s">
        <v>939</v>
      </c>
      <c r="D73" s="6" t="str">
        <f>"吴桃坤"</f>
        <v>吴桃坤</v>
      </c>
      <c r="E73" s="6" t="str">
        <f t="shared" ref="E73:E77" si="11">"女"</f>
        <v>女</v>
      </c>
      <c r="F73" s="7" t="s">
        <v>974</v>
      </c>
    </row>
    <row r="74" spans="1:6" ht="20.100000000000001" customHeight="1" x14ac:dyDescent="0.15">
      <c r="A74" s="5">
        <v>71</v>
      </c>
      <c r="B74" s="6" t="str">
        <f>"304820210606094850102894"</f>
        <v>304820210606094850102894</v>
      </c>
      <c r="C74" s="6" t="s">
        <v>939</v>
      </c>
      <c r="D74" s="6" t="str">
        <f>"王小清"</f>
        <v>王小清</v>
      </c>
      <c r="E74" s="6" t="str">
        <f t="shared" si="10"/>
        <v>男</v>
      </c>
      <c r="F74" s="7" t="s">
        <v>975</v>
      </c>
    </row>
    <row r="75" spans="1:6" ht="20.100000000000001" customHeight="1" x14ac:dyDescent="0.15">
      <c r="A75" s="5">
        <v>72</v>
      </c>
      <c r="B75" s="6" t="str">
        <f>"304820210606103817103047"</f>
        <v>304820210606103817103047</v>
      </c>
      <c r="C75" s="6" t="s">
        <v>939</v>
      </c>
      <c r="D75" s="6" t="str">
        <f>"符利森"</f>
        <v>符利森</v>
      </c>
      <c r="E75" s="6" t="str">
        <f t="shared" si="10"/>
        <v>男</v>
      </c>
      <c r="F75" s="7" t="s">
        <v>976</v>
      </c>
    </row>
    <row r="76" spans="1:6" ht="20.100000000000001" customHeight="1" x14ac:dyDescent="0.15">
      <c r="A76" s="5">
        <v>73</v>
      </c>
      <c r="B76" s="6" t="str">
        <f>"304820210606145027103773"</f>
        <v>304820210606145027103773</v>
      </c>
      <c r="C76" s="6" t="s">
        <v>939</v>
      </c>
      <c r="D76" s="6" t="str">
        <f>"李妃"</f>
        <v>李妃</v>
      </c>
      <c r="E76" s="6" t="str">
        <f t="shared" si="11"/>
        <v>女</v>
      </c>
      <c r="F76" s="7" t="s">
        <v>977</v>
      </c>
    </row>
    <row r="77" spans="1:6" ht="20.100000000000001" customHeight="1" x14ac:dyDescent="0.15">
      <c r="A77" s="5">
        <v>74</v>
      </c>
      <c r="B77" s="6" t="str">
        <f>"304820210606160039103976"</f>
        <v>304820210606160039103976</v>
      </c>
      <c r="C77" s="6" t="s">
        <v>939</v>
      </c>
      <c r="D77" s="6" t="str">
        <f>"李香福"</f>
        <v>李香福</v>
      </c>
      <c r="E77" s="6" t="str">
        <f t="shared" si="11"/>
        <v>女</v>
      </c>
      <c r="F77" s="7" t="s">
        <v>621</v>
      </c>
    </row>
    <row r="78" spans="1:6" ht="20.100000000000001" customHeight="1" x14ac:dyDescent="0.15">
      <c r="A78" s="5">
        <v>75</v>
      </c>
      <c r="B78" s="6" t="str">
        <f>"304820210606171922104259"</f>
        <v>304820210606171922104259</v>
      </c>
      <c r="C78" s="6" t="s">
        <v>939</v>
      </c>
      <c r="D78" s="6" t="str">
        <f>"曾繁学"</f>
        <v>曾繁学</v>
      </c>
      <c r="E78" s="6" t="str">
        <f>"男"</f>
        <v>男</v>
      </c>
      <c r="F78" s="7" t="s">
        <v>978</v>
      </c>
    </row>
    <row r="79" spans="1:6" ht="20.100000000000001" customHeight="1" x14ac:dyDescent="0.15">
      <c r="A79" s="5">
        <v>76</v>
      </c>
      <c r="B79" s="6" t="str">
        <f>"304820210606190506104491"</f>
        <v>304820210606190506104491</v>
      </c>
      <c r="C79" s="6" t="s">
        <v>939</v>
      </c>
      <c r="D79" s="6" t="str">
        <f>"曾梅蓉"</f>
        <v>曾梅蓉</v>
      </c>
      <c r="E79" s="6" t="str">
        <f t="shared" ref="E79:E87" si="12">"女"</f>
        <v>女</v>
      </c>
      <c r="F79" s="7" t="s">
        <v>979</v>
      </c>
    </row>
    <row r="80" spans="1:6" ht="20.100000000000001" customHeight="1" x14ac:dyDescent="0.15">
      <c r="A80" s="5">
        <v>77</v>
      </c>
      <c r="B80" s="6" t="str">
        <f>"304820210606191001104500"</f>
        <v>304820210606191001104500</v>
      </c>
      <c r="C80" s="6" t="s">
        <v>939</v>
      </c>
      <c r="D80" s="6" t="str">
        <f>"陈速"</f>
        <v>陈速</v>
      </c>
      <c r="E80" s="6" t="str">
        <f t="shared" si="12"/>
        <v>女</v>
      </c>
      <c r="F80" s="7" t="s">
        <v>980</v>
      </c>
    </row>
    <row r="81" spans="1:6" ht="20.100000000000001" customHeight="1" x14ac:dyDescent="0.15">
      <c r="A81" s="5">
        <v>78</v>
      </c>
      <c r="B81" s="6" t="str">
        <f>"304820210606210856104757"</f>
        <v>304820210606210856104757</v>
      </c>
      <c r="C81" s="6" t="s">
        <v>939</v>
      </c>
      <c r="D81" s="6" t="str">
        <f>"秦菁菁"</f>
        <v>秦菁菁</v>
      </c>
      <c r="E81" s="6" t="str">
        <f t="shared" si="12"/>
        <v>女</v>
      </c>
      <c r="F81" s="7" t="s">
        <v>131</v>
      </c>
    </row>
    <row r="82" spans="1:6" ht="20.100000000000001" customHeight="1" x14ac:dyDescent="0.15">
      <c r="A82" s="5">
        <v>79</v>
      </c>
      <c r="B82" s="6" t="str">
        <f>"304820210606220300104908"</f>
        <v>304820210606220300104908</v>
      </c>
      <c r="C82" s="6" t="s">
        <v>939</v>
      </c>
      <c r="D82" s="6" t="str">
        <f>"吴德爱"</f>
        <v>吴德爱</v>
      </c>
      <c r="E82" s="6" t="str">
        <f t="shared" si="12"/>
        <v>女</v>
      </c>
      <c r="F82" s="7" t="s">
        <v>981</v>
      </c>
    </row>
    <row r="83" spans="1:6" ht="20.100000000000001" customHeight="1" x14ac:dyDescent="0.15">
      <c r="A83" s="5">
        <v>80</v>
      </c>
      <c r="B83" s="6" t="str">
        <f>"304820210606223048105006"</f>
        <v>304820210606223048105006</v>
      </c>
      <c r="C83" s="6" t="s">
        <v>939</v>
      </c>
      <c r="D83" s="6" t="str">
        <f>"云燕娇"</f>
        <v>云燕娇</v>
      </c>
      <c r="E83" s="6" t="str">
        <f t="shared" si="12"/>
        <v>女</v>
      </c>
      <c r="F83" s="7" t="s">
        <v>982</v>
      </c>
    </row>
    <row r="84" spans="1:6" ht="20.100000000000001" customHeight="1" x14ac:dyDescent="0.15">
      <c r="A84" s="5">
        <v>81</v>
      </c>
      <c r="B84" s="6" t="str">
        <f>"304820210606224334105033"</f>
        <v>304820210606224334105033</v>
      </c>
      <c r="C84" s="6" t="s">
        <v>939</v>
      </c>
      <c r="D84" s="6" t="str">
        <f>"王秀敏"</f>
        <v>王秀敏</v>
      </c>
      <c r="E84" s="6" t="str">
        <f t="shared" si="12"/>
        <v>女</v>
      </c>
      <c r="F84" s="7" t="s">
        <v>334</v>
      </c>
    </row>
    <row r="85" spans="1:6" ht="20.100000000000001" customHeight="1" x14ac:dyDescent="0.15">
      <c r="A85" s="5">
        <v>82</v>
      </c>
      <c r="B85" s="6" t="str">
        <f>"304820210607083500105433"</f>
        <v>304820210607083500105433</v>
      </c>
      <c r="C85" s="6" t="s">
        <v>939</v>
      </c>
      <c r="D85" s="6" t="str">
        <f>"梁孟嘉"</f>
        <v>梁孟嘉</v>
      </c>
      <c r="E85" s="6" t="str">
        <f t="shared" si="12"/>
        <v>女</v>
      </c>
      <c r="F85" s="7" t="s">
        <v>983</v>
      </c>
    </row>
    <row r="86" spans="1:6" ht="20.100000000000001" customHeight="1" x14ac:dyDescent="0.15">
      <c r="A86" s="5">
        <v>83</v>
      </c>
      <c r="B86" s="6" t="str">
        <f>"304820210607084509105458"</f>
        <v>304820210607084509105458</v>
      </c>
      <c r="C86" s="6" t="s">
        <v>939</v>
      </c>
      <c r="D86" s="6" t="str">
        <f>"羊妹娥"</f>
        <v>羊妹娥</v>
      </c>
      <c r="E86" s="6" t="str">
        <f t="shared" si="12"/>
        <v>女</v>
      </c>
      <c r="F86" s="7" t="s">
        <v>984</v>
      </c>
    </row>
    <row r="87" spans="1:6" ht="20.100000000000001" customHeight="1" x14ac:dyDescent="0.15">
      <c r="A87" s="5">
        <v>84</v>
      </c>
      <c r="B87" s="6" t="str">
        <f>"304820210607112053106351"</f>
        <v>304820210607112053106351</v>
      </c>
      <c r="C87" s="6" t="s">
        <v>939</v>
      </c>
      <c r="D87" s="6" t="str">
        <f>"冯晓琴"</f>
        <v>冯晓琴</v>
      </c>
      <c r="E87" s="6" t="str">
        <f t="shared" si="12"/>
        <v>女</v>
      </c>
      <c r="F87" s="7" t="s">
        <v>985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J6" sqref="J6"/>
    </sheetView>
  </sheetViews>
  <sheetFormatPr defaultColWidth="9" defaultRowHeight="20.100000000000001" customHeight="1" x14ac:dyDescent="0.15"/>
  <cols>
    <col min="1" max="1" width="7.375" style="1" customWidth="1"/>
    <col min="2" max="2" width="24.625" style="1" customWidth="1"/>
    <col min="3" max="3" width="14.125" style="1" customWidth="1"/>
    <col min="4" max="4" width="10.5" style="1" customWidth="1"/>
    <col min="5" max="5" width="8.5" style="1" customWidth="1"/>
    <col min="6" max="6" width="14.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"30482021060114110963549"</f>
        <v>30482021060114110963549</v>
      </c>
      <c r="C4" s="6" t="s">
        <v>986</v>
      </c>
      <c r="D4" s="6" t="str">
        <f>"周鸿祯"</f>
        <v>周鸿祯</v>
      </c>
      <c r="E4" s="6" t="str">
        <f t="shared" ref="E4:E9" si="0">"男"</f>
        <v>男</v>
      </c>
      <c r="F4" s="7" t="s">
        <v>60</v>
      </c>
    </row>
    <row r="5" spans="1:6" ht="20.100000000000001" customHeight="1" x14ac:dyDescent="0.15">
      <c r="A5" s="5">
        <v>2</v>
      </c>
      <c r="B5" s="6" t="str">
        <f>"30482021060114514664008"</f>
        <v>30482021060114514664008</v>
      </c>
      <c r="C5" s="6" t="s">
        <v>986</v>
      </c>
      <c r="D5" s="6" t="str">
        <f>"李娇芬"</f>
        <v>李娇芬</v>
      </c>
      <c r="E5" s="6" t="str">
        <f t="shared" ref="E5:E8" si="1">"女"</f>
        <v>女</v>
      </c>
      <c r="F5" s="7" t="s">
        <v>987</v>
      </c>
    </row>
    <row r="6" spans="1:6" ht="20.100000000000001" customHeight="1" x14ac:dyDescent="0.15">
      <c r="A6" s="5">
        <v>3</v>
      </c>
      <c r="B6" s="6" t="str">
        <f>"30482021060114524564021"</f>
        <v>30482021060114524564021</v>
      </c>
      <c r="C6" s="6" t="s">
        <v>986</v>
      </c>
      <c r="D6" s="6" t="str">
        <f>"羊良松"</f>
        <v>羊良松</v>
      </c>
      <c r="E6" s="6" t="str">
        <f t="shared" si="0"/>
        <v>男</v>
      </c>
      <c r="F6" s="7" t="s">
        <v>988</v>
      </c>
    </row>
    <row r="7" spans="1:6" ht="20.100000000000001" customHeight="1" x14ac:dyDescent="0.15">
      <c r="A7" s="5">
        <v>4</v>
      </c>
      <c r="B7" s="6" t="str">
        <f>"30482021060115045064187"</f>
        <v>30482021060115045064187</v>
      </c>
      <c r="C7" s="6" t="s">
        <v>986</v>
      </c>
      <c r="D7" s="6" t="str">
        <f>"陈潇菲"</f>
        <v>陈潇菲</v>
      </c>
      <c r="E7" s="6" t="str">
        <f t="shared" si="1"/>
        <v>女</v>
      </c>
      <c r="F7" s="7" t="s">
        <v>108</v>
      </c>
    </row>
    <row r="8" spans="1:6" ht="20.100000000000001" customHeight="1" x14ac:dyDescent="0.15">
      <c r="A8" s="5">
        <v>5</v>
      </c>
      <c r="B8" s="6" t="str">
        <f>"30482021060115055264199"</f>
        <v>30482021060115055264199</v>
      </c>
      <c r="C8" s="6" t="s">
        <v>986</v>
      </c>
      <c r="D8" s="6" t="str">
        <f>"林方敏"</f>
        <v>林方敏</v>
      </c>
      <c r="E8" s="6" t="str">
        <f t="shared" si="1"/>
        <v>女</v>
      </c>
      <c r="F8" s="7" t="s">
        <v>43</v>
      </c>
    </row>
    <row r="9" spans="1:6" ht="20.100000000000001" customHeight="1" x14ac:dyDescent="0.15">
      <c r="A9" s="5">
        <v>6</v>
      </c>
      <c r="B9" s="6" t="str">
        <f>"30482021060115090364253"</f>
        <v>30482021060115090364253</v>
      </c>
      <c r="C9" s="6" t="s">
        <v>986</v>
      </c>
      <c r="D9" s="6" t="str">
        <f>"李君位"</f>
        <v>李君位</v>
      </c>
      <c r="E9" s="6" t="str">
        <f t="shared" si="0"/>
        <v>男</v>
      </c>
      <c r="F9" s="7" t="s">
        <v>832</v>
      </c>
    </row>
    <row r="10" spans="1:6" ht="20.100000000000001" customHeight="1" x14ac:dyDescent="0.15">
      <c r="A10" s="5">
        <v>7</v>
      </c>
      <c r="B10" s="6" t="str">
        <f>"30482021060115112564287"</f>
        <v>30482021060115112564287</v>
      </c>
      <c r="C10" s="6" t="s">
        <v>986</v>
      </c>
      <c r="D10" s="6" t="str">
        <f>"邓雅丹"</f>
        <v>邓雅丹</v>
      </c>
      <c r="E10" s="6" t="str">
        <f t="shared" ref="E10:E13" si="2">"女"</f>
        <v>女</v>
      </c>
      <c r="F10" s="7" t="s">
        <v>989</v>
      </c>
    </row>
    <row r="11" spans="1:6" ht="20.100000000000001" customHeight="1" x14ac:dyDescent="0.15">
      <c r="A11" s="5">
        <v>8</v>
      </c>
      <c r="B11" s="6" t="str">
        <f>"30482021060115245264451"</f>
        <v>30482021060115245264451</v>
      </c>
      <c r="C11" s="6" t="s">
        <v>986</v>
      </c>
      <c r="D11" s="6" t="str">
        <f>"邱娴"</f>
        <v>邱娴</v>
      </c>
      <c r="E11" s="6" t="str">
        <f t="shared" si="2"/>
        <v>女</v>
      </c>
      <c r="F11" s="7" t="s">
        <v>990</v>
      </c>
    </row>
    <row r="12" spans="1:6" ht="20.100000000000001" customHeight="1" x14ac:dyDescent="0.15">
      <c r="A12" s="5">
        <v>9</v>
      </c>
      <c r="B12" s="6" t="str">
        <f>"30482021060115563864852"</f>
        <v>30482021060115563864852</v>
      </c>
      <c r="C12" s="6" t="s">
        <v>986</v>
      </c>
      <c r="D12" s="6" t="str">
        <f>"王艺燕"</f>
        <v>王艺燕</v>
      </c>
      <c r="E12" s="6" t="str">
        <f t="shared" si="2"/>
        <v>女</v>
      </c>
      <c r="F12" s="7" t="s">
        <v>991</v>
      </c>
    </row>
    <row r="13" spans="1:6" ht="20.100000000000001" customHeight="1" x14ac:dyDescent="0.15">
      <c r="A13" s="5">
        <v>10</v>
      </c>
      <c r="B13" s="6" t="str">
        <f>"30482021060116145065068"</f>
        <v>30482021060116145065068</v>
      </c>
      <c r="C13" s="6" t="s">
        <v>986</v>
      </c>
      <c r="D13" s="6" t="str">
        <f>"王丽秧"</f>
        <v>王丽秧</v>
      </c>
      <c r="E13" s="6" t="str">
        <f t="shared" si="2"/>
        <v>女</v>
      </c>
      <c r="F13" s="7" t="s">
        <v>992</v>
      </c>
    </row>
    <row r="14" spans="1:6" ht="20.100000000000001" customHeight="1" x14ac:dyDescent="0.15">
      <c r="A14" s="5">
        <v>11</v>
      </c>
      <c r="B14" s="6" t="str">
        <f>"30482021060116194965130"</f>
        <v>30482021060116194965130</v>
      </c>
      <c r="C14" s="6" t="s">
        <v>986</v>
      </c>
      <c r="D14" s="6" t="str">
        <f>"许起宁"</f>
        <v>许起宁</v>
      </c>
      <c r="E14" s="6" t="str">
        <f>"男"</f>
        <v>男</v>
      </c>
      <c r="F14" s="7" t="s">
        <v>993</v>
      </c>
    </row>
    <row r="15" spans="1:6" ht="20.100000000000001" customHeight="1" x14ac:dyDescent="0.15">
      <c r="A15" s="5">
        <v>12</v>
      </c>
      <c r="B15" s="6" t="str">
        <f>"30482021060116204965145"</f>
        <v>30482021060116204965145</v>
      </c>
      <c r="C15" s="6" t="s">
        <v>986</v>
      </c>
      <c r="D15" s="6" t="str">
        <f>"赖海涯"</f>
        <v>赖海涯</v>
      </c>
      <c r="E15" s="6" t="str">
        <f t="shared" ref="E15:E17" si="3">"女"</f>
        <v>女</v>
      </c>
      <c r="F15" s="7" t="s">
        <v>994</v>
      </c>
    </row>
    <row r="16" spans="1:6" ht="20.100000000000001" customHeight="1" x14ac:dyDescent="0.15">
      <c r="A16" s="5">
        <v>13</v>
      </c>
      <c r="B16" s="6" t="str">
        <f>"30482021060116205665146"</f>
        <v>30482021060116205665146</v>
      </c>
      <c r="C16" s="6" t="s">
        <v>986</v>
      </c>
      <c r="D16" s="6" t="str">
        <f>"黎婷"</f>
        <v>黎婷</v>
      </c>
      <c r="E16" s="6" t="str">
        <f t="shared" si="3"/>
        <v>女</v>
      </c>
      <c r="F16" s="7" t="s">
        <v>74</v>
      </c>
    </row>
    <row r="17" spans="1:6" ht="20.100000000000001" customHeight="1" x14ac:dyDescent="0.15">
      <c r="A17" s="5">
        <v>14</v>
      </c>
      <c r="B17" s="6" t="str">
        <f>"30482021060116385465413"</f>
        <v>30482021060116385465413</v>
      </c>
      <c r="C17" s="6" t="s">
        <v>986</v>
      </c>
      <c r="D17" s="6" t="str">
        <f>"蒙绪娜"</f>
        <v>蒙绪娜</v>
      </c>
      <c r="E17" s="6" t="str">
        <f t="shared" si="3"/>
        <v>女</v>
      </c>
      <c r="F17" s="7" t="s">
        <v>995</v>
      </c>
    </row>
    <row r="18" spans="1:6" ht="20.100000000000001" customHeight="1" x14ac:dyDescent="0.15">
      <c r="A18" s="5">
        <v>15</v>
      </c>
      <c r="B18" s="6" t="str">
        <f>"30482021060116572265656"</f>
        <v>30482021060116572265656</v>
      </c>
      <c r="C18" s="6" t="s">
        <v>986</v>
      </c>
      <c r="D18" s="6" t="str">
        <f>"郭义雄"</f>
        <v>郭义雄</v>
      </c>
      <c r="E18" s="6" t="str">
        <f>"男"</f>
        <v>男</v>
      </c>
      <c r="F18" s="7" t="s">
        <v>996</v>
      </c>
    </row>
    <row r="19" spans="1:6" ht="20.100000000000001" customHeight="1" x14ac:dyDescent="0.15">
      <c r="A19" s="5">
        <v>16</v>
      </c>
      <c r="B19" s="6" t="str">
        <f>"30482021060116574165660"</f>
        <v>30482021060116574165660</v>
      </c>
      <c r="C19" s="6" t="s">
        <v>986</v>
      </c>
      <c r="D19" s="6" t="str">
        <f>"陈亚婷"</f>
        <v>陈亚婷</v>
      </c>
      <c r="E19" s="6" t="str">
        <f t="shared" ref="E19:E21" si="4">"女"</f>
        <v>女</v>
      </c>
      <c r="F19" s="7" t="s">
        <v>70</v>
      </c>
    </row>
    <row r="20" spans="1:6" ht="20.100000000000001" customHeight="1" x14ac:dyDescent="0.15">
      <c r="A20" s="5">
        <v>17</v>
      </c>
      <c r="B20" s="6" t="str">
        <f>"30482021060117240365973"</f>
        <v>30482021060117240365973</v>
      </c>
      <c r="C20" s="6" t="s">
        <v>986</v>
      </c>
      <c r="D20" s="6" t="str">
        <f>"韩妹"</f>
        <v>韩妹</v>
      </c>
      <c r="E20" s="6" t="str">
        <f t="shared" si="4"/>
        <v>女</v>
      </c>
      <c r="F20" s="7" t="s">
        <v>11</v>
      </c>
    </row>
    <row r="21" spans="1:6" ht="20.100000000000001" customHeight="1" x14ac:dyDescent="0.15">
      <c r="A21" s="5">
        <v>18</v>
      </c>
      <c r="B21" s="6" t="str">
        <f>"30482021060117382166123"</f>
        <v>30482021060117382166123</v>
      </c>
      <c r="C21" s="6" t="s">
        <v>986</v>
      </c>
      <c r="D21" s="6" t="str">
        <f>"符少文"</f>
        <v>符少文</v>
      </c>
      <c r="E21" s="6" t="str">
        <f t="shared" si="4"/>
        <v>女</v>
      </c>
      <c r="F21" s="7" t="s">
        <v>409</v>
      </c>
    </row>
    <row r="22" spans="1:6" ht="20.100000000000001" customHeight="1" x14ac:dyDescent="0.15">
      <c r="A22" s="5">
        <v>19</v>
      </c>
      <c r="B22" s="6" t="str">
        <f>"30482021060117460666190"</f>
        <v>30482021060117460666190</v>
      </c>
      <c r="C22" s="6" t="s">
        <v>986</v>
      </c>
      <c r="D22" s="6" t="str">
        <f>"沈永贤"</f>
        <v>沈永贤</v>
      </c>
      <c r="E22" s="6" t="str">
        <f t="shared" ref="E22:E27" si="5">"男"</f>
        <v>男</v>
      </c>
      <c r="F22" s="7" t="s">
        <v>997</v>
      </c>
    </row>
    <row r="23" spans="1:6" ht="20.100000000000001" customHeight="1" x14ac:dyDescent="0.15">
      <c r="A23" s="5">
        <v>20</v>
      </c>
      <c r="B23" s="6" t="str">
        <f>"30482021060118174866471"</f>
        <v>30482021060118174866471</v>
      </c>
      <c r="C23" s="6" t="s">
        <v>986</v>
      </c>
      <c r="D23" s="6" t="str">
        <f>"李春蕾"</f>
        <v>李春蕾</v>
      </c>
      <c r="E23" s="6" t="str">
        <f t="shared" ref="E23:E26" si="6">"女"</f>
        <v>女</v>
      </c>
      <c r="F23" s="7" t="s">
        <v>890</v>
      </c>
    </row>
    <row r="24" spans="1:6" ht="20.100000000000001" customHeight="1" x14ac:dyDescent="0.15">
      <c r="A24" s="5">
        <v>21</v>
      </c>
      <c r="B24" s="6" t="str">
        <f>"30482021060118214766508"</f>
        <v>30482021060118214766508</v>
      </c>
      <c r="C24" s="6" t="s">
        <v>986</v>
      </c>
      <c r="D24" s="6" t="str">
        <f>"刘晓惠"</f>
        <v>刘晓惠</v>
      </c>
      <c r="E24" s="6" t="str">
        <f t="shared" si="6"/>
        <v>女</v>
      </c>
      <c r="F24" s="7" t="s">
        <v>998</v>
      </c>
    </row>
    <row r="25" spans="1:6" ht="20.100000000000001" customHeight="1" x14ac:dyDescent="0.15">
      <c r="A25" s="5">
        <v>22</v>
      </c>
      <c r="B25" s="6" t="str">
        <f>"30482021060118335166609"</f>
        <v>30482021060118335166609</v>
      </c>
      <c r="C25" s="6" t="s">
        <v>986</v>
      </c>
      <c r="D25" s="6" t="str">
        <f>"王凯锋"</f>
        <v>王凯锋</v>
      </c>
      <c r="E25" s="6" t="str">
        <f t="shared" si="5"/>
        <v>男</v>
      </c>
      <c r="F25" s="7" t="s">
        <v>999</v>
      </c>
    </row>
    <row r="26" spans="1:6" ht="20.100000000000001" customHeight="1" x14ac:dyDescent="0.15">
      <c r="A26" s="5">
        <v>23</v>
      </c>
      <c r="B26" s="6" t="str">
        <f>"30482021060118502466728"</f>
        <v>30482021060118502466728</v>
      </c>
      <c r="C26" s="6" t="s">
        <v>986</v>
      </c>
      <c r="D26" s="6" t="str">
        <f>"符玲玲"</f>
        <v>符玲玲</v>
      </c>
      <c r="E26" s="6" t="str">
        <f t="shared" si="6"/>
        <v>女</v>
      </c>
      <c r="F26" s="7" t="s">
        <v>1000</v>
      </c>
    </row>
    <row r="27" spans="1:6" ht="20.100000000000001" customHeight="1" x14ac:dyDescent="0.15">
      <c r="A27" s="5">
        <v>24</v>
      </c>
      <c r="B27" s="6" t="str">
        <f>"30482021060119212266959"</f>
        <v>30482021060119212266959</v>
      </c>
      <c r="C27" s="6" t="s">
        <v>986</v>
      </c>
      <c r="D27" s="6" t="str">
        <f>"高伟"</f>
        <v>高伟</v>
      </c>
      <c r="E27" s="6" t="str">
        <f t="shared" si="5"/>
        <v>男</v>
      </c>
      <c r="F27" s="7" t="s">
        <v>1001</v>
      </c>
    </row>
    <row r="28" spans="1:6" ht="20.100000000000001" customHeight="1" x14ac:dyDescent="0.15">
      <c r="A28" s="5">
        <v>25</v>
      </c>
      <c r="B28" s="6" t="str">
        <f>"30482021060120132867995"</f>
        <v>30482021060120132867995</v>
      </c>
      <c r="C28" s="6" t="s">
        <v>986</v>
      </c>
      <c r="D28" s="6" t="str">
        <f>"秦彩玉"</f>
        <v>秦彩玉</v>
      </c>
      <c r="E28" s="6" t="str">
        <f t="shared" ref="E28:E34" si="7">"女"</f>
        <v>女</v>
      </c>
      <c r="F28" s="7" t="s">
        <v>183</v>
      </c>
    </row>
    <row r="29" spans="1:6" ht="20.100000000000001" customHeight="1" x14ac:dyDescent="0.15">
      <c r="A29" s="5">
        <v>26</v>
      </c>
      <c r="B29" s="6" t="str">
        <f>"30482021060120452468280"</f>
        <v>30482021060120452468280</v>
      </c>
      <c r="C29" s="6" t="s">
        <v>986</v>
      </c>
      <c r="D29" s="6" t="str">
        <f>"卢大庆"</f>
        <v>卢大庆</v>
      </c>
      <c r="E29" s="6" t="str">
        <f>"男"</f>
        <v>男</v>
      </c>
      <c r="F29" s="7" t="s">
        <v>1002</v>
      </c>
    </row>
    <row r="30" spans="1:6" ht="20.100000000000001" customHeight="1" x14ac:dyDescent="0.15">
      <c r="A30" s="5">
        <v>27</v>
      </c>
      <c r="B30" s="6" t="str">
        <f>"30482021060121093568500"</f>
        <v>30482021060121093568500</v>
      </c>
      <c r="C30" s="6" t="s">
        <v>986</v>
      </c>
      <c r="D30" s="6" t="str">
        <f>"卓桂庄"</f>
        <v>卓桂庄</v>
      </c>
      <c r="E30" s="6" t="str">
        <f t="shared" si="7"/>
        <v>女</v>
      </c>
      <c r="F30" s="7" t="s">
        <v>1003</v>
      </c>
    </row>
    <row r="31" spans="1:6" ht="20.100000000000001" customHeight="1" x14ac:dyDescent="0.15">
      <c r="A31" s="5">
        <v>28</v>
      </c>
      <c r="B31" s="6" t="str">
        <f>"30482021060121383269404"</f>
        <v>30482021060121383269404</v>
      </c>
      <c r="C31" s="6" t="s">
        <v>986</v>
      </c>
      <c r="D31" s="6" t="str">
        <f>"吴玉莹"</f>
        <v>吴玉莹</v>
      </c>
      <c r="E31" s="6" t="str">
        <f t="shared" si="7"/>
        <v>女</v>
      </c>
      <c r="F31" s="7" t="s">
        <v>712</v>
      </c>
    </row>
    <row r="32" spans="1:6" ht="20.100000000000001" customHeight="1" x14ac:dyDescent="0.15">
      <c r="A32" s="5">
        <v>29</v>
      </c>
      <c r="B32" s="6" t="str">
        <f>"30482021060123381270306"</f>
        <v>30482021060123381270306</v>
      </c>
      <c r="C32" s="6" t="s">
        <v>986</v>
      </c>
      <c r="D32" s="6" t="str">
        <f>"杨芳丽"</f>
        <v>杨芳丽</v>
      </c>
      <c r="E32" s="6" t="str">
        <f t="shared" si="7"/>
        <v>女</v>
      </c>
      <c r="F32" s="7" t="s">
        <v>559</v>
      </c>
    </row>
    <row r="33" spans="1:6" ht="20.100000000000001" customHeight="1" x14ac:dyDescent="0.15">
      <c r="A33" s="5">
        <v>30</v>
      </c>
      <c r="B33" s="6" t="str">
        <f>"30482021060200120670409"</f>
        <v>30482021060200120670409</v>
      </c>
      <c r="C33" s="6" t="s">
        <v>986</v>
      </c>
      <c r="D33" s="6" t="str">
        <f>"孙淑燕"</f>
        <v>孙淑燕</v>
      </c>
      <c r="E33" s="6" t="str">
        <f t="shared" si="7"/>
        <v>女</v>
      </c>
      <c r="F33" s="7" t="s">
        <v>453</v>
      </c>
    </row>
    <row r="34" spans="1:6" ht="20.100000000000001" customHeight="1" x14ac:dyDescent="0.15">
      <c r="A34" s="5">
        <v>31</v>
      </c>
      <c r="B34" s="6" t="str">
        <f>"30482021060200252470441"</f>
        <v>30482021060200252470441</v>
      </c>
      <c r="C34" s="6" t="s">
        <v>986</v>
      </c>
      <c r="D34" s="6" t="str">
        <f>"黄林欢"</f>
        <v>黄林欢</v>
      </c>
      <c r="E34" s="6" t="str">
        <f t="shared" si="7"/>
        <v>女</v>
      </c>
      <c r="F34" s="7" t="s">
        <v>1004</v>
      </c>
    </row>
    <row r="35" spans="1:6" ht="20.100000000000001" customHeight="1" x14ac:dyDescent="0.15">
      <c r="A35" s="5">
        <v>32</v>
      </c>
      <c r="B35" s="6" t="str">
        <f>"30482021060209252671381"</f>
        <v>30482021060209252671381</v>
      </c>
      <c r="C35" s="6" t="s">
        <v>986</v>
      </c>
      <c r="D35" s="6" t="str">
        <f>"金扬清"</f>
        <v>金扬清</v>
      </c>
      <c r="E35" s="6" t="str">
        <f>"男"</f>
        <v>男</v>
      </c>
      <c r="F35" s="7" t="s">
        <v>1005</v>
      </c>
    </row>
    <row r="36" spans="1:6" ht="20.100000000000001" customHeight="1" x14ac:dyDescent="0.15">
      <c r="A36" s="5">
        <v>33</v>
      </c>
      <c r="B36" s="6" t="str">
        <f>"30482021060210293772269"</f>
        <v>30482021060210293772269</v>
      </c>
      <c r="C36" s="6" t="s">
        <v>986</v>
      </c>
      <c r="D36" s="6" t="str">
        <f>"林小南"</f>
        <v>林小南</v>
      </c>
      <c r="E36" s="6" t="str">
        <f t="shared" ref="E36:E42" si="8">"女"</f>
        <v>女</v>
      </c>
      <c r="F36" s="7" t="s">
        <v>401</v>
      </c>
    </row>
    <row r="37" spans="1:6" ht="20.100000000000001" customHeight="1" x14ac:dyDescent="0.15">
      <c r="A37" s="5">
        <v>34</v>
      </c>
      <c r="B37" s="6" t="str">
        <f>"30482021060210434172450"</f>
        <v>30482021060210434172450</v>
      </c>
      <c r="C37" s="6" t="s">
        <v>986</v>
      </c>
      <c r="D37" s="6" t="str">
        <f>"陈堂兵"</f>
        <v>陈堂兵</v>
      </c>
      <c r="E37" s="6" t="str">
        <f t="shared" si="8"/>
        <v>女</v>
      </c>
      <c r="F37" s="7" t="s">
        <v>1006</v>
      </c>
    </row>
    <row r="38" spans="1:6" ht="20.100000000000001" customHeight="1" x14ac:dyDescent="0.15">
      <c r="A38" s="5">
        <v>35</v>
      </c>
      <c r="B38" s="6" t="str">
        <f>"30482021060210570272633"</f>
        <v>30482021060210570272633</v>
      </c>
      <c r="C38" s="6" t="s">
        <v>986</v>
      </c>
      <c r="D38" s="6" t="str">
        <f>"王秋平"</f>
        <v>王秋平</v>
      </c>
      <c r="E38" s="6" t="str">
        <f t="shared" si="8"/>
        <v>女</v>
      </c>
      <c r="F38" s="7" t="s">
        <v>1007</v>
      </c>
    </row>
    <row r="39" spans="1:6" ht="20.100000000000001" customHeight="1" x14ac:dyDescent="0.15">
      <c r="A39" s="5">
        <v>36</v>
      </c>
      <c r="B39" s="6" t="str">
        <f>"30482021060211054072730"</f>
        <v>30482021060211054072730</v>
      </c>
      <c r="C39" s="6" t="s">
        <v>986</v>
      </c>
      <c r="D39" s="6" t="str">
        <f>"夏梦"</f>
        <v>夏梦</v>
      </c>
      <c r="E39" s="6" t="str">
        <f t="shared" si="8"/>
        <v>女</v>
      </c>
      <c r="F39" s="7" t="s">
        <v>1008</v>
      </c>
    </row>
    <row r="40" spans="1:6" ht="20.100000000000001" customHeight="1" x14ac:dyDescent="0.15">
      <c r="A40" s="5">
        <v>37</v>
      </c>
      <c r="B40" s="6" t="str">
        <f>"30482021060212102173350"</f>
        <v>30482021060212102173350</v>
      </c>
      <c r="C40" s="6" t="s">
        <v>986</v>
      </c>
      <c r="D40" s="6" t="str">
        <f>"黎木香"</f>
        <v>黎木香</v>
      </c>
      <c r="E40" s="6" t="str">
        <f t="shared" si="8"/>
        <v>女</v>
      </c>
      <c r="F40" s="7" t="s">
        <v>1009</v>
      </c>
    </row>
    <row r="41" spans="1:6" ht="20.100000000000001" customHeight="1" x14ac:dyDescent="0.15">
      <c r="A41" s="5">
        <v>38</v>
      </c>
      <c r="B41" s="6" t="str">
        <f>"30482021060213511874105"</f>
        <v>30482021060213511874105</v>
      </c>
      <c r="C41" s="6" t="s">
        <v>986</v>
      </c>
      <c r="D41" s="6" t="str">
        <f>"倪德美"</f>
        <v>倪德美</v>
      </c>
      <c r="E41" s="6" t="str">
        <f t="shared" si="8"/>
        <v>女</v>
      </c>
      <c r="F41" s="7" t="s">
        <v>1010</v>
      </c>
    </row>
    <row r="42" spans="1:6" ht="20.100000000000001" customHeight="1" x14ac:dyDescent="0.15">
      <c r="A42" s="5">
        <v>39</v>
      </c>
      <c r="B42" s="6" t="str">
        <f>"30482021060213525874112"</f>
        <v>30482021060213525874112</v>
      </c>
      <c r="C42" s="6" t="s">
        <v>986</v>
      </c>
      <c r="D42" s="6" t="str">
        <f>"许琼丹"</f>
        <v>许琼丹</v>
      </c>
      <c r="E42" s="6" t="str">
        <f t="shared" si="8"/>
        <v>女</v>
      </c>
      <c r="F42" s="7" t="s">
        <v>664</v>
      </c>
    </row>
    <row r="43" spans="1:6" ht="20.100000000000001" customHeight="1" x14ac:dyDescent="0.15">
      <c r="A43" s="5">
        <v>40</v>
      </c>
      <c r="B43" s="6" t="str">
        <f>"30482021060215272674866"</f>
        <v>30482021060215272674866</v>
      </c>
      <c r="C43" s="6" t="s">
        <v>986</v>
      </c>
      <c r="D43" s="6" t="str">
        <f>"倪俊能"</f>
        <v>倪俊能</v>
      </c>
      <c r="E43" s="6" t="str">
        <f t="shared" ref="E43:E45" si="9">"男"</f>
        <v>男</v>
      </c>
      <c r="F43" s="7" t="s">
        <v>1011</v>
      </c>
    </row>
    <row r="44" spans="1:6" ht="20.100000000000001" customHeight="1" x14ac:dyDescent="0.15">
      <c r="A44" s="5">
        <v>41</v>
      </c>
      <c r="B44" s="6" t="str">
        <f>"30482021060215421275040"</f>
        <v>30482021060215421275040</v>
      </c>
      <c r="C44" s="6" t="s">
        <v>986</v>
      </c>
      <c r="D44" s="6" t="str">
        <f>"蔡仁智"</f>
        <v>蔡仁智</v>
      </c>
      <c r="E44" s="6" t="str">
        <f t="shared" si="9"/>
        <v>男</v>
      </c>
      <c r="F44" s="7" t="s">
        <v>1012</v>
      </c>
    </row>
    <row r="45" spans="1:6" ht="20.100000000000001" customHeight="1" x14ac:dyDescent="0.15">
      <c r="A45" s="5">
        <v>42</v>
      </c>
      <c r="B45" s="6" t="str">
        <f>"30482021060216252975491"</f>
        <v>30482021060216252975491</v>
      </c>
      <c r="C45" s="6" t="s">
        <v>986</v>
      </c>
      <c r="D45" s="6" t="str">
        <f>"黄栋"</f>
        <v>黄栋</v>
      </c>
      <c r="E45" s="6" t="str">
        <f t="shared" si="9"/>
        <v>男</v>
      </c>
      <c r="F45" s="7" t="s">
        <v>1013</v>
      </c>
    </row>
    <row r="46" spans="1:6" ht="20.100000000000001" customHeight="1" x14ac:dyDescent="0.15">
      <c r="A46" s="5">
        <v>43</v>
      </c>
      <c r="B46" s="6" t="str">
        <f>"30482021060218203076471"</f>
        <v>30482021060218203076471</v>
      </c>
      <c r="C46" s="6" t="s">
        <v>986</v>
      </c>
      <c r="D46" s="6" t="str">
        <f>"李青丽"</f>
        <v>李青丽</v>
      </c>
      <c r="E46" s="6" t="str">
        <f t="shared" ref="E46:E49" si="10">"女"</f>
        <v>女</v>
      </c>
      <c r="F46" s="7" t="s">
        <v>1014</v>
      </c>
    </row>
    <row r="47" spans="1:6" ht="20.100000000000001" customHeight="1" x14ac:dyDescent="0.15">
      <c r="A47" s="5">
        <v>44</v>
      </c>
      <c r="B47" s="6" t="str">
        <f>"30482021060218424076626"</f>
        <v>30482021060218424076626</v>
      </c>
      <c r="C47" s="6" t="s">
        <v>986</v>
      </c>
      <c r="D47" s="6" t="str">
        <f>"林何花"</f>
        <v>林何花</v>
      </c>
      <c r="E47" s="6" t="str">
        <f t="shared" si="10"/>
        <v>女</v>
      </c>
      <c r="F47" s="7" t="s">
        <v>44</v>
      </c>
    </row>
    <row r="48" spans="1:6" ht="20.100000000000001" customHeight="1" x14ac:dyDescent="0.15">
      <c r="A48" s="5">
        <v>45</v>
      </c>
      <c r="B48" s="6" t="str">
        <f>"30482021060219540977135"</f>
        <v>30482021060219540977135</v>
      </c>
      <c r="C48" s="6" t="s">
        <v>986</v>
      </c>
      <c r="D48" s="6" t="str">
        <f>"吴传雅"</f>
        <v>吴传雅</v>
      </c>
      <c r="E48" s="6" t="str">
        <f t="shared" si="10"/>
        <v>女</v>
      </c>
      <c r="F48" s="7" t="s">
        <v>247</v>
      </c>
    </row>
    <row r="49" spans="1:6" ht="20.100000000000001" customHeight="1" x14ac:dyDescent="0.15">
      <c r="A49" s="5">
        <v>46</v>
      </c>
      <c r="B49" s="6" t="str">
        <f>"30482021060220140077297"</f>
        <v>30482021060220140077297</v>
      </c>
      <c r="C49" s="6" t="s">
        <v>986</v>
      </c>
      <c r="D49" s="6" t="str">
        <f>"蒙柳君"</f>
        <v>蒙柳君</v>
      </c>
      <c r="E49" s="6" t="str">
        <f t="shared" si="10"/>
        <v>女</v>
      </c>
      <c r="F49" s="7" t="s">
        <v>140</v>
      </c>
    </row>
    <row r="50" spans="1:6" ht="20.100000000000001" customHeight="1" x14ac:dyDescent="0.15">
      <c r="A50" s="5">
        <v>47</v>
      </c>
      <c r="B50" s="6" t="str">
        <f>"30482021060220165577323"</f>
        <v>30482021060220165577323</v>
      </c>
      <c r="C50" s="6" t="s">
        <v>986</v>
      </c>
      <c r="D50" s="6" t="str">
        <f>"谢是良"</f>
        <v>谢是良</v>
      </c>
      <c r="E50" s="6" t="str">
        <f>"男"</f>
        <v>男</v>
      </c>
      <c r="F50" s="7" t="s">
        <v>1015</v>
      </c>
    </row>
    <row r="51" spans="1:6" ht="20.100000000000001" customHeight="1" x14ac:dyDescent="0.15">
      <c r="A51" s="5">
        <v>48</v>
      </c>
      <c r="B51" s="6" t="str">
        <f>"30482021060221141577816"</f>
        <v>30482021060221141577816</v>
      </c>
      <c r="C51" s="6" t="s">
        <v>986</v>
      </c>
      <c r="D51" s="6" t="str">
        <f>"郑丽娟"</f>
        <v>郑丽娟</v>
      </c>
      <c r="E51" s="6" t="str">
        <f t="shared" ref="E51:E55" si="11">"女"</f>
        <v>女</v>
      </c>
      <c r="F51" s="7" t="s">
        <v>1016</v>
      </c>
    </row>
    <row r="52" spans="1:6" ht="20.100000000000001" customHeight="1" x14ac:dyDescent="0.15">
      <c r="A52" s="5">
        <v>49</v>
      </c>
      <c r="B52" s="6" t="str">
        <f>"30482021060221252977921"</f>
        <v>30482021060221252977921</v>
      </c>
      <c r="C52" s="6" t="s">
        <v>986</v>
      </c>
      <c r="D52" s="6" t="str">
        <f>"汤超"</f>
        <v>汤超</v>
      </c>
      <c r="E52" s="6" t="str">
        <f t="shared" ref="E52:E57" si="12">"男"</f>
        <v>男</v>
      </c>
      <c r="F52" s="7" t="s">
        <v>1017</v>
      </c>
    </row>
    <row r="53" spans="1:6" ht="20.100000000000001" customHeight="1" x14ac:dyDescent="0.15">
      <c r="A53" s="5">
        <v>50</v>
      </c>
      <c r="B53" s="6" t="str">
        <f>"30482021060222060478226"</f>
        <v>30482021060222060478226</v>
      </c>
      <c r="C53" s="6" t="s">
        <v>986</v>
      </c>
      <c r="D53" s="6" t="str">
        <f>"王赛娟"</f>
        <v>王赛娟</v>
      </c>
      <c r="E53" s="6" t="str">
        <f t="shared" si="11"/>
        <v>女</v>
      </c>
      <c r="F53" s="7" t="s">
        <v>603</v>
      </c>
    </row>
    <row r="54" spans="1:6" ht="20.100000000000001" customHeight="1" x14ac:dyDescent="0.15">
      <c r="A54" s="5">
        <v>51</v>
      </c>
      <c r="B54" s="6" t="str">
        <f>"30482021060223131578731"</f>
        <v>30482021060223131578731</v>
      </c>
      <c r="C54" s="6" t="s">
        <v>986</v>
      </c>
      <c r="D54" s="6" t="str">
        <f>"郭海婷"</f>
        <v>郭海婷</v>
      </c>
      <c r="E54" s="6" t="str">
        <f t="shared" si="11"/>
        <v>女</v>
      </c>
      <c r="F54" s="7" t="s">
        <v>1018</v>
      </c>
    </row>
    <row r="55" spans="1:6" ht="20.100000000000001" customHeight="1" x14ac:dyDescent="0.15">
      <c r="A55" s="5">
        <v>52</v>
      </c>
      <c r="B55" s="6" t="str">
        <f>"30482021060223204578770"</f>
        <v>30482021060223204578770</v>
      </c>
      <c r="C55" s="6" t="s">
        <v>986</v>
      </c>
      <c r="D55" s="6" t="str">
        <f>"陈丽倩"</f>
        <v>陈丽倩</v>
      </c>
      <c r="E55" s="6" t="str">
        <f t="shared" si="11"/>
        <v>女</v>
      </c>
      <c r="F55" s="7" t="s">
        <v>684</v>
      </c>
    </row>
    <row r="56" spans="1:6" ht="20.100000000000001" customHeight="1" x14ac:dyDescent="0.15">
      <c r="A56" s="5">
        <v>53</v>
      </c>
      <c r="B56" s="6" t="str">
        <f>"30482021060300281479031"</f>
        <v>30482021060300281479031</v>
      </c>
      <c r="C56" s="6" t="s">
        <v>986</v>
      </c>
      <c r="D56" s="6" t="str">
        <f>"王善宇"</f>
        <v>王善宇</v>
      </c>
      <c r="E56" s="6" t="str">
        <f t="shared" si="12"/>
        <v>男</v>
      </c>
      <c r="F56" s="7" t="s">
        <v>1019</v>
      </c>
    </row>
    <row r="57" spans="1:6" ht="20.100000000000001" customHeight="1" x14ac:dyDescent="0.15">
      <c r="A57" s="5">
        <v>54</v>
      </c>
      <c r="B57" s="6" t="str">
        <f>"30482021060300371579050"</f>
        <v>30482021060300371579050</v>
      </c>
      <c r="C57" s="6" t="s">
        <v>986</v>
      </c>
      <c r="D57" s="6" t="str">
        <f>"王祚师"</f>
        <v>王祚师</v>
      </c>
      <c r="E57" s="6" t="str">
        <f t="shared" si="12"/>
        <v>男</v>
      </c>
      <c r="F57" s="7" t="s">
        <v>1020</v>
      </c>
    </row>
    <row r="58" spans="1:6" ht="20.100000000000001" customHeight="1" x14ac:dyDescent="0.15">
      <c r="A58" s="5">
        <v>55</v>
      </c>
      <c r="B58" s="6" t="str">
        <f>"30482021060308432579590"</f>
        <v>30482021060308432579590</v>
      </c>
      <c r="C58" s="6" t="s">
        <v>986</v>
      </c>
      <c r="D58" s="6" t="str">
        <f>"陈雪"</f>
        <v>陈雪</v>
      </c>
      <c r="E58" s="6" t="str">
        <f t="shared" ref="E58:E62" si="13">"女"</f>
        <v>女</v>
      </c>
      <c r="F58" s="7" t="s">
        <v>481</v>
      </c>
    </row>
    <row r="59" spans="1:6" ht="20.100000000000001" customHeight="1" x14ac:dyDescent="0.15">
      <c r="A59" s="5">
        <v>56</v>
      </c>
      <c r="B59" s="6" t="str">
        <f>"30482021060309494780501"</f>
        <v>30482021060309494780501</v>
      </c>
      <c r="C59" s="6" t="s">
        <v>986</v>
      </c>
      <c r="D59" s="6" t="str">
        <f>"吴育林"</f>
        <v>吴育林</v>
      </c>
      <c r="E59" s="6" t="str">
        <f t="shared" ref="E59:E63" si="14">"男"</f>
        <v>男</v>
      </c>
      <c r="F59" s="7" t="s">
        <v>829</v>
      </c>
    </row>
    <row r="60" spans="1:6" ht="20.100000000000001" customHeight="1" x14ac:dyDescent="0.15">
      <c r="A60" s="5">
        <v>57</v>
      </c>
      <c r="B60" s="6" t="str">
        <f>"30482021060309500480508"</f>
        <v>30482021060309500480508</v>
      </c>
      <c r="C60" s="6" t="s">
        <v>986</v>
      </c>
      <c r="D60" s="6" t="str">
        <f>"吉训俐"</f>
        <v>吉训俐</v>
      </c>
      <c r="E60" s="6" t="str">
        <f t="shared" si="13"/>
        <v>女</v>
      </c>
      <c r="F60" s="7" t="s">
        <v>1021</v>
      </c>
    </row>
    <row r="61" spans="1:6" ht="20.100000000000001" customHeight="1" x14ac:dyDescent="0.15">
      <c r="A61" s="5">
        <v>58</v>
      </c>
      <c r="B61" s="6" t="str">
        <f>"30482021060309522280547"</f>
        <v>30482021060309522280547</v>
      </c>
      <c r="C61" s="6" t="s">
        <v>986</v>
      </c>
      <c r="D61" s="6" t="str">
        <f>"吴盛"</f>
        <v>吴盛</v>
      </c>
      <c r="E61" s="6" t="str">
        <f t="shared" si="14"/>
        <v>男</v>
      </c>
      <c r="F61" s="7" t="s">
        <v>1022</v>
      </c>
    </row>
    <row r="62" spans="1:6" ht="20.100000000000001" customHeight="1" x14ac:dyDescent="0.15">
      <c r="A62" s="5">
        <v>59</v>
      </c>
      <c r="B62" s="6" t="str">
        <f>"30482021060319373187022"</f>
        <v>30482021060319373187022</v>
      </c>
      <c r="C62" s="6" t="s">
        <v>986</v>
      </c>
      <c r="D62" s="6" t="str">
        <f>"王敏"</f>
        <v>王敏</v>
      </c>
      <c r="E62" s="6" t="str">
        <f t="shared" si="13"/>
        <v>女</v>
      </c>
      <c r="F62" s="7" t="s">
        <v>887</v>
      </c>
    </row>
    <row r="63" spans="1:6" ht="20.100000000000001" customHeight="1" x14ac:dyDescent="0.15">
      <c r="A63" s="5">
        <v>60</v>
      </c>
      <c r="B63" s="6" t="str">
        <f>"30482021060323125189359"</f>
        <v>30482021060323125189359</v>
      </c>
      <c r="C63" s="6" t="s">
        <v>986</v>
      </c>
      <c r="D63" s="6" t="str">
        <f>"黄传翔"</f>
        <v>黄传翔</v>
      </c>
      <c r="E63" s="6" t="str">
        <f t="shared" si="14"/>
        <v>男</v>
      </c>
      <c r="F63" s="7" t="s">
        <v>1023</v>
      </c>
    </row>
    <row r="64" spans="1:6" ht="20.100000000000001" customHeight="1" x14ac:dyDescent="0.15">
      <c r="A64" s="5">
        <v>61</v>
      </c>
      <c r="B64" s="6" t="str">
        <f>"30482021060323150989373"</f>
        <v>30482021060323150989373</v>
      </c>
      <c r="C64" s="6" t="s">
        <v>986</v>
      </c>
      <c r="D64" s="6" t="str">
        <f>"杨晓敏"</f>
        <v>杨晓敏</v>
      </c>
      <c r="E64" s="6" t="str">
        <f t="shared" ref="E64:E68" si="15">"女"</f>
        <v>女</v>
      </c>
      <c r="F64" s="7" t="s">
        <v>457</v>
      </c>
    </row>
    <row r="65" spans="1:6" ht="20.100000000000001" customHeight="1" x14ac:dyDescent="0.15">
      <c r="A65" s="5">
        <v>62</v>
      </c>
      <c r="B65" s="6" t="str">
        <f>"30482021060409052890643"</f>
        <v>30482021060409052890643</v>
      </c>
      <c r="C65" s="6" t="s">
        <v>986</v>
      </c>
      <c r="D65" s="6" t="str">
        <f>"黄莉茱"</f>
        <v>黄莉茱</v>
      </c>
      <c r="E65" s="6" t="str">
        <f t="shared" si="15"/>
        <v>女</v>
      </c>
      <c r="F65" s="7" t="s">
        <v>721</v>
      </c>
    </row>
    <row r="66" spans="1:6" ht="20.100000000000001" customHeight="1" x14ac:dyDescent="0.15">
      <c r="A66" s="5">
        <v>63</v>
      </c>
      <c r="B66" s="6" t="str">
        <f>"30482021060409561391230"</f>
        <v>30482021060409561391230</v>
      </c>
      <c r="C66" s="6" t="s">
        <v>986</v>
      </c>
      <c r="D66" s="6" t="str">
        <f>"胡绍海"</f>
        <v>胡绍海</v>
      </c>
      <c r="E66" s="6" t="str">
        <f t="shared" ref="E66:E70" si="16">"男"</f>
        <v>男</v>
      </c>
      <c r="F66" s="7" t="s">
        <v>1024</v>
      </c>
    </row>
    <row r="67" spans="1:6" ht="20.100000000000001" customHeight="1" x14ac:dyDescent="0.15">
      <c r="A67" s="5">
        <v>64</v>
      </c>
      <c r="B67" s="6" t="str">
        <f>"30482021060410151991487"</f>
        <v>30482021060410151991487</v>
      </c>
      <c r="C67" s="6" t="s">
        <v>986</v>
      </c>
      <c r="D67" s="6" t="str">
        <f>"梁雪君"</f>
        <v>梁雪君</v>
      </c>
      <c r="E67" s="6" t="str">
        <f t="shared" si="15"/>
        <v>女</v>
      </c>
      <c r="F67" s="7" t="s">
        <v>527</v>
      </c>
    </row>
    <row r="68" spans="1:6" ht="20.100000000000001" customHeight="1" x14ac:dyDescent="0.15">
      <c r="A68" s="5">
        <v>65</v>
      </c>
      <c r="B68" s="6" t="str">
        <f>"30482021060410254091646"</f>
        <v>30482021060410254091646</v>
      </c>
      <c r="C68" s="6" t="s">
        <v>986</v>
      </c>
      <c r="D68" s="6" t="str">
        <f>"严海丹"</f>
        <v>严海丹</v>
      </c>
      <c r="E68" s="6" t="str">
        <f t="shared" si="15"/>
        <v>女</v>
      </c>
      <c r="F68" s="7" t="s">
        <v>439</v>
      </c>
    </row>
    <row r="69" spans="1:6" ht="20.100000000000001" customHeight="1" x14ac:dyDescent="0.15">
      <c r="A69" s="5">
        <v>66</v>
      </c>
      <c r="B69" s="6" t="str">
        <f>"30482021060410490991951"</f>
        <v>30482021060410490991951</v>
      </c>
      <c r="C69" s="6" t="s">
        <v>986</v>
      </c>
      <c r="D69" s="6" t="str">
        <f>"王谋栋"</f>
        <v>王谋栋</v>
      </c>
      <c r="E69" s="6" t="str">
        <f t="shared" si="16"/>
        <v>男</v>
      </c>
      <c r="F69" s="7" t="s">
        <v>1025</v>
      </c>
    </row>
    <row r="70" spans="1:6" ht="20.100000000000001" customHeight="1" x14ac:dyDescent="0.15">
      <c r="A70" s="5">
        <v>67</v>
      </c>
      <c r="B70" s="6" t="str">
        <f>"30482021060415092996028"</f>
        <v>30482021060415092996028</v>
      </c>
      <c r="C70" s="6" t="s">
        <v>986</v>
      </c>
      <c r="D70" s="6" t="str">
        <f>"何炎"</f>
        <v>何炎</v>
      </c>
      <c r="E70" s="6" t="str">
        <f t="shared" si="16"/>
        <v>男</v>
      </c>
      <c r="F70" s="7" t="s">
        <v>1026</v>
      </c>
    </row>
    <row r="71" spans="1:6" ht="20.100000000000001" customHeight="1" x14ac:dyDescent="0.15">
      <c r="A71" s="5">
        <v>68</v>
      </c>
      <c r="B71" s="6" t="str">
        <f>"30482021060416542697458"</f>
        <v>30482021060416542697458</v>
      </c>
      <c r="C71" s="6" t="s">
        <v>986</v>
      </c>
      <c r="D71" s="6" t="str">
        <f>"李燕"</f>
        <v>李燕</v>
      </c>
      <c r="E71" s="6" t="str">
        <f t="shared" ref="E71:E74" si="17">"女"</f>
        <v>女</v>
      </c>
      <c r="F71" s="7" t="s">
        <v>1027</v>
      </c>
    </row>
    <row r="72" spans="1:6" ht="20.100000000000001" customHeight="1" x14ac:dyDescent="0.15">
      <c r="A72" s="5">
        <v>69</v>
      </c>
      <c r="B72" s="6" t="str">
        <f>"30482021060417000497528"</f>
        <v>30482021060417000497528</v>
      </c>
      <c r="C72" s="6" t="s">
        <v>986</v>
      </c>
      <c r="D72" s="6" t="str">
        <f>"邓小转"</f>
        <v>邓小转</v>
      </c>
      <c r="E72" s="6" t="str">
        <f t="shared" si="17"/>
        <v>女</v>
      </c>
      <c r="F72" s="7" t="s">
        <v>160</v>
      </c>
    </row>
    <row r="73" spans="1:6" ht="20.100000000000001" customHeight="1" x14ac:dyDescent="0.15">
      <c r="A73" s="5">
        <v>70</v>
      </c>
      <c r="B73" s="6" t="str">
        <f>"30482021060421180299558"</f>
        <v>30482021060421180299558</v>
      </c>
      <c r="C73" s="6" t="s">
        <v>986</v>
      </c>
      <c r="D73" s="6" t="str">
        <f>"陈道飞"</f>
        <v>陈道飞</v>
      </c>
      <c r="E73" s="6" t="str">
        <f>"男"</f>
        <v>男</v>
      </c>
      <c r="F73" s="7" t="s">
        <v>1028</v>
      </c>
    </row>
    <row r="74" spans="1:6" ht="20.100000000000001" customHeight="1" x14ac:dyDescent="0.15">
      <c r="A74" s="5">
        <v>71</v>
      </c>
      <c r="B74" s="6" t="str">
        <f>"30482021060422014999682"</f>
        <v>30482021060422014999682</v>
      </c>
      <c r="C74" s="6" t="s">
        <v>986</v>
      </c>
      <c r="D74" s="6" t="str">
        <f>"王冰"</f>
        <v>王冰</v>
      </c>
      <c r="E74" s="6" t="str">
        <f t="shared" si="17"/>
        <v>女</v>
      </c>
      <c r="F74" s="7" t="s">
        <v>1029</v>
      </c>
    </row>
    <row r="75" spans="1:6" ht="20.100000000000001" customHeight="1" x14ac:dyDescent="0.15">
      <c r="A75" s="5">
        <v>72</v>
      </c>
      <c r="B75" s="6" t="str">
        <f>"304820210605082946100168"</f>
        <v>304820210605082946100168</v>
      </c>
      <c r="C75" s="6" t="s">
        <v>986</v>
      </c>
      <c r="D75" s="6" t="str">
        <f>"林国鸿"</f>
        <v>林国鸿</v>
      </c>
      <c r="E75" s="6" t="str">
        <f>"男"</f>
        <v>男</v>
      </c>
      <c r="F75" s="7" t="s">
        <v>1030</v>
      </c>
    </row>
    <row r="76" spans="1:6" ht="20.100000000000001" customHeight="1" x14ac:dyDescent="0.15">
      <c r="A76" s="5">
        <v>73</v>
      </c>
      <c r="B76" s="6" t="str">
        <f>"304820210605112527100619"</f>
        <v>304820210605112527100619</v>
      </c>
      <c r="C76" s="6" t="s">
        <v>986</v>
      </c>
      <c r="D76" s="6" t="str">
        <f>"李华川"</f>
        <v>李华川</v>
      </c>
      <c r="E76" s="6" t="str">
        <f t="shared" ref="E76:E80" si="18">"女"</f>
        <v>女</v>
      </c>
      <c r="F76" s="7" t="s">
        <v>1031</v>
      </c>
    </row>
    <row r="77" spans="1:6" ht="20.100000000000001" customHeight="1" x14ac:dyDescent="0.15">
      <c r="A77" s="5">
        <v>74</v>
      </c>
      <c r="B77" s="6" t="str">
        <f>"304820210605114758100683"</f>
        <v>304820210605114758100683</v>
      </c>
      <c r="C77" s="6" t="s">
        <v>986</v>
      </c>
      <c r="D77" s="6" t="str">
        <f>"谢宛燃"</f>
        <v>谢宛燃</v>
      </c>
      <c r="E77" s="6" t="str">
        <f t="shared" si="18"/>
        <v>女</v>
      </c>
      <c r="F77" s="7" t="s">
        <v>250</v>
      </c>
    </row>
    <row r="78" spans="1:6" ht="20.100000000000001" customHeight="1" x14ac:dyDescent="0.15">
      <c r="A78" s="5">
        <v>75</v>
      </c>
      <c r="B78" s="6" t="str">
        <f>"304820210605174409101628"</f>
        <v>304820210605174409101628</v>
      </c>
      <c r="C78" s="6" t="s">
        <v>986</v>
      </c>
      <c r="D78" s="6" t="str">
        <f>"冯晓静"</f>
        <v>冯晓静</v>
      </c>
      <c r="E78" s="6" t="str">
        <f t="shared" si="18"/>
        <v>女</v>
      </c>
      <c r="F78" s="7" t="s">
        <v>537</v>
      </c>
    </row>
    <row r="79" spans="1:6" ht="20.100000000000001" customHeight="1" x14ac:dyDescent="0.15">
      <c r="A79" s="5">
        <v>76</v>
      </c>
      <c r="B79" s="6" t="str">
        <f>"304820210605215037102258"</f>
        <v>304820210605215037102258</v>
      </c>
      <c r="C79" s="6" t="s">
        <v>986</v>
      </c>
      <c r="D79" s="6" t="str">
        <f>"王艳可"</f>
        <v>王艳可</v>
      </c>
      <c r="E79" s="6" t="str">
        <f t="shared" si="18"/>
        <v>女</v>
      </c>
      <c r="F79" s="7" t="s">
        <v>1032</v>
      </c>
    </row>
    <row r="80" spans="1:6" ht="20.100000000000001" customHeight="1" x14ac:dyDescent="0.15">
      <c r="A80" s="5">
        <v>77</v>
      </c>
      <c r="B80" s="6" t="str">
        <f>"304820210605224107102407"</f>
        <v>304820210605224107102407</v>
      </c>
      <c r="C80" s="6" t="s">
        <v>986</v>
      </c>
      <c r="D80" s="6" t="str">
        <f>"陈益娇"</f>
        <v>陈益娇</v>
      </c>
      <c r="E80" s="6" t="str">
        <f t="shared" si="18"/>
        <v>女</v>
      </c>
      <c r="F80" s="7" t="s">
        <v>1033</v>
      </c>
    </row>
    <row r="81" spans="1:6" ht="20.100000000000001" customHeight="1" x14ac:dyDescent="0.15">
      <c r="A81" s="5">
        <v>78</v>
      </c>
      <c r="B81" s="6" t="str">
        <f>"304820210606104858103081"</f>
        <v>304820210606104858103081</v>
      </c>
      <c r="C81" s="6" t="s">
        <v>986</v>
      </c>
      <c r="D81" s="6" t="str">
        <f>"王民政"</f>
        <v>王民政</v>
      </c>
      <c r="E81" s="6" t="str">
        <f>"男"</f>
        <v>男</v>
      </c>
      <c r="F81" s="7" t="s">
        <v>1034</v>
      </c>
    </row>
    <row r="82" spans="1:6" ht="20.100000000000001" customHeight="1" x14ac:dyDescent="0.15">
      <c r="A82" s="5">
        <v>79</v>
      </c>
      <c r="B82" s="6" t="str">
        <f>"304820210606105657103107"</f>
        <v>304820210606105657103107</v>
      </c>
      <c r="C82" s="6" t="s">
        <v>986</v>
      </c>
      <c r="D82" s="6" t="str">
        <f>"钟斯爱"</f>
        <v>钟斯爱</v>
      </c>
      <c r="E82" s="6" t="str">
        <f t="shared" ref="E82:E84" si="19">"女"</f>
        <v>女</v>
      </c>
      <c r="F82" s="7" t="s">
        <v>1035</v>
      </c>
    </row>
    <row r="83" spans="1:6" ht="20.100000000000001" customHeight="1" x14ac:dyDescent="0.15">
      <c r="A83" s="5">
        <v>80</v>
      </c>
      <c r="B83" s="6" t="str">
        <f>"304820210606112331103185"</f>
        <v>304820210606112331103185</v>
      </c>
      <c r="C83" s="6" t="s">
        <v>986</v>
      </c>
      <c r="D83" s="6" t="str">
        <f>"黄雨霞"</f>
        <v>黄雨霞</v>
      </c>
      <c r="E83" s="6" t="str">
        <f t="shared" si="19"/>
        <v>女</v>
      </c>
      <c r="F83" s="7" t="s">
        <v>141</v>
      </c>
    </row>
    <row r="84" spans="1:6" ht="20.100000000000001" customHeight="1" x14ac:dyDescent="0.15">
      <c r="A84" s="5">
        <v>81</v>
      </c>
      <c r="B84" s="6" t="str">
        <f>"304820210606131358103511"</f>
        <v>304820210606131358103511</v>
      </c>
      <c r="C84" s="6" t="s">
        <v>986</v>
      </c>
      <c r="D84" s="6" t="str">
        <f>"黎秋侬"</f>
        <v>黎秋侬</v>
      </c>
      <c r="E84" s="6" t="str">
        <f t="shared" si="19"/>
        <v>女</v>
      </c>
      <c r="F84" s="7" t="s">
        <v>1036</v>
      </c>
    </row>
    <row r="85" spans="1:6" ht="20.100000000000001" customHeight="1" x14ac:dyDescent="0.15">
      <c r="A85" s="5">
        <v>82</v>
      </c>
      <c r="B85" s="6" t="str">
        <f>"304820210606151039103815"</f>
        <v>304820210606151039103815</v>
      </c>
      <c r="C85" s="6" t="s">
        <v>986</v>
      </c>
      <c r="D85" s="6" t="str">
        <f>"何冠京"</f>
        <v>何冠京</v>
      </c>
      <c r="E85" s="6" t="str">
        <f>"男"</f>
        <v>男</v>
      </c>
      <c r="F85" s="7" t="s">
        <v>15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875" style="1" customWidth="1"/>
    <col min="2" max="2" width="24.625" style="1" customWidth="1"/>
    <col min="3" max="3" width="14.125" style="1" customWidth="1"/>
    <col min="4" max="4" width="9.75" style="1" customWidth="1"/>
    <col min="5" max="5" width="8.125" style="1" customWidth="1"/>
    <col min="6" max="6" width="13.8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"30482021060114043563484"</f>
        <v>30482021060114043563484</v>
      </c>
      <c r="C4" s="6" t="s">
        <v>1037</v>
      </c>
      <c r="D4" s="6" t="str">
        <f>"许妍"</f>
        <v>许妍</v>
      </c>
      <c r="E4" s="6" t="str">
        <f t="shared" ref="E4:E22" si="0">"女"</f>
        <v>女</v>
      </c>
      <c r="F4" s="7" t="s">
        <v>638</v>
      </c>
    </row>
    <row r="5" spans="1:6" ht="20.100000000000001" customHeight="1" x14ac:dyDescent="0.15">
      <c r="A5" s="5">
        <v>2</v>
      </c>
      <c r="B5" s="6" t="str">
        <f>"30482021060114070363522"</f>
        <v>30482021060114070363522</v>
      </c>
      <c r="C5" s="6" t="s">
        <v>1037</v>
      </c>
      <c r="D5" s="6" t="str">
        <f>"吴丽娃"</f>
        <v>吴丽娃</v>
      </c>
      <c r="E5" s="6" t="str">
        <f t="shared" si="0"/>
        <v>女</v>
      </c>
      <c r="F5" s="7" t="s">
        <v>1038</v>
      </c>
    </row>
    <row r="6" spans="1:6" ht="20.100000000000001" customHeight="1" x14ac:dyDescent="0.15">
      <c r="A6" s="5">
        <v>3</v>
      </c>
      <c r="B6" s="6" t="str">
        <f>"30482021060114173863619"</f>
        <v>30482021060114173863619</v>
      </c>
      <c r="C6" s="6" t="s">
        <v>1037</v>
      </c>
      <c r="D6" s="6" t="str">
        <f>"钟小珍"</f>
        <v>钟小珍</v>
      </c>
      <c r="E6" s="6" t="str">
        <f t="shared" si="0"/>
        <v>女</v>
      </c>
      <c r="F6" s="7" t="s">
        <v>1039</v>
      </c>
    </row>
    <row r="7" spans="1:6" ht="20.100000000000001" customHeight="1" x14ac:dyDescent="0.15">
      <c r="A7" s="5">
        <v>4</v>
      </c>
      <c r="B7" s="6" t="str">
        <f>"30482021060116124465034"</f>
        <v>30482021060116124465034</v>
      </c>
      <c r="C7" s="6" t="s">
        <v>1037</v>
      </c>
      <c r="D7" s="6" t="str">
        <f>"赵海燕"</f>
        <v>赵海燕</v>
      </c>
      <c r="E7" s="6" t="str">
        <f t="shared" si="0"/>
        <v>女</v>
      </c>
      <c r="F7" s="7" t="s">
        <v>372</v>
      </c>
    </row>
    <row r="8" spans="1:6" ht="20.100000000000001" customHeight="1" x14ac:dyDescent="0.15">
      <c r="A8" s="5">
        <v>5</v>
      </c>
      <c r="B8" s="6" t="str">
        <f>"30482021060116344065360"</f>
        <v>30482021060116344065360</v>
      </c>
      <c r="C8" s="6" t="s">
        <v>1037</v>
      </c>
      <c r="D8" s="6" t="str">
        <f>"王初鸾"</f>
        <v>王初鸾</v>
      </c>
      <c r="E8" s="6" t="str">
        <f t="shared" si="0"/>
        <v>女</v>
      </c>
      <c r="F8" s="7" t="s">
        <v>221</v>
      </c>
    </row>
    <row r="9" spans="1:6" ht="20.100000000000001" customHeight="1" x14ac:dyDescent="0.15">
      <c r="A9" s="5">
        <v>6</v>
      </c>
      <c r="B9" s="6" t="str">
        <f>"30482021060117434966170"</f>
        <v>30482021060117434966170</v>
      </c>
      <c r="C9" s="6" t="s">
        <v>1037</v>
      </c>
      <c r="D9" s="6" t="str">
        <f>"张宝月"</f>
        <v>张宝月</v>
      </c>
      <c r="E9" s="6" t="str">
        <f t="shared" si="0"/>
        <v>女</v>
      </c>
      <c r="F9" s="7" t="s">
        <v>1040</v>
      </c>
    </row>
    <row r="10" spans="1:6" ht="20.100000000000001" customHeight="1" x14ac:dyDescent="0.15">
      <c r="A10" s="5">
        <v>7</v>
      </c>
      <c r="B10" s="6" t="str">
        <f>"30482021060119483667179"</f>
        <v>30482021060119483667179</v>
      </c>
      <c r="C10" s="6" t="s">
        <v>1037</v>
      </c>
      <c r="D10" s="6" t="str">
        <f>"符冬虹"</f>
        <v>符冬虹</v>
      </c>
      <c r="E10" s="6" t="str">
        <f t="shared" si="0"/>
        <v>女</v>
      </c>
      <c r="F10" s="7" t="s">
        <v>1041</v>
      </c>
    </row>
    <row r="11" spans="1:6" ht="20.100000000000001" customHeight="1" x14ac:dyDescent="0.15">
      <c r="A11" s="5">
        <v>8</v>
      </c>
      <c r="B11" s="6" t="str">
        <f>"30482021060209194971331"</f>
        <v>30482021060209194971331</v>
      </c>
      <c r="C11" s="6" t="s">
        <v>1037</v>
      </c>
      <c r="D11" s="6" t="str">
        <f>"韦美竹"</f>
        <v>韦美竹</v>
      </c>
      <c r="E11" s="6" t="str">
        <f t="shared" si="0"/>
        <v>女</v>
      </c>
      <c r="F11" s="7" t="s">
        <v>1042</v>
      </c>
    </row>
    <row r="12" spans="1:6" ht="20.100000000000001" customHeight="1" x14ac:dyDescent="0.15">
      <c r="A12" s="5">
        <v>9</v>
      </c>
      <c r="B12" s="6" t="str">
        <f>"30482021060211501273210"</f>
        <v>30482021060211501273210</v>
      </c>
      <c r="C12" s="6" t="s">
        <v>1037</v>
      </c>
      <c r="D12" s="6" t="str">
        <f>"唐丽丹"</f>
        <v>唐丽丹</v>
      </c>
      <c r="E12" s="6" t="str">
        <f t="shared" si="0"/>
        <v>女</v>
      </c>
      <c r="F12" s="7" t="s">
        <v>1043</v>
      </c>
    </row>
    <row r="13" spans="1:6" ht="20.100000000000001" customHeight="1" x14ac:dyDescent="0.15">
      <c r="A13" s="5">
        <v>10</v>
      </c>
      <c r="B13" s="6" t="str">
        <f>"30482021060214112874209"</f>
        <v>30482021060214112874209</v>
      </c>
      <c r="C13" s="6" t="s">
        <v>1037</v>
      </c>
      <c r="D13" s="6" t="str">
        <f>"赵健婷"</f>
        <v>赵健婷</v>
      </c>
      <c r="E13" s="6" t="str">
        <f t="shared" si="0"/>
        <v>女</v>
      </c>
      <c r="F13" s="7" t="s">
        <v>743</v>
      </c>
    </row>
    <row r="14" spans="1:6" ht="20.100000000000001" customHeight="1" x14ac:dyDescent="0.15">
      <c r="A14" s="5">
        <v>11</v>
      </c>
      <c r="B14" s="6" t="str">
        <f>"30482021060214511274493"</f>
        <v>30482021060214511274493</v>
      </c>
      <c r="C14" s="6" t="s">
        <v>1037</v>
      </c>
      <c r="D14" s="6" t="str">
        <f>"杨裕丽"</f>
        <v>杨裕丽</v>
      </c>
      <c r="E14" s="6" t="str">
        <f t="shared" si="0"/>
        <v>女</v>
      </c>
      <c r="F14" s="7" t="s">
        <v>1044</v>
      </c>
    </row>
    <row r="15" spans="1:6" ht="20.100000000000001" customHeight="1" x14ac:dyDescent="0.15">
      <c r="A15" s="5">
        <v>12</v>
      </c>
      <c r="B15" s="6" t="str">
        <f>"30482021060216083075338"</f>
        <v>30482021060216083075338</v>
      </c>
      <c r="C15" s="6" t="s">
        <v>1037</v>
      </c>
      <c r="D15" s="6" t="str">
        <f>"赵敏"</f>
        <v>赵敏</v>
      </c>
      <c r="E15" s="6" t="str">
        <f t="shared" si="0"/>
        <v>女</v>
      </c>
      <c r="F15" s="7" t="s">
        <v>1045</v>
      </c>
    </row>
    <row r="16" spans="1:6" ht="20.100000000000001" customHeight="1" x14ac:dyDescent="0.15">
      <c r="A16" s="5">
        <v>13</v>
      </c>
      <c r="B16" s="6" t="str">
        <f>"30482021060217441476214"</f>
        <v>30482021060217441476214</v>
      </c>
      <c r="C16" s="6" t="s">
        <v>1037</v>
      </c>
      <c r="D16" s="6" t="str">
        <f>"胡晶晶"</f>
        <v>胡晶晶</v>
      </c>
      <c r="E16" s="6" t="str">
        <f t="shared" si="0"/>
        <v>女</v>
      </c>
      <c r="F16" s="7" t="s">
        <v>1046</v>
      </c>
    </row>
    <row r="17" spans="1:6" ht="20.100000000000001" customHeight="1" x14ac:dyDescent="0.15">
      <c r="A17" s="5">
        <v>14</v>
      </c>
      <c r="B17" s="6" t="str">
        <f>"30482021060218412476616"</f>
        <v>30482021060218412476616</v>
      </c>
      <c r="C17" s="6" t="s">
        <v>1037</v>
      </c>
      <c r="D17" s="6" t="str">
        <f>"黄小殷"</f>
        <v>黄小殷</v>
      </c>
      <c r="E17" s="6" t="str">
        <f t="shared" si="0"/>
        <v>女</v>
      </c>
      <c r="F17" s="7" t="s">
        <v>177</v>
      </c>
    </row>
    <row r="18" spans="1:6" ht="20.100000000000001" customHeight="1" x14ac:dyDescent="0.15">
      <c r="A18" s="5">
        <v>15</v>
      </c>
      <c r="B18" s="6" t="str">
        <f>"30482021060220414577550"</f>
        <v>30482021060220414577550</v>
      </c>
      <c r="C18" s="6" t="s">
        <v>1037</v>
      </c>
      <c r="D18" s="6" t="str">
        <f>"林芳妃"</f>
        <v>林芳妃</v>
      </c>
      <c r="E18" s="6" t="str">
        <f t="shared" si="0"/>
        <v>女</v>
      </c>
      <c r="F18" s="7" t="s">
        <v>157</v>
      </c>
    </row>
    <row r="19" spans="1:6" ht="20.100000000000001" customHeight="1" x14ac:dyDescent="0.15">
      <c r="A19" s="5">
        <v>16</v>
      </c>
      <c r="B19" s="6" t="str">
        <f>"30482021060222255878388"</f>
        <v>30482021060222255878388</v>
      </c>
      <c r="C19" s="6" t="s">
        <v>1037</v>
      </c>
      <c r="D19" s="6" t="str">
        <f>"韩文雅"</f>
        <v>韩文雅</v>
      </c>
      <c r="E19" s="6" t="str">
        <f t="shared" si="0"/>
        <v>女</v>
      </c>
      <c r="F19" s="7" t="s">
        <v>95</v>
      </c>
    </row>
    <row r="20" spans="1:6" ht="20.100000000000001" customHeight="1" x14ac:dyDescent="0.15">
      <c r="A20" s="5">
        <v>17</v>
      </c>
      <c r="B20" s="6" t="str">
        <f>"30482021060311034681726"</f>
        <v>30482021060311034681726</v>
      </c>
      <c r="C20" s="6" t="s">
        <v>1037</v>
      </c>
      <c r="D20" s="6" t="str">
        <f>"莫常玉"</f>
        <v>莫常玉</v>
      </c>
      <c r="E20" s="6" t="str">
        <f t="shared" si="0"/>
        <v>女</v>
      </c>
      <c r="F20" s="7" t="s">
        <v>1047</v>
      </c>
    </row>
    <row r="21" spans="1:6" ht="20.100000000000001" customHeight="1" x14ac:dyDescent="0.15">
      <c r="A21" s="5">
        <v>18</v>
      </c>
      <c r="B21" s="6" t="str">
        <f>"30482021060314264483675"</f>
        <v>30482021060314264483675</v>
      </c>
      <c r="C21" s="6" t="s">
        <v>1037</v>
      </c>
      <c r="D21" s="6" t="str">
        <f>"林声芳"</f>
        <v>林声芳</v>
      </c>
      <c r="E21" s="6" t="str">
        <f t="shared" si="0"/>
        <v>女</v>
      </c>
      <c r="F21" s="7" t="s">
        <v>21</v>
      </c>
    </row>
    <row r="22" spans="1:6" ht="20.100000000000001" customHeight="1" x14ac:dyDescent="0.15">
      <c r="A22" s="5">
        <v>19</v>
      </c>
      <c r="B22" s="6" t="str">
        <f>"30482021060317150985759"</f>
        <v>30482021060317150985759</v>
      </c>
      <c r="C22" s="6" t="s">
        <v>1037</v>
      </c>
      <c r="D22" s="6" t="str">
        <f>"陈惠仪"</f>
        <v>陈惠仪</v>
      </c>
      <c r="E22" s="6" t="str">
        <f t="shared" si="0"/>
        <v>女</v>
      </c>
      <c r="F22" s="7" t="s">
        <v>302</v>
      </c>
    </row>
    <row r="23" spans="1:6" ht="20.100000000000001" customHeight="1" x14ac:dyDescent="0.15">
      <c r="A23" s="5">
        <v>20</v>
      </c>
      <c r="B23" s="6" t="str">
        <f>"30482021060319112686805"</f>
        <v>30482021060319112686805</v>
      </c>
      <c r="C23" s="6" t="s">
        <v>1037</v>
      </c>
      <c r="D23" s="6" t="str">
        <f>"朱成龙"</f>
        <v>朱成龙</v>
      </c>
      <c r="E23" s="6" t="str">
        <f>"男"</f>
        <v>男</v>
      </c>
      <c r="F23" s="7" t="s">
        <v>1048</v>
      </c>
    </row>
    <row r="24" spans="1:6" ht="20.100000000000001" customHeight="1" x14ac:dyDescent="0.15">
      <c r="A24" s="5">
        <v>21</v>
      </c>
      <c r="B24" s="6" t="str">
        <f>"30482021060323460289584"</f>
        <v>30482021060323460289584</v>
      </c>
      <c r="C24" s="6" t="s">
        <v>1037</v>
      </c>
      <c r="D24" s="6" t="str">
        <f>"文昌召"</f>
        <v>文昌召</v>
      </c>
      <c r="E24" s="6" t="str">
        <f t="shared" ref="E24:E39" si="1">"女"</f>
        <v>女</v>
      </c>
      <c r="F24" s="7" t="s">
        <v>1049</v>
      </c>
    </row>
    <row r="25" spans="1:6" ht="20.100000000000001" customHeight="1" x14ac:dyDescent="0.15">
      <c r="A25" s="5">
        <v>22</v>
      </c>
      <c r="B25" s="6" t="str">
        <f>"30482021060410532191999"</f>
        <v>30482021060410532191999</v>
      </c>
      <c r="C25" s="6" t="s">
        <v>1037</v>
      </c>
      <c r="D25" s="6" t="str">
        <f>"郭义惠"</f>
        <v>郭义惠</v>
      </c>
      <c r="E25" s="6" t="str">
        <f t="shared" si="1"/>
        <v>女</v>
      </c>
      <c r="F25" s="7" t="s">
        <v>1050</v>
      </c>
    </row>
    <row r="26" spans="1:6" ht="20.100000000000001" customHeight="1" x14ac:dyDescent="0.15">
      <c r="A26" s="5">
        <v>23</v>
      </c>
      <c r="B26" s="6" t="str">
        <f>"30482021060412123493475"</f>
        <v>30482021060412123493475</v>
      </c>
      <c r="C26" s="6" t="s">
        <v>1037</v>
      </c>
      <c r="D26" s="6" t="str">
        <f>"林小娇"</f>
        <v>林小娇</v>
      </c>
      <c r="E26" s="6" t="str">
        <f t="shared" si="1"/>
        <v>女</v>
      </c>
      <c r="F26" s="7" t="s">
        <v>27</v>
      </c>
    </row>
    <row r="27" spans="1:6" ht="20.100000000000001" customHeight="1" x14ac:dyDescent="0.15">
      <c r="A27" s="5">
        <v>24</v>
      </c>
      <c r="B27" s="6" t="str">
        <f>"30482021060413415694415"</f>
        <v>30482021060413415694415</v>
      </c>
      <c r="C27" s="6" t="s">
        <v>1037</v>
      </c>
      <c r="D27" s="6" t="str">
        <f>"吴群"</f>
        <v>吴群</v>
      </c>
      <c r="E27" s="6" t="str">
        <f t="shared" si="1"/>
        <v>女</v>
      </c>
      <c r="F27" s="7" t="s">
        <v>549</v>
      </c>
    </row>
    <row r="28" spans="1:6" ht="20.100000000000001" customHeight="1" x14ac:dyDescent="0.15">
      <c r="A28" s="5">
        <v>25</v>
      </c>
      <c r="B28" s="6" t="str">
        <f>"30482021060416210697016"</f>
        <v>30482021060416210697016</v>
      </c>
      <c r="C28" s="6" t="s">
        <v>1037</v>
      </c>
      <c r="D28" s="6" t="str">
        <f>"李丽萍"</f>
        <v>李丽萍</v>
      </c>
      <c r="E28" s="6" t="str">
        <f t="shared" si="1"/>
        <v>女</v>
      </c>
      <c r="F28" s="7" t="s">
        <v>1051</v>
      </c>
    </row>
    <row r="29" spans="1:6" ht="20.100000000000001" customHeight="1" x14ac:dyDescent="0.15">
      <c r="A29" s="5">
        <v>26</v>
      </c>
      <c r="B29" s="6" t="str">
        <f>"30482021060417310597948"</f>
        <v>30482021060417310597948</v>
      </c>
      <c r="C29" s="6" t="s">
        <v>1037</v>
      </c>
      <c r="D29" s="6" t="str">
        <f>"陈泰苑"</f>
        <v>陈泰苑</v>
      </c>
      <c r="E29" s="6" t="str">
        <f t="shared" si="1"/>
        <v>女</v>
      </c>
      <c r="F29" s="7" t="s">
        <v>1052</v>
      </c>
    </row>
    <row r="30" spans="1:6" ht="20.100000000000001" customHeight="1" x14ac:dyDescent="0.15">
      <c r="A30" s="5">
        <v>27</v>
      </c>
      <c r="B30" s="6" t="str">
        <f>"30482021060422572299852"</f>
        <v>30482021060422572299852</v>
      </c>
      <c r="C30" s="6" t="s">
        <v>1037</v>
      </c>
      <c r="D30" s="6" t="str">
        <f>"邱天丽"</f>
        <v>邱天丽</v>
      </c>
      <c r="E30" s="6" t="str">
        <f t="shared" si="1"/>
        <v>女</v>
      </c>
      <c r="F30" s="7" t="s">
        <v>37</v>
      </c>
    </row>
    <row r="31" spans="1:6" ht="20.100000000000001" customHeight="1" x14ac:dyDescent="0.15">
      <c r="A31" s="5">
        <v>28</v>
      </c>
      <c r="B31" s="6" t="str">
        <f>"304820210605084203100188"</f>
        <v>304820210605084203100188</v>
      </c>
      <c r="C31" s="6" t="s">
        <v>1037</v>
      </c>
      <c r="D31" s="6" t="str">
        <f>"潘思雨"</f>
        <v>潘思雨</v>
      </c>
      <c r="E31" s="6" t="str">
        <f t="shared" si="1"/>
        <v>女</v>
      </c>
      <c r="F31" s="7" t="s">
        <v>1053</v>
      </c>
    </row>
    <row r="32" spans="1:6" ht="20.100000000000001" customHeight="1" x14ac:dyDescent="0.15">
      <c r="A32" s="5">
        <v>29</v>
      </c>
      <c r="B32" s="6" t="str">
        <f>"304820210605112307100612"</f>
        <v>304820210605112307100612</v>
      </c>
      <c r="C32" s="6" t="s">
        <v>1037</v>
      </c>
      <c r="D32" s="6" t="str">
        <f>"符文群"</f>
        <v>符文群</v>
      </c>
      <c r="E32" s="6" t="str">
        <f t="shared" si="1"/>
        <v>女</v>
      </c>
      <c r="F32" s="7" t="s">
        <v>1054</v>
      </c>
    </row>
    <row r="33" spans="1:6" ht="20.100000000000001" customHeight="1" x14ac:dyDescent="0.15">
      <c r="A33" s="5">
        <v>30</v>
      </c>
      <c r="B33" s="6" t="str">
        <f>"304820210605140825101014"</f>
        <v>304820210605140825101014</v>
      </c>
      <c r="C33" s="6" t="s">
        <v>1037</v>
      </c>
      <c r="D33" s="6" t="str">
        <f>"吴健婵"</f>
        <v>吴健婵</v>
      </c>
      <c r="E33" s="6" t="str">
        <f t="shared" si="1"/>
        <v>女</v>
      </c>
      <c r="F33" s="7" t="s">
        <v>1055</v>
      </c>
    </row>
    <row r="34" spans="1:6" ht="20.100000000000001" customHeight="1" x14ac:dyDescent="0.15">
      <c r="A34" s="5">
        <v>31</v>
      </c>
      <c r="B34" s="6" t="str">
        <f>"304820210605184050101774"</f>
        <v>304820210605184050101774</v>
      </c>
      <c r="C34" s="6" t="s">
        <v>1037</v>
      </c>
      <c r="D34" s="6" t="str">
        <f>"谭琼洋"</f>
        <v>谭琼洋</v>
      </c>
      <c r="E34" s="6" t="str">
        <f t="shared" si="1"/>
        <v>女</v>
      </c>
      <c r="F34" s="7" t="s">
        <v>1056</v>
      </c>
    </row>
    <row r="35" spans="1:6" ht="20.100000000000001" customHeight="1" x14ac:dyDescent="0.15">
      <c r="A35" s="5">
        <v>32</v>
      </c>
      <c r="B35" s="6" t="str">
        <f>"304820210605190728101826"</f>
        <v>304820210605190728101826</v>
      </c>
      <c r="C35" s="6" t="s">
        <v>1037</v>
      </c>
      <c r="D35" s="6" t="str">
        <f>"吴小文"</f>
        <v>吴小文</v>
      </c>
      <c r="E35" s="6" t="str">
        <f t="shared" si="1"/>
        <v>女</v>
      </c>
      <c r="F35" s="7" t="s">
        <v>1057</v>
      </c>
    </row>
    <row r="36" spans="1:6" ht="20.100000000000001" customHeight="1" x14ac:dyDescent="0.15">
      <c r="A36" s="5">
        <v>33</v>
      </c>
      <c r="B36" s="6" t="str">
        <f>"304820210606191802104521"</f>
        <v>304820210606191802104521</v>
      </c>
      <c r="C36" s="6" t="s">
        <v>1037</v>
      </c>
      <c r="D36" s="6" t="str">
        <f>"符敏燕"</f>
        <v>符敏燕</v>
      </c>
      <c r="E36" s="6" t="str">
        <f t="shared" si="1"/>
        <v>女</v>
      </c>
      <c r="F36" s="7" t="s">
        <v>780</v>
      </c>
    </row>
    <row r="37" spans="1:6" ht="20.100000000000001" customHeight="1" x14ac:dyDescent="0.15">
      <c r="A37" s="5">
        <v>34</v>
      </c>
      <c r="B37" s="6" t="str">
        <f>"304820210607005451105295"</f>
        <v>304820210607005451105295</v>
      </c>
      <c r="C37" s="6" t="s">
        <v>1037</v>
      </c>
      <c r="D37" s="6" t="str">
        <f>"符谷丹"</f>
        <v>符谷丹</v>
      </c>
      <c r="E37" s="6" t="str">
        <f t="shared" si="1"/>
        <v>女</v>
      </c>
      <c r="F37" s="7" t="s">
        <v>196</v>
      </c>
    </row>
    <row r="38" spans="1:6" ht="20.100000000000001" customHeight="1" x14ac:dyDescent="0.15">
      <c r="A38" s="5">
        <v>35</v>
      </c>
      <c r="B38" s="6" t="str">
        <f>"304820210607103548106114"</f>
        <v>304820210607103548106114</v>
      </c>
      <c r="C38" s="6" t="s">
        <v>1037</v>
      </c>
      <c r="D38" s="6" t="str">
        <f>"欧琳琳"</f>
        <v>欧琳琳</v>
      </c>
      <c r="E38" s="6" t="str">
        <f t="shared" si="1"/>
        <v>女</v>
      </c>
      <c r="F38" s="7" t="s">
        <v>1058</v>
      </c>
    </row>
    <row r="39" spans="1:6" ht="20.100000000000001" customHeight="1" x14ac:dyDescent="0.15">
      <c r="A39" s="5">
        <v>36</v>
      </c>
      <c r="B39" s="6" t="str">
        <f>"304820210607112650106375"</f>
        <v>304820210607112650106375</v>
      </c>
      <c r="C39" s="6" t="s">
        <v>1037</v>
      </c>
      <c r="D39" s="6" t="str">
        <f>"唐海婷"</f>
        <v>唐海婷</v>
      </c>
      <c r="E39" s="6" t="str">
        <f t="shared" si="1"/>
        <v>女</v>
      </c>
      <c r="F39" s="7" t="s">
        <v>950</v>
      </c>
    </row>
    <row r="40" spans="1:6" ht="20.100000000000001" customHeight="1" x14ac:dyDescent="0.15">
      <c r="A40" s="5">
        <v>37</v>
      </c>
      <c r="B40" s="6" t="str">
        <f>"304820210607113414106422"</f>
        <v>304820210607113414106422</v>
      </c>
      <c r="C40" s="6" t="s">
        <v>1037</v>
      </c>
      <c r="D40" s="6" t="str">
        <f>"冯泽源"</f>
        <v>冯泽源</v>
      </c>
      <c r="E40" s="6" t="str">
        <f>"男"</f>
        <v>男</v>
      </c>
      <c r="F40" s="7" t="s">
        <v>786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9.625" style="1" customWidth="1"/>
    <col min="2" max="2" width="24.625" style="1" customWidth="1"/>
    <col min="3" max="3" width="14.125" style="1" customWidth="1"/>
    <col min="4" max="4" width="10.5" style="1" customWidth="1"/>
    <col min="5" max="5" width="7.125" style="1" customWidth="1"/>
    <col min="6" max="6" width="15.8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"30482021060114015563454"</f>
        <v>30482021060114015563454</v>
      </c>
      <c r="C4" s="6" t="s">
        <v>1059</v>
      </c>
      <c r="D4" s="6" t="str">
        <f>"吴养乾"</f>
        <v>吴养乾</v>
      </c>
      <c r="E4" s="6" t="str">
        <f t="shared" ref="E4:E7" si="0">"男"</f>
        <v>男</v>
      </c>
      <c r="F4" s="7" t="s">
        <v>1060</v>
      </c>
    </row>
    <row r="5" spans="1:6" ht="20.100000000000001" customHeight="1" x14ac:dyDescent="0.15">
      <c r="A5" s="5">
        <v>2</v>
      </c>
      <c r="B5" s="6" t="str">
        <f>"30482021060114033163474"</f>
        <v>30482021060114033163474</v>
      </c>
      <c r="C5" s="6" t="s">
        <v>1059</v>
      </c>
      <c r="D5" s="6" t="str">
        <f>"王家宇"</f>
        <v>王家宇</v>
      </c>
      <c r="E5" s="6" t="str">
        <f t="shared" si="0"/>
        <v>男</v>
      </c>
      <c r="F5" s="7" t="s">
        <v>1061</v>
      </c>
    </row>
    <row r="6" spans="1:6" ht="20.100000000000001" customHeight="1" x14ac:dyDescent="0.15">
      <c r="A6" s="5">
        <v>3</v>
      </c>
      <c r="B6" s="6" t="str">
        <f>"30482021060114044263487"</f>
        <v>30482021060114044263487</v>
      </c>
      <c r="C6" s="6" t="s">
        <v>1059</v>
      </c>
      <c r="D6" s="6" t="str">
        <f>"邢思曼"</f>
        <v>邢思曼</v>
      </c>
      <c r="E6" s="6" t="str">
        <f t="shared" ref="E6:E13" si="1">"女"</f>
        <v>女</v>
      </c>
      <c r="F6" s="7" t="s">
        <v>1062</v>
      </c>
    </row>
    <row r="7" spans="1:6" ht="20.100000000000001" customHeight="1" x14ac:dyDescent="0.15">
      <c r="A7" s="5">
        <v>4</v>
      </c>
      <c r="B7" s="6" t="str">
        <f>"30482021060114395363873"</f>
        <v>30482021060114395363873</v>
      </c>
      <c r="C7" s="6" t="s">
        <v>1059</v>
      </c>
      <c r="D7" s="6" t="str">
        <f>"王华汉"</f>
        <v>王华汉</v>
      </c>
      <c r="E7" s="6" t="str">
        <f t="shared" si="0"/>
        <v>男</v>
      </c>
      <c r="F7" s="7" t="s">
        <v>1063</v>
      </c>
    </row>
    <row r="8" spans="1:6" ht="20.100000000000001" customHeight="1" x14ac:dyDescent="0.15">
      <c r="A8" s="5">
        <v>5</v>
      </c>
      <c r="B8" s="6" t="str">
        <f>"30482021060114441063915"</f>
        <v>30482021060114441063915</v>
      </c>
      <c r="C8" s="6" t="s">
        <v>1059</v>
      </c>
      <c r="D8" s="6" t="str">
        <f>"莫小丽"</f>
        <v>莫小丽</v>
      </c>
      <c r="E8" s="6" t="str">
        <f t="shared" si="1"/>
        <v>女</v>
      </c>
      <c r="F8" s="7" t="s">
        <v>1064</v>
      </c>
    </row>
    <row r="9" spans="1:6" ht="20.100000000000001" customHeight="1" x14ac:dyDescent="0.15">
      <c r="A9" s="5">
        <v>6</v>
      </c>
      <c r="B9" s="6" t="str">
        <f>"30482021060115143464329"</f>
        <v>30482021060115143464329</v>
      </c>
      <c r="C9" s="6" t="s">
        <v>1059</v>
      </c>
      <c r="D9" s="6" t="str">
        <f>"陈学慧"</f>
        <v>陈学慧</v>
      </c>
      <c r="E9" s="6" t="str">
        <f t="shared" si="1"/>
        <v>女</v>
      </c>
      <c r="F9" s="7" t="s">
        <v>435</v>
      </c>
    </row>
    <row r="10" spans="1:6" ht="20.100000000000001" customHeight="1" x14ac:dyDescent="0.15">
      <c r="A10" s="5">
        <v>7</v>
      </c>
      <c r="B10" s="6" t="str">
        <f>"30482021060116162665094"</f>
        <v>30482021060116162665094</v>
      </c>
      <c r="C10" s="6" t="s">
        <v>1059</v>
      </c>
      <c r="D10" s="6" t="str">
        <f>"陈丽"</f>
        <v>陈丽</v>
      </c>
      <c r="E10" s="6" t="str">
        <f t="shared" si="1"/>
        <v>女</v>
      </c>
      <c r="F10" s="7" t="s">
        <v>139</v>
      </c>
    </row>
    <row r="11" spans="1:6" ht="20.100000000000001" customHeight="1" x14ac:dyDescent="0.15">
      <c r="A11" s="5">
        <v>8</v>
      </c>
      <c r="B11" s="6" t="str">
        <f>"30482021060117190365916"</f>
        <v>30482021060117190365916</v>
      </c>
      <c r="C11" s="6" t="s">
        <v>1059</v>
      </c>
      <c r="D11" s="6" t="str">
        <f>"林春艳"</f>
        <v>林春艳</v>
      </c>
      <c r="E11" s="6" t="str">
        <f t="shared" si="1"/>
        <v>女</v>
      </c>
      <c r="F11" s="7" t="s">
        <v>1065</v>
      </c>
    </row>
    <row r="12" spans="1:6" ht="20.100000000000001" customHeight="1" x14ac:dyDescent="0.15">
      <c r="A12" s="5">
        <v>9</v>
      </c>
      <c r="B12" s="6" t="str">
        <f>"30482021060117293366025"</f>
        <v>30482021060117293366025</v>
      </c>
      <c r="C12" s="6" t="s">
        <v>1059</v>
      </c>
      <c r="D12" s="6" t="str">
        <f>"邢维满"</f>
        <v>邢维满</v>
      </c>
      <c r="E12" s="6" t="str">
        <f t="shared" si="1"/>
        <v>女</v>
      </c>
      <c r="F12" s="7" t="s">
        <v>1066</v>
      </c>
    </row>
    <row r="13" spans="1:6" ht="20.100000000000001" customHeight="1" x14ac:dyDescent="0.15">
      <c r="A13" s="5">
        <v>10</v>
      </c>
      <c r="B13" s="6" t="str">
        <f>"30482021060117293966027"</f>
        <v>30482021060117293966027</v>
      </c>
      <c r="C13" s="6" t="s">
        <v>1059</v>
      </c>
      <c r="D13" s="6" t="str">
        <f>"郑燕菲"</f>
        <v>郑燕菲</v>
      </c>
      <c r="E13" s="6" t="str">
        <f t="shared" si="1"/>
        <v>女</v>
      </c>
      <c r="F13" s="7" t="s">
        <v>807</v>
      </c>
    </row>
    <row r="14" spans="1:6" ht="20.100000000000001" customHeight="1" x14ac:dyDescent="0.15">
      <c r="A14" s="5">
        <v>11</v>
      </c>
      <c r="B14" s="6" t="str">
        <f>"30482021060117525166260"</f>
        <v>30482021060117525166260</v>
      </c>
      <c r="C14" s="6" t="s">
        <v>1059</v>
      </c>
      <c r="D14" s="6" t="str">
        <f>"倪胜永"</f>
        <v>倪胜永</v>
      </c>
      <c r="E14" s="6" t="str">
        <f>"男"</f>
        <v>男</v>
      </c>
      <c r="F14" s="7" t="s">
        <v>1067</v>
      </c>
    </row>
    <row r="15" spans="1:6" ht="20.100000000000001" customHeight="1" x14ac:dyDescent="0.15">
      <c r="A15" s="5">
        <v>12</v>
      </c>
      <c r="B15" s="6" t="str">
        <f>"30482021060119561067862"</f>
        <v>30482021060119561067862</v>
      </c>
      <c r="C15" s="6" t="s">
        <v>1059</v>
      </c>
      <c r="D15" s="6" t="str">
        <f>"吴蕾蕾"</f>
        <v>吴蕾蕾</v>
      </c>
      <c r="E15" s="6" t="str">
        <f t="shared" ref="E15:E22" si="2">"女"</f>
        <v>女</v>
      </c>
      <c r="F15" s="7" t="s">
        <v>1068</v>
      </c>
    </row>
    <row r="16" spans="1:6" ht="20.100000000000001" customHeight="1" x14ac:dyDescent="0.15">
      <c r="A16" s="5">
        <v>13</v>
      </c>
      <c r="B16" s="6" t="str">
        <f>"30482021060120081267955"</f>
        <v>30482021060120081267955</v>
      </c>
      <c r="C16" s="6" t="s">
        <v>1059</v>
      </c>
      <c r="D16" s="6" t="str">
        <f>"李志灵"</f>
        <v>李志灵</v>
      </c>
      <c r="E16" s="6" t="str">
        <f t="shared" si="2"/>
        <v>女</v>
      </c>
      <c r="F16" s="7" t="s">
        <v>1069</v>
      </c>
    </row>
    <row r="17" spans="1:6" ht="20.100000000000001" customHeight="1" x14ac:dyDescent="0.15">
      <c r="A17" s="5">
        <v>14</v>
      </c>
      <c r="B17" s="6" t="str">
        <f>"30482021060120162968025"</f>
        <v>30482021060120162968025</v>
      </c>
      <c r="C17" s="6" t="s">
        <v>1059</v>
      </c>
      <c r="D17" s="6" t="str">
        <f>"杜丹丹"</f>
        <v>杜丹丹</v>
      </c>
      <c r="E17" s="6" t="str">
        <f t="shared" si="2"/>
        <v>女</v>
      </c>
      <c r="F17" s="7" t="s">
        <v>1070</v>
      </c>
    </row>
    <row r="18" spans="1:6" ht="20.100000000000001" customHeight="1" x14ac:dyDescent="0.15">
      <c r="A18" s="5">
        <v>15</v>
      </c>
      <c r="B18" s="6" t="str">
        <f>"30482021060120482968307"</f>
        <v>30482021060120482968307</v>
      </c>
      <c r="C18" s="6" t="s">
        <v>1059</v>
      </c>
      <c r="D18" s="6" t="str">
        <f>"谢娇蓉"</f>
        <v>谢娇蓉</v>
      </c>
      <c r="E18" s="6" t="str">
        <f t="shared" si="2"/>
        <v>女</v>
      </c>
      <c r="F18" s="7" t="s">
        <v>345</v>
      </c>
    </row>
    <row r="19" spans="1:6" ht="20.100000000000001" customHeight="1" x14ac:dyDescent="0.15">
      <c r="A19" s="5">
        <v>16</v>
      </c>
      <c r="B19" s="6" t="str">
        <f>"30482021060121393969412"</f>
        <v>30482021060121393969412</v>
      </c>
      <c r="C19" s="6" t="s">
        <v>1059</v>
      </c>
      <c r="D19" s="6" t="str">
        <f>"王芳"</f>
        <v>王芳</v>
      </c>
      <c r="E19" s="6" t="str">
        <f t="shared" si="2"/>
        <v>女</v>
      </c>
      <c r="F19" s="7" t="s">
        <v>493</v>
      </c>
    </row>
    <row r="20" spans="1:6" ht="20.100000000000001" customHeight="1" x14ac:dyDescent="0.15">
      <c r="A20" s="5">
        <v>17</v>
      </c>
      <c r="B20" s="6" t="str">
        <f>"30482021060122411269985"</f>
        <v>30482021060122411269985</v>
      </c>
      <c r="C20" s="6" t="s">
        <v>1059</v>
      </c>
      <c r="D20" s="6" t="str">
        <f>"周潮敏"</f>
        <v>周潮敏</v>
      </c>
      <c r="E20" s="6" t="str">
        <f t="shared" si="2"/>
        <v>女</v>
      </c>
      <c r="F20" s="7" t="s">
        <v>941</v>
      </c>
    </row>
    <row r="21" spans="1:6" ht="20.100000000000001" customHeight="1" x14ac:dyDescent="0.15">
      <c r="A21" s="5">
        <v>18</v>
      </c>
      <c r="B21" s="6" t="str">
        <f>"30482021060122443070009"</f>
        <v>30482021060122443070009</v>
      </c>
      <c r="C21" s="6" t="s">
        <v>1059</v>
      </c>
      <c r="D21" s="6" t="str">
        <f>"路畅"</f>
        <v>路畅</v>
      </c>
      <c r="E21" s="6" t="str">
        <f t="shared" si="2"/>
        <v>女</v>
      </c>
      <c r="F21" s="7" t="s">
        <v>1071</v>
      </c>
    </row>
    <row r="22" spans="1:6" ht="20.100000000000001" customHeight="1" x14ac:dyDescent="0.15">
      <c r="A22" s="5">
        <v>19</v>
      </c>
      <c r="B22" s="6" t="str">
        <f>"30482021060123373270303"</f>
        <v>30482021060123373270303</v>
      </c>
      <c r="C22" s="6" t="s">
        <v>1059</v>
      </c>
      <c r="D22" s="6" t="str">
        <f>"刘亚妹"</f>
        <v>刘亚妹</v>
      </c>
      <c r="E22" s="6" t="str">
        <f t="shared" si="2"/>
        <v>女</v>
      </c>
      <c r="F22" s="7" t="s">
        <v>1072</v>
      </c>
    </row>
    <row r="23" spans="1:6" ht="20.100000000000001" customHeight="1" x14ac:dyDescent="0.15">
      <c r="A23" s="5">
        <v>20</v>
      </c>
      <c r="B23" s="6" t="str">
        <f>"30482021060200534270479"</f>
        <v>30482021060200534270479</v>
      </c>
      <c r="C23" s="6" t="s">
        <v>1059</v>
      </c>
      <c r="D23" s="6" t="str">
        <f>"邢增高"</f>
        <v>邢增高</v>
      </c>
      <c r="E23" s="6" t="str">
        <f>"男"</f>
        <v>男</v>
      </c>
      <c r="F23" s="7" t="s">
        <v>1073</v>
      </c>
    </row>
    <row r="24" spans="1:6" ht="20.100000000000001" customHeight="1" x14ac:dyDescent="0.15">
      <c r="A24" s="5">
        <v>21</v>
      </c>
      <c r="B24" s="6" t="str">
        <f>"30482021060208285170842"</f>
        <v>30482021060208285170842</v>
      </c>
      <c r="C24" s="6" t="s">
        <v>1059</v>
      </c>
      <c r="D24" s="6" t="str">
        <f>"陈艳婷"</f>
        <v>陈艳婷</v>
      </c>
      <c r="E24" s="6" t="str">
        <f t="shared" ref="E24:E28" si="3">"女"</f>
        <v>女</v>
      </c>
      <c r="F24" s="7" t="s">
        <v>1074</v>
      </c>
    </row>
    <row r="25" spans="1:6" ht="20.100000000000001" customHeight="1" x14ac:dyDescent="0.15">
      <c r="A25" s="5">
        <v>22</v>
      </c>
      <c r="B25" s="6" t="str">
        <f>"30482021060209194371328"</f>
        <v>30482021060209194371328</v>
      </c>
      <c r="C25" s="6" t="s">
        <v>1059</v>
      </c>
      <c r="D25" s="6" t="str">
        <f>"陈真霞"</f>
        <v>陈真霞</v>
      </c>
      <c r="E25" s="6" t="str">
        <f t="shared" si="3"/>
        <v>女</v>
      </c>
      <c r="F25" s="7" t="s">
        <v>1075</v>
      </c>
    </row>
    <row r="26" spans="1:6" ht="20.100000000000001" customHeight="1" x14ac:dyDescent="0.15">
      <c r="A26" s="5">
        <v>23</v>
      </c>
      <c r="B26" s="6" t="str">
        <f>"30482021060209553171804"</f>
        <v>30482021060209553171804</v>
      </c>
      <c r="C26" s="6" t="s">
        <v>1059</v>
      </c>
      <c r="D26" s="6" t="str">
        <f>"周超莹"</f>
        <v>周超莹</v>
      </c>
      <c r="E26" s="6" t="str">
        <f t="shared" si="3"/>
        <v>女</v>
      </c>
      <c r="F26" s="7" t="s">
        <v>1076</v>
      </c>
    </row>
    <row r="27" spans="1:6" ht="20.100000000000001" customHeight="1" x14ac:dyDescent="0.15">
      <c r="A27" s="5">
        <v>24</v>
      </c>
      <c r="B27" s="6" t="str">
        <f>"30482021060210373672369"</f>
        <v>30482021060210373672369</v>
      </c>
      <c r="C27" s="6" t="s">
        <v>1059</v>
      </c>
      <c r="D27" s="6" t="str">
        <f>"羊世娟"</f>
        <v>羊世娟</v>
      </c>
      <c r="E27" s="6" t="str">
        <f t="shared" si="3"/>
        <v>女</v>
      </c>
      <c r="F27" s="7" t="s">
        <v>1077</v>
      </c>
    </row>
    <row r="28" spans="1:6" ht="20.100000000000001" customHeight="1" x14ac:dyDescent="0.15">
      <c r="A28" s="5">
        <v>25</v>
      </c>
      <c r="B28" s="6" t="str">
        <f>"30482021060211443673156"</f>
        <v>30482021060211443673156</v>
      </c>
      <c r="C28" s="6" t="s">
        <v>1059</v>
      </c>
      <c r="D28" s="6" t="str">
        <f>"孙桂芬"</f>
        <v>孙桂芬</v>
      </c>
      <c r="E28" s="6" t="str">
        <f t="shared" si="3"/>
        <v>女</v>
      </c>
      <c r="F28" s="7" t="s">
        <v>1078</v>
      </c>
    </row>
    <row r="29" spans="1:6" ht="20.100000000000001" customHeight="1" x14ac:dyDescent="0.15">
      <c r="A29" s="5">
        <v>26</v>
      </c>
      <c r="B29" s="6" t="str">
        <f>"30482021060215171674757"</f>
        <v>30482021060215171674757</v>
      </c>
      <c r="C29" s="6" t="s">
        <v>1059</v>
      </c>
      <c r="D29" s="6" t="str">
        <f>"王艺"</f>
        <v>王艺</v>
      </c>
      <c r="E29" s="6" t="str">
        <f>"男"</f>
        <v>男</v>
      </c>
      <c r="F29" s="7" t="s">
        <v>1079</v>
      </c>
    </row>
    <row r="30" spans="1:6" ht="20.100000000000001" customHeight="1" x14ac:dyDescent="0.15">
      <c r="A30" s="5">
        <v>27</v>
      </c>
      <c r="B30" s="6" t="str">
        <f>"30482021060216305575538"</f>
        <v>30482021060216305575538</v>
      </c>
      <c r="C30" s="6" t="s">
        <v>1059</v>
      </c>
      <c r="D30" s="6" t="str">
        <f>"曾椿玲"</f>
        <v>曾椿玲</v>
      </c>
      <c r="E30" s="6" t="str">
        <f t="shared" ref="E30:E34" si="4">"女"</f>
        <v>女</v>
      </c>
      <c r="F30" s="7" t="s">
        <v>582</v>
      </c>
    </row>
    <row r="31" spans="1:6" ht="20.100000000000001" customHeight="1" x14ac:dyDescent="0.15">
      <c r="A31" s="5">
        <v>28</v>
      </c>
      <c r="B31" s="6" t="str">
        <f>"30482021060216531975764"</f>
        <v>30482021060216531975764</v>
      </c>
      <c r="C31" s="6" t="s">
        <v>1059</v>
      </c>
      <c r="D31" s="6" t="str">
        <f>"吴妹"</f>
        <v>吴妹</v>
      </c>
      <c r="E31" s="6" t="str">
        <f t="shared" si="4"/>
        <v>女</v>
      </c>
      <c r="F31" s="7" t="s">
        <v>200</v>
      </c>
    </row>
    <row r="32" spans="1:6" ht="20.100000000000001" customHeight="1" x14ac:dyDescent="0.15">
      <c r="A32" s="5">
        <v>29</v>
      </c>
      <c r="B32" s="6" t="str">
        <f>"30482021060217030675845"</f>
        <v>30482021060217030675845</v>
      </c>
      <c r="C32" s="6" t="s">
        <v>1059</v>
      </c>
      <c r="D32" s="6" t="str">
        <f>"杨苗"</f>
        <v>杨苗</v>
      </c>
      <c r="E32" s="6" t="str">
        <f t="shared" si="4"/>
        <v>女</v>
      </c>
      <c r="F32" s="7" t="s">
        <v>190</v>
      </c>
    </row>
    <row r="33" spans="1:6" ht="20.100000000000001" customHeight="1" x14ac:dyDescent="0.15">
      <c r="A33" s="5">
        <v>30</v>
      </c>
      <c r="B33" s="6" t="str">
        <f>"30482021060217403376179"</f>
        <v>30482021060217403376179</v>
      </c>
      <c r="C33" s="6" t="s">
        <v>1059</v>
      </c>
      <c r="D33" s="6" t="str">
        <f>"石丽雪"</f>
        <v>石丽雪</v>
      </c>
      <c r="E33" s="6" t="str">
        <f t="shared" si="4"/>
        <v>女</v>
      </c>
      <c r="F33" s="7" t="s">
        <v>1080</v>
      </c>
    </row>
    <row r="34" spans="1:6" ht="20.100000000000001" customHeight="1" x14ac:dyDescent="0.15">
      <c r="A34" s="5">
        <v>31</v>
      </c>
      <c r="B34" s="6" t="str">
        <f>"30482021060218354876578"</f>
        <v>30482021060218354876578</v>
      </c>
      <c r="C34" s="6" t="s">
        <v>1059</v>
      </c>
      <c r="D34" s="6" t="str">
        <f>"陈学僖"</f>
        <v>陈学僖</v>
      </c>
      <c r="E34" s="6" t="str">
        <f t="shared" si="4"/>
        <v>女</v>
      </c>
      <c r="F34" s="7" t="s">
        <v>1081</v>
      </c>
    </row>
    <row r="35" spans="1:6" ht="20.100000000000001" customHeight="1" x14ac:dyDescent="0.15">
      <c r="A35" s="5">
        <v>32</v>
      </c>
      <c r="B35" s="6" t="str">
        <f>"30482021060218502376684"</f>
        <v>30482021060218502376684</v>
      </c>
      <c r="C35" s="6" t="s">
        <v>1059</v>
      </c>
      <c r="D35" s="6" t="str">
        <f>"陈光墉"</f>
        <v>陈光墉</v>
      </c>
      <c r="E35" s="6" t="str">
        <f>"男"</f>
        <v>男</v>
      </c>
      <c r="F35" s="7" t="s">
        <v>936</v>
      </c>
    </row>
    <row r="36" spans="1:6" ht="20.100000000000001" customHeight="1" x14ac:dyDescent="0.15">
      <c r="A36" s="5">
        <v>33</v>
      </c>
      <c r="B36" s="6" t="str">
        <f>"30482021060219071976789"</f>
        <v>30482021060219071976789</v>
      </c>
      <c r="C36" s="6" t="s">
        <v>1059</v>
      </c>
      <c r="D36" s="6" t="str">
        <f>"卢苹"</f>
        <v>卢苹</v>
      </c>
      <c r="E36" s="6" t="str">
        <f t="shared" ref="E36:E39" si="5">"女"</f>
        <v>女</v>
      </c>
      <c r="F36" s="7" t="s">
        <v>1082</v>
      </c>
    </row>
    <row r="37" spans="1:6" ht="20.100000000000001" customHeight="1" x14ac:dyDescent="0.15">
      <c r="A37" s="5">
        <v>34</v>
      </c>
      <c r="B37" s="6" t="str">
        <f>"30482021060221003277716"</f>
        <v>30482021060221003277716</v>
      </c>
      <c r="C37" s="6" t="s">
        <v>1059</v>
      </c>
      <c r="D37" s="6" t="str">
        <f>"黄婷婷"</f>
        <v>黄婷婷</v>
      </c>
      <c r="E37" s="6" t="str">
        <f t="shared" si="5"/>
        <v>女</v>
      </c>
      <c r="F37" s="7" t="s">
        <v>649</v>
      </c>
    </row>
    <row r="38" spans="1:6" ht="20.100000000000001" customHeight="1" x14ac:dyDescent="0.15">
      <c r="A38" s="5">
        <v>35</v>
      </c>
      <c r="B38" s="6" t="str">
        <f>"30482021060222361978464"</f>
        <v>30482021060222361978464</v>
      </c>
      <c r="C38" s="6" t="s">
        <v>1059</v>
      </c>
      <c r="D38" s="6" t="str">
        <f>"冯倩"</f>
        <v>冯倩</v>
      </c>
      <c r="E38" s="6" t="str">
        <f t="shared" si="5"/>
        <v>女</v>
      </c>
      <c r="F38" s="7" t="s">
        <v>1083</v>
      </c>
    </row>
    <row r="39" spans="1:6" ht="20.100000000000001" customHeight="1" x14ac:dyDescent="0.15">
      <c r="A39" s="5">
        <v>36</v>
      </c>
      <c r="B39" s="6" t="str">
        <f>"30482021060223235878789"</f>
        <v>30482021060223235878789</v>
      </c>
      <c r="C39" s="6" t="s">
        <v>1059</v>
      </c>
      <c r="D39" s="6" t="str">
        <f>"翁敏"</f>
        <v>翁敏</v>
      </c>
      <c r="E39" s="6" t="str">
        <f t="shared" si="5"/>
        <v>女</v>
      </c>
      <c r="F39" s="7" t="s">
        <v>1084</v>
      </c>
    </row>
    <row r="40" spans="1:6" ht="20.100000000000001" customHeight="1" x14ac:dyDescent="0.15">
      <c r="A40" s="5">
        <v>37</v>
      </c>
      <c r="B40" s="6" t="str">
        <f>"30482021060301010279083"</f>
        <v>30482021060301010279083</v>
      </c>
      <c r="C40" s="6" t="s">
        <v>1059</v>
      </c>
      <c r="D40" s="6" t="str">
        <f>"黎祥栋"</f>
        <v>黎祥栋</v>
      </c>
      <c r="E40" s="6" t="str">
        <f t="shared" ref="E40:E44" si="6">"男"</f>
        <v>男</v>
      </c>
      <c r="F40" s="7" t="s">
        <v>1085</v>
      </c>
    </row>
    <row r="41" spans="1:6" ht="20.100000000000001" customHeight="1" x14ac:dyDescent="0.15">
      <c r="A41" s="5">
        <v>38</v>
      </c>
      <c r="B41" s="6" t="str">
        <f>"30482021060309154979994"</f>
        <v>30482021060309154979994</v>
      </c>
      <c r="C41" s="6" t="s">
        <v>1059</v>
      </c>
      <c r="D41" s="6" t="str">
        <f>"符颖"</f>
        <v>符颖</v>
      </c>
      <c r="E41" s="6" t="str">
        <f t="shared" si="6"/>
        <v>男</v>
      </c>
      <c r="F41" s="7" t="s">
        <v>877</v>
      </c>
    </row>
    <row r="42" spans="1:6" ht="20.100000000000001" customHeight="1" x14ac:dyDescent="0.15">
      <c r="A42" s="5">
        <v>39</v>
      </c>
      <c r="B42" s="6" t="str">
        <f>"30482021060315553684823"</f>
        <v>30482021060315553684823</v>
      </c>
      <c r="C42" s="6" t="s">
        <v>1059</v>
      </c>
      <c r="D42" s="6" t="str">
        <f>"刘海嫚"</f>
        <v>刘海嫚</v>
      </c>
      <c r="E42" s="6" t="str">
        <f t="shared" ref="E42:E48" si="7">"女"</f>
        <v>女</v>
      </c>
      <c r="F42" s="7" t="s">
        <v>161</v>
      </c>
    </row>
    <row r="43" spans="1:6" ht="20.100000000000001" customHeight="1" x14ac:dyDescent="0.15">
      <c r="A43" s="5">
        <v>40</v>
      </c>
      <c r="B43" s="6" t="str">
        <f>"30482021060410292491684"</f>
        <v>30482021060410292491684</v>
      </c>
      <c r="C43" s="6" t="s">
        <v>1059</v>
      </c>
      <c r="D43" s="6" t="str">
        <f>"李小雪"</f>
        <v>李小雪</v>
      </c>
      <c r="E43" s="6" t="str">
        <f t="shared" si="7"/>
        <v>女</v>
      </c>
      <c r="F43" s="7" t="s">
        <v>1086</v>
      </c>
    </row>
    <row r="44" spans="1:6" ht="20.100000000000001" customHeight="1" x14ac:dyDescent="0.15">
      <c r="A44" s="5">
        <v>41</v>
      </c>
      <c r="B44" s="6" t="str">
        <f>"30482021060413450694446"</f>
        <v>30482021060413450694446</v>
      </c>
      <c r="C44" s="6" t="s">
        <v>1059</v>
      </c>
      <c r="D44" s="6" t="str">
        <f>"覃逍志"</f>
        <v>覃逍志</v>
      </c>
      <c r="E44" s="6" t="str">
        <f t="shared" si="6"/>
        <v>男</v>
      </c>
      <c r="F44" s="7" t="s">
        <v>1087</v>
      </c>
    </row>
    <row r="45" spans="1:6" ht="20.100000000000001" customHeight="1" x14ac:dyDescent="0.15">
      <c r="A45" s="5">
        <v>42</v>
      </c>
      <c r="B45" s="6" t="str">
        <f>"30482021060415362796435"</f>
        <v>30482021060415362796435</v>
      </c>
      <c r="C45" s="6" t="s">
        <v>1059</v>
      </c>
      <c r="D45" s="6" t="str">
        <f>"符雅雲"</f>
        <v>符雅雲</v>
      </c>
      <c r="E45" s="6" t="str">
        <f t="shared" si="7"/>
        <v>女</v>
      </c>
      <c r="F45" s="7" t="s">
        <v>345</v>
      </c>
    </row>
    <row r="46" spans="1:6" ht="20.100000000000001" customHeight="1" x14ac:dyDescent="0.15">
      <c r="A46" s="5">
        <v>43</v>
      </c>
      <c r="B46" s="6" t="str">
        <f>"30482021060416320197166"</f>
        <v>30482021060416320197166</v>
      </c>
      <c r="C46" s="6" t="s">
        <v>1059</v>
      </c>
      <c r="D46" s="6" t="str">
        <f>"陈惠娟"</f>
        <v>陈惠娟</v>
      </c>
      <c r="E46" s="6" t="str">
        <f t="shared" si="7"/>
        <v>女</v>
      </c>
      <c r="F46" s="7" t="s">
        <v>191</v>
      </c>
    </row>
    <row r="47" spans="1:6" ht="20.100000000000001" customHeight="1" x14ac:dyDescent="0.15">
      <c r="A47" s="5">
        <v>44</v>
      </c>
      <c r="B47" s="6" t="str">
        <f>"30482021060419392799226"</f>
        <v>30482021060419392799226</v>
      </c>
      <c r="C47" s="6" t="s">
        <v>1059</v>
      </c>
      <c r="D47" s="6" t="str">
        <f>"梅秀兰"</f>
        <v>梅秀兰</v>
      </c>
      <c r="E47" s="6" t="str">
        <f t="shared" si="7"/>
        <v>女</v>
      </c>
      <c r="F47" s="7" t="s">
        <v>428</v>
      </c>
    </row>
    <row r="48" spans="1:6" ht="20.100000000000001" customHeight="1" x14ac:dyDescent="0.15">
      <c r="A48" s="5">
        <v>45</v>
      </c>
      <c r="B48" s="6" t="str">
        <f>"30482021060421193299562"</f>
        <v>30482021060421193299562</v>
      </c>
      <c r="C48" s="6" t="s">
        <v>1059</v>
      </c>
      <c r="D48" s="6" t="str">
        <f>"文瑜"</f>
        <v>文瑜</v>
      </c>
      <c r="E48" s="6" t="str">
        <f t="shared" si="7"/>
        <v>女</v>
      </c>
      <c r="F48" s="7" t="s">
        <v>483</v>
      </c>
    </row>
    <row r="49" spans="1:6" ht="20.100000000000001" customHeight="1" x14ac:dyDescent="0.15">
      <c r="A49" s="5">
        <v>46</v>
      </c>
      <c r="B49" s="6" t="str">
        <f>"30482021060421552899656"</f>
        <v>30482021060421552899656</v>
      </c>
      <c r="C49" s="6" t="s">
        <v>1059</v>
      </c>
      <c r="D49" s="6" t="str">
        <f>"吴正昊"</f>
        <v>吴正昊</v>
      </c>
      <c r="E49" s="6" t="str">
        <f>"男"</f>
        <v>男</v>
      </c>
      <c r="F49" s="7" t="s">
        <v>1088</v>
      </c>
    </row>
    <row r="50" spans="1:6" ht="20.100000000000001" customHeight="1" x14ac:dyDescent="0.15">
      <c r="A50" s="5">
        <v>47</v>
      </c>
      <c r="B50" s="6" t="str">
        <f>"30482021060422072199695"</f>
        <v>30482021060422072199695</v>
      </c>
      <c r="C50" s="6" t="s">
        <v>1059</v>
      </c>
      <c r="D50" s="6" t="str">
        <f>"朱万英"</f>
        <v>朱万英</v>
      </c>
      <c r="E50" s="6" t="str">
        <f t="shared" ref="E50:E65" si="8">"女"</f>
        <v>女</v>
      </c>
      <c r="F50" s="7" t="s">
        <v>1089</v>
      </c>
    </row>
    <row r="51" spans="1:6" ht="20.100000000000001" customHeight="1" x14ac:dyDescent="0.15">
      <c r="A51" s="5">
        <v>48</v>
      </c>
      <c r="B51" s="6" t="str">
        <f>"30482021060422212899731"</f>
        <v>30482021060422212899731</v>
      </c>
      <c r="C51" s="6" t="s">
        <v>1059</v>
      </c>
      <c r="D51" s="6" t="str">
        <f>"陈海珍"</f>
        <v>陈海珍</v>
      </c>
      <c r="E51" s="6" t="str">
        <f t="shared" si="8"/>
        <v>女</v>
      </c>
      <c r="F51" s="7" t="s">
        <v>1090</v>
      </c>
    </row>
    <row r="52" spans="1:6" ht="20.100000000000001" customHeight="1" x14ac:dyDescent="0.15">
      <c r="A52" s="5">
        <v>49</v>
      </c>
      <c r="B52" s="6" t="str">
        <f>"304820210605130302100856"</f>
        <v>304820210605130302100856</v>
      </c>
      <c r="C52" s="6" t="s">
        <v>1059</v>
      </c>
      <c r="D52" s="6" t="str">
        <f>"李静姣"</f>
        <v>李静姣</v>
      </c>
      <c r="E52" s="6" t="str">
        <f t="shared" si="8"/>
        <v>女</v>
      </c>
      <c r="F52" s="7" t="s">
        <v>1091</v>
      </c>
    </row>
    <row r="53" spans="1:6" ht="20.100000000000001" customHeight="1" x14ac:dyDescent="0.15">
      <c r="A53" s="5">
        <v>50</v>
      </c>
      <c r="B53" s="6" t="str">
        <f>"304820210605150904101187"</f>
        <v>304820210605150904101187</v>
      </c>
      <c r="C53" s="6" t="s">
        <v>1059</v>
      </c>
      <c r="D53" s="6" t="str">
        <f>"梁对子"</f>
        <v>梁对子</v>
      </c>
      <c r="E53" s="6" t="str">
        <f t="shared" si="8"/>
        <v>女</v>
      </c>
      <c r="F53" s="7" t="s">
        <v>90</v>
      </c>
    </row>
    <row r="54" spans="1:6" ht="20.100000000000001" customHeight="1" x14ac:dyDescent="0.15">
      <c r="A54" s="5">
        <v>51</v>
      </c>
      <c r="B54" s="6" t="str">
        <f>"304820210605174602101630"</f>
        <v>304820210605174602101630</v>
      </c>
      <c r="C54" s="6" t="s">
        <v>1059</v>
      </c>
      <c r="D54" s="6" t="str">
        <f>"王军欢"</f>
        <v>王军欢</v>
      </c>
      <c r="E54" s="6" t="str">
        <f t="shared" si="8"/>
        <v>女</v>
      </c>
      <c r="F54" s="7" t="s">
        <v>1092</v>
      </c>
    </row>
    <row r="55" spans="1:6" ht="20.100000000000001" customHeight="1" x14ac:dyDescent="0.15">
      <c r="A55" s="5">
        <v>52</v>
      </c>
      <c r="B55" s="6" t="str">
        <f>"304820210605193741101889"</f>
        <v>304820210605193741101889</v>
      </c>
      <c r="C55" s="6" t="s">
        <v>1059</v>
      </c>
      <c r="D55" s="6" t="str">
        <f>"王妮"</f>
        <v>王妮</v>
      </c>
      <c r="E55" s="6" t="str">
        <f t="shared" si="8"/>
        <v>女</v>
      </c>
      <c r="F55" s="7" t="s">
        <v>250</v>
      </c>
    </row>
    <row r="56" spans="1:6" ht="20.100000000000001" customHeight="1" x14ac:dyDescent="0.15">
      <c r="A56" s="5">
        <v>53</v>
      </c>
      <c r="B56" s="6" t="str">
        <f>"304820210605203902102041"</f>
        <v>304820210605203902102041</v>
      </c>
      <c r="C56" s="6" t="s">
        <v>1059</v>
      </c>
      <c r="D56" s="6" t="str">
        <f>"李欣欣"</f>
        <v>李欣欣</v>
      </c>
      <c r="E56" s="6" t="str">
        <f t="shared" si="8"/>
        <v>女</v>
      </c>
      <c r="F56" s="7" t="s">
        <v>1093</v>
      </c>
    </row>
    <row r="57" spans="1:6" ht="20.100000000000001" customHeight="1" x14ac:dyDescent="0.15">
      <c r="A57" s="5">
        <v>54</v>
      </c>
      <c r="B57" s="6" t="str">
        <f>"304820210606113536103224"</f>
        <v>304820210606113536103224</v>
      </c>
      <c r="C57" s="6" t="s">
        <v>1059</v>
      </c>
      <c r="D57" s="6" t="str">
        <f>"符颖"</f>
        <v>符颖</v>
      </c>
      <c r="E57" s="6" t="str">
        <f t="shared" si="8"/>
        <v>女</v>
      </c>
      <c r="F57" s="7" t="s">
        <v>673</v>
      </c>
    </row>
    <row r="58" spans="1:6" ht="20.100000000000001" customHeight="1" x14ac:dyDescent="0.15">
      <c r="A58" s="5">
        <v>55</v>
      </c>
      <c r="B58" s="6" t="str">
        <f>"304820210606144144103757"</f>
        <v>304820210606144144103757</v>
      </c>
      <c r="C58" s="6" t="s">
        <v>1059</v>
      </c>
      <c r="D58" s="6" t="str">
        <f>"杨小丽"</f>
        <v>杨小丽</v>
      </c>
      <c r="E58" s="6" t="str">
        <f t="shared" si="8"/>
        <v>女</v>
      </c>
      <c r="F58" s="7" t="s">
        <v>663</v>
      </c>
    </row>
    <row r="59" spans="1:6" ht="20.100000000000001" customHeight="1" x14ac:dyDescent="0.15">
      <c r="A59" s="5">
        <v>56</v>
      </c>
      <c r="B59" s="6" t="str">
        <f>"304820210606145743103787"</f>
        <v>304820210606145743103787</v>
      </c>
      <c r="C59" s="6" t="s">
        <v>1059</v>
      </c>
      <c r="D59" s="6" t="str">
        <f>"陈嘉琪"</f>
        <v>陈嘉琪</v>
      </c>
      <c r="E59" s="6" t="str">
        <f t="shared" si="8"/>
        <v>女</v>
      </c>
      <c r="F59" s="7" t="s">
        <v>1094</v>
      </c>
    </row>
    <row r="60" spans="1:6" ht="20.100000000000001" customHeight="1" x14ac:dyDescent="0.15">
      <c r="A60" s="5">
        <v>57</v>
      </c>
      <c r="B60" s="6" t="str">
        <f>"304820210606180610104399"</f>
        <v>304820210606180610104399</v>
      </c>
      <c r="C60" s="6" t="s">
        <v>1059</v>
      </c>
      <c r="D60" s="6" t="str">
        <f>"金风坤"</f>
        <v>金风坤</v>
      </c>
      <c r="E60" s="6" t="str">
        <f t="shared" si="8"/>
        <v>女</v>
      </c>
      <c r="F60" s="7" t="s">
        <v>1095</v>
      </c>
    </row>
    <row r="61" spans="1:6" ht="20.100000000000001" customHeight="1" x14ac:dyDescent="0.15">
      <c r="A61" s="5">
        <v>58</v>
      </c>
      <c r="B61" s="6" t="str">
        <f>"304820210606202935104639"</f>
        <v>304820210606202935104639</v>
      </c>
      <c r="C61" s="6" t="s">
        <v>1059</v>
      </c>
      <c r="D61" s="6" t="str">
        <f>"沈玲方"</f>
        <v>沈玲方</v>
      </c>
      <c r="E61" s="6" t="str">
        <f t="shared" si="8"/>
        <v>女</v>
      </c>
      <c r="F61" s="7" t="s">
        <v>1096</v>
      </c>
    </row>
    <row r="62" spans="1:6" ht="20.100000000000001" customHeight="1" x14ac:dyDescent="0.15">
      <c r="A62" s="5">
        <v>59</v>
      </c>
      <c r="B62" s="6" t="str">
        <f>"304820210606221611104963"</f>
        <v>304820210606221611104963</v>
      </c>
      <c r="C62" s="6" t="s">
        <v>1059</v>
      </c>
      <c r="D62" s="6" t="str">
        <f>"陈丽君"</f>
        <v>陈丽君</v>
      </c>
      <c r="E62" s="6" t="str">
        <f t="shared" si="8"/>
        <v>女</v>
      </c>
      <c r="F62" s="7" t="s">
        <v>1097</v>
      </c>
    </row>
    <row r="63" spans="1:6" ht="20.100000000000001" customHeight="1" x14ac:dyDescent="0.15">
      <c r="A63" s="5">
        <v>60</v>
      </c>
      <c r="B63" s="6" t="str">
        <f>"304820210606232215105146"</f>
        <v>304820210606232215105146</v>
      </c>
      <c r="C63" s="6" t="s">
        <v>1059</v>
      </c>
      <c r="D63" s="6" t="str">
        <f>"禤明玥"</f>
        <v>禤明玥</v>
      </c>
      <c r="E63" s="6" t="str">
        <f t="shared" si="8"/>
        <v>女</v>
      </c>
      <c r="F63" s="7" t="s">
        <v>43</v>
      </c>
    </row>
    <row r="64" spans="1:6" ht="20.100000000000001" customHeight="1" x14ac:dyDescent="0.15">
      <c r="A64" s="5">
        <v>61</v>
      </c>
      <c r="B64" s="6" t="str">
        <f>"304820210607081854105402"</f>
        <v>304820210607081854105402</v>
      </c>
      <c r="C64" s="6" t="s">
        <v>1059</v>
      </c>
      <c r="D64" s="6" t="str">
        <f>"羊惠俊"</f>
        <v>羊惠俊</v>
      </c>
      <c r="E64" s="6" t="str">
        <f t="shared" si="8"/>
        <v>女</v>
      </c>
      <c r="F64" s="7" t="s">
        <v>1098</v>
      </c>
    </row>
    <row r="65" spans="1:6" ht="20.100000000000001" customHeight="1" x14ac:dyDescent="0.15">
      <c r="A65" s="5">
        <v>62</v>
      </c>
      <c r="B65" s="6" t="str">
        <f>"304820210607104835106180"</f>
        <v>304820210607104835106180</v>
      </c>
      <c r="C65" s="6" t="s">
        <v>1059</v>
      </c>
      <c r="D65" s="6" t="str">
        <f>"陈爱芯"</f>
        <v>陈爱芯</v>
      </c>
      <c r="E65" s="6" t="str">
        <f t="shared" si="8"/>
        <v>女</v>
      </c>
      <c r="F65" s="7" t="s">
        <v>1099</v>
      </c>
    </row>
    <row r="66" spans="1:6" ht="20.100000000000001" customHeight="1" x14ac:dyDescent="0.15">
      <c r="A66" s="5">
        <v>63</v>
      </c>
      <c r="B66" s="6" t="str">
        <f>"304820210607115347106507"</f>
        <v>304820210607115347106507</v>
      </c>
      <c r="C66" s="6" t="s">
        <v>1059</v>
      </c>
      <c r="D66" s="6" t="str">
        <f>"王立昌"</f>
        <v>王立昌</v>
      </c>
      <c r="E66" s="6" t="str">
        <f>"男"</f>
        <v>男</v>
      </c>
      <c r="F66" s="7" t="s">
        <v>1100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10" sqref="C10"/>
    </sheetView>
  </sheetViews>
  <sheetFormatPr defaultColWidth="9" defaultRowHeight="20.100000000000001" customHeight="1" x14ac:dyDescent="0.15"/>
  <cols>
    <col min="1" max="1" width="6.625" style="1" customWidth="1"/>
    <col min="2" max="2" width="24.625" style="1" customWidth="1"/>
    <col min="3" max="3" width="14.125" style="1" customWidth="1"/>
    <col min="4" max="4" width="14.625" style="1" customWidth="1"/>
    <col min="5" max="5" width="7.5" style="1" customWidth="1"/>
    <col min="6" max="6" width="13.1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"30482021060116145665069"</f>
        <v>30482021060116145665069</v>
      </c>
      <c r="C4" s="6" t="s">
        <v>1101</v>
      </c>
      <c r="D4" s="6" t="str">
        <f>"张碧玲"</f>
        <v>张碧玲</v>
      </c>
      <c r="E4" s="6" t="str">
        <f t="shared" ref="E4:E6" si="0">"女"</f>
        <v>女</v>
      </c>
      <c r="F4" s="7" t="s">
        <v>1102</v>
      </c>
    </row>
    <row r="5" spans="1:6" ht="20.100000000000001" customHeight="1" x14ac:dyDescent="0.15">
      <c r="A5" s="5">
        <v>2</v>
      </c>
      <c r="B5" s="6" t="str">
        <f>"304820210605203644102032"</f>
        <v>304820210605203644102032</v>
      </c>
      <c r="C5" s="6" t="s">
        <v>1101</v>
      </c>
      <c r="D5" s="6" t="str">
        <f>"赵天依"</f>
        <v>赵天依</v>
      </c>
      <c r="E5" s="6" t="str">
        <f t="shared" si="0"/>
        <v>女</v>
      </c>
      <c r="F5" s="7" t="s">
        <v>653</v>
      </c>
    </row>
    <row r="6" spans="1:6" ht="20.100000000000001" customHeight="1" x14ac:dyDescent="0.15">
      <c r="A6" s="5">
        <v>3</v>
      </c>
      <c r="B6" s="6" t="str">
        <f>"304820210605204942102073"</f>
        <v>304820210605204942102073</v>
      </c>
      <c r="C6" s="6" t="s">
        <v>1101</v>
      </c>
      <c r="D6" s="6" t="str">
        <f>"康潆丹"</f>
        <v>康潆丹</v>
      </c>
      <c r="E6" s="6" t="str">
        <f t="shared" si="0"/>
        <v>女</v>
      </c>
      <c r="F6" s="7" t="s">
        <v>43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625" style="1" customWidth="1"/>
    <col min="2" max="2" width="24.625" style="1" customWidth="1"/>
    <col min="3" max="3" width="14.125" style="1" customWidth="1"/>
    <col min="4" max="4" width="10.125" style="1" customWidth="1"/>
    <col min="5" max="5" width="8.625" style="1" customWidth="1"/>
    <col min="6" max="6" width="17.1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"30482021060114065763519"</f>
        <v>30482021060114065763519</v>
      </c>
      <c r="C4" s="6" t="s">
        <v>1103</v>
      </c>
      <c r="D4" s="6" t="str">
        <f>"孔维政"</f>
        <v>孔维政</v>
      </c>
      <c r="E4" s="6" t="str">
        <f t="shared" ref="E4:E7" si="0">"男"</f>
        <v>男</v>
      </c>
      <c r="F4" s="7" t="s">
        <v>1104</v>
      </c>
    </row>
    <row r="5" spans="1:6" ht="20.100000000000001" customHeight="1" x14ac:dyDescent="0.15">
      <c r="A5" s="5">
        <v>2</v>
      </c>
      <c r="B5" s="6" t="str">
        <f>"30482021060114295663750"</f>
        <v>30482021060114295663750</v>
      </c>
      <c r="C5" s="6" t="s">
        <v>1103</v>
      </c>
      <c r="D5" s="6" t="str">
        <f>"曹继武"</f>
        <v>曹继武</v>
      </c>
      <c r="E5" s="6" t="str">
        <f t="shared" si="0"/>
        <v>男</v>
      </c>
      <c r="F5" s="7" t="s">
        <v>1105</v>
      </c>
    </row>
    <row r="6" spans="1:6" ht="20.100000000000001" customHeight="1" x14ac:dyDescent="0.15">
      <c r="A6" s="5">
        <v>3</v>
      </c>
      <c r="B6" s="6" t="str">
        <f>"30482021060115120164297"</f>
        <v>30482021060115120164297</v>
      </c>
      <c r="C6" s="6" t="s">
        <v>1103</v>
      </c>
      <c r="D6" s="6" t="str">
        <f>"林道武"</f>
        <v>林道武</v>
      </c>
      <c r="E6" s="6" t="str">
        <f t="shared" si="0"/>
        <v>男</v>
      </c>
      <c r="F6" s="7" t="s">
        <v>1106</v>
      </c>
    </row>
    <row r="7" spans="1:6" ht="20.100000000000001" customHeight="1" x14ac:dyDescent="0.15">
      <c r="A7" s="5">
        <v>4</v>
      </c>
      <c r="B7" s="6" t="str">
        <f>"30482021060115364864603"</f>
        <v>30482021060115364864603</v>
      </c>
      <c r="C7" s="6" t="s">
        <v>1103</v>
      </c>
      <c r="D7" s="6" t="str">
        <f>"田聪利"</f>
        <v>田聪利</v>
      </c>
      <c r="E7" s="6" t="str">
        <f t="shared" si="0"/>
        <v>男</v>
      </c>
      <c r="F7" s="7" t="s">
        <v>1107</v>
      </c>
    </row>
    <row r="8" spans="1:6" ht="20.100000000000001" customHeight="1" x14ac:dyDescent="0.15">
      <c r="A8" s="5">
        <v>5</v>
      </c>
      <c r="B8" s="6" t="str">
        <f>"30482021060115452064715"</f>
        <v>30482021060115452064715</v>
      </c>
      <c r="C8" s="6" t="s">
        <v>1103</v>
      </c>
      <c r="D8" s="6" t="str">
        <f>"陈文静"</f>
        <v>陈文静</v>
      </c>
      <c r="E8" s="6" t="str">
        <f t="shared" ref="E8:E11" si="1">"女"</f>
        <v>女</v>
      </c>
      <c r="F8" s="7" t="s">
        <v>373</v>
      </c>
    </row>
    <row r="9" spans="1:6" ht="20.100000000000001" customHeight="1" x14ac:dyDescent="0.15">
      <c r="A9" s="5">
        <v>6</v>
      </c>
      <c r="B9" s="6" t="str">
        <f>"30482021060115594864886"</f>
        <v>30482021060115594864886</v>
      </c>
      <c r="C9" s="6" t="s">
        <v>1103</v>
      </c>
      <c r="D9" s="6" t="str">
        <f>"沈娇婉"</f>
        <v>沈娇婉</v>
      </c>
      <c r="E9" s="6" t="str">
        <f t="shared" si="1"/>
        <v>女</v>
      </c>
      <c r="F9" s="7" t="s">
        <v>1108</v>
      </c>
    </row>
    <row r="10" spans="1:6" ht="20.100000000000001" customHeight="1" x14ac:dyDescent="0.15">
      <c r="A10" s="5">
        <v>7</v>
      </c>
      <c r="B10" s="6" t="str">
        <f>"30482021060116481765538"</f>
        <v>30482021060116481765538</v>
      </c>
      <c r="C10" s="6" t="s">
        <v>1103</v>
      </c>
      <c r="D10" s="6" t="str">
        <f>"符朝楠"</f>
        <v>符朝楠</v>
      </c>
      <c r="E10" s="6" t="str">
        <f t="shared" ref="E10:E15" si="2">"男"</f>
        <v>男</v>
      </c>
      <c r="F10" s="7" t="s">
        <v>1109</v>
      </c>
    </row>
    <row r="11" spans="1:6" ht="20.100000000000001" customHeight="1" x14ac:dyDescent="0.15">
      <c r="A11" s="5">
        <v>8</v>
      </c>
      <c r="B11" s="6" t="str">
        <f>"30482021060118142366444"</f>
        <v>30482021060118142366444</v>
      </c>
      <c r="C11" s="6" t="s">
        <v>1103</v>
      </c>
      <c r="D11" s="6" t="str">
        <f>"吴汝转"</f>
        <v>吴汝转</v>
      </c>
      <c r="E11" s="6" t="str">
        <f t="shared" si="1"/>
        <v>女</v>
      </c>
      <c r="F11" s="7" t="s">
        <v>436</v>
      </c>
    </row>
    <row r="12" spans="1:6" ht="20.100000000000001" customHeight="1" x14ac:dyDescent="0.15">
      <c r="A12" s="5">
        <v>9</v>
      </c>
      <c r="B12" s="6" t="str">
        <f>"30482021060118533066756"</f>
        <v>30482021060118533066756</v>
      </c>
      <c r="C12" s="6" t="s">
        <v>1103</v>
      </c>
      <c r="D12" s="6" t="str">
        <f>"周伟"</f>
        <v>周伟</v>
      </c>
      <c r="E12" s="6" t="str">
        <f t="shared" si="2"/>
        <v>男</v>
      </c>
      <c r="F12" s="7" t="s">
        <v>1110</v>
      </c>
    </row>
    <row r="13" spans="1:6" ht="20.100000000000001" customHeight="1" x14ac:dyDescent="0.15">
      <c r="A13" s="5">
        <v>10</v>
      </c>
      <c r="B13" s="6" t="str">
        <f>"30482021060120393068233"</f>
        <v>30482021060120393068233</v>
      </c>
      <c r="C13" s="6" t="s">
        <v>1103</v>
      </c>
      <c r="D13" s="6" t="str">
        <f>"万培源"</f>
        <v>万培源</v>
      </c>
      <c r="E13" s="6" t="str">
        <f t="shared" ref="E13:E17" si="3">"女"</f>
        <v>女</v>
      </c>
      <c r="F13" s="7" t="s">
        <v>1111</v>
      </c>
    </row>
    <row r="14" spans="1:6" ht="20.100000000000001" customHeight="1" x14ac:dyDescent="0.15">
      <c r="A14" s="5">
        <v>11</v>
      </c>
      <c r="B14" s="6" t="str">
        <f>"30482021060120472368296"</f>
        <v>30482021060120472368296</v>
      </c>
      <c r="C14" s="6" t="s">
        <v>1103</v>
      </c>
      <c r="D14" s="6" t="str">
        <f>"朱运畅"</f>
        <v>朱运畅</v>
      </c>
      <c r="E14" s="6" t="str">
        <f t="shared" si="3"/>
        <v>女</v>
      </c>
      <c r="F14" s="7" t="s">
        <v>1112</v>
      </c>
    </row>
    <row r="15" spans="1:6" ht="20.100000000000001" customHeight="1" x14ac:dyDescent="0.15">
      <c r="A15" s="5">
        <v>12</v>
      </c>
      <c r="B15" s="6" t="str">
        <f>"30482021060122575170086"</f>
        <v>30482021060122575170086</v>
      </c>
      <c r="C15" s="6" t="s">
        <v>1103</v>
      </c>
      <c r="D15" s="6" t="str">
        <f>"王望稼"</f>
        <v>王望稼</v>
      </c>
      <c r="E15" s="6" t="str">
        <f t="shared" si="2"/>
        <v>男</v>
      </c>
      <c r="F15" s="7" t="s">
        <v>1113</v>
      </c>
    </row>
    <row r="16" spans="1:6" ht="20.100000000000001" customHeight="1" x14ac:dyDescent="0.15">
      <c r="A16" s="5">
        <v>13</v>
      </c>
      <c r="B16" s="6" t="str">
        <f>"30482021060123052070144"</f>
        <v>30482021060123052070144</v>
      </c>
      <c r="C16" s="6" t="s">
        <v>1103</v>
      </c>
      <c r="D16" s="6" t="str">
        <f>"余燕锋"</f>
        <v>余燕锋</v>
      </c>
      <c r="E16" s="6" t="str">
        <f t="shared" si="3"/>
        <v>女</v>
      </c>
      <c r="F16" s="7" t="s">
        <v>1114</v>
      </c>
    </row>
    <row r="17" spans="1:6" ht="20.100000000000001" customHeight="1" x14ac:dyDescent="0.15">
      <c r="A17" s="5">
        <v>14</v>
      </c>
      <c r="B17" s="6" t="str">
        <f>"30482021060123410670315"</f>
        <v>30482021060123410670315</v>
      </c>
      <c r="C17" s="6" t="s">
        <v>1103</v>
      </c>
      <c r="D17" s="6" t="str">
        <f>"付莉"</f>
        <v>付莉</v>
      </c>
      <c r="E17" s="6" t="str">
        <f t="shared" si="3"/>
        <v>女</v>
      </c>
      <c r="F17" s="7" t="s">
        <v>637</v>
      </c>
    </row>
    <row r="18" spans="1:6" ht="20.100000000000001" customHeight="1" x14ac:dyDescent="0.15">
      <c r="A18" s="5">
        <v>15</v>
      </c>
      <c r="B18" s="6" t="str">
        <f>"30482021060208445970971"</f>
        <v>30482021060208445970971</v>
      </c>
      <c r="C18" s="6" t="s">
        <v>1103</v>
      </c>
      <c r="D18" s="6" t="str">
        <f>"王小明"</f>
        <v>王小明</v>
      </c>
      <c r="E18" s="6" t="str">
        <f t="shared" ref="E18:E23" si="4">"男"</f>
        <v>男</v>
      </c>
      <c r="F18" s="7" t="s">
        <v>827</v>
      </c>
    </row>
    <row r="19" spans="1:6" ht="20.100000000000001" customHeight="1" x14ac:dyDescent="0.15">
      <c r="A19" s="5">
        <v>16</v>
      </c>
      <c r="B19" s="6" t="str">
        <f>"30482021060210003171860"</f>
        <v>30482021060210003171860</v>
      </c>
      <c r="C19" s="6" t="s">
        <v>1103</v>
      </c>
      <c r="D19" s="6" t="str">
        <f>"邢婵"</f>
        <v>邢婵</v>
      </c>
      <c r="E19" s="6" t="str">
        <f>"女"</f>
        <v>女</v>
      </c>
      <c r="F19" s="7" t="s">
        <v>266</v>
      </c>
    </row>
    <row r="20" spans="1:6" ht="20.100000000000001" customHeight="1" x14ac:dyDescent="0.15">
      <c r="A20" s="5">
        <v>17</v>
      </c>
      <c r="B20" s="6" t="str">
        <f>"30482021060211294573006"</f>
        <v>30482021060211294573006</v>
      </c>
      <c r="C20" s="6" t="s">
        <v>1103</v>
      </c>
      <c r="D20" s="6" t="str">
        <f>"符仁升"</f>
        <v>符仁升</v>
      </c>
      <c r="E20" s="6" t="str">
        <f t="shared" si="4"/>
        <v>男</v>
      </c>
      <c r="F20" s="7" t="s">
        <v>1115</v>
      </c>
    </row>
    <row r="21" spans="1:6" ht="20.100000000000001" customHeight="1" x14ac:dyDescent="0.15">
      <c r="A21" s="5">
        <v>18</v>
      </c>
      <c r="B21" s="6" t="str">
        <f>"30482021060213130673882"</f>
        <v>30482021060213130673882</v>
      </c>
      <c r="C21" s="6" t="s">
        <v>1103</v>
      </c>
      <c r="D21" s="6" t="str">
        <f>"符兴晓"</f>
        <v>符兴晓</v>
      </c>
      <c r="E21" s="6" t="str">
        <f t="shared" si="4"/>
        <v>男</v>
      </c>
      <c r="F21" s="7" t="s">
        <v>1116</v>
      </c>
    </row>
    <row r="22" spans="1:6" ht="20.100000000000001" customHeight="1" x14ac:dyDescent="0.15">
      <c r="A22" s="5">
        <v>19</v>
      </c>
      <c r="B22" s="6" t="str">
        <f>"30482021060213343674027"</f>
        <v>30482021060213343674027</v>
      </c>
      <c r="C22" s="6" t="s">
        <v>1103</v>
      </c>
      <c r="D22" s="6" t="str">
        <f>"占达策"</f>
        <v>占达策</v>
      </c>
      <c r="E22" s="6" t="str">
        <f t="shared" si="4"/>
        <v>男</v>
      </c>
      <c r="F22" s="7" t="s">
        <v>1117</v>
      </c>
    </row>
    <row r="23" spans="1:6" ht="20.100000000000001" customHeight="1" x14ac:dyDescent="0.15">
      <c r="A23" s="5">
        <v>20</v>
      </c>
      <c r="B23" s="6" t="str">
        <f>"30482021060215135274720"</f>
        <v>30482021060215135274720</v>
      </c>
      <c r="C23" s="6" t="s">
        <v>1103</v>
      </c>
      <c r="D23" s="6" t="str">
        <f>"蔡仁桐"</f>
        <v>蔡仁桐</v>
      </c>
      <c r="E23" s="6" t="str">
        <f t="shared" si="4"/>
        <v>男</v>
      </c>
      <c r="F23" s="7" t="s">
        <v>1118</v>
      </c>
    </row>
    <row r="24" spans="1:6" ht="20.100000000000001" customHeight="1" x14ac:dyDescent="0.15">
      <c r="A24" s="5">
        <v>21</v>
      </c>
      <c r="B24" s="6" t="str">
        <f>"30482021060218090176402"</f>
        <v>30482021060218090176402</v>
      </c>
      <c r="C24" s="6" t="s">
        <v>1103</v>
      </c>
      <c r="D24" s="6" t="str">
        <f>"胡丽超"</f>
        <v>胡丽超</v>
      </c>
      <c r="E24" s="6" t="str">
        <f>"女"</f>
        <v>女</v>
      </c>
      <c r="F24" s="7" t="s">
        <v>1119</v>
      </c>
    </row>
    <row r="25" spans="1:6" ht="20.100000000000001" customHeight="1" x14ac:dyDescent="0.15">
      <c r="A25" s="5">
        <v>22</v>
      </c>
      <c r="B25" s="6" t="str">
        <f>"30482021060314134883582"</f>
        <v>30482021060314134883582</v>
      </c>
      <c r="C25" s="6" t="s">
        <v>1103</v>
      </c>
      <c r="D25" s="6" t="str">
        <f>"吴可斌"</f>
        <v>吴可斌</v>
      </c>
      <c r="E25" s="6" t="str">
        <f t="shared" ref="E25:E28" si="5">"男"</f>
        <v>男</v>
      </c>
      <c r="F25" s="7" t="s">
        <v>1120</v>
      </c>
    </row>
    <row r="26" spans="1:6" ht="20.100000000000001" customHeight="1" x14ac:dyDescent="0.15">
      <c r="A26" s="5">
        <v>23</v>
      </c>
      <c r="B26" s="6" t="str">
        <f>"30482021060315414484624"</f>
        <v>30482021060315414484624</v>
      </c>
      <c r="C26" s="6" t="s">
        <v>1103</v>
      </c>
      <c r="D26" s="6" t="str">
        <f>"邢诒滔"</f>
        <v>邢诒滔</v>
      </c>
      <c r="E26" s="6" t="str">
        <f t="shared" si="5"/>
        <v>男</v>
      </c>
      <c r="F26" s="7" t="s">
        <v>1121</v>
      </c>
    </row>
    <row r="27" spans="1:6" ht="20.100000000000001" customHeight="1" x14ac:dyDescent="0.15">
      <c r="A27" s="5">
        <v>24</v>
      </c>
      <c r="B27" s="6" t="str">
        <f>"30482021060321520388509"</f>
        <v>30482021060321520388509</v>
      </c>
      <c r="C27" s="6" t="s">
        <v>1103</v>
      </c>
      <c r="D27" s="6" t="str">
        <f>"马小敏"</f>
        <v>马小敏</v>
      </c>
      <c r="E27" s="6" t="str">
        <f t="shared" si="5"/>
        <v>男</v>
      </c>
      <c r="F27" s="7" t="s">
        <v>1122</v>
      </c>
    </row>
    <row r="28" spans="1:6" ht="20.100000000000001" customHeight="1" x14ac:dyDescent="0.15">
      <c r="A28" s="5">
        <v>25</v>
      </c>
      <c r="B28" s="6" t="str">
        <f>"30482021060410520391986"</f>
        <v>30482021060410520391986</v>
      </c>
      <c r="C28" s="6" t="s">
        <v>1103</v>
      </c>
      <c r="D28" s="6" t="str">
        <f>"林师雷"</f>
        <v>林师雷</v>
      </c>
      <c r="E28" s="6" t="str">
        <f t="shared" si="5"/>
        <v>男</v>
      </c>
      <c r="F28" s="7" t="s">
        <v>1123</v>
      </c>
    </row>
    <row r="29" spans="1:6" ht="20.100000000000001" customHeight="1" x14ac:dyDescent="0.15">
      <c r="A29" s="5">
        <v>26</v>
      </c>
      <c r="B29" s="6" t="str">
        <f>"30482021060414593495889"</f>
        <v>30482021060414593495889</v>
      </c>
      <c r="C29" s="6" t="s">
        <v>1103</v>
      </c>
      <c r="D29" s="6" t="str">
        <f>"张爱娇"</f>
        <v>张爱娇</v>
      </c>
      <c r="E29" s="6" t="str">
        <f t="shared" ref="E29:E33" si="6">"女"</f>
        <v>女</v>
      </c>
      <c r="F29" s="7" t="s">
        <v>248</v>
      </c>
    </row>
    <row r="30" spans="1:6" ht="20.100000000000001" customHeight="1" x14ac:dyDescent="0.15">
      <c r="A30" s="5">
        <v>27</v>
      </c>
      <c r="B30" s="6" t="str">
        <f>"30482021060420193199364"</f>
        <v>30482021060420193199364</v>
      </c>
      <c r="C30" s="6" t="s">
        <v>1103</v>
      </c>
      <c r="D30" s="6" t="str">
        <f>"张艺凡 "</f>
        <v xml:space="preserve">张艺凡 </v>
      </c>
      <c r="E30" s="6" t="str">
        <f t="shared" ref="E30:E35" si="7">"男"</f>
        <v>男</v>
      </c>
      <c r="F30" s="7" t="s">
        <v>1124</v>
      </c>
    </row>
    <row r="31" spans="1:6" ht="20.100000000000001" customHeight="1" x14ac:dyDescent="0.15">
      <c r="A31" s="5">
        <v>28</v>
      </c>
      <c r="B31" s="6" t="str">
        <f>"30482021060421504499649"</f>
        <v>30482021060421504499649</v>
      </c>
      <c r="C31" s="6" t="s">
        <v>1103</v>
      </c>
      <c r="D31" s="6" t="str">
        <f>"程宇新"</f>
        <v>程宇新</v>
      </c>
      <c r="E31" s="6" t="str">
        <f t="shared" si="7"/>
        <v>男</v>
      </c>
      <c r="F31" s="7" t="s">
        <v>1125</v>
      </c>
    </row>
    <row r="32" spans="1:6" ht="20.100000000000001" customHeight="1" x14ac:dyDescent="0.15">
      <c r="A32" s="5">
        <v>29</v>
      </c>
      <c r="B32" s="6" t="str">
        <f>"30482021060421570999661"</f>
        <v>30482021060421570999661</v>
      </c>
      <c r="C32" s="6" t="s">
        <v>1103</v>
      </c>
      <c r="D32" s="6" t="str">
        <f>"唐莉园"</f>
        <v>唐莉园</v>
      </c>
      <c r="E32" s="6" t="str">
        <f t="shared" si="6"/>
        <v>女</v>
      </c>
      <c r="F32" s="7" t="s">
        <v>195</v>
      </c>
    </row>
    <row r="33" spans="1:6" ht="20.100000000000001" customHeight="1" x14ac:dyDescent="0.15">
      <c r="A33" s="5">
        <v>30</v>
      </c>
      <c r="B33" s="6" t="str">
        <f>"304820210605003537100031"</f>
        <v>304820210605003537100031</v>
      </c>
      <c r="C33" s="6" t="s">
        <v>1103</v>
      </c>
      <c r="D33" s="6" t="str">
        <f>"吴金荣"</f>
        <v>吴金荣</v>
      </c>
      <c r="E33" s="6" t="str">
        <f t="shared" si="6"/>
        <v>女</v>
      </c>
      <c r="F33" s="7" t="s">
        <v>1042</v>
      </c>
    </row>
    <row r="34" spans="1:6" ht="20.100000000000001" customHeight="1" x14ac:dyDescent="0.15">
      <c r="A34" s="5">
        <v>31</v>
      </c>
      <c r="B34" s="6" t="str">
        <f>"304820210606212717104807"</f>
        <v>304820210606212717104807</v>
      </c>
      <c r="C34" s="6" t="s">
        <v>1103</v>
      </c>
      <c r="D34" s="6" t="str">
        <f>"符尊威"</f>
        <v>符尊威</v>
      </c>
      <c r="E34" s="6" t="str">
        <f t="shared" si="7"/>
        <v>男</v>
      </c>
      <c r="F34" s="7" t="s">
        <v>1126</v>
      </c>
    </row>
    <row r="35" spans="1:6" ht="20.100000000000001" customHeight="1" x14ac:dyDescent="0.15">
      <c r="A35" s="5">
        <v>32</v>
      </c>
      <c r="B35" s="6" t="str">
        <f>"304820210607111823106341"</f>
        <v>304820210607111823106341</v>
      </c>
      <c r="C35" s="6" t="s">
        <v>1103</v>
      </c>
      <c r="D35" s="6" t="str">
        <f>"蒙美承"</f>
        <v>蒙美承</v>
      </c>
      <c r="E35" s="6" t="str">
        <f t="shared" si="7"/>
        <v>男</v>
      </c>
      <c r="F35" s="7" t="s">
        <v>1127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0"/>
  <sheetViews>
    <sheetView topLeftCell="A100" workbookViewId="0">
      <selection activeCell="I6" sqref="I6"/>
    </sheetView>
  </sheetViews>
  <sheetFormatPr defaultColWidth="9" defaultRowHeight="20.100000000000001" customHeight="1" x14ac:dyDescent="0.15"/>
  <cols>
    <col min="1" max="1" width="7.125" style="1" customWidth="1"/>
    <col min="2" max="2" width="24.625" style="1" customWidth="1"/>
    <col min="3" max="3" width="14.125" style="1" customWidth="1"/>
    <col min="4" max="4" width="10.625" style="1" customWidth="1"/>
    <col min="5" max="5" width="8.375" style="1" customWidth="1"/>
    <col min="6" max="6" width="16.3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"30482021060114010063445"</f>
        <v>30482021060114010063445</v>
      </c>
      <c r="C4" s="6" t="s">
        <v>1128</v>
      </c>
      <c r="D4" s="6" t="str">
        <f>"王鸿"</f>
        <v>王鸿</v>
      </c>
      <c r="E4" s="6" t="str">
        <f>"男"</f>
        <v>男</v>
      </c>
      <c r="F4" s="7" t="s">
        <v>1129</v>
      </c>
    </row>
    <row r="5" spans="1:6" ht="20.100000000000001" customHeight="1" x14ac:dyDescent="0.15">
      <c r="A5" s="5">
        <v>2</v>
      </c>
      <c r="B5" s="6" t="str">
        <f>"30482021060114012663452"</f>
        <v>30482021060114012663452</v>
      </c>
      <c r="C5" s="6" t="s">
        <v>1128</v>
      </c>
      <c r="D5" s="6" t="str">
        <f>"赵文立"</f>
        <v>赵文立</v>
      </c>
      <c r="E5" s="6" t="str">
        <f>"男"</f>
        <v>男</v>
      </c>
      <c r="F5" s="7" t="s">
        <v>683</v>
      </c>
    </row>
    <row r="6" spans="1:6" ht="20.100000000000001" customHeight="1" x14ac:dyDescent="0.15">
      <c r="A6" s="5">
        <v>3</v>
      </c>
      <c r="B6" s="6" t="str">
        <f>"30482021060114020263456"</f>
        <v>30482021060114020263456</v>
      </c>
      <c r="C6" s="6" t="s">
        <v>1128</v>
      </c>
      <c r="D6" s="6" t="str">
        <f>"王元娟"</f>
        <v>王元娟</v>
      </c>
      <c r="E6" s="6" t="str">
        <f t="shared" ref="E6:E40" si="0">"女"</f>
        <v>女</v>
      </c>
      <c r="F6" s="7" t="s">
        <v>256</v>
      </c>
    </row>
    <row r="7" spans="1:6" ht="20.100000000000001" customHeight="1" x14ac:dyDescent="0.15">
      <c r="A7" s="5">
        <v>4</v>
      </c>
      <c r="B7" s="6" t="str">
        <f>"30482021060114023363462"</f>
        <v>30482021060114023363462</v>
      </c>
      <c r="C7" s="6" t="s">
        <v>1128</v>
      </c>
      <c r="D7" s="6" t="str">
        <f>"潘冬媚"</f>
        <v>潘冬媚</v>
      </c>
      <c r="E7" s="6" t="str">
        <f t="shared" si="0"/>
        <v>女</v>
      </c>
      <c r="F7" s="7" t="s">
        <v>58</v>
      </c>
    </row>
    <row r="8" spans="1:6" ht="20.100000000000001" customHeight="1" x14ac:dyDescent="0.15">
      <c r="A8" s="5">
        <v>5</v>
      </c>
      <c r="B8" s="6" t="str">
        <f>"30482021060114040663481"</f>
        <v>30482021060114040663481</v>
      </c>
      <c r="C8" s="6" t="s">
        <v>1128</v>
      </c>
      <c r="D8" s="6" t="str">
        <f>"毛冬花"</f>
        <v>毛冬花</v>
      </c>
      <c r="E8" s="6" t="str">
        <f t="shared" si="0"/>
        <v>女</v>
      </c>
      <c r="F8" s="7" t="s">
        <v>1130</v>
      </c>
    </row>
    <row r="9" spans="1:6" ht="20.100000000000001" customHeight="1" x14ac:dyDescent="0.15">
      <c r="A9" s="5">
        <v>6</v>
      </c>
      <c r="B9" s="6" t="str">
        <f>"30482021060114043863486"</f>
        <v>30482021060114043863486</v>
      </c>
      <c r="C9" s="6" t="s">
        <v>1128</v>
      </c>
      <c r="D9" s="6" t="str">
        <f>"文妮"</f>
        <v>文妮</v>
      </c>
      <c r="E9" s="6" t="str">
        <f t="shared" si="0"/>
        <v>女</v>
      </c>
      <c r="F9" s="7" t="s">
        <v>616</v>
      </c>
    </row>
    <row r="10" spans="1:6" ht="20.100000000000001" customHeight="1" x14ac:dyDescent="0.15">
      <c r="A10" s="5">
        <v>7</v>
      </c>
      <c r="B10" s="6" t="str">
        <f>"30482021060114045563490"</f>
        <v>30482021060114045563490</v>
      </c>
      <c r="C10" s="6" t="s">
        <v>1128</v>
      </c>
      <c r="D10" s="6" t="str">
        <f>"朱娇娟"</f>
        <v>朱娇娟</v>
      </c>
      <c r="E10" s="6" t="str">
        <f t="shared" si="0"/>
        <v>女</v>
      </c>
      <c r="F10" s="7" t="s">
        <v>1131</v>
      </c>
    </row>
    <row r="11" spans="1:6" ht="20.100000000000001" customHeight="1" x14ac:dyDescent="0.15">
      <c r="A11" s="5">
        <v>8</v>
      </c>
      <c r="B11" s="6" t="str">
        <f>"30482021060114050463494"</f>
        <v>30482021060114050463494</v>
      </c>
      <c r="C11" s="6" t="s">
        <v>1128</v>
      </c>
      <c r="D11" s="6" t="str">
        <f>"李小菲"</f>
        <v>李小菲</v>
      </c>
      <c r="E11" s="6" t="str">
        <f t="shared" si="0"/>
        <v>女</v>
      </c>
      <c r="F11" s="7" t="s">
        <v>1132</v>
      </c>
    </row>
    <row r="12" spans="1:6" ht="20.100000000000001" customHeight="1" x14ac:dyDescent="0.15">
      <c r="A12" s="5">
        <v>9</v>
      </c>
      <c r="B12" s="6" t="str">
        <f>"30482021060114051263496"</f>
        <v>30482021060114051263496</v>
      </c>
      <c r="C12" s="6" t="s">
        <v>1128</v>
      </c>
      <c r="D12" s="6" t="str">
        <f>"王书莉"</f>
        <v>王书莉</v>
      </c>
      <c r="E12" s="6" t="str">
        <f t="shared" si="0"/>
        <v>女</v>
      </c>
      <c r="F12" s="7" t="s">
        <v>965</v>
      </c>
    </row>
    <row r="13" spans="1:6" ht="20.100000000000001" customHeight="1" x14ac:dyDescent="0.15">
      <c r="A13" s="5">
        <v>10</v>
      </c>
      <c r="B13" s="6" t="str">
        <f>"30482021060114052463498"</f>
        <v>30482021060114052463498</v>
      </c>
      <c r="C13" s="6" t="s">
        <v>1128</v>
      </c>
      <c r="D13" s="6" t="str">
        <f>"郑春南"</f>
        <v>郑春南</v>
      </c>
      <c r="E13" s="6" t="str">
        <f t="shared" si="0"/>
        <v>女</v>
      </c>
      <c r="F13" s="7" t="s">
        <v>407</v>
      </c>
    </row>
    <row r="14" spans="1:6" ht="20.100000000000001" customHeight="1" x14ac:dyDescent="0.15">
      <c r="A14" s="5">
        <v>11</v>
      </c>
      <c r="B14" s="6" t="str">
        <f>"30482021060114062163511"</f>
        <v>30482021060114062163511</v>
      </c>
      <c r="C14" s="6" t="s">
        <v>1128</v>
      </c>
      <c r="D14" s="6" t="str">
        <f>"欧阳琳"</f>
        <v>欧阳琳</v>
      </c>
      <c r="E14" s="6" t="str">
        <f t="shared" si="0"/>
        <v>女</v>
      </c>
      <c r="F14" s="7" t="s">
        <v>791</v>
      </c>
    </row>
    <row r="15" spans="1:6" ht="20.100000000000001" customHeight="1" x14ac:dyDescent="0.15">
      <c r="A15" s="5">
        <v>12</v>
      </c>
      <c r="B15" s="6" t="str">
        <f>"30482021060114062863513"</f>
        <v>30482021060114062863513</v>
      </c>
      <c r="C15" s="6" t="s">
        <v>1128</v>
      </c>
      <c r="D15" s="6" t="str">
        <f>"梁奇"</f>
        <v>梁奇</v>
      </c>
      <c r="E15" s="6" t="str">
        <f t="shared" si="0"/>
        <v>女</v>
      </c>
      <c r="F15" s="7" t="s">
        <v>225</v>
      </c>
    </row>
    <row r="16" spans="1:6" ht="20.100000000000001" customHeight="1" x14ac:dyDescent="0.15">
      <c r="A16" s="5">
        <v>13</v>
      </c>
      <c r="B16" s="6" t="str">
        <f>"30482021060114064063516"</f>
        <v>30482021060114064063516</v>
      </c>
      <c r="C16" s="6" t="s">
        <v>1128</v>
      </c>
      <c r="D16" s="6" t="str">
        <f>"林圆好"</f>
        <v>林圆好</v>
      </c>
      <c r="E16" s="6" t="str">
        <f t="shared" si="0"/>
        <v>女</v>
      </c>
      <c r="F16" s="7" t="s">
        <v>144</v>
      </c>
    </row>
    <row r="17" spans="1:6" ht="20.100000000000001" customHeight="1" x14ac:dyDescent="0.15">
      <c r="A17" s="5">
        <v>14</v>
      </c>
      <c r="B17" s="6" t="str">
        <f>"30482021060114072163523"</f>
        <v>30482021060114072163523</v>
      </c>
      <c r="C17" s="6" t="s">
        <v>1128</v>
      </c>
      <c r="D17" s="6" t="str">
        <f>"陈琼静"</f>
        <v>陈琼静</v>
      </c>
      <c r="E17" s="6" t="str">
        <f t="shared" si="0"/>
        <v>女</v>
      </c>
      <c r="F17" s="7" t="s">
        <v>1133</v>
      </c>
    </row>
    <row r="18" spans="1:6" ht="20.100000000000001" customHeight="1" x14ac:dyDescent="0.15">
      <c r="A18" s="5">
        <v>15</v>
      </c>
      <c r="B18" s="6" t="str">
        <f>"30482021060114075163529"</f>
        <v>30482021060114075163529</v>
      </c>
      <c r="C18" s="6" t="s">
        <v>1128</v>
      </c>
      <c r="D18" s="6" t="str">
        <f>"王康蜜"</f>
        <v>王康蜜</v>
      </c>
      <c r="E18" s="6" t="str">
        <f t="shared" si="0"/>
        <v>女</v>
      </c>
      <c r="F18" s="7" t="s">
        <v>592</v>
      </c>
    </row>
    <row r="19" spans="1:6" ht="20.100000000000001" customHeight="1" x14ac:dyDescent="0.15">
      <c r="A19" s="5">
        <v>16</v>
      </c>
      <c r="B19" s="6" t="str">
        <f>"30482021060114083163530"</f>
        <v>30482021060114083163530</v>
      </c>
      <c r="C19" s="6" t="s">
        <v>1128</v>
      </c>
      <c r="D19" s="6" t="str">
        <f>"陈丽丽"</f>
        <v>陈丽丽</v>
      </c>
      <c r="E19" s="6" t="str">
        <f t="shared" si="0"/>
        <v>女</v>
      </c>
      <c r="F19" s="7" t="s">
        <v>552</v>
      </c>
    </row>
    <row r="20" spans="1:6" ht="20.100000000000001" customHeight="1" x14ac:dyDescent="0.15">
      <c r="A20" s="5">
        <v>17</v>
      </c>
      <c r="B20" s="6" t="str">
        <f>"30482021060114090263539"</f>
        <v>30482021060114090263539</v>
      </c>
      <c r="C20" s="6" t="s">
        <v>1128</v>
      </c>
      <c r="D20" s="6" t="str">
        <f>"符珠岁"</f>
        <v>符珠岁</v>
      </c>
      <c r="E20" s="6" t="str">
        <f t="shared" si="0"/>
        <v>女</v>
      </c>
      <c r="F20" s="7" t="s">
        <v>569</v>
      </c>
    </row>
    <row r="21" spans="1:6" ht="20.100000000000001" customHeight="1" x14ac:dyDescent="0.15">
      <c r="A21" s="5">
        <v>18</v>
      </c>
      <c r="B21" s="6" t="str">
        <f>"30482021060114105763547"</f>
        <v>30482021060114105763547</v>
      </c>
      <c r="C21" s="6" t="s">
        <v>1128</v>
      </c>
      <c r="D21" s="6" t="str">
        <f>"邓文瑜"</f>
        <v>邓文瑜</v>
      </c>
      <c r="E21" s="6" t="str">
        <f t="shared" si="0"/>
        <v>女</v>
      </c>
      <c r="F21" s="7" t="s">
        <v>942</v>
      </c>
    </row>
    <row r="22" spans="1:6" ht="20.100000000000001" customHeight="1" x14ac:dyDescent="0.15">
      <c r="A22" s="5">
        <v>19</v>
      </c>
      <c r="B22" s="6" t="str">
        <f>"30482021060114114963559"</f>
        <v>30482021060114114963559</v>
      </c>
      <c r="C22" s="6" t="s">
        <v>1128</v>
      </c>
      <c r="D22" s="6" t="str">
        <f>"薛巧"</f>
        <v>薛巧</v>
      </c>
      <c r="E22" s="6" t="str">
        <f t="shared" si="0"/>
        <v>女</v>
      </c>
      <c r="F22" s="7" t="s">
        <v>1134</v>
      </c>
    </row>
    <row r="23" spans="1:6" ht="20.100000000000001" customHeight="1" x14ac:dyDescent="0.15">
      <c r="A23" s="5">
        <v>20</v>
      </c>
      <c r="B23" s="6" t="str">
        <f>"30482021060114115363561"</f>
        <v>30482021060114115363561</v>
      </c>
      <c r="C23" s="6" t="s">
        <v>1128</v>
      </c>
      <c r="D23" s="6" t="str">
        <f>"王嘉艳"</f>
        <v>王嘉艳</v>
      </c>
      <c r="E23" s="6" t="str">
        <f t="shared" si="0"/>
        <v>女</v>
      </c>
      <c r="F23" s="7" t="s">
        <v>1058</v>
      </c>
    </row>
    <row r="24" spans="1:6" ht="20.100000000000001" customHeight="1" x14ac:dyDescent="0.15">
      <c r="A24" s="5">
        <v>21</v>
      </c>
      <c r="B24" s="6" t="str">
        <f>"30482021060114124963574"</f>
        <v>30482021060114124963574</v>
      </c>
      <c r="C24" s="6" t="s">
        <v>1128</v>
      </c>
      <c r="D24" s="6" t="str">
        <f>"王莉婵"</f>
        <v>王莉婵</v>
      </c>
      <c r="E24" s="6" t="str">
        <f t="shared" si="0"/>
        <v>女</v>
      </c>
      <c r="F24" s="7" t="s">
        <v>1135</v>
      </c>
    </row>
    <row r="25" spans="1:6" ht="20.100000000000001" customHeight="1" x14ac:dyDescent="0.15">
      <c r="A25" s="5">
        <v>22</v>
      </c>
      <c r="B25" s="6" t="str">
        <f>"30482021060114125463575"</f>
        <v>30482021060114125463575</v>
      </c>
      <c r="C25" s="6" t="s">
        <v>1128</v>
      </c>
      <c r="D25" s="6" t="str">
        <f>"李思洁"</f>
        <v>李思洁</v>
      </c>
      <c r="E25" s="6" t="str">
        <f t="shared" si="0"/>
        <v>女</v>
      </c>
      <c r="F25" s="7" t="s">
        <v>1136</v>
      </c>
    </row>
    <row r="26" spans="1:6" ht="20.100000000000001" customHeight="1" x14ac:dyDescent="0.15">
      <c r="A26" s="5">
        <v>23</v>
      </c>
      <c r="B26" s="6" t="str">
        <f>"30482021060114145663593"</f>
        <v>30482021060114145663593</v>
      </c>
      <c r="C26" s="6" t="s">
        <v>1128</v>
      </c>
      <c r="D26" s="6" t="str">
        <f>"林红杏"</f>
        <v>林红杏</v>
      </c>
      <c r="E26" s="6" t="str">
        <f t="shared" si="0"/>
        <v>女</v>
      </c>
      <c r="F26" s="7" t="s">
        <v>481</v>
      </c>
    </row>
    <row r="27" spans="1:6" ht="20.100000000000001" customHeight="1" x14ac:dyDescent="0.15">
      <c r="A27" s="5">
        <v>24</v>
      </c>
      <c r="B27" s="6" t="str">
        <f>"30482021060114160463603"</f>
        <v>30482021060114160463603</v>
      </c>
      <c r="C27" s="6" t="s">
        <v>1128</v>
      </c>
      <c r="D27" s="6" t="str">
        <f>"唐娜"</f>
        <v>唐娜</v>
      </c>
      <c r="E27" s="6" t="str">
        <f t="shared" si="0"/>
        <v>女</v>
      </c>
      <c r="F27" s="7" t="s">
        <v>495</v>
      </c>
    </row>
    <row r="28" spans="1:6" ht="20.100000000000001" customHeight="1" x14ac:dyDescent="0.15">
      <c r="A28" s="5">
        <v>25</v>
      </c>
      <c r="B28" s="6" t="str">
        <f>"30482021060114170763617"</f>
        <v>30482021060114170763617</v>
      </c>
      <c r="C28" s="6" t="s">
        <v>1128</v>
      </c>
      <c r="D28" s="6" t="str">
        <f>"苏燕珍"</f>
        <v>苏燕珍</v>
      </c>
      <c r="E28" s="6" t="str">
        <f t="shared" si="0"/>
        <v>女</v>
      </c>
      <c r="F28" s="7" t="s">
        <v>155</v>
      </c>
    </row>
    <row r="29" spans="1:6" ht="20.100000000000001" customHeight="1" x14ac:dyDescent="0.15">
      <c r="A29" s="5">
        <v>26</v>
      </c>
      <c r="B29" s="6" t="str">
        <f>"30482021060114173863620"</f>
        <v>30482021060114173863620</v>
      </c>
      <c r="C29" s="6" t="s">
        <v>1128</v>
      </c>
      <c r="D29" s="6" t="str">
        <f>"陈春蓉"</f>
        <v>陈春蓉</v>
      </c>
      <c r="E29" s="6" t="str">
        <f t="shared" si="0"/>
        <v>女</v>
      </c>
      <c r="F29" s="7" t="s">
        <v>1137</v>
      </c>
    </row>
    <row r="30" spans="1:6" ht="20.100000000000001" customHeight="1" x14ac:dyDescent="0.15">
      <c r="A30" s="5">
        <v>27</v>
      </c>
      <c r="B30" s="6" t="str">
        <f>"30482021060114190563634"</f>
        <v>30482021060114190563634</v>
      </c>
      <c r="C30" s="6" t="s">
        <v>1128</v>
      </c>
      <c r="D30" s="6" t="str">
        <f>"吴慧娟"</f>
        <v>吴慧娟</v>
      </c>
      <c r="E30" s="6" t="str">
        <f t="shared" si="0"/>
        <v>女</v>
      </c>
      <c r="F30" s="7" t="s">
        <v>1138</v>
      </c>
    </row>
    <row r="31" spans="1:6" ht="20.100000000000001" customHeight="1" x14ac:dyDescent="0.15">
      <c r="A31" s="5">
        <v>28</v>
      </c>
      <c r="B31" s="6" t="str">
        <f>"30482021060114203163647"</f>
        <v>30482021060114203163647</v>
      </c>
      <c r="C31" s="6" t="s">
        <v>1128</v>
      </c>
      <c r="D31" s="6" t="str">
        <f>"翁晓娟"</f>
        <v>翁晓娟</v>
      </c>
      <c r="E31" s="6" t="str">
        <f t="shared" si="0"/>
        <v>女</v>
      </c>
      <c r="F31" s="7" t="s">
        <v>43</v>
      </c>
    </row>
    <row r="32" spans="1:6" ht="20.100000000000001" customHeight="1" x14ac:dyDescent="0.15">
      <c r="A32" s="5">
        <v>29</v>
      </c>
      <c r="B32" s="6" t="str">
        <f>"30482021060114224863674"</f>
        <v>30482021060114224863674</v>
      </c>
      <c r="C32" s="6" t="s">
        <v>1128</v>
      </c>
      <c r="D32" s="6" t="str">
        <f>"黄天慧"</f>
        <v>黄天慧</v>
      </c>
      <c r="E32" s="6" t="str">
        <f t="shared" si="0"/>
        <v>女</v>
      </c>
      <c r="F32" s="7" t="s">
        <v>44</v>
      </c>
    </row>
    <row r="33" spans="1:6" ht="20.100000000000001" customHeight="1" x14ac:dyDescent="0.15">
      <c r="A33" s="5">
        <v>30</v>
      </c>
      <c r="B33" s="6" t="str">
        <f>"30482021060114241763685"</f>
        <v>30482021060114241763685</v>
      </c>
      <c r="C33" s="6" t="s">
        <v>1128</v>
      </c>
      <c r="D33" s="6" t="str">
        <f>"杨慧儿"</f>
        <v>杨慧儿</v>
      </c>
      <c r="E33" s="6" t="str">
        <f t="shared" si="0"/>
        <v>女</v>
      </c>
      <c r="F33" s="7" t="s">
        <v>274</v>
      </c>
    </row>
    <row r="34" spans="1:6" ht="20.100000000000001" customHeight="1" x14ac:dyDescent="0.15">
      <c r="A34" s="5">
        <v>31</v>
      </c>
      <c r="B34" s="6" t="str">
        <f>"30482021060114243863688"</f>
        <v>30482021060114243863688</v>
      </c>
      <c r="C34" s="6" t="s">
        <v>1128</v>
      </c>
      <c r="D34" s="6" t="str">
        <f>"陈李妹"</f>
        <v>陈李妹</v>
      </c>
      <c r="E34" s="6" t="str">
        <f t="shared" si="0"/>
        <v>女</v>
      </c>
      <c r="F34" s="7" t="s">
        <v>1139</v>
      </c>
    </row>
    <row r="35" spans="1:6" ht="20.100000000000001" customHeight="1" x14ac:dyDescent="0.15">
      <c r="A35" s="5">
        <v>32</v>
      </c>
      <c r="B35" s="6" t="str">
        <f>"30482021060114245363693"</f>
        <v>30482021060114245363693</v>
      </c>
      <c r="C35" s="6" t="s">
        <v>1128</v>
      </c>
      <c r="D35" s="6" t="str">
        <f>"梁姑美"</f>
        <v>梁姑美</v>
      </c>
      <c r="E35" s="6" t="str">
        <f t="shared" si="0"/>
        <v>女</v>
      </c>
      <c r="F35" s="7" t="s">
        <v>1140</v>
      </c>
    </row>
    <row r="36" spans="1:6" ht="20.100000000000001" customHeight="1" x14ac:dyDescent="0.15">
      <c r="A36" s="5">
        <v>33</v>
      </c>
      <c r="B36" s="6" t="str">
        <f>"30482021060114250963698"</f>
        <v>30482021060114250963698</v>
      </c>
      <c r="C36" s="6" t="s">
        <v>1128</v>
      </c>
      <c r="D36" s="6" t="str">
        <f>"曾小仙"</f>
        <v>曾小仙</v>
      </c>
      <c r="E36" s="6" t="str">
        <f t="shared" si="0"/>
        <v>女</v>
      </c>
      <c r="F36" s="7" t="s">
        <v>528</v>
      </c>
    </row>
    <row r="37" spans="1:6" ht="20.100000000000001" customHeight="1" x14ac:dyDescent="0.15">
      <c r="A37" s="5">
        <v>34</v>
      </c>
      <c r="B37" s="6" t="str">
        <f>"30482021060114252563700"</f>
        <v>30482021060114252563700</v>
      </c>
      <c r="C37" s="6" t="s">
        <v>1128</v>
      </c>
      <c r="D37" s="6" t="str">
        <f>"胡正果"</f>
        <v>胡正果</v>
      </c>
      <c r="E37" s="6" t="str">
        <f t="shared" si="0"/>
        <v>女</v>
      </c>
      <c r="F37" s="7" t="s">
        <v>1141</v>
      </c>
    </row>
    <row r="38" spans="1:6" ht="20.100000000000001" customHeight="1" x14ac:dyDescent="0.15">
      <c r="A38" s="5">
        <v>35</v>
      </c>
      <c r="B38" s="6" t="str">
        <f>"30482021060114284963741"</f>
        <v>30482021060114284963741</v>
      </c>
      <c r="C38" s="6" t="s">
        <v>1128</v>
      </c>
      <c r="D38" s="6" t="str">
        <f>"符秀娥"</f>
        <v>符秀娥</v>
      </c>
      <c r="E38" s="6" t="str">
        <f t="shared" si="0"/>
        <v>女</v>
      </c>
      <c r="F38" s="7" t="s">
        <v>1142</v>
      </c>
    </row>
    <row r="39" spans="1:6" ht="20.100000000000001" customHeight="1" x14ac:dyDescent="0.15">
      <c r="A39" s="5">
        <v>36</v>
      </c>
      <c r="B39" s="6" t="str">
        <f>"30482021060114304563759"</f>
        <v>30482021060114304563759</v>
      </c>
      <c r="C39" s="6" t="s">
        <v>1128</v>
      </c>
      <c r="D39" s="6" t="str">
        <f>"郭爱教"</f>
        <v>郭爱教</v>
      </c>
      <c r="E39" s="6" t="str">
        <f t="shared" si="0"/>
        <v>女</v>
      </c>
      <c r="F39" s="7" t="s">
        <v>1143</v>
      </c>
    </row>
    <row r="40" spans="1:6" ht="20.100000000000001" customHeight="1" x14ac:dyDescent="0.15">
      <c r="A40" s="5">
        <v>37</v>
      </c>
      <c r="B40" s="6" t="str">
        <f>"30482021060114312463767"</f>
        <v>30482021060114312463767</v>
      </c>
      <c r="C40" s="6" t="s">
        <v>1128</v>
      </c>
      <c r="D40" s="6" t="str">
        <f>"周瑜"</f>
        <v>周瑜</v>
      </c>
      <c r="E40" s="6" t="str">
        <f t="shared" si="0"/>
        <v>女</v>
      </c>
      <c r="F40" s="7" t="s">
        <v>130</v>
      </c>
    </row>
    <row r="41" spans="1:6" ht="20.100000000000001" customHeight="1" x14ac:dyDescent="0.15">
      <c r="A41" s="5">
        <v>38</v>
      </c>
      <c r="B41" s="6" t="str">
        <f>"30482021060114324763779"</f>
        <v>30482021060114324763779</v>
      </c>
      <c r="C41" s="6" t="s">
        <v>1128</v>
      </c>
      <c r="D41" s="6" t="str">
        <f>"王义平"</f>
        <v>王义平</v>
      </c>
      <c r="E41" s="6" t="str">
        <f>"男"</f>
        <v>男</v>
      </c>
      <c r="F41" s="7" t="s">
        <v>624</v>
      </c>
    </row>
    <row r="42" spans="1:6" ht="20.100000000000001" customHeight="1" x14ac:dyDescent="0.15">
      <c r="A42" s="5">
        <v>39</v>
      </c>
      <c r="B42" s="6" t="str">
        <f>"30482021060114335963794"</f>
        <v>30482021060114335963794</v>
      </c>
      <c r="C42" s="6" t="s">
        <v>1128</v>
      </c>
      <c r="D42" s="6" t="str">
        <f>"谢海聪"</f>
        <v>谢海聪</v>
      </c>
      <c r="E42" s="6" t="str">
        <f>"男"</f>
        <v>男</v>
      </c>
      <c r="F42" s="7" t="s">
        <v>1144</v>
      </c>
    </row>
    <row r="43" spans="1:6" ht="20.100000000000001" customHeight="1" x14ac:dyDescent="0.15">
      <c r="A43" s="5">
        <v>40</v>
      </c>
      <c r="B43" s="6" t="str">
        <f>"30482021060114341063795"</f>
        <v>30482021060114341063795</v>
      </c>
      <c r="C43" s="6" t="s">
        <v>1128</v>
      </c>
      <c r="D43" s="6" t="str">
        <f>"徐敏"</f>
        <v>徐敏</v>
      </c>
      <c r="E43" s="6" t="str">
        <f t="shared" ref="E43:E75" si="1">"女"</f>
        <v>女</v>
      </c>
      <c r="F43" s="7" t="s">
        <v>172</v>
      </c>
    </row>
    <row r="44" spans="1:6" ht="20.100000000000001" customHeight="1" x14ac:dyDescent="0.15">
      <c r="A44" s="5">
        <v>41</v>
      </c>
      <c r="B44" s="6" t="str">
        <f>"30482021060114360663811"</f>
        <v>30482021060114360663811</v>
      </c>
      <c r="C44" s="6" t="s">
        <v>1128</v>
      </c>
      <c r="D44" s="6" t="str">
        <f>"冯桔蕾"</f>
        <v>冯桔蕾</v>
      </c>
      <c r="E44" s="6" t="str">
        <f t="shared" si="1"/>
        <v>女</v>
      </c>
      <c r="F44" s="7" t="s">
        <v>752</v>
      </c>
    </row>
    <row r="45" spans="1:6" ht="20.100000000000001" customHeight="1" x14ac:dyDescent="0.15">
      <c r="A45" s="5">
        <v>42</v>
      </c>
      <c r="B45" s="6" t="str">
        <f>"30482021060114363163816"</f>
        <v>30482021060114363163816</v>
      </c>
      <c r="C45" s="6" t="s">
        <v>1128</v>
      </c>
      <c r="D45" s="6" t="str">
        <f>"林冰梅"</f>
        <v>林冰梅</v>
      </c>
      <c r="E45" s="6" t="str">
        <f t="shared" si="1"/>
        <v>女</v>
      </c>
      <c r="F45" s="7" t="s">
        <v>638</v>
      </c>
    </row>
    <row r="46" spans="1:6" ht="20.100000000000001" customHeight="1" x14ac:dyDescent="0.15">
      <c r="A46" s="5">
        <v>43</v>
      </c>
      <c r="B46" s="6" t="str">
        <f>"30482021060114370663824"</f>
        <v>30482021060114370663824</v>
      </c>
      <c r="C46" s="6" t="s">
        <v>1128</v>
      </c>
      <c r="D46" s="6" t="str">
        <f>"王露娜"</f>
        <v>王露娜</v>
      </c>
      <c r="E46" s="6" t="str">
        <f t="shared" si="1"/>
        <v>女</v>
      </c>
      <c r="F46" s="7" t="s">
        <v>1145</v>
      </c>
    </row>
    <row r="47" spans="1:6" ht="20.100000000000001" customHeight="1" x14ac:dyDescent="0.15">
      <c r="A47" s="5">
        <v>44</v>
      </c>
      <c r="B47" s="6" t="str">
        <f>"30482021060114381963843"</f>
        <v>30482021060114381963843</v>
      </c>
      <c r="C47" s="6" t="s">
        <v>1128</v>
      </c>
      <c r="D47" s="6" t="str">
        <f>"吴海容"</f>
        <v>吴海容</v>
      </c>
      <c r="E47" s="6" t="str">
        <f t="shared" si="1"/>
        <v>女</v>
      </c>
      <c r="F47" s="7" t="s">
        <v>483</v>
      </c>
    </row>
    <row r="48" spans="1:6" ht="20.100000000000001" customHeight="1" x14ac:dyDescent="0.15">
      <c r="A48" s="5">
        <v>45</v>
      </c>
      <c r="B48" s="6" t="str">
        <f>"30482021060114384763853"</f>
        <v>30482021060114384763853</v>
      </c>
      <c r="C48" s="6" t="s">
        <v>1128</v>
      </c>
      <c r="D48" s="6" t="str">
        <f>"黄兰兰"</f>
        <v>黄兰兰</v>
      </c>
      <c r="E48" s="6" t="str">
        <f t="shared" si="1"/>
        <v>女</v>
      </c>
      <c r="F48" s="7" t="s">
        <v>552</v>
      </c>
    </row>
    <row r="49" spans="1:6" ht="20.100000000000001" customHeight="1" x14ac:dyDescent="0.15">
      <c r="A49" s="5">
        <v>46</v>
      </c>
      <c r="B49" s="6" t="str">
        <f>"30482021060114390763862"</f>
        <v>30482021060114390763862</v>
      </c>
      <c r="C49" s="6" t="s">
        <v>1128</v>
      </c>
      <c r="D49" s="6" t="str">
        <f>"周蕾"</f>
        <v>周蕾</v>
      </c>
      <c r="E49" s="6" t="str">
        <f t="shared" si="1"/>
        <v>女</v>
      </c>
      <c r="F49" s="7" t="s">
        <v>1146</v>
      </c>
    </row>
    <row r="50" spans="1:6" ht="20.100000000000001" customHeight="1" x14ac:dyDescent="0.15">
      <c r="A50" s="5">
        <v>47</v>
      </c>
      <c r="B50" s="6" t="str">
        <f>"30482021060114390763863"</f>
        <v>30482021060114390763863</v>
      </c>
      <c r="C50" s="6" t="s">
        <v>1128</v>
      </c>
      <c r="D50" s="6" t="str">
        <f>"欧楠"</f>
        <v>欧楠</v>
      </c>
      <c r="E50" s="6" t="str">
        <f t="shared" si="1"/>
        <v>女</v>
      </c>
      <c r="F50" s="7" t="s">
        <v>247</v>
      </c>
    </row>
    <row r="51" spans="1:6" ht="20.100000000000001" customHeight="1" x14ac:dyDescent="0.15">
      <c r="A51" s="5">
        <v>48</v>
      </c>
      <c r="B51" s="6" t="str">
        <f>"30482021060114421663895"</f>
        <v>30482021060114421663895</v>
      </c>
      <c r="C51" s="6" t="s">
        <v>1128</v>
      </c>
      <c r="D51" s="6" t="str">
        <f>"陈美玲"</f>
        <v>陈美玲</v>
      </c>
      <c r="E51" s="6" t="str">
        <f t="shared" si="1"/>
        <v>女</v>
      </c>
      <c r="F51" s="7" t="s">
        <v>665</v>
      </c>
    </row>
    <row r="52" spans="1:6" ht="20.100000000000001" customHeight="1" x14ac:dyDescent="0.15">
      <c r="A52" s="5">
        <v>49</v>
      </c>
      <c r="B52" s="6" t="str">
        <f>"30482021060114424763901"</f>
        <v>30482021060114424763901</v>
      </c>
      <c r="C52" s="6" t="s">
        <v>1128</v>
      </c>
      <c r="D52" s="6" t="str">
        <f>"林杨柳"</f>
        <v>林杨柳</v>
      </c>
      <c r="E52" s="6" t="str">
        <f t="shared" si="1"/>
        <v>女</v>
      </c>
      <c r="F52" s="7" t="s">
        <v>1147</v>
      </c>
    </row>
    <row r="53" spans="1:6" ht="20.100000000000001" customHeight="1" x14ac:dyDescent="0.15">
      <c r="A53" s="5">
        <v>50</v>
      </c>
      <c r="B53" s="6" t="str">
        <f>"30482021060114435963910"</f>
        <v>30482021060114435963910</v>
      </c>
      <c r="C53" s="6" t="s">
        <v>1128</v>
      </c>
      <c r="D53" s="6" t="str">
        <f>"黄靖茹"</f>
        <v>黄靖茹</v>
      </c>
      <c r="E53" s="6" t="str">
        <f t="shared" si="1"/>
        <v>女</v>
      </c>
      <c r="F53" s="7" t="s">
        <v>139</v>
      </c>
    </row>
    <row r="54" spans="1:6" ht="20.100000000000001" customHeight="1" x14ac:dyDescent="0.15">
      <c r="A54" s="5">
        <v>51</v>
      </c>
      <c r="B54" s="6" t="str">
        <f>"30482021060114454563933"</f>
        <v>30482021060114454563933</v>
      </c>
      <c r="C54" s="6" t="s">
        <v>1128</v>
      </c>
      <c r="D54" s="6" t="str">
        <f>"罗孟珠"</f>
        <v>罗孟珠</v>
      </c>
      <c r="E54" s="6" t="str">
        <f t="shared" si="1"/>
        <v>女</v>
      </c>
      <c r="F54" s="7" t="s">
        <v>550</v>
      </c>
    </row>
    <row r="55" spans="1:6" ht="20.100000000000001" customHeight="1" x14ac:dyDescent="0.15">
      <c r="A55" s="5">
        <v>52</v>
      </c>
      <c r="B55" s="6" t="str">
        <f>"30482021060114462063942"</f>
        <v>30482021060114462063942</v>
      </c>
      <c r="C55" s="6" t="s">
        <v>1128</v>
      </c>
      <c r="D55" s="6" t="str">
        <f>"张燕慧"</f>
        <v>张燕慧</v>
      </c>
      <c r="E55" s="6" t="str">
        <f t="shared" si="1"/>
        <v>女</v>
      </c>
      <c r="F55" s="7" t="s">
        <v>1148</v>
      </c>
    </row>
    <row r="56" spans="1:6" ht="20.100000000000001" customHeight="1" x14ac:dyDescent="0.15">
      <c r="A56" s="5">
        <v>53</v>
      </c>
      <c r="B56" s="6" t="str">
        <f>"30482021060114464163945"</f>
        <v>30482021060114464163945</v>
      </c>
      <c r="C56" s="6" t="s">
        <v>1128</v>
      </c>
      <c r="D56" s="6" t="str">
        <f>"陈甜甜"</f>
        <v>陈甜甜</v>
      </c>
      <c r="E56" s="6" t="str">
        <f t="shared" si="1"/>
        <v>女</v>
      </c>
      <c r="F56" s="7" t="s">
        <v>1149</v>
      </c>
    </row>
    <row r="57" spans="1:6" ht="20.100000000000001" customHeight="1" x14ac:dyDescent="0.15">
      <c r="A57" s="5">
        <v>54</v>
      </c>
      <c r="B57" s="6" t="str">
        <f>"30482021060114465663948"</f>
        <v>30482021060114465663948</v>
      </c>
      <c r="C57" s="6" t="s">
        <v>1128</v>
      </c>
      <c r="D57" s="6" t="str">
        <f>"丛若瑾"</f>
        <v>丛若瑾</v>
      </c>
      <c r="E57" s="6" t="str">
        <f t="shared" si="1"/>
        <v>女</v>
      </c>
      <c r="F57" s="7" t="s">
        <v>1150</v>
      </c>
    </row>
    <row r="58" spans="1:6" ht="20.100000000000001" customHeight="1" x14ac:dyDescent="0.15">
      <c r="A58" s="5">
        <v>55</v>
      </c>
      <c r="B58" s="6" t="str">
        <f>"30482021060114470563950"</f>
        <v>30482021060114470563950</v>
      </c>
      <c r="C58" s="6" t="s">
        <v>1128</v>
      </c>
      <c r="D58" s="6" t="str">
        <f>"秦佳韵"</f>
        <v>秦佳韵</v>
      </c>
      <c r="E58" s="6" t="str">
        <f t="shared" si="1"/>
        <v>女</v>
      </c>
      <c r="F58" s="7" t="s">
        <v>536</v>
      </c>
    </row>
    <row r="59" spans="1:6" ht="20.100000000000001" customHeight="1" x14ac:dyDescent="0.15">
      <c r="A59" s="5">
        <v>56</v>
      </c>
      <c r="B59" s="6" t="str">
        <f>"30482021060114471363952"</f>
        <v>30482021060114471363952</v>
      </c>
      <c r="C59" s="6" t="s">
        <v>1128</v>
      </c>
      <c r="D59" s="6" t="str">
        <f>"潘雨"</f>
        <v>潘雨</v>
      </c>
      <c r="E59" s="6" t="str">
        <f t="shared" si="1"/>
        <v>女</v>
      </c>
      <c r="F59" s="7" t="s">
        <v>1151</v>
      </c>
    </row>
    <row r="60" spans="1:6" ht="20.100000000000001" customHeight="1" x14ac:dyDescent="0.15">
      <c r="A60" s="5">
        <v>57</v>
      </c>
      <c r="B60" s="6" t="str">
        <f>"30482021060114484563973"</f>
        <v>30482021060114484563973</v>
      </c>
      <c r="C60" s="6" t="s">
        <v>1128</v>
      </c>
      <c r="D60" s="6" t="str">
        <f>"王笛"</f>
        <v>王笛</v>
      </c>
      <c r="E60" s="6" t="str">
        <f t="shared" si="1"/>
        <v>女</v>
      </c>
      <c r="F60" s="7" t="s">
        <v>160</v>
      </c>
    </row>
    <row r="61" spans="1:6" ht="20.100000000000001" customHeight="1" x14ac:dyDescent="0.15">
      <c r="A61" s="5">
        <v>58</v>
      </c>
      <c r="B61" s="6" t="str">
        <f>"30482021060114532464033"</f>
        <v>30482021060114532464033</v>
      </c>
      <c r="C61" s="6" t="s">
        <v>1128</v>
      </c>
      <c r="D61" s="6" t="str">
        <f>"赵越越"</f>
        <v>赵越越</v>
      </c>
      <c r="E61" s="6" t="str">
        <f t="shared" si="1"/>
        <v>女</v>
      </c>
      <c r="F61" s="7" t="s">
        <v>1152</v>
      </c>
    </row>
    <row r="62" spans="1:6" ht="20.100000000000001" customHeight="1" x14ac:dyDescent="0.15">
      <c r="A62" s="5">
        <v>59</v>
      </c>
      <c r="B62" s="6" t="str">
        <f>"30482021060114552164070"</f>
        <v>30482021060114552164070</v>
      </c>
      <c r="C62" s="6" t="s">
        <v>1128</v>
      </c>
      <c r="D62" s="6" t="str">
        <f>"王小丽"</f>
        <v>王小丽</v>
      </c>
      <c r="E62" s="6" t="str">
        <f t="shared" si="1"/>
        <v>女</v>
      </c>
      <c r="F62" s="7" t="s">
        <v>31</v>
      </c>
    </row>
    <row r="63" spans="1:6" ht="20.100000000000001" customHeight="1" x14ac:dyDescent="0.15">
      <c r="A63" s="5">
        <v>60</v>
      </c>
      <c r="B63" s="6" t="str">
        <f>"30482021060114560264078"</f>
        <v>30482021060114560264078</v>
      </c>
      <c r="C63" s="6" t="s">
        <v>1128</v>
      </c>
      <c r="D63" s="6" t="str">
        <f>"陈小月"</f>
        <v>陈小月</v>
      </c>
      <c r="E63" s="6" t="str">
        <f t="shared" si="1"/>
        <v>女</v>
      </c>
      <c r="F63" s="7" t="s">
        <v>787</v>
      </c>
    </row>
    <row r="64" spans="1:6" ht="20.100000000000001" customHeight="1" x14ac:dyDescent="0.15">
      <c r="A64" s="5">
        <v>61</v>
      </c>
      <c r="B64" s="6" t="str">
        <f>"30482021060114565964091"</f>
        <v>30482021060114565964091</v>
      </c>
      <c r="C64" s="6" t="s">
        <v>1128</v>
      </c>
      <c r="D64" s="6" t="str">
        <f>"陈雅"</f>
        <v>陈雅</v>
      </c>
      <c r="E64" s="6" t="str">
        <f t="shared" si="1"/>
        <v>女</v>
      </c>
      <c r="F64" s="7" t="s">
        <v>250</v>
      </c>
    </row>
    <row r="65" spans="1:6" ht="20.100000000000001" customHeight="1" x14ac:dyDescent="0.15">
      <c r="A65" s="5">
        <v>62</v>
      </c>
      <c r="B65" s="6" t="str">
        <f>"30482021060114582964111"</f>
        <v>30482021060114582964111</v>
      </c>
      <c r="C65" s="6" t="s">
        <v>1128</v>
      </c>
      <c r="D65" s="6" t="str">
        <f>"陈重元"</f>
        <v>陈重元</v>
      </c>
      <c r="E65" s="6" t="str">
        <f t="shared" si="1"/>
        <v>女</v>
      </c>
      <c r="F65" s="7" t="s">
        <v>1153</v>
      </c>
    </row>
    <row r="66" spans="1:6" ht="20.100000000000001" customHeight="1" x14ac:dyDescent="0.15">
      <c r="A66" s="5">
        <v>63</v>
      </c>
      <c r="B66" s="6" t="str">
        <f>"30482021060114593864123"</f>
        <v>30482021060114593864123</v>
      </c>
      <c r="C66" s="6" t="s">
        <v>1128</v>
      </c>
      <c r="D66" s="6" t="str">
        <f>"陈佳琳"</f>
        <v>陈佳琳</v>
      </c>
      <c r="E66" s="6" t="str">
        <f t="shared" si="1"/>
        <v>女</v>
      </c>
      <c r="F66" s="7" t="s">
        <v>429</v>
      </c>
    </row>
    <row r="67" spans="1:6" ht="20.100000000000001" customHeight="1" x14ac:dyDescent="0.15">
      <c r="A67" s="5">
        <v>64</v>
      </c>
      <c r="B67" s="6" t="str">
        <f>"30482021060114594864125"</f>
        <v>30482021060114594864125</v>
      </c>
      <c r="C67" s="6" t="s">
        <v>1128</v>
      </c>
      <c r="D67" s="6" t="str">
        <f>"李小琴"</f>
        <v>李小琴</v>
      </c>
      <c r="E67" s="6" t="str">
        <f t="shared" si="1"/>
        <v>女</v>
      </c>
      <c r="F67" s="7" t="s">
        <v>439</v>
      </c>
    </row>
    <row r="68" spans="1:6" ht="20.100000000000001" customHeight="1" x14ac:dyDescent="0.15">
      <c r="A68" s="5">
        <v>65</v>
      </c>
      <c r="B68" s="6" t="str">
        <f>"30482021060115001964132"</f>
        <v>30482021060115001964132</v>
      </c>
      <c r="C68" s="6" t="s">
        <v>1128</v>
      </c>
      <c r="D68" s="6" t="str">
        <f>"吴少云"</f>
        <v>吴少云</v>
      </c>
      <c r="E68" s="6" t="str">
        <f t="shared" si="1"/>
        <v>女</v>
      </c>
      <c r="F68" s="7" t="s">
        <v>613</v>
      </c>
    </row>
    <row r="69" spans="1:6" ht="20.100000000000001" customHeight="1" x14ac:dyDescent="0.15">
      <c r="A69" s="5">
        <v>66</v>
      </c>
      <c r="B69" s="6" t="str">
        <f>"30482021060115014064145"</f>
        <v>30482021060115014064145</v>
      </c>
      <c r="C69" s="6" t="s">
        <v>1128</v>
      </c>
      <c r="D69" s="6" t="str">
        <f>"吴育芬"</f>
        <v>吴育芬</v>
      </c>
      <c r="E69" s="6" t="str">
        <f t="shared" si="1"/>
        <v>女</v>
      </c>
      <c r="F69" s="7" t="s">
        <v>1154</v>
      </c>
    </row>
    <row r="70" spans="1:6" ht="20.100000000000001" customHeight="1" x14ac:dyDescent="0.15">
      <c r="A70" s="5">
        <v>67</v>
      </c>
      <c r="B70" s="6" t="str">
        <f>"30482021060115051864191"</f>
        <v>30482021060115051864191</v>
      </c>
      <c r="C70" s="6" t="s">
        <v>1128</v>
      </c>
      <c r="D70" s="6" t="str">
        <f>"谢运春"</f>
        <v>谢运春</v>
      </c>
      <c r="E70" s="6" t="str">
        <f t="shared" si="1"/>
        <v>女</v>
      </c>
      <c r="F70" s="7" t="s">
        <v>725</v>
      </c>
    </row>
    <row r="71" spans="1:6" ht="20.100000000000001" customHeight="1" x14ac:dyDescent="0.15">
      <c r="A71" s="5">
        <v>68</v>
      </c>
      <c r="B71" s="6" t="str">
        <f>"30482021060115052464193"</f>
        <v>30482021060115052464193</v>
      </c>
      <c r="C71" s="6" t="s">
        <v>1128</v>
      </c>
      <c r="D71" s="6" t="str">
        <f>"陈琪祺"</f>
        <v>陈琪祺</v>
      </c>
      <c r="E71" s="6" t="str">
        <f t="shared" si="1"/>
        <v>女</v>
      </c>
      <c r="F71" s="7" t="s">
        <v>195</v>
      </c>
    </row>
    <row r="72" spans="1:6" ht="20.100000000000001" customHeight="1" x14ac:dyDescent="0.15">
      <c r="A72" s="5">
        <v>69</v>
      </c>
      <c r="B72" s="6" t="str">
        <f>"30482021060115054864197"</f>
        <v>30482021060115054864197</v>
      </c>
      <c r="C72" s="6" t="s">
        <v>1128</v>
      </c>
      <c r="D72" s="6" t="str">
        <f>"王海珍"</f>
        <v>王海珍</v>
      </c>
      <c r="E72" s="6" t="str">
        <f t="shared" si="1"/>
        <v>女</v>
      </c>
      <c r="F72" s="7" t="s">
        <v>1155</v>
      </c>
    </row>
    <row r="73" spans="1:6" ht="20.100000000000001" customHeight="1" x14ac:dyDescent="0.15">
      <c r="A73" s="5">
        <v>70</v>
      </c>
      <c r="B73" s="6" t="str">
        <f>"30482021060115062564207"</f>
        <v>30482021060115062564207</v>
      </c>
      <c r="C73" s="6" t="s">
        <v>1128</v>
      </c>
      <c r="D73" s="6" t="str">
        <f>"林妊"</f>
        <v>林妊</v>
      </c>
      <c r="E73" s="6" t="str">
        <f t="shared" si="1"/>
        <v>女</v>
      </c>
      <c r="F73" s="7" t="s">
        <v>1156</v>
      </c>
    </row>
    <row r="74" spans="1:6" ht="20.100000000000001" customHeight="1" x14ac:dyDescent="0.15">
      <c r="A74" s="5">
        <v>71</v>
      </c>
      <c r="B74" s="6" t="str">
        <f>"30482021060115075464236"</f>
        <v>30482021060115075464236</v>
      </c>
      <c r="C74" s="6" t="s">
        <v>1128</v>
      </c>
      <c r="D74" s="6" t="str">
        <f>"陈娟卉"</f>
        <v>陈娟卉</v>
      </c>
      <c r="E74" s="6" t="str">
        <f t="shared" si="1"/>
        <v>女</v>
      </c>
      <c r="F74" s="7" t="s">
        <v>362</v>
      </c>
    </row>
    <row r="75" spans="1:6" ht="20.100000000000001" customHeight="1" x14ac:dyDescent="0.15">
      <c r="A75" s="5">
        <v>72</v>
      </c>
      <c r="B75" s="6" t="str">
        <f>"30482021060115115964296"</f>
        <v>30482021060115115964296</v>
      </c>
      <c r="C75" s="6" t="s">
        <v>1128</v>
      </c>
      <c r="D75" s="6" t="str">
        <f>"范叶雅"</f>
        <v>范叶雅</v>
      </c>
      <c r="E75" s="6" t="str">
        <f t="shared" si="1"/>
        <v>女</v>
      </c>
      <c r="F75" s="7" t="s">
        <v>1157</v>
      </c>
    </row>
    <row r="76" spans="1:6" ht="20.100000000000001" customHeight="1" x14ac:dyDescent="0.15">
      <c r="A76" s="5">
        <v>73</v>
      </c>
      <c r="B76" s="6" t="str">
        <f>"30482021060115124364304"</f>
        <v>30482021060115124364304</v>
      </c>
      <c r="C76" s="6" t="s">
        <v>1128</v>
      </c>
      <c r="D76" s="6" t="str">
        <f>"周振誉"</f>
        <v>周振誉</v>
      </c>
      <c r="E76" s="6" t="str">
        <f>"男"</f>
        <v>男</v>
      </c>
      <c r="F76" s="7" t="s">
        <v>864</v>
      </c>
    </row>
    <row r="77" spans="1:6" ht="20.100000000000001" customHeight="1" x14ac:dyDescent="0.15">
      <c r="A77" s="5">
        <v>74</v>
      </c>
      <c r="B77" s="6" t="str">
        <f>"30482021060115135764316"</f>
        <v>30482021060115135764316</v>
      </c>
      <c r="C77" s="6" t="s">
        <v>1128</v>
      </c>
      <c r="D77" s="6" t="str">
        <f>"傅丽雅"</f>
        <v>傅丽雅</v>
      </c>
      <c r="E77" s="6" t="str">
        <f t="shared" ref="E77:E81" si="2">"女"</f>
        <v>女</v>
      </c>
      <c r="F77" s="7" t="s">
        <v>1158</v>
      </c>
    </row>
    <row r="78" spans="1:6" ht="20.100000000000001" customHeight="1" x14ac:dyDescent="0.15">
      <c r="A78" s="5">
        <v>75</v>
      </c>
      <c r="B78" s="6" t="str">
        <f>"30482021060115144364334"</f>
        <v>30482021060115144364334</v>
      </c>
      <c r="C78" s="6" t="s">
        <v>1128</v>
      </c>
      <c r="D78" s="6" t="str">
        <f>"胡乔莉"</f>
        <v>胡乔莉</v>
      </c>
      <c r="E78" s="6" t="str">
        <f t="shared" si="2"/>
        <v>女</v>
      </c>
      <c r="F78" s="7" t="s">
        <v>1159</v>
      </c>
    </row>
    <row r="79" spans="1:6" ht="20.100000000000001" customHeight="1" x14ac:dyDescent="0.15">
      <c r="A79" s="5">
        <v>76</v>
      </c>
      <c r="B79" s="6" t="str">
        <f>"30482021060115155664350"</f>
        <v>30482021060115155664350</v>
      </c>
      <c r="C79" s="6" t="s">
        <v>1128</v>
      </c>
      <c r="D79" s="6" t="str">
        <f>"陈馨蕊"</f>
        <v>陈馨蕊</v>
      </c>
      <c r="E79" s="6" t="str">
        <f t="shared" si="2"/>
        <v>女</v>
      </c>
      <c r="F79" s="7" t="s">
        <v>563</v>
      </c>
    </row>
    <row r="80" spans="1:6" ht="20.100000000000001" customHeight="1" x14ac:dyDescent="0.15">
      <c r="A80" s="5">
        <v>77</v>
      </c>
      <c r="B80" s="6" t="str">
        <f>"30482021060115191064384"</f>
        <v>30482021060115191064384</v>
      </c>
      <c r="C80" s="6" t="s">
        <v>1128</v>
      </c>
      <c r="D80" s="6" t="str">
        <f>"孙晓雷"</f>
        <v>孙晓雷</v>
      </c>
      <c r="E80" s="6" t="str">
        <f t="shared" si="2"/>
        <v>女</v>
      </c>
      <c r="F80" s="7" t="s">
        <v>12</v>
      </c>
    </row>
    <row r="81" spans="1:6" ht="20.100000000000001" customHeight="1" x14ac:dyDescent="0.15">
      <c r="A81" s="5">
        <v>78</v>
      </c>
      <c r="B81" s="6" t="str">
        <f>"30482021060115191164385"</f>
        <v>30482021060115191164385</v>
      </c>
      <c r="C81" s="6" t="s">
        <v>1128</v>
      </c>
      <c r="D81" s="6" t="str">
        <f>"董朝咪"</f>
        <v>董朝咪</v>
      </c>
      <c r="E81" s="6" t="str">
        <f t="shared" si="2"/>
        <v>女</v>
      </c>
      <c r="F81" s="7" t="s">
        <v>663</v>
      </c>
    </row>
    <row r="82" spans="1:6" ht="20.100000000000001" customHeight="1" x14ac:dyDescent="0.15">
      <c r="A82" s="5">
        <v>79</v>
      </c>
      <c r="B82" s="6" t="str">
        <f>"30482021060115213864416"</f>
        <v>30482021060115213864416</v>
      </c>
      <c r="C82" s="6" t="s">
        <v>1128</v>
      </c>
      <c r="D82" s="6" t="str">
        <f>"蔡云飞"</f>
        <v>蔡云飞</v>
      </c>
      <c r="E82" s="6" t="str">
        <f>"男"</f>
        <v>男</v>
      </c>
      <c r="F82" s="7" t="s">
        <v>1160</v>
      </c>
    </row>
    <row r="83" spans="1:6" ht="20.100000000000001" customHeight="1" x14ac:dyDescent="0.15">
      <c r="A83" s="5">
        <v>80</v>
      </c>
      <c r="B83" s="6" t="str">
        <f>"30482021060115222664423"</f>
        <v>30482021060115222664423</v>
      </c>
      <c r="C83" s="6" t="s">
        <v>1128</v>
      </c>
      <c r="D83" s="6" t="str">
        <f>"李念容"</f>
        <v>李念容</v>
      </c>
      <c r="E83" s="6" t="str">
        <f t="shared" ref="E83:E91" si="3">"女"</f>
        <v>女</v>
      </c>
      <c r="F83" s="7" t="s">
        <v>43</v>
      </c>
    </row>
    <row r="84" spans="1:6" ht="20.100000000000001" customHeight="1" x14ac:dyDescent="0.15">
      <c r="A84" s="5">
        <v>81</v>
      </c>
      <c r="B84" s="6" t="str">
        <f>"30482021060115241164444"</f>
        <v>30482021060115241164444</v>
      </c>
      <c r="C84" s="6" t="s">
        <v>1128</v>
      </c>
      <c r="D84" s="6" t="str">
        <f>"陈春"</f>
        <v>陈春</v>
      </c>
      <c r="E84" s="6" t="str">
        <f t="shared" si="3"/>
        <v>女</v>
      </c>
      <c r="F84" s="7" t="s">
        <v>105</v>
      </c>
    </row>
    <row r="85" spans="1:6" ht="20.100000000000001" customHeight="1" x14ac:dyDescent="0.15">
      <c r="A85" s="5">
        <v>82</v>
      </c>
      <c r="B85" s="6" t="str">
        <f>"30482021060115254864464"</f>
        <v>30482021060115254864464</v>
      </c>
      <c r="C85" s="6" t="s">
        <v>1128</v>
      </c>
      <c r="D85" s="6" t="str">
        <f>"范玉玲"</f>
        <v>范玉玲</v>
      </c>
      <c r="E85" s="6" t="str">
        <f t="shared" si="3"/>
        <v>女</v>
      </c>
      <c r="F85" s="7" t="s">
        <v>38</v>
      </c>
    </row>
    <row r="86" spans="1:6" ht="20.100000000000001" customHeight="1" x14ac:dyDescent="0.15">
      <c r="A86" s="5">
        <v>83</v>
      </c>
      <c r="B86" s="6" t="str">
        <f>"30482021060115264964486"</f>
        <v>30482021060115264964486</v>
      </c>
      <c r="C86" s="6" t="s">
        <v>1128</v>
      </c>
      <c r="D86" s="6" t="str">
        <f>"姜春苗"</f>
        <v>姜春苗</v>
      </c>
      <c r="E86" s="6" t="str">
        <f t="shared" si="3"/>
        <v>女</v>
      </c>
      <c r="F86" s="7" t="s">
        <v>1161</v>
      </c>
    </row>
    <row r="87" spans="1:6" ht="20.100000000000001" customHeight="1" x14ac:dyDescent="0.15">
      <c r="A87" s="5">
        <v>84</v>
      </c>
      <c r="B87" s="6" t="str">
        <f>"30482021060115265264487"</f>
        <v>30482021060115265264487</v>
      </c>
      <c r="C87" s="6" t="s">
        <v>1128</v>
      </c>
      <c r="D87" s="6" t="str">
        <f>"林燕梅"</f>
        <v>林燕梅</v>
      </c>
      <c r="E87" s="6" t="str">
        <f t="shared" si="3"/>
        <v>女</v>
      </c>
      <c r="F87" s="7" t="s">
        <v>1162</v>
      </c>
    </row>
    <row r="88" spans="1:6" ht="20.100000000000001" customHeight="1" x14ac:dyDescent="0.15">
      <c r="A88" s="5">
        <v>85</v>
      </c>
      <c r="B88" s="6" t="str">
        <f>"30482021060115271464495"</f>
        <v>30482021060115271464495</v>
      </c>
      <c r="C88" s="6" t="s">
        <v>1128</v>
      </c>
      <c r="D88" s="6" t="str">
        <f>"周让强"</f>
        <v>周让强</v>
      </c>
      <c r="E88" s="6" t="str">
        <f t="shared" si="3"/>
        <v>女</v>
      </c>
      <c r="F88" s="7" t="s">
        <v>659</v>
      </c>
    </row>
    <row r="89" spans="1:6" ht="20.100000000000001" customHeight="1" x14ac:dyDescent="0.15">
      <c r="A89" s="5">
        <v>86</v>
      </c>
      <c r="B89" s="6" t="str">
        <f>"30482021060115283464502"</f>
        <v>30482021060115283464502</v>
      </c>
      <c r="C89" s="6" t="s">
        <v>1128</v>
      </c>
      <c r="D89" s="6" t="str">
        <f>"林燕蓝"</f>
        <v>林燕蓝</v>
      </c>
      <c r="E89" s="6" t="str">
        <f t="shared" si="3"/>
        <v>女</v>
      </c>
      <c r="F89" s="7" t="s">
        <v>1163</v>
      </c>
    </row>
    <row r="90" spans="1:6" ht="20.100000000000001" customHeight="1" x14ac:dyDescent="0.15">
      <c r="A90" s="5">
        <v>87</v>
      </c>
      <c r="B90" s="6" t="str">
        <f>"30482021060115302264523"</f>
        <v>30482021060115302264523</v>
      </c>
      <c r="C90" s="6" t="s">
        <v>1128</v>
      </c>
      <c r="D90" s="6" t="str">
        <f>"蔡诗娟"</f>
        <v>蔡诗娟</v>
      </c>
      <c r="E90" s="6" t="str">
        <f t="shared" si="3"/>
        <v>女</v>
      </c>
      <c r="F90" s="7" t="s">
        <v>1164</v>
      </c>
    </row>
    <row r="91" spans="1:6" ht="20.100000000000001" customHeight="1" x14ac:dyDescent="0.15">
      <c r="A91" s="5">
        <v>88</v>
      </c>
      <c r="B91" s="6" t="str">
        <f>"30482021060115303964531"</f>
        <v>30482021060115303964531</v>
      </c>
      <c r="C91" s="6" t="s">
        <v>1128</v>
      </c>
      <c r="D91" s="6" t="str">
        <f>"符春草"</f>
        <v>符春草</v>
      </c>
      <c r="E91" s="6" t="str">
        <f t="shared" si="3"/>
        <v>女</v>
      </c>
      <c r="F91" s="7" t="s">
        <v>673</v>
      </c>
    </row>
    <row r="92" spans="1:6" ht="20.100000000000001" customHeight="1" x14ac:dyDescent="0.15">
      <c r="A92" s="5">
        <v>89</v>
      </c>
      <c r="B92" s="6" t="str">
        <f>"30482021060115330264560"</f>
        <v>30482021060115330264560</v>
      </c>
      <c r="C92" s="6" t="s">
        <v>1128</v>
      </c>
      <c r="D92" s="6" t="str">
        <f>"张鑫"</f>
        <v>张鑫</v>
      </c>
      <c r="E92" s="6" t="str">
        <f>"男"</f>
        <v>男</v>
      </c>
      <c r="F92" s="7" t="s">
        <v>394</v>
      </c>
    </row>
    <row r="93" spans="1:6" ht="20.100000000000001" customHeight="1" x14ac:dyDescent="0.15">
      <c r="A93" s="5">
        <v>90</v>
      </c>
      <c r="B93" s="6" t="str">
        <f>"30482021060115351064590"</f>
        <v>30482021060115351064590</v>
      </c>
      <c r="C93" s="6" t="s">
        <v>1128</v>
      </c>
      <c r="D93" s="6" t="str">
        <f>"吴程燕"</f>
        <v>吴程燕</v>
      </c>
      <c r="E93" s="6" t="str">
        <f t="shared" ref="E93:E156" si="4">"女"</f>
        <v>女</v>
      </c>
      <c r="F93" s="7" t="s">
        <v>13</v>
      </c>
    </row>
    <row r="94" spans="1:6" ht="20.100000000000001" customHeight="1" x14ac:dyDescent="0.15">
      <c r="A94" s="5">
        <v>91</v>
      </c>
      <c r="B94" s="6" t="str">
        <f>"30482021060115374564609"</f>
        <v>30482021060115374564609</v>
      </c>
      <c r="C94" s="6" t="s">
        <v>1128</v>
      </c>
      <c r="D94" s="6" t="str">
        <f>"李晓"</f>
        <v>李晓</v>
      </c>
      <c r="E94" s="6" t="str">
        <f t="shared" si="4"/>
        <v>女</v>
      </c>
      <c r="F94" s="7" t="s">
        <v>1165</v>
      </c>
    </row>
    <row r="95" spans="1:6" ht="20.100000000000001" customHeight="1" x14ac:dyDescent="0.15">
      <c r="A95" s="5">
        <v>92</v>
      </c>
      <c r="B95" s="6" t="str">
        <f>"30482021060115393064631"</f>
        <v>30482021060115393064631</v>
      </c>
      <c r="C95" s="6" t="s">
        <v>1128</v>
      </c>
      <c r="D95" s="6" t="str">
        <f>"陈美琼"</f>
        <v>陈美琼</v>
      </c>
      <c r="E95" s="6" t="str">
        <f t="shared" si="4"/>
        <v>女</v>
      </c>
      <c r="F95" s="7" t="s">
        <v>1166</v>
      </c>
    </row>
    <row r="96" spans="1:6" ht="20.100000000000001" customHeight="1" x14ac:dyDescent="0.15">
      <c r="A96" s="5">
        <v>93</v>
      </c>
      <c r="B96" s="6" t="str">
        <f>"30482021060115393964633"</f>
        <v>30482021060115393964633</v>
      </c>
      <c r="C96" s="6" t="s">
        <v>1128</v>
      </c>
      <c r="D96" s="6" t="str">
        <f>"林苑柔"</f>
        <v>林苑柔</v>
      </c>
      <c r="E96" s="6" t="str">
        <f t="shared" si="4"/>
        <v>女</v>
      </c>
      <c r="F96" s="7" t="s">
        <v>858</v>
      </c>
    </row>
    <row r="97" spans="1:6" ht="20.100000000000001" customHeight="1" x14ac:dyDescent="0.15">
      <c r="A97" s="5">
        <v>94</v>
      </c>
      <c r="B97" s="6" t="str">
        <f>"30482021060115403864643"</f>
        <v>30482021060115403864643</v>
      </c>
      <c r="C97" s="6" t="s">
        <v>1128</v>
      </c>
      <c r="D97" s="6" t="str">
        <f>"陈秋蓉"</f>
        <v>陈秋蓉</v>
      </c>
      <c r="E97" s="6" t="str">
        <f t="shared" si="4"/>
        <v>女</v>
      </c>
      <c r="F97" s="7" t="s">
        <v>725</v>
      </c>
    </row>
    <row r="98" spans="1:6" ht="20.100000000000001" customHeight="1" x14ac:dyDescent="0.15">
      <c r="A98" s="5">
        <v>95</v>
      </c>
      <c r="B98" s="6" t="str">
        <f>"30482021060115413464660"</f>
        <v>30482021060115413464660</v>
      </c>
      <c r="C98" s="6" t="s">
        <v>1128</v>
      </c>
      <c r="D98" s="6" t="str">
        <f>"翁翠梨"</f>
        <v>翁翠梨</v>
      </c>
      <c r="E98" s="6" t="str">
        <f t="shared" si="4"/>
        <v>女</v>
      </c>
      <c r="F98" s="7" t="s">
        <v>479</v>
      </c>
    </row>
    <row r="99" spans="1:6" ht="20.100000000000001" customHeight="1" x14ac:dyDescent="0.15">
      <c r="A99" s="5">
        <v>96</v>
      </c>
      <c r="B99" s="6" t="str">
        <f>"30482021060115425964678"</f>
        <v>30482021060115425964678</v>
      </c>
      <c r="C99" s="6" t="s">
        <v>1128</v>
      </c>
      <c r="D99" s="6" t="str">
        <f>"林芳霞"</f>
        <v>林芳霞</v>
      </c>
      <c r="E99" s="6" t="str">
        <f t="shared" si="4"/>
        <v>女</v>
      </c>
      <c r="F99" s="7" t="s">
        <v>1167</v>
      </c>
    </row>
    <row r="100" spans="1:6" ht="20.100000000000001" customHeight="1" x14ac:dyDescent="0.15">
      <c r="A100" s="5">
        <v>97</v>
      </c>
      <c r="B100" s="6" t="str">
        <f>"30482021060115444464706"</f>
        <v>30482021060115444464706</v>
      </c>
      <c r="C100" s="6" t="s">
        <v>1128</v>
      </c>
      <c r="D100" s="6" t="str">
        <f>"王内梅"</f>
        <v>王内梅</v>
      </c>
      <c r="E100" s="6" t="str">
        <f t="shared" si="4"/>
        <v>女</v>
      </c>
      <c r="F100" s="7" t="s">
        <v>1168</v>
      </c>
    </row>
    <row r="101" spans="1:6" ht="20.100000000000001" customHeight="1" x14ac:dyDescent="0.15">
      <c r="A101" s="5">
        <v>98</v>
      </c>
      <c r="B101" s="6" t="str">
        <f>"30482021060115444564707"</f>
        <v>30482021060115444564707</v>
      </c>
      <c r="C101" s="6" t="s">
        <v>1128</v>
      </c>
      <c r="D101" s="6" t="str">
        <f>"黄江南"</f>
        <v>黄江南</v>
      </c>
      <c r="E101" s="6" t="str">
        <f t="shared" si="4"/>
        <v>女</v>
      </c>
      <c r="F101" s="7" t="s">
        <v>673</v>
      </c>
    </row>
    <row r="102" spans="1:6" ht="20.100000000000001" customHeight="1" x14ac:dyDescent="0.15">
      <c r="A102" s="5">
        <v>99</v>
      </c>
      <c r="B102" s="6" t="str">
        <f>"30482021060115444864708"</f>
        <v>30482021060115444864708</v>
      </c>
      <c r="C102" s="6" t="s">
        <v>1128</v>
      </c>
      <c r="D102" s="6" t="str">
        <f>"卢翠"</f>
        <v>卢翠</v>
      </c>
      <c r="E102" s="6" t="str">
        <f t="shared" si="4"/>
        <v>女</v>
      </c>
      <c r="F102" s="7" t="s">
        <v>592</v>
      </c>
    </row>
    <row r="103" spans="1:6" ht="20.100000000000001" customHeight="1" x14ac:dyDescent="0.15">
      <c r="A103" s="5">
        <v>100</v>
      </c>
      <c r="B103" s="6" t="str">
        <f>"30482021060115454764723"</f>
        <v>30482021060115454764723</v>
      </c>
      <c r="C103" s="6" t="s">
        <v>1128</v>
      </c>
      <c r="D103" s="6" t="str">
        <f>"卢裕晶"</f>
        <v>卢裕晶</v>
      </c>
      <c r="E103" s="6" t="str">
        <f t="shared" si="4"/>
        <v>女</v>
      </c>
      <c r="F103" s="7" t="s">
        <v>345</v>
      </c>
    </row>
    <row r="104" spans="1:6" ht="20.100000000000001" customHeight="1" x14ac:dyDescent="0.15">
      <c r="A104" s="5">
        <v>101</v>
      </c>
      <c r="B104" s="6" t="str">
        <f>"30482021060115461364728"</f>
        <v>30482021060115461364728</v>
      </c>
      <c r="C104" s="6" t="s">
        <v>1128</v>
      </c>
      <c r="D104" s="6" t="str">
        <f>"符永艳"</f>
        <v>符永艳</v>
      </c>
      <c r="E104" s="6" t="str">
        <f t="shared" si="4"/>
        <v>女</v>
      </c>
      <c r="F104" s="7" t="s">
        <v>755</v>
      </c>
    </row>
    <row r="105" spans="1:6" ht="20.100000000000001" customHeight="1" x14ac:dyDescent="0.15">
      <c r="A105" s="5">
        <v>102</v>
      </c>
      <c r="B105" s="6" t="str">
        <f>"30482021060115483664762"</f>
        <v>30482021060115483664762</v>
      </c>
      <c r="C105" s="6" t="s">
        <v>1128</v>
      </c>
      <c r="D105" s="6" t="str">
        <f>"胡芸"</f>
        <v>胡芸</v>
      </c>
      <c r="E105" s="6" t="str">
        <f t="shared" si="4"/>
        <v>女</v>
      </c>
      <c r="F105" s="7" t="s">
        <v>141</v>
      </c>
    </row>
    <row r="106" spans="1:6" ht="20.100000000000001" customHeight="1" x14ac:dyDescent="0.15">
      <c r="A106" s="5">
        <v>103</v>
      </c>
      <c r="B106" s="6" t="str">
        <f>"30482021060115485764765"</f>
        <v>30482021060115485764765</v>
      </c>
      <c r="C106" s="6" t="s">
        <v>1128</v>
      </c>
      <c r="D106" s="6" t="str">
        <f>"傅卫美"</f>
        <v>傅卫美</v>
      </c>
      <c r="E106" s="6" t="str">
        <f t="shared" si="4"/>
        <v>女</v>
      </c>
      <c r="F106" s="7" t="s">
        <v>1169</v>
      </c>
    </row>
    <row r="107" spans="1:6" ht="20.100000000000001" customHeight="1" x14ac:dyDescent="0.15">
      <c r="A107" s="5">
        <v>104</v>
      </c>
      <c r="B107" s="6" t="str">
        <f>"30482021060115492164772"</f>
        <v>30482021060115492164772</v>
      </c>
      <c r="C107" s="6" t="s">
        <v>1128</v>
      </c>
      <c r="D107" s="6" t="str">
        <f>"张采婷"</f>
        <v>张采婷</v>
      </c>
      <c r="E107" s="6" t="str">
        <f t="shared" si="4"/>
        <v>女</v>
      </c>
      <c r="F107" s="7" t="s">
        <v>1170</v>
      </c>
    </row>
    <row r="108" spans="1:6" ht="20.100000000000001" customHeight="1" x14ac:dyDescent="0.15">
      <c r="A108" s="5">
        <v>105</v>
      </c>
      <c r="B108" s="6" t="str">
        <f>"30482021060115505164791"</f>
        <v>30482021060115505164791</v>
      </c>
      <c r="C108" s="6" t="s">
        <v>1128</v>
      </c>
      <c r="D108" s="6" t="str">
        <f>"陈丹女"</f>
        <v>陈丹女</v>
      </c>
      <c r="E108" s="6" t="str">
        <f t="shared" si="4"/>
        <v>女</v>
      </c>
      <c r="F108" s="7" t="s">
        <v>760</v>
      </c>
    </row>
    <row r="109" spans="1:6" ht="20.100000000000001" customHeight="1" x14ac:dyDescent="0.15">
      <c r="A109" s="5">
        <v>106</v>
      </c>
      <c r="B109" s="6" t="str">
        <f>"30482021060115510764797"</f>
        <v>30482021060115510764797</v>
      </c>
      <c r="C109" s="6" t="s">
        <v>1128</v>
      </c>
      <c r="D109" s="6" t="str">
        <f>"王碧"</f>
        <v>王碧</v>
      </c>
      <c r="E109" s="6" t="str">
        <f t="shared" si="4"/>
        <v>女</v>
      </c>
      <c r="F109" s="7" t="s">
        <v>1171</v>
      </c>
    </row>
    <row r="110" spans="1:6" ht="20.100000000000001" customHeight="1" x14ac:dyDescent="0.15">
      <c r="A110" s="5">
        <v>107</v>
      </c>
      <c r="B110" s="6" t="str">
        <f>"30482021060115541864838"</f>
        <v>30482021060115541864838</v>
      </c>
      <c r="C110" s="6" t="s">
        <v>1128</v>
      </c>
      <c r="D110" s="6" t="str">
        <f>"符玉"</f>
        <v>符玉</v>
      </c>
      <c r="E110" s="6" t="str">
        <f t="shared" si="4"/>
        <v>女</v>
      </c>
      <c r="F110" s="7" t="s">
        <v>43</v>
      </c>
    </row>
    <row r="111" spans="1:6" ht="20.100000000000001" customHeight="1" x14ac:dyDescent="0.15">
      <c r="A111" s="5">
        <v>108</v>
      </c>
      <c r="B111" s="6" t="str">
        <f>"30482021060115551164844"</f>
        <v>30482021060115551164844</v>
      </c>
      <c r="C111" s="6" t="s">
        <v>1128</v>
      </c>
      <c r="D111" s="6" t="str">
        <f>"王小月"</f>
        <v>王小月</v>
      </c>
      <c r="E111" s="6" t="str">
        <f t="shared" si="4"/>
        <v>女</v>
      </c>
      <c r="F111" s="7" t="s">
        <v>131</v>
      </c>
    </row>
    <row r="112" spans="1:6" ht="20.100000000000001" customHeight="1" x14ac:dyDescent="0.15">
      <c r="A112" s="5">
        <v>109</v>
      </c>
      <c r="B112" s="6" t="str">
        <f>"30482021060115555864845"</f>
        <v>30482021060115555864845</v>
      </c>
      <c r="C112" s="6" t="s">
        <v>1128</v>
      </c>
      <c r="D112" s="6" t="str">
        <f>"余明珠"</f>
        <v>余明珠</v>
      </c>
      <c r="E112" s="6" t="str">
        <f t="shared" si="4"/>
        <v>女</v>
      </c>
      <c r="F112" s="7" t="s">
        <v>1172</v>
      </c>
    </row>
    <row r="113" spans="1:6" ht="20.100000000000001" customHeight="1" x14ac:dyDescent="0.15">
      <c r="A113" s="5">
        <v>110</v>
      </c>
      <c r="B113" s="6" t="str">
        <f>"30482021060115562664849"</f>
        <v>30482021060115562664849</v>
      </c>
      <c r="C113" s="6" t="s">
        <v>1128</v>
      </c>
      <c r="D113" s="6" t="str">
        <f>"符钦女"</f>
        <v>符钦女</v>
      </c>
      <c r="E113" s="6" t="str">
        <f t="shared" si="4"/>
        <v>女</v>
      </c>
      <c r="F113" s="7" t="s">
        <v>84</v>
      </c>
    </row>
    <row r="114" spans="1:6" ht="20.100000000000001" customHeight="1" x14ac:dyDescent="0.15">
      <c r="A114" s="5">
        <v>111</v>
      </c>
      <c r="B114" s="6" t="str">
        <f>"30482021060115591964878"</f>
        <v>30482021060115591964878</v>
      </c>
      <c r="C114" s="6" t="s">
        <v>1128</v>
      </c>
      <c r="D114" s="6" t="str">
        <f>"吴艺洁"</f>
        <v>吴艺洁</v>
      </c>
      <c r="E114" s="6" t="str">
        <f t="shared" si="4"/>
        <v>女</v>
      </c>
      <c r="F114" s="7" t="s">
        <v>152</v>
      </c>
    </row>
    <row r="115" spans="1:6" ht="20.100000000000001" customHeight="1" x14ac:dyDescent="0.15">
      <c r="A115" s="5">
        <v>112</v>
      </c>
      <c r="B115" s="6" t="str">
        <f>"30482021060116013164905"</f>
        <v>30482021060116013164905</v>
      </c>
      <c r="C115" s="6" t="s">
        <v>1128</v>
      </c>
      <c r="D115" s="6" t="str">
        <f>"王露丹"</f>
        <v>王露丹</v>
      </c>
      <c r="E115" s="6" t="str">
        <f t="shared" si="4"/>
        <v>女</v>
      </c>
      <c r="F115" s="7" t="s">
        <v>1173</v>
      </c>
    </row>
    <row r="116" spans="1:6" ht="20.100000000000001" customHeight="1" x14ac:dyDescent="0.15">
      <c r="A116" s="5">
        <v>113</v>
      </c>
      <c r="B116" s="6" t="str">
        <f>"30482021060116021764916"</f>
        <v>30482021060116021764916</v>
      </c>
      <c r="C116" s="6" t="s">
        <v>1128</v>
      </c>
      <c r="D116" s="6" t="str">
        <f>"朱婷穗"</f>
        <v>朱婷穗</v>
      </c>
      <c r="E116" s="6" t="str">
        <f t="shared" si="4"/>
        <v>女</v>
      </c>
      <c r="F116" s="7" t="s">
        <v>37</v>
      </c>
    </row>
    <row r="117" spans="1:6" ht="20.100000000000001" customHeight="1" x14ac:dyDescent="0.15">
      <c r="A117" s="5">
        <v>114</v>
      </c>
      <c r="B117" s="6" t="str">
        <f>"30482021060116035864933"</f>
        <v>30482021060116035864933</v>
      </c>
      <c r="C117" s="6" t="s">
        <v>1128</v>
      </c>
      <c r="D117" s="6" t="str">
        <f>"符梅燕"</f>
        <v>符梅燕</v>
      </c>
      <c r="E117" s="6" t="str">
        <f t="shared" si="4"/>
        <v>女</v>
      </c>
      <c r="F117" s="7" t="s">
        <v>155</v>
      </c>
    </row>
    <row r="118" spans="1:6" ht="20.100000000000001" customHeight="1" x14ac:dyDescent="0.15">
      <c r="A118" s="5">
        <v>115</v>
      </c>
      <c r="B118" s="6" t="str">
        <f>"30482021060116063964967"</f>
        <v>30482021060116063964967</v>
      </c>
      <c r="C118" s="6" t="s">
        <v>1128</v>
      </c>
      <c r="D118" s="6" t="str">
        <f>"吴元碧"</f>
        <v>吴元碧</v>
      </c>
      <c r="E118" s="6" t="str">
        <f t="shared" si="4"/>
        <v>女</v>
      </c>
      <c r="F118" s="7" t="s">
        <v>147</v>
      </c>
    </row>
    <row r="119" spans="1:6" ht="20.100000000000001" customHeight="1" x14ac:dyDescent="0.15">
      <c r="A119" s="5">
        <v>116</v>
      </c>
      <c r="B119" s="6" t="str">
        <f>"30482021060116065464970"</f>
        <v>30482021060116065464970</v>
      </c>
      <c r="C119" s="6" t="s">
        <v>1128</v>
      </c>
      <c r="D119" s="6" t="str">
        <f>"曹婷"</f>
        <v>曹婷</v>
      </c>
      <c r="E119" s="6" t="str">
        <f t="shared" si="4"/>
        <v>女</v>
      </c>
      <c r="F119" s="7" t="s">
        <v>160</v>
      </c>
    </row>
    <row r="120" spans="1:6" ht="20.100000000000001" customHeight="1" x14ac:dyDescent="0.15">
      <c r="A120" s="5">
        <v>117</v>
      </c>
      <c r="B120" s="6" t="str">
        <f>"30482021060116082064988"</f>
        <v>30482021060116082064988</v>
      </c>
      <c r="C120" s="6" t="s">
        <v>1128</v>
      </c>
      <c r="D120" s="6" t="str">
        <f>"曾梅金"</f>
        <v>曾梅金</v>
      </c>
      <c r="E120" s="6" t="str">
        <f t="shared" si="4"/>
        <v>女</v>
      </c>
      <c r="F120" s="7" t="s">
        <v>1174</v>
      </c>
    </row>
    <row r="121" spans="1:6" ht="20.100000000000001" customHeight="1" x14ac:dyDescent="0.15">
      <c r="A121" s="5">
        <v>118</v>
      </c>
      <c r="B121" s="6" t="str">
        <f>"30482021060116093165000"</f>
        <v>30482021060116093165000</v>
      </c>
      <c r="C121" s="6" t="s">
        <v>1128</v>
      </c>
      <c r="D121" s="6" t="str">
        <f>"粟静雯"</f>
        <v>粟静雯</v>
      </c>
      <c r="E121" s="6" t="str">
        <f t="shared" si="4"/>
        <v>女</v>
      </c>
      <c r="F121" s="7" t="s">
        <v>1175</v>
      </c>
    </row>
    <row r="122" spans="1:6" ht="20.100000000000001" customHeight="1" x14ac:dyDescent="0.15">
      <c r="A122" s="5">
        <v>119</v>
      </c>
      <c r="B122" s="6" t="str">
        <f>"30482021060116103365014"</f>
        <v>30482021060116103365014</v>
      </c>
      <c r="C122" s="6" t="s">
        <v>1128</v>
      </c>
      <c r="D122" s="6" t="str">
        <f>"吴姗"</f>
        <v>吴姗</v>
      </c>
      <c r="E122" s="6" t="str">
        <f t="shared" si="4"/>
        <v>女</v>
      </c>
      <c r="F122" s="7" t="s">
        <v>1176</v>
      </c>
    </row>
    <row r="123" spans="1:6" ht="20.100000000000001" customHeight="1" x14ac:dyDescent="0.15">
      <c r="A123" s="5">
        <v>120</v>
      </c>
      <c r="B123" s="6" t="str">
        <f>"30482021060116110765021"</f>
        <v>30482021060116110765021</v>
      </c>
      <c r="C123" s="6" t="s">
        <v>1128</v>
      </c>
      <c r="D123" s="6" t="str">
        <f>"陈小丽"</f>
        <v>陈小丽</v>
      </c>
      <c r="E123" s="6" t="str">
        <f t="shared" si="4"/>
        <v>女</v>
      </c>
      <c r="F123" s="7" t="s">
        <v>1177</v>
      </c>
    </row>
    <row r="124" spans="1:6" ht="20.100000000000001" customHeight="1" x14ac:dyDescent="0.15">
      <c r="A124" s="5">
        <v>121</v>
      </c>
      <c r="B124" s="6" t="str">
        <f>"30482021060116130765041"</f>
        <v>30482021060116130765041</v>
      </c>
      <c r="C124" s="6" t="s">
        <v>1128</v>
      </c>
      <c r="D124" s="6" t="str">
        <f>"黄倩恋"</f>
        <v>黄倩恋</v>
      </c>
      <c r="E124" s="6" t="str">
        <f t="shared" si="4"/>
        <v>女</v>
      </c>
      <c r="F124" s="7" t="s">
        <v>1007</v>
      </c>
    </row>
    <row r="125" spans="1:6" ht="20.100000000000001" customHeight="1" x14ac:dyDescent="0.15">
      <c r="A125" s="5">
        <v>122</v>
      </c>
      <c r="B125" s="6" t="str">
        <f>"30482021060116141965060"</f>
        <v>30482021060116141965060</v>
      </c>
      <c r="C125" s="6" t="s">
        <v>1128</v>
      </c>
      <c r="D125" s="6" t="str">
        <f>"田卫平"</f>
        <v>田卫平</v>
      </c>
      <c r="E125" s="6" t="str">
        <f t="shared" si="4"/>
        <v>女</v>
      </c>
      <c r="F125" s="7" t="s">
        <v>1178</v>
      </c>
    </row>
    <row r="126" spans="1:6" ht="20.100000000000001" customHeight="1" x14ac:dyDescent="0.15">
      <c r="A126" s="5">
        <v>123</v>
      </c>
      <c r="B126" s="6" t="str">
        <f>"30482021060116193265126"</f>
        <v>30482021060116193265126</v>
      </c>
      <c r="C126" s="6" t="s">
        <v>1128</v>
      </c>
      <c r="D126" s="6" t="str">
        <f>"吴丽贞"</f>
        <v>吴丽贞</v>
      </c>
      <c r="E126" s="6" t="str">
        <f t="shared" si="4"/>
        <v>女</v>
      </c>
      <c r="F126" s="7" t="s">
        <v>730</v>
      </c>
    </row>
    <row r="127" spans="1:6" ht="20.100000000000001" customHeight="1" x14ac:dyDescent="0.15">
      <c r="A127" s="5">
        <v>124</v>
      </c>
      <c r="B127" s="6" t="str">
        <f>"30482021060116195765134"</f>
        <v>30482021060116195765134</v>
      </c>
      <c r="C127" s="6" t="s">
        <v>1128</v>
      </c>
      <c r="D127" s="6" t="str">
        <f>"郑云花"</f>
        <v>郑云花</v>
      </c>
      <c r="E127" s="6" t="str">
        <f t="shared" si="4"/>
        <v>女</v>
      </c>
      <c r="F127" s="7" t="s">
        <v>25</v>
      </c>
    </row>
    <row r="128" spans="1:6" ht="20.100000000000001" customHeight="1" x14ac:dyDescent="0.15">
      <c r="A128" s="5">
        <v>125</v>
      </c>
      <c r="B128" s="6" t="str">
        <f>"30482021060116202465138"</f>
        <v>30482021060116202465138</v>
      </c>
      <c r="C128" s="6" t="s">
        <v>1128</v>
      </c>
      <c r="D128" s="6" t="str">
        <f>"郑学彩"</f>
        <v>郑学彩</v>
      </c>
      <c r="E128" s="6" t="str">
        <f t="shared" si="4"/>
        <v>女</v>
      </c>
      <c r="F128" s="7" t="s">
        <v>1134</v>
      </c>
    </row>
    <row r="129" spans="1:6" ht="20.100000000000001" customHeight="1" x14ac:dyDescent="0.15">
      <c r="A129" s="5">
        <v>126</v>
      </c>
      <c r="B129" s="6" t="str">
        <f>"30482021060116222065169"</f>
        <v>30482021060116222065169</v>
      </c>
      <c r="C129" s="6" t="s">
        <v>1128</v>
      </c>
      <c r="D129" s="6" t="str">
        <f>"翟雪钰"</f>
        <v>翟雪钰</v>
      </c>
      <c r="E129" s="6" t="str">
        <f t="shared" si="4"/>
        <v>女</v>
      </c>
      <c r="F129" s="7" t="s">
        <v>1179</v>
      </c>
    </row>
    <row r="130" spans="1:6" ht="20.100000000000001" customHeight="1" x14ac:dyDescent="0.15">
      <c r="A130" s="5">
        <v>127</v>
      </c>
      <c r="B130" s="6" t="str">
        <f>"30482021060116223165172"</f>
        <v>30482021060116223165172</v>
      </c>
      <c r="C130" s="6" t="s">
        <v>1128</v>
      </c>
      <c r="D130" s="6" t="str">
        <f>"王西玉"</f>
        <v>王西玉</v>
      </c>
      <c r="E130" s="6" t="str">
        <f t="shared" si="4"/>
        <v>女</v>
      </c>
      <c r="F130" s="7" t="s">
        <v>27</v>
      </c>
    </row>
    <row r="131" spans="1:6" ht="20.100000000000001" customHeight="1" x14ac:dyDescent="0.15">
      <c r="A131" s="5">
        <v>128</v>
      </c>
      <c r="B131" s="6" t="str">
        <f>"30482021060116242865212"</f>
        <v>30482021060116242865212</v>
      </c>
      <c r="C131" s="6" t="s">
        <v>1128</v>
      </c>
      <c r="D131" s="6" t="str">
        <f>"王延"</f>
        <v>王延</v>
      </c>
      <c r="E131" s="6" t="str">
        <f t="shared" si="4"/>
        <v>女</v>
      </c>
      <c r="F131" s="7" t="s">
        <v>633</v>
      </c>
    </row>
    <row r="132" spans="1:6" ht="20.100000000000001" customHeight="1" x14ac:dyDescent="0.15">
      <c r="A132" s="5">
        <v>129</v>
      </c>
      <c r="B132" s="6" t="str">
        <f>"30482021060116265965250"</f>
        <v>30482021060116265965250</v>
      </c>
      <c r="C132" s="6" t="s">
        <v>1128</v>
      </c>
      <c r="D132" s="6" t="str">
        <f>"羊家风"</f>
        <v>羊家风</v>
      </c>
      <c r="E132" s="6" t="str">
        <f t="shared" si="4"/>
        <v>女</v>
      </c>
      <c r="F132" s="7" t="s">
        <v>690</v>
      </c>
    </row>
    <row r="133" spans="1:6" ht="20.100000000000001" customHeight="1" x14ac:dyDescent="0.15">
      <c r="A133" s="5">
        <v>130</v>
      </c>
      <c r="B133" s="6" t="str">
        <f>"30482021060116315465319"</f>
        <v>30482021060116315465319</v>
      </c>
      <c r="C133" s="6" t="s">
        <v>1128</v>
      </c>
      <c r="D133" s="6" t="str">
        <f>"陈莹"</f>
        <v>陈莹</v>
      </c>
      <c r="E133" s="6" t="str">
        <f t="shared" si="4"/>
        <v>女</v>
      </c>
      <c r="F133" s="7" t="s">
        <v>1180</v>
      </c>
    </row>
    <row r="134" spans="1:6" ht="20.100000000000001" customHeight="1" x14ac:dyDescent="0.15">
      <c r="A134" s="5">
        <v>131</v>
      </c>
      <c r="B134" s="6" t="str">
        <f>"30482021060116331665338"</f>
        <v>30482021060116331665338</v>
      </c>
      <c r="C134" s="6" t="s">
        <v>1128</v>
      </c>
      <c r="D134" s="6" t="str">
        <f>"王漫女"</f>
        <v>王漫女</v>
      </c>
      <c r="E134" s="6" t="str">
        <f t="shared" si="4"/>
        <v>女</v>
      </c>
      <c r="F134" s="7" t="s">
        <v>435</v>
      </c>
    </row>
    <row r="135" spans="1:6" ht="20.100000000000001" customHeight="1" x14ac:dyDescent="0.15">
      <c r="A135" s="5">
        <v>132</v>
      </c>
      <c r="B135" s="6" t="str">
        <f>"30482021060116342665357"</f>
        <v>30482021060116342665357</v>
      </c>
      <c r="C135" s="6" t="s">
        <v>1128</v>
      </c>
      <c r="D135" s="6" t="str">
        <f>"胡玲娇"</f>
        <v>胡玲娇</v>
      </c>
      <c r="E135" s="6" t="str">
        <f t="shared" si="4"/>
        <v>女</v>
      </c>
      <c r="F135" s="7" t="s">
        <v>274</v>
      </c>
    </row>
    <row r="136" spans="1:6" ht="20.100000000000001" customHeight="1" x14ac:dyDescent="0.15">
      <c r="A136" s="5">
        <v>133</v>
      </c>
      <c r="B136" s="6" t="str">
        <f>"30482021060116344265361"</f>
        <v>30482021060116344265361</v>
      </c>
      <c r="C136" s="6" t="s">
        <v>1128</v>
      </c>
      <c r="D136" s="6" t="str">
        <f>"徐婉婷"</f>
        <v>徐婉婷</v>
      </c>
      <c r="E136" s="6" t="str">
        <f t="shared" si="4"/>
        <v>女</v>
      </c>
      <c r="F136" s="7" t="s">
        <v>589</v>
      </c>
    </row>
    <row r="137" spans="1:6" ht="20.100000000000001" customHeight="1" x14ac:dyDescent="0.15">
      <c r="A137" s="5">
        <v>134</v>
      </c>
      <c r="B137" s="6" t="str">
        <f>"30482021060116351665367"</f>
        <v>30482021060116351665367</v>
      </c>
      <c r="C137" s="6" t="s">
        <v>1128</v>
      </c>
      <c r="D137" s="6" t="str">
        <f>"周炳菊"</f>
        <v>周炳菊</v>
      </c>
      <c r="E137" s="6" t="str">
        <f t="shared" si="4"/>
        <v>女</v>
      </c>
      <c r="F137" s="7" t="s">
        <v>1181</v>
      </c>
    </row>
    <row r="138" spans="1:6" ht="20.100000000000001" customHeight="1" x14ac:dyDescent="0.15">
      <c r="A138" s="5">
        <v>135</v>
      </c>
      <c r="B138" s="6" t="str">
        <f>"30482021060116363065380"</f>
        <v>30482021060116363065380</v>
      </c>
      <c r="C138" s="6" t="s">
        <v>1128</v>
      </c>
      <c r="D138" s="6" t="str">
        <f>"王敏"</f>
        <v>王敏</v>
      </c>
      <c r="E138" s="6" t="str">
        <f t="shared" si="4"/>
        <v>女</v>
      </c>
      <c r="F138" s="7" t="s">
        <v>409</v>
      </c>
    </row>
    <row r="139" spans="1:6" ht="20.100000000000001" customHeight="1" x14ac:dyDescent="0.15">
      <c r="A139" s="5">
        <v>136</v>
      </c>
      <c r="B139" s="6" t="str">
        <f>"30482021060116373365398"</f>
        <v>30482021060116373365398</v>
      </c>
      <c r="C139" s="6" t="s">
        <v>1128</v>
      </c>
      <c r="D139" s="6" t="str">
        <f>"王爱霞"</f>
        <v>王爱霞</v>
      </c>
      <c r="E139" s="6" t="str">
        <f t="shared" si="4"/>
        <v>女</v>
      </c>
      <c r="F139" s="7" t="s">
        <v>1158</v>
      </c>
    </row>
    <row r="140" spans="1:6" ht="20.100000000000001" customHeight="1" x14ac:dyDescent="0.15">
      <c r="A140" s="5">
        <v>137</v>
      </c>
      <c r="B140" s="6" t="str">
        <f>"30482021060116393765422"</f>
        <v>30482021060116393765422</v>
      </c>
      <c r="C140" s="6" t="s">
        <v>1128</v>
      </c>
      <c r="D140" s="6" t="str">
        <f>"何井美"</f>
        <v>何井美</v>
      </c>
      <c r="E140" s="6" t="str">
        <f t="shared" si="4"/>
        <v>女</v>
      </c>
      <c r="F140" s="7" t="s">
        <v>113</v>
      </c>
    </row>
    <row r="141" spans="1:6" ht="20.100000000000001" customHeight="1" x14ac:dyDescent="0.15">
      <c r="A141" s="5">
        <v>138</v>
      </c>
      <c r="B141" s="6" t="str">
        <f>"30482021060116415665447"</f>
        <v>30482021060116415665447</v>
      </c>
      <c r="C141" s="6" t="s">
        <v>1128</v>
      </c>
      <c r="D141" s="6" t="str">
        <f>"何晓玲"</f>
        <v>何晓玲</v>
      </c>
      <c r="E141" s="6" t="str">
        <f t="shared" si="4"/>
        <v>女</v>
      </c>
      <c r="F141" s="7" t="s">
        <v>409</v>
      </c>
    </row>
    <row r="142" spans="1:6" ht="20.100000000000001" customHeight="1" x14ac:dyDescent="0.15">
      <c r="A142" s="5">
        <v>139</v>
      </c>
      <c r="B142" s="6" t="str">
        <f>"30482021060116430965467"</f>
        <v>30482021060116430965467</v>
      </c>
      <c r="C142" s="6" t="s">
        <v>1128</v>
      </c>
      <c r="D142" s="6" t="str">
        <f>"符树婷"</f>
        <v>符树婷</v>
      </c>
      <c r="E142" s="6" t="str">
        <f t="shared" si="4"/>
        <v>女</v>
      </c>
      <c r="F142" s="7" t="s">
        <v>19</v>
      </c>
    </row>
    <row r="143" spans="1:6" ht="20.100000000000001" customHeight="1" x14ac:dyDescent="0.15">
      <c r="A143" s="5">
        <v>140</v>
      </c>
      <c r="B143" s="6" t="str">
        <f>"30482021060116431665471"</f>
        <v>30482021060116431665471</v>
      </c>
      <c r="C143" s="6" t="s">
        <v>1128</v>
      </c>
      <c r="D143" s="6" t="str">
        <f>"陈丽林"</f>
        <v>陈丽林</v>
      </c>
      <c r="E143" s="6" t="str">
        <f t="shared" si="4"/>
        <v>女</v>
      </c>
      <c r="F143" s="7" t="s">
        <v>98</v>
      </c>
    </row>
    <row r="144" spans="1:6" ht="20.100000000000001" customHeight="1" x14ac:dyDescent="0.15">
      <c r="A144" s="5">
        <v>141</v>
      </c>
      <c r="B144" s="6" t="str">
        <f>"30482021060116445665488"</f>
        <v>30482021060116445665488</v>
      </c>
      <c r="C144" s="6" t="s">
        <v>1128</v>
      </c>
      <c r="D144" s="6" t="str">
        <f>"李玟"</f>
        <v>李玟</v>
      </c>
      <c r="E144" s="6" t="str">
        <f t="shared" si="4"/>
        <v>女</v>
      </c>
      <c r="F144" s="7" t="s">
        <v>1182</v>
      </c>
    </row>
    <row r="145" spans="1:6" ht="20.100000000000001" customHeight="1" x14ac:dyDescent="0.15">
      <c r="A145" s="5">
        <v>142</v>
      </c>
      <c r="B145" s="6" t="str">
        <f>"30482021060116453965499"</f>
        <v>30482021060116453965499</v>
      </c>
      <c r="C145" s="6" t="s">
        <v>1128</v>
      </c>
      <c r="D145" s="6" t="str">
        <f>"杨成蝶"</f>
        <v>杨成蝶</v>
      </c>
      <c r="E145" s="6" t="str">
        <f t="shared" si="4"/>
        <v>女</v>
      </c>
      <c r="F145" s="7" t="s">
        <v>194</v>
      </c>
    </row>
    <row r="146" spans="1:6" ht="20.100000000000001" customHeight="1" x14ac:dyDescent="0.15">
      <c r="A146" s="5">
        <v>143</v>
      </c>
      <c r="B146" s="6" t="str">
        <f>"30482021060116470965517"</f>
        <v>30482021060116470965517</v>
      </c>
      <c r="C146" s="6" t="s">
        <v>1128</v>
      </c>
      <c r="D146" s="6" t="str">
        <f>"李佳佳"</f>
        <v>李佳佳</v>
      </c>
      <c r="E146" s="6" t="str">
        <f t="shared" si="4"/>
        <v>女</v>
      </c>
      <c r="F146" s="7" t="s">
        <v>1183</v>
      </c>
    </row>
    <row r="147" spans="1:6" ht="20.100000000000001" customHeight="1" x14ac:dyDescent="0.15">
      <c r="A147" s="5">
        <v>144</v>
      </c>
      <c r="B147" s="6" t="str">
        <f>"30482021060116481065535"</f>
        <v>30482021060116481065535</v>
      </c>
      <c r="C147" s="6" t="s">
        <v>1128</v>
      </c>
      <c r="D147" s="6" t="str">
        <f>"王和香"</f>
        <v>王和香</v>
      </c>
      <c r="E147" s="6" t="str">
        <f t="shared" si="4"/>
        <v>女</v>
      </c>
      <c r="F147" s="7" t="s">
        <v>1184</v>
      </c>
    </row>
    <row r="148" spans="1:6" ht="20.100000000000001" customHeight="1" x14ac:dyDescent="0.15">
      <c r="A148" s="5">
        <v>145</v>
      </c>
      <c r="B148" s="6" t="str">
        <f>"30482021060116495365553"</f>
        <v>30482021060116495365553</v>
      </c>
      <c r="C148" s="6" t="s">
        <v>1128</v>
      </c>
      <c r="D148" s="6" t="str">
        <f>"吴梦雅"</f>
        <v>吴梦雅</v>
      </c>
      <c r="E148" s="6" t="str">
        <f t="shared" si="4"/>
        <v>女</v>
      </c>
      <c r="F148" s="7" t="s">
        <v>1185</v>
      </c>
    </row>
    <row r="149" spans="1:6" ht="20.100000000000001" customHeight="1" x14ac:dyDescent="0.15">
      <c r="A149" s="5">
        <v>146</v>
      </c>
      <c r="B149" s="6" t="str">
        <f>"30482021060116545865625"</f>
        <v>30482021060116545865625</v>
      </c>
      <c r="C149" s="6" t="s">
        <v>1128</v>
      </c>
      <c r="D149" s="6" t="str">
        <f>"李紫媛"</f>
        <v>李紫媛</v>
      </c>
      <c r="E149" s="6" t="str">
        <f t="shared" si="4"/>
        <v>女</v>
      </c>
      <c r="F149" s="7" t="s">
        <v>131</v>
      </c>
    </row>
    <row r="150" spans="1:6" ht="20.100000000000001" customHeight="1" x14ac:dyDescent="0.15">
      <c r="A150" s="5">
        <v>147</v>
      </c>
      <c r="B150" s="6" t="str">
        <f>"30482021060116560065638"</f>
        <v>30482021060116560065638</v>
      </c>
      <c r="C150" s="6" t="s">
        <v>1128</v>
      </c>
      <c r="D150" s="6" t="str">
        <f>"李淑琼"</f>
        <v>李淑琼</v>
      </c>
      <c r="E150" s="6" t="str">
        <f t="shared" si="4"/>
        <v>女</v>
      </c>
      <c r="F150" s="7" t="s">
        <v>689</v>
      </c>
    </row>
    <row r="151" spans="1:6" ht="20.100000000000001" customHeight="1" x14ac:dyDescent="0.15">
      <c r="A151" s="5">
        <v>148</v>
      </c>
      <c r="B151" s="6" t="str">
        <f>"30482021060116584065673"</f>
        <v>30482021060116584065673</v>
      </c>
      <c r="C151" s="6" t="s">
        <v>1128</v>
      </c>
      <c r="D151" s="6" t="str">
        <f>"周吉慧"</f>
        <v>周吉慧</v>
      </c>
      <c r="E151" s="6" t="str">
        <f t="shared" si="4"/>
        <v>女</v>
      </c>
      <c r="F151" s="7" t="s">
        <v>1186</v>
      </c>
    </row>
    <row r="152" spans="1:6" ht="20.100000000000001" customHeight="1" x14ac:dyDescent="0.15">
      <c r="A152" s="5">
        <v>149</v>
      </c>
      <c r="B152" s="6" t="str">
        <f>"30482021060117002765684"</f>
        <v>30482021060117002765684</v>
      </c>
      <c r="C152" s="6" t="s">
        <v>1128</v>
      </c>
      <c r="D152" s="6" t="str">
        <f>"洪素金"</f>
        <v>洪素金</v>
      </c>
      <c r="E152" s="6" t="str">
        <f t="shared" si="4"/>
        <v>女</v>
      </c>
      <c r="F152" s="7" t="s">
        <v>91</v>
      </c>
    </row>
    <row r="153" spans="1:6" ht="20.100000000000001" customHeight="1" x14ac:dyDescent="0.15">
      <c r="A153" s="5">
        <v>150</v>
      </c>
      <c r="B153" s="6" t="str">
        <f>"30482021060117010865691"</f>
        <v>30482021060117010865691</v>
      </c>
      <c r="C153" s="6" t="s">
        <v>1128</v>
      </c>
      <c r="D153" s="6" t="str">
        <f>"罗玉"</f>
        <v>罗玉</v>
      </c>
      <c r="E153" s="6" t="str">
        <f t="shared" si="4"/>
        <v>女</v>
      </c>
      <c r="F153" s="7" t="s">
        <v>324</v>
      </c>
    </row>
    <row r="154" spans="1:6" ht="20.100000000000001" customHeight="1" x14ac:dyDescent="0.15">
      <c r="A154" s="5">
        <v>151</v>
      </c>
      <c r="B154" s="6" t="str">
        <f>"30482021060117011765696"</f>
        <v>30482021060117011765696</v>
      </c>
      <c r="C154" s="6" t="s">
        <v>1128</v>
      </c>
      <c r="D154" s="6" t="str">
        <f>"冯大娇"</f>
        <v>冯大娇</v>
      </c>
      <c r="E154" s="6" t="str">
        <f t="shared" si="4"/>
        <v>女</v>
      </c>
      <c r="F154" s="7" t="s">
        <v>12</v>
      </c>
    </row>
    <row r="155" spans="1:6" ht="20.100000000000001" customHeight="1" x14ac:dyDescent="0.15">
      <c r="A155" s="5">
        <v>152</v>
      </c>
      <c r="B155" s="6" t="str">
        <f>"30482021060117020865707"</f>
        <v>30482021060117020865707</v>
      </c>
      <c r="C155" s="6" t="s">
        <v>1128</v>
      </c>
      <c r="D155" s="6" t="str">
        <f>"陈红如"</f>
        <v>陈红如</v>
      </c>
      <c r="E155" s="6" t="str">
        <f t="shared" si="4"/>
        <v>女</v>
      </c>
      <c r="F155" s="7" t="s">
        <v>669</v>
      </c>
    </row>
    <row r="156" spans="1:6" ht="20.100000000000001" customHeight="1" x14ac:dyDescent="0.15">
      <c r="A156" s="5">
        <v>153</v>
      </c>
      <c r="B156" s="6" t="str">
        <f>"30482021060117035765733"</f>
        <v>30482021060117035765733</v>
      </c>
      <c r="C156" s="6" t="s">
        <v>1128</v>
      </c>
      <c r="D156" s="6" t="str">
        <f>"林玉婷"</f>
        <v>林玉婷</v>
      </c>
      <c r="E156" s="6" t="str">
        <f t="shared" si="4"/>
        <v>女</v>
      </c>
      <c r="F156" s="7" t="s">
        <v>197</v>
      </c>
    </row>
    <row r="157" spans="1:6" ht="20.100000000000001" customHeight="1" x14ac:dyDescent="0.15">
      <c r="A157" s="5">
        <v>154</v>
      </c>
      <c r="B157" s="6" t="str">
        <f>"30482021060117040965734"</f>
        <v>30482021060117040965734</v>
      </c>
      <c r="C157" s="6" t="s">
        <v>1128</v>
      </c>
      <c r="D157" s="6" t="str">
        <f>"罗琪冉"</f>
        <v>罗琪冉</v>
      </c>
      <c r="E157" s="6" t="str">
        <f t="shared" ref="E157:E167" si="5">"女"</f>
        <v>女</v>
      </c>
      <c r="F157" s="7" t="s">
        <v>31</v>
      </c>
    </row>
    <row r="158" spans="1:6" ht="20.100000000000001" customHeight="1" x14ac:dyDescent="0.15">
      <c r="A158" s="5">
        <v>155</v>
      </c>
      <c r="B158" s="6" t="str">
        <f>"30482021060117043465742"</f>
        <v>30482021060117043465742</v>
      </c>
      <c r="C158" s="6" t="s">
        <v>1128</v>
      </c>
      <c r="D158" s="6" t="str">
        <f>"冯婷"</f>
        <v>冯婷</v>
      </c>
      <c r="E158" s="6" t="str">
        <f t="shared" si="5"/>
        <v>女</v>
      </c>
      <c r="F158" s="7" t="s">
        <v>250</v>
      </c>
    </row>
    <row r="159" spans="1:6" ht="20.100000000000001" customHeight="1" x14ac:dyDescent="0.15">
      <c r="A159" s="5">
        <v>156</v>
      </c>
      <c r="B159" s="6" t="str">
        <f>"30482021060117043865744"</f>
        <v>30482021060117043865744</v>
      </c>
      <c r="C159" s="6" t="s">
        <v>1128</v>
      </c>
      <c r="D159" s="6" t="str">
        <f>"王传为"</f>
        <v>王传为</v>
      </c>
      <c r="E159" s="6" t="str">
        <f t="shared" si="5"/>
        <v>女</v>
      </c>
      <c r="F159" s="7" t="s">
        <v>160</v>
      </c>
    </row>
    <row r="160" spans="1:6" ht="20.100000000000001" customHeight="1" x14ac:dyDescent="0.15">
      <c r="A160" s="5">
        <v>157</v>
      </c>
      <c r="B160" s="6" t="str">
        <f>"30482021060117055265760"</f>
        <v>30482021060117055265760</v>
      </c>
      <c r="C160" s="6" t="s">
        <v>1128</v>
      </c>
      <c r="D160" s="6" t="str">
        <f>"朱乔滟"</f>
        <v>朱乔滟</v>
      </c>
      <c r="E160" s="6" t="str">
        <f t="shared" si="5"/>
        <v>女</v>
      </c>
      <c r="F160" s="7" t="s">
        <v>131</v>
      </c>
    </row>
    <row r="161" spans="1:6" ht="20.100000000000001" customHeight="1" x14ac:dyDescent="0.15">
      <c r="A161" s="5">
        <v>158</v>
      </c>
      <c r="B161" s="6" t="str">
        <f>"30482021060117110665824"</f>
        <v>30482021060117110665824</v>
      </c>
      <c r="C161" s="6" t="s">
        <v>1128</v>
      </c>
      <c r="D161" s="6" t="str">
        <f>"苏静"</f>
        <v>苏静</v>
      </c>
      <c r="E161" s="6" t="str">
        <f t="shared" si="5"/>
        <v>女</v>
      </c>
      <c r="F161" s="7" t="s">
        <v>353</v>
      </c>
    </row>
    <row r="162" spans="1:6" ht="20.100000000000001" customHeight="1" x14ac:dyDescent="0.15">
      <c r="A162" s="5">
        <v>159</v>
      </c>
      <c r="B162" s="6" t="str">
        <f>"30482021060117114565832"</f>
        <v>30482021060117114565832</v>
      </c>
      <c r="C162" s="6" t="s">
        <v>1128</v>
      </c>
      <c r="D162" s="6" t="str">
        <f>"王诗雅"</f>
        <v>王诗雅</v>
      </c>
      <c r="E162" s="6" t="str">
        <f t="shared" si="5"/>
        <v>女</v>
      </c>
      <c r="F162" s="7" t="s">
        <v>1187</v>
      </c>
    </row>
    <row r="163" spans="1:6" ht="20.100000000000001" customHeight="1" x14ac:dyDescent="0.15">
      <c r="A163" s="5">
        <v>160</v>
      </c>
      <c r="B163" s="6" t="str">
        <f>"30482021060117151765872"</f>
        <v>30482021060117151765872</v>
      </c>
      <c r="C163" s="6" t="s">
        <v>1128</v>
      </c>
      <c r="D163" s="6" t="str">
        <f>"林桂梅"</f>
        <v>林桂梅</v>
      </c>
      <c r="E163" s="6" t="str">
        <f t="shared" si="5"/>
        <v>女</v>
      </c>
      <c r="F163" s="7" t="s">
        <v>143</v>
      </c>
    </row>
    <row r="164" spans="1:6" ht="20.100000000000001" customHeight="1" x14ac:dyDescent="0.15">
      <c r="A164" s="5">
        <v>161</v>
      </c>
      <c r="B164" s="6" t="str">
        <f>"30482021060117170465894"</f>
        <v>30482021060117170465894</v>
      </c>
      <c r="C164" s="6" t="s">
        <v>1128</v>
      </c>
      <c r="D164" s="6" t="str">
        <f>"羊彩虹"</f>
        <v>羊彩虹</v>
      </c>
      <c r="E164" s="6" t="str">
        <f t="shared" si="5"/>
        <v>女</v>
      </c>
      <c r="F164" s="7" t="s">
        <v>783</v>
      </c>
    </row>
    <row r="165" spans="1:6" ht="20.100000000000001" customHeight="1" x14ac:dyDescent="0.15">
      <c r="A165" s="5">
        <v>162</v>
      </c>
      <c r="B165" s="6" t="str">
        <f>"30482021060117175465902"</f>
        <v>30482021060117175465902</v>
      </c>
      <c r="C165" s="6" t="s">
        <v>1128</v>
      </c>
      <c r="D165" s="6" t="str">
        <f>"张小盼"</f>
        <v>张小盼</v>
      </c>
      <c r="E165" s="6" t="str">
        <f t="shared" si="5"/>
        <v>女</v>
      </c>
      <c r="F165" s="7" t="s">
        <v>673</v>
      </c>
    </row>
    <row r="166" spans="1:6" ht="20.100000000000001" customHeight="1" x14ac:dyDescent="0.15">
      <c r="A166" s="5">
        <v>163</v>
      </c>
      <c r="B166" s="6" t="str">
        <f>"30482021060117184765910"</f>
        <v>30482021060117184765910</v>
      </c>
      <c r="C166" s="6" t="s">
        <v>1128</v>
      </c>
      <c r="D166" s="6" t="str">
        <f>"陈芬"</f>
        <v>陈芬</v>
      </c>
      <c r="E166" s="6" t="str">
        <f t="shared" si="5"/>
        <v>女</v>
      </c>
      <c r="F166" s="7" t="s">
        <v>889</v>
      </c>
    </row>
    <row r="167" spans="1:6" ht="20.100000000000001" customHeight="1" x14ac:dyDescent="0.15">
      <c r="A167" s="5">
        <v>164</v>
      </c>
      <c r="B167" s="6" t="str">
        <f>"30482021060117202365930"</f>
        <v>30482021060117202365930</v>
      </c>
      <c r="C167" s="6" t="s">
        <v>1128</v>
      </c>
      <c r="D167" s="6" t="str">
        <f>"林晓芬"</f>
        <v>林晓芬</v>
      </c>
      <c r="E167" s="6" t="str">
        <f t="shared" si="5"/>
        <v>女</v>
      </c>
      <c r="F167" s="7" t="s">
        <v>518</v>
      </c>
    </row>
    <row r="168" spans="1:6" ht="20.100000000000001" customHeight="1" x14ac:dyDescent="0.15">
      <c r="A168" s="5">
        <v>165</v>
      </c>
      <c r="B168" s="6" t="str">
        <f>"30482021060117214165942"</f>
        <v>30482021060117214165942</v>
      </c>
      <c r="C168" s="6" t="s">
        <v>1128</v>
      </c>
      <c r="D168" s="6" t="str">
        <f>"吴淑强"</f>
        <v>吴淑强</v>
      </c>
      <c r="E168" s="6" t="str">
        <f>"男"</f>
        <v>男</v>
      </c>
      <c r="F168" s="7" t="s">
        <v>1188</v>
      </c>
    </row>
    <row r="169" spans="1:6" ht="20.100000000000001" customHeight="1" x14ac:dyDescent="0.15">
      <c r="A169" s="5">
        <v>166</v>
      </c>
      <c r="B169" s="6" t="str">
        <f>"30482021060117220765948"</f>
        <v>30482021060117220765948</v>
      </c>
      <c r="C169" s="6" t="s">
        <v>1128</v>
      </c>
      <c r="D169" s="6" t="str">
        <f>"张教嫦"</f>
        <v>张教嫦</v>
      </c>
      <c r="E169" s="6" t="str">
        <f t="shared" ref="E169:E186" si="6">"女"</f>
        <v>女</v>
      </c>
      <c r="F169" s="7" t="s">
        <v>1189</v>
      </c>
    </row>
    <row r="170" spans="1:6" ht="20.100000000000001" customHeight="1" x14ac:dyDescent="0.15">
      <c r="A170" s="5">
        <v>167</v>
      </c>
      <c r="B170" s="6" t="str">
        <f>"30482021060117222865951"</f>
        <v>30482021060117222865951</v>
      </c>
      <c r="C170" s="6" t="s">
        <v>1128</v>
      </c>
      <c r="D170" s="6" t="str">
        <f>"王樱抚"</f>
        <v>王樱抚</v>
      </c>
      <c r="E170" s="6" t="str">
        <f t="shared" si="6"/>
        <v>女</v>
      </c>
      <c r="F170" s="7" t="s">
        <v>387</v>
      </c>
    </row>
    <row r="171" spans="1:6" ht="20.100000000000001" customHeight="1" x14ac:dyDescent="0.15">
      <c r="A171" s="5">
        <v>168</v>
      </c>
      <c r="B171" s="6" t="str">
        <f>"30482021060117253165983"</f>
        <v>30482021060117253165983</v>
      </c>
      <c r="C171" s="6" t="s">
        <v>1128</v>
      </c>
      <c r="D171" s="6" t="str">
        <f>"苏丽丽"</f>
        <v>苏丽丽</v>
      </c>
      <c r="E171" s="6" t="str">
        <f t="shared" si="6"/>
        <v>女</v>
      </c>
      <c r="F171" s="7" t="s">
        <v>1190</v>
      </c>
    </row>
    <row r="172" spans="1:6" ht="20.100000000000001" customHeight="1" x14ac:dyDescent="0.15">
      <c r="A172" s="5">
        <v>169</v>
      </c>
      <c r="B172" s="6" t="str">
        <f>"30482021060117260165984"</f>
        <v>30482021060117260165984</v>
      </c>
      <c r="C172" s="6" t="s">
        <v>1128</v>
      </c>
      <c r="D172" s="6" t="str">
        <f>"王光静"</f>
        <v>王光静</v>
      </c>
      <c r="E172" s="6" t="str">
        <f t="shared" si="6"/>
        <v>女</v>
      </c>
      <c r="F172" s="7" t="s">
        <v>554</v>
      </c>
    </row>
    <row r="173" spans="1:6" ht="20.100000000000001" customHeight="1" x14ac:dyDescent="0.15">
      <c r="A173" s="5">
        <v>170</v>
      </c>
      <c r="B173" s="6" t="str">
        <f>"30482021060117310166040"</f>
        <v>30482021060117310166040</v>
      </c>
      <c r="C173" s="6" t="s">
        <v>1128</v>
      </c>
      <c r="D173" s="6" t="str">
        <f>"卢张连"</f>
        <v>卢张连</v>
      </c>
      <c r="E173" s="6" t="str">
        <f t="shared" si="6"/>
        <v>女</v>
      </c>
      <c r="F173" s="7" t="s">
        <v>323</v>
      </c>
    </row>
    <row r="174" spans="1:6" ht="20.100000000000001" customHeight="1" x14ac:dyDescent="0.15">
      <c r="A174" s="5">
        <v>171</v>
      </c>
      <c r="B174" s="6" t="str">
        <f>"30482021060117315066052"</f>
        <v>30482021060117315066052</v>
      </c>
      <c r="C174" s="6" t="s">
        <v>1128</v>
      </c>
      <c r="D174" s="6" t="str">
        <f>"陈佳欣"</f>
        <v>陈佳欣</v>
      </c>
      <c r="E174" s="6" t="str">
        <f t="shared" si="6"/>
        <v>女</v>
      </c>
      <c r="F174" s="7" t="s">
        <v>1191</v>
      </c>
    </row>
    <row r="175" spans="1:6" ht="20.100000000000001" customHeight="1" x14ac:dyDescent="0.15">
      <c r="A175" s="5">
        <v>172</v>
      </c>
      <c r="B175" s="6" t="str">
        <f>"30482021060117343766087"</f>
        <v>30482021060117343766087</v>
      </c>
      <c r="C175" s="6" t="s">
        <v>1128</v>
      </c>
      <c r="D175" s="6" t="str">
        <f>"符志睿"</f>
        <v>符志睿</v>
      </c>
      <c r="E175" s="6" t="str">
        <f t="shared" si="6"/>
        <v>女</v>
      </c>
      <c r="F175" s="7" t="s">
        <v>38</v>
      </c>
    </row>
    <row r="176" spans="1:6" ht="20.100000000000001" customHeight="1" x14ac:dyDescent="0.15">
      <c r="A176" s="5">
        <v>173</v>
      </c>
      <c r="B176" s="6" t="str">
        <f>"30482021060117350466092"</f>
        <v>30482021060117350466092</v>
      </c>
      <c r="C176" s="6" t="s">
        <v>1128</v>
      </c>
      <c r="D176" s="6" t="str">
        <f>"罗童心"</f>
        <v>罗童心</v>
      </c>
      <c r="E176" s="6" t="str">
        <f t="shared" si="6"/>
        <v>女</v>
      </c>
      <c r="F176" s="7" t="s">
        <v>134</v>
      </c>
    </row>
    <row r="177" spans="1:6" ht="20.100000000000001" customHeight="1" x14ac:dyDescent="0.15">
      <c r="A177" s="5">
        <v>174</v>
      </c>
      <c r="B177" s="6" t="str">
        <f>"30482021060117364766112"</f>
        <v>30482021060117364766112</v>
      </c>
      <c r="C177" s="6" t="s">
        <v>1128</v>
      </c>
      <c r="D177" s="6" t="str">
        <f>"陈莉"</f>
        <v>陈莉</v>
      </c>
      <c r="E177" s="6" t="str">
        <f t="shared" si="6"/>
        <v>女</v>
      </c>
      <c r="F177" s="7" t="s">
        <v>221</v>
      </c>
    </row>
    <row r="178" spans="1:6" ht="20.100000000000001" customHeight="1" x14ac:dyDescent="0.15">
      <c r="A178" s="5">
        <v>175</v>
      </c>
      <c r="B178" s="6" t="str">
        <f>"30482021060117372366119"</f>
        <v>30482021060117372366119</v>
      </c>
      <c r="C178" s="6" t="s">
        <v>1128</v>
      </c>
      <c r="D178" s="6" t="str">
        <f>"潘敏敏"</f>
        <v>潘敏敏</v>
      </c>
      <c r="E178" s="6" t="str">
        <f t="shared" si="6"/>
        <v>女</v>
      </c>
      <c r="F178" s="7" t="s">
        <v>16</v>
      </c>
    </row>
    <row r="179" spans="1:6" ht="20.100000000000001" customHeight="1" x14ac:dyDescent="0.15">
      <c r="A179" s="5">
        <v>176</v>
      </c>
      <c r="B179" s="6" t="str">
        <f>"30482021060117404766147"</f>
        <v>30482021060117404766147</v>
      </c>
      <c r="C179" s="6" t="s">
        <v>1128</v>
      </c>
      <c r="D179" s="6" t="str">
        <f>"文丽春"</f>
        <v>文丽春</v>
      </c>
      <c r="E179" s="6" t="str">
        <f t="shared" si="6"/>
        <v>女</v>
      </c>
      <c r="F179" s="7" t="s">
        <v>44</v>
      </c>
    </row>
    <row r="180" spans="1:6" ht="20.100000000000001" customHeight="1" x14ac:dyDescent="0.15">
      <c r="A180" s="5">
        <v>177</v>
      </c>
      <c r="B180" s="6" t="str">
        <f>"30482021060117430666161"</f>
        <v>30482021060117430666161</v>
      </c>
      <c r="C180" s="6" t="s">
        <v>1128</v>
      </c>
      <c r="D180" s="6" t="str">
        <f>"张彩映"</f>
        <v>张彩映</v>
      </c>
      <c r="E180" s="6" t="str">
        <f t="shared" si="6"/>
        <v>女</v>
      </c>
      <c r="F180" s="7" t="s">
        <v>146</v>
      </c>
    </row>
    <row r="181" spans="1:6" ht="20.100000000000001" customHeight="1" x14ac:dyDescent="0.15">
      <c r="A181" s="5">
        <v>178</v>
      </c>
      <c r="B181" s="6" t="str">
        <f>"30482021060117484066216"</f>
        <v>30482021060117484066216</v>
      </c>
      <c r="C181" s="6" t="s">
        <v>1128</v>
      </c>
      <c r="D181" s="6" t="str">
        <f>"罗月婷"</f>
        <v>罗月婷</v>
      </c>
      <c r="E181" s="6" t="str">
        <f t="shared" si="6"/>
        <v>女</v>
      </c>
      <c r="F181" s="7" t="s">
        <v>131</v>
      </c>
    </row>
    <row r="182" spans="1:6" ht="20.100000000000001" customHeight="1" x14ac:dyDescent="0.15">
      <c r="A182" s="5">
        <v>179</v>
      </c>
      <c r="B182" s="6" t="str">
        <f>"30482021060117531566265"</f>
        <v>30482021060117531566265</v>
      </c>
      <c r="C182" s="6" t="s">
        <v>1128</v>
      </c>
      <c r="D182" s="6" t="str">
        <f>"苏万姣"</f>
        <v>苏万姣</v>
      </c>
      <c r="E182" s="6" t="str">
        <f t="shared" si="6"/>
        <v>女</v>
      </c>
      <c r="F182" s="7" t="s">
        <v>1192</v>
      </c>
    </row>
    <row r="183" spans="1:6" ht="20.100000000000001" customHeight="1" x14ac:dyDescent="0.15">
      <c r="A183" s="5">
        <v>180</v>
      </c>
      <c r="B183" s="6" t="str">
        <f>"30482021060117540366272"</f>
        <v>30482021060117540366272</v>
      </c>
      <c r="C183" s="6" t="s">
        <v>1128</v>
      </c>
      <c r="D183" s="6" t="str">
        <f>"钟瑜"</f>
        <v>钟瑜</v>
      </c>
      <c r="E183" s="6" t="str">
        <f t="shared" si="6"/>
        <v>女</v>
      </c>
      <c r="F183" s="7" t="s">
        <v>451</v>
      </c>
    </row>
    <row r="184" spans="1:6" ht="20.100000000000001" customHeight="1" x14ac:dyDescent="0.15">
      <c r="A184" s="5">
        <v>181</v>
      </c>
      <c r="B184" s="6" t="str">
        <f>"30482021060117551066282"</f>
        <v>30482021060117551066282</v>
      </c>
      <c r="C184" s="6" t="s">
        <v>1128</v>
      </c>
      <c r="D184" s="6" t="str">
        <f>"游蕊华"</f>
        <v>游蕊华</v>
      </c>
      <c r="E184" s="6" t="str">
        <f t="shared" si="6"/>
        <v>女</v>
      </c>
      <c r="F184" s="7" t="s">
        <v>1193</v>
      </c>
    </row>
    <row r="185" spans="1:6" ht="20.100000000000001" customHeight="1" x14ac:dyDescent="0.15">
      <c r="A185" s="5">
        <v>182</v>
      </c>
      <c r="B185" s="6" t="str">
        <f>"30482021060118022566345"</f>
        <v>30482021060118022566345</v>
      </c>
      <c r="C185" s="6" t="s">
        <v>1128</v>
      </c>
      <c r="D185" s="6" t="str">
        <f>"苏海媚"</f>
        <v>苏海媚</v>
      </c>
      <c r="E185" s="6" t="str">
        <f t="shared" si="6"/>
        <v>女</v>
      </c>
      <c r="F185" s="7" t="s">
        <v>461</v>
      </c>
    </row>
    <row r="186" spans="1:6" ht="20.100000000000001" customHeight="1" x14ac:dyDescent="0.15">
      <c r="A186" s="5">
        <v>183</v>
      </c>
      <c r="B186" s="6" t="str">
        <f>"30482021060118043766361"</f>
        <v>30482021060118043766361</v>
      </c>
      <c r="C186" s="6" t="s">
        <v>1128</v>
      </c>
      <c r="D186" s="6" t="str">
        <f>"詹明苏"</f>
        <v>詹明苏</v>
      </c>
      <c r="E186" s="6" t="str">
        <f t="shared" si="6"/>
        <v>女</v>
      </c>
      <c r="F186" s="7" t="s">
        <v>1194</v>
      </c>
    </row>
    <row r="187" spans="1:6" ht="20.100000000000001" customHeight="1" x14ac:dyDescent="0.15">
      <c r="A187" s="5">
        <v>184</v>
      </c>
      <c r="B187" s="6" t="str">
        <f>"30482021060118094766406"</f>
        <v>30482021060118094766406</v>
      </c>
      <c r="C187" s="6" t="s">
        <v>1128</v>
      </c>
      <c r="D187" s="6" t="str">
        <f>"符加卫"</f>
        <v>符加卫</v>
      </c>
      <c r="E187" s="6" t="str">
        <f>"男"</f>
        <v>男</v>
      </c>
      <c r="F187" s="7" t="s">
        <v>1195</v>
      </c>
    </row>
    <row r="188" spans="1:6" ht="20.100000000000001" customHeight="1" x14ac:dyDescent="0.15">
      <c r="A188" s="5">
        <v>185</v>
      </c>
      <c r="B188" s="6" t="str">
        <f>"30482021060118120766421"</f>
        <v>30482021060118120766421</v>
      </c>
      <c r="C188" s="6" t="s">
        <v>1128</v>
      </c>
      <c r="D188" s="6" t="str">
        <f>"曾小穆"</f>
        <v>曾小穆</v>
      </c>
      <c r="E188" s="6" t="str">
        <f t="shared" ref="E188:E251" si="7">"女"</f>
        <v>女</v>
      </c>
      <c r="F188" s="7" t="s">
        <v>31</v>
      </c>
    </row>
    <row r="189" spans="1:6" ht="20.100000000000001" customHeight="1" x14ac:dyDescent="0.15">
      <c r="A189" s="5">
        <v>186</v>
      </c>
      <c r="B189" s="6" t="str">
        <f>"30482021060118135866436"</f>
        <v>30482021060118135866436</v>
      </c>
      <c r="C189" s="6" t="s">
        <v>1128</v>
      </c>
      <c r="D189" s="6" t="str">
        <f>"曾婷"</f>
        <v>曾婷</v>
      </c>
      <c r="E189" s="6" t="str">
        <f t="shared" si="7"/>
        <v>女</v>
      </c>
      <c r="F189" s="7" t="s">
        <v>166</v>
      </c>
    </row>
    <row r="190" spans="1:6" ht="20.100000000000001" customHeight="1" x14ac:dyDescent="0.15">
      <c r="A190" s="5">
        <v>187</v>
      </c>
      <c r="B190" s="6" t="str">
        <f>"30482021060118135866437"</f>
        <v>30482021060118135866437</v>
      </c>
      <c r="C190" s="6" t="s">
        <v>1128</v>
      </c>
      <c r="D190" s="6" t="str">
        <f>"任晶"</f>
        <v>任晶</v>
      </c>
      <c r="E190" s="6" t="str">
        <f t="shared" si="7"/>
        <v>女</v>
      </c>
      <c r="F190" s="7" t="s">
        <v>139</v>
      </c>
    </row>
    <row r="191" spans="1:6" ht="20.100000000000001" customHeight="1" x14ac:dyDescent="0.15">
      <c r="A191" s="5">
        <v>188</v>
      </c>
      <c r="B191" s="6" t="str">
        <f>"30482021060118171466464"</f>
        <v>30482021060118171466464</v>
      </c>
      <c r="C191" s="6" t="s">
        <v>1128</v>
      </c>
      <c r="D191" s="6" t="str">
        <f>"陈芳慧"</f>
        <v>陈芳慧</v>
      </c>
      <c r="E191" s="6" t="str">
        <f t="shared" si="7"/>
        <v>女</v>
      </c>
      <c r="F191" s="7" t="s">
        <v>1196</v>
      </c>
    </row>
    <row r="192" spans="1:6" ht="20.100000000000001" customHeight="1" x14ac:dyDescent="0.15">
      <c r="A192" s="5">
        <v>189</v>
      </c>
      <c r="B192" s="6" t="str">
        <f>"30482021060118172866468"</f>
        <v>30482021060118172866468</v>
      </c>
      <c r="C192" s="6" t="s">
        <v>1128</v>
      </c>
      <c r="D192" s="6" t="str">
        <f>"陈小宇"</f>
        <v>陈小宇</v>
      </c>
      <c r="E192" s="6" t="str">
        <f t="shared" si="7"/>
        <v>女</v>
      </c>
      <c r="F192" s="7" t="s">
        <v>1197</v>
      </c>
    </row>
    <row r="193" spans="1:6" ht="20.100000000000001" customHeight="1" x14ac:dyDescent="0.15">
      <c r="A193" s="5">
        <v>190</v>
      </c>
      <c r="B193" s="6" t="str">
        <f>"30482021060118183866481"</f>
        <v>30482021060118183866481</v>
      </c>
      <c r="C193" s="6" t="s">
        <v>1128</v>
      </c>
      <c r="D193" s="6" t="str">
        <f>"王娴"</f>
        <v>王娴</v>
      </c>
      <c r="E193" s="6" t="str">
        <f t="shared" si="7"/>
        <v>女</v>
      </c>
      <c r="F193" s="7" t="s">
        <v>44</v>
      </c>
    </row>
    <row r="194" spans="1:6" ht="20.100000000000001" customHeight="1" x14ac:dyDescent="0.15">
      <c r="A194" s="5">
        <v>191</v>
      </c>
      <c r="B194" s="6" t="str">
        <f>"30482021060118191666484"</f>
        <v>30482021060118191666484</v>
      </c>
      <c r="C194" s="6" t="s">
        <v>1128</v>
      </c>
      <c r="D194" s="6" t="str">
        <f>"符美英"</f>
        <v>符美英</v>
      </c>
      <c r="E194" s="6" t="str">
        <f t="shared" si="7"/>
        <v>女</v>
      </c>
      <c r="F194" s="7" t="s">
        <v>9</v>
      </c>
    </row>
    <row r="195" spans="1:6" ht="20.100000000000001" customHeight="1" x14ac:dyDescent="0.15">
      <c r="A195" s="5">
        <v>192</v>
      </c>
      <c r="B195" s="6" t="str">
        <f>"30482021060118233366519"</f>
        <v>30482021060118233366519</v>
      </c>
      <c r="C195" s="6" t="s">
        <v>1128</v>
      </c>
      <c r="D195" s="6" t="str">
        <f>"符春庭"</f>
        <v>符春庭</v>
      </c>
      <c r="E195" s="6" t="str">
        <f t="shared" si="7"/>
        <v>女</v>
      </c>
      <c r="F195" s="7" t="s">
        <v>950</v>
      </c>
    </row>
    <row r="196" spans="1:6" ht="20.100000000000001" customHeight="1" x14ac:dyDescent="0.15">
      <c r="A196" s="5">
        <v>193</v>
      </c>
      <c r="B196" s="6" t="str">
        <f>"30482021060118240666524"</f>
        <v>30482021060118240666524</v>
      </c>
      <c r="C196" s="6" t="s">
        <v>1128</v>
      </c>
      <c r="D196" s="6" t="str">
        <f>"符海玲"</f>
        <v>符海玲</v>
      </c>
      <c r="E196" s="6" t="str">
        <f t="shared" si="7"/>
        <v>女</v>
      </c>
      <c r="F196" s="7" t="s">
        <v>1198</v>
      </c>
    </row>
    <row r="197" spans="1:6" ht="20.100000000000001" customHeight="1" x14ac:dyDescent="0.15">
      <c r="A197" s="5">
        <v>194</v>
      </c>
      <c r="B197" s="6" t="str">
        <f>"30482021060118241566526"</f>
        <v>30482021060118241566526</v>
      </c>
      <c r="C197" s="6" t="s">
        <v>1128</v>
      </c>
      <c r="D197" s="6" t="str">
        <f>"黄玉春"</f>
        <v>黄玉春</v>
      </c>
      <c r="E197" s="6" t="str">
        <f t="shared" si="7"/>
        <v>女</v>
      </c>
      <c r="F197" s="7" t="s">
        <v>1130</v>
      </c>
    </row>
    <row r="198" spans="1:6" ht="20.100000000000001" customHeight="1" x14ac:dyDescent="0.15">
      <c r="A198" s="5">
        <v>195</v>
      </c>
      <c r="B198" s="6" t="str">
        <f>"30482021060118271366550"</f>
        <v>30482021060118271366550</v>
      </c>
      <c r="C198" s="6" t="s">
        <v>1128</v>
      </c>
      <c r="D198" s="6" t="str">
        <f>"羊仙爱"</f>
        <v>羊仙爱</v>
      </c>
      <c r="E198" s="6" t="str">
        <f t="shared" si="7"/>
        <v>女</v>
      </c>
      <c r="F198" s="7" t="s">
        <v>1199</v>
      </c>
    </row>
    <row r="199" spans="1:6" ht="20.100000000000001" customHeight="1" x14ac:dyDescent="0.15">
      <c r="A199" s="5">
        <v>196</v>
      </c>
      <c r="B199" s="6" t="str">
        <f>"30482021060118271666551"</f>
        <v>30482021060118271666551</v>
      </c>
      <c r="C199" s="6" t="s">
        <v>1128</v>
      </c>
      <c r="D199" s="6" t="str">
        <f>"王湘怡"</f>
        <v>王湘怡</v>
      </c>
      <c r="E199" s="6" t="str">
        <f t="shared" si="7"/>
        <v>女</v>
      </c>
      <c r="F199" s="7" t="s">
        <v>190</v>
      </c>
    </row>
    <row r="200" spans="1:6" ht="20.100000000000001" customHeight="1" x14ac:dyDescent="0.15">
      <c r="A200" s="5">
        <v>197</v>
      </c>
      <c r="B200" s="6" t="str">
        <f>"30482021060118294466572"</f>
        <v>30482021060118294466572</v>
      </c>
      <c r="C200" s="6" t="s">
        <v>1128</v>
      </c>
      <c r="D200" s="6" t="str">
        <f>"胡韩施"</f>
        <v>胡韩施</v>
      </c>
      <c r="E200" s="6" t="str">
        <f t="shared" si="7"/>
        <v>女</v>
      </c>
      <c r="F200" s="7" t="s">
        <v>1200</v>
      </c>
    </row>
    <row r="201" spans="1:6" ht="20.100000000000001" customHeight="1" x14ac:dyDescent="0.15">
      <c r="A201" s="5">
        <v>198</v>
      </c>
      <c r="B201" s="6" t="str">
        <f>"30482021060118303766580"</f>
        <v>30482021060118303766580</v>
      </c>
      <c r="C201" s="6" t="s">
        <v>1128</v>
      </c>
      <c r="D201" s="6" t="str">
        <f>"周媚"</f>
        <v>周媚</v>
      </c>
      <c r="E201" s="6" t="str">
        <f t="shared" si="7"/>
        <v>女</v>
      </c>
      <c r="F201" s="7" t="s">
        <v>1201</v>
      </c>
    </row>
    <row r="202" spans="1:6" ht="20.100000000000001" customHeight="1" x14ac:dyDescent="0.15">
      <c r="A202" s="5">
        <v>199</v>
      </c>
      <c r="B202" s="6" t="str">
        <f>"30482021060118303866581"</f>
        <v>30482021060118303866581</v>
      </c>
      <c r="C202" s="6" t="s">
        <v>1128</v>
      </c>
      <c r="D202" s="6" t="str">
        <f>"陈洁"</f>
        <v>陈洁</v>
      </c>
      <c r="E202" s="6" t="str">
        <f t="shared" si="7"/>
        <v>女</v>
      </c>
      <c r="F202" s="7" t="s">
        <v>31</v>
      </c>
    </row>
    <row r="203" spans="1:6" ht="20.100000000000001" customHeight="1" x14ac:dyDescent="0.15">
      <c r="A203" s="5">
        <v>200</v>
      </c>
      <c r="B203" s="6" t="str">
        <f>"30482021060118305866587"</f>
        <v>30482021060118305866587</v>
      </c>
      <c r="C203" s="6" t="s">
        <v>1128</v>
      </c>
      <c r="D203" s="6" t="str">
        <f>"陈慧怡"</f>
        <v>陈慧怡</v>
      </c>
      <c r="E203" s="6" t="str">
        <f t="shared" si="7"/>
        <v>女</v>
      </c>
      <c r="F203" s="7" t="s">
        <v>160</v>
      </c>
    </row>
    <row r="204" spans="1:6" ht="20.100000000000001" customHeight="1" x14ac:dyDescent="0.15">
      <c r="A204" s="5">
        <v>201</v>
      </c>
      <c r="B204" s="6" t="str">
        <f>"30482021060118335166608"</f>
        <v>30482021060118335166608</v>
      </c>
      <c r="C204" s="6" t="s">
        <v>1128</v>
      </c>
      <c r="D204" s="6" t="str">
        <f>"陈彬"</f>
        <v>陈彬</v>
      </c>
      <c r="E204" s="6" t="str">
        <f t="shared" si="7"/>
        <v>女</v>
      </c>
      <c r="F204" s="7" t="s">
        <v>456</v>
      </c>
    </row>
    <row r="205" spans="1:6" ht="20.100000000000001" customHeight="1" x14ac:dyDescent="0.15">
      <c r="A205" s="5">
        <v>202</v>
      </c>
      <c r="B205" s="6" t="str">
        <f>"30482021060118344666616"</f>
        <v>30482021060118344666616</v>
      </c>
      <c r="C205" s="6" t="s">
        <v>1128</v>
      </c>
      <c r="D205" s="6" t="str">
        <f>"吴华丹"</f>
        <v>吴华丹</v>
      </c>
      <c r="E205" s="6" t="str">
        <f t="shared" si="7"/>
        <v>女</v>
      </c>
      <c r="F205" s="7" t="s">
        <v>1065</v>
      </c>
    </row>
    <row r="206" spans="1:6" ht="20.100000000000001" customHeight="1" x14ac:dyDescent="0.15">
      <c r="A206" s="5">
        <v>203</v>
      </c>
      <c r="B206" s="6" t="str">
        <f>"30482021060118381166642"</f>
        <v>30482021060118381166642</v>
      </c>
      <c r="C206" s="6" t="s">
        <v>1128</v>
      </c>
      <c r="D206" s="6" t="str">
        <f>"陈颖"</f>
        <v>陈颖</v>
      </c>
      <c r="E206" s="6" t="str">
        <f t="shared" si="7"/>
        <v>女</v>
      </c>
      <c r="F206" s="7" t="s">
        <v>1202</v>
      </c>
    </row>
    <row r="207" spans="1:6" ht="20.100000000000001" customHeight="1" x14ac:dyDescent="0.15">
      <c r="A207" s="5">
        <v>204</v>
      </c>
      <c r="B207" s="6" t="str">
        <f>"30482021060118392566648"</f>
        <v>30482021060118392566648</v>
      </c>
      <c r="C207" s="6" t="s">
        <v>1128</v>
      </c>
      <c r="D207" s="6" t="str">
        <f>"陈颖"</f>
        <v>陈颖</v>
      </c>
      <c r="E207" s="6" t="str">
        <f t="shared" si="7"/>
        <v>女</v>
      </c>
      <c r="F207" s="7" t="s">
        <v>258</v>
      </c>
    </row>
    <row r="208" spans="1:6" ht="20.100000000000001" customHeight="1" x14ac:dyDescent="0.15">
      <c r="A208" s="5">
        <v>205</v>
      </c>
      <c r="B208" s="6" t="str">
        <f>"30482021060118415566659"</f>
        <v>30482021060118415566659</v>
      </c>
      <c r="C208" s="6" t="s">
        <v>1128</v>
      </c>
      <c r="D208" s="6" t="str">
        <f>"林启艳"</f>
        <v>林启艳</v>
      </c>
      <c r="E208" s="6" t="str">
        <f t="shared" si="7"/>
        <v>女</v>
      </c>
      <c r="F208" s="7" t="s">
        <v>844</v>
      </c>
    </row>
    <row r="209" spans="1:6" ht="20.100000000000001" customHeight="1" x14ac:dyDescent="0.15">
      <c r="A209" s="5">
        <v>206</v>
      </c>
      <c r="B209" s="6" t="str">
        <f>"30482021060118421766664"</f>
        <v>30482021060118421766664</v>
      </c>
      <c r="C209" s="6" t="s">
        <v>1128</v>
      </c>
      <c r="D209" s="6" t="str">
        <f>"范珊珊"</f>
        <v>范珊珊</v>
      </c>
      <c r="E209" s="6" t="str">
        <f t="shared" si="7"/>
        <v>女</v>
      </c>
      <c r="F209" s="7" t="s">
        <v>1203</v>
      </c>
    </row>
    <row r="210" spans="1:6" ht="20.100000000000001" customHeight="1" x14ac:dyDescent="0.15">
      <c r="A210" s="5">
        <v>207</v>
      </c>
      <c r="B210" s="6" t="str">
        <f>"30482021060118550566768"</f>
        <v>30482021060118550566768</v>
      </c>
      <c r="C210" s="6" t="s">
        <v>1128</v>
      </c>
      <c r="D210" s="6" t="str">
        <f>"王正"</f>
        <v>王正</v>
      </c>
      <c r="E210" s="6" t="str">
        <f t="shared" si="7"/>
        <v>女</v>
      </c>
      <c r="F210" s="7" t="s">
        <v>131</v>
      </c>
    </row>
    <row r="211" spans="1:6" ht="20.100000000000001" customHeight="1" x14ac:dyDescent="0.15">
      <c r="A211" s="5">
        <v>208</v>
      </c>
      <c r="B211" s="6" t="str">
        <f>"30482021060118565866784"</f>
        <v>30482021060118565866784</v>
      </c>
      <c r="C211" s="6" t="s">
        <v>1128</v>
      </c>
      <c r="D211" s="6" t="str">
        <f>"李"</f>
        <v>李</v>
      </c>
      <c r="E211" s="6" t="str">
        <f t="shared" si="7"/>
        <v>女</v>
      </c>
      <c r="F211" s="7" t="s">
        <v>1204</v>
      </c>
    </row>
    <row r="212" spans="1:6" ht="20.100000000000001" customHeight="1" x14ac:dyDescent="0.15">
      <c r="A212" s="5">
        <v>209</v>
      </c>
      <c r="B212" s="6" t="str">
        <f>"30482021060118592266806"</f>
        <v>30482021060118592266806</v>
      </c>
      <c r="C212" s="6" t="s">
        <v>1128</v>
      </c>
      <c r="D212" s="6" t="str">
        <f>"苏二妹"</f>
        <v>苏二妹</v>
      </c>
      <c r="E212" s="6" t="str">
        <f t="shared" si="7"/>
        <v>女</v>
      </c>
      <c r="F212" s="7" t="s">
        <v>1205</v>
      </c>
    </row>
    <row r="213" spans="1:6" ht="20.100000000000001" customHeight="1" x14ac:dyDescent="0.15">
      <c r="A213" s="5">
        <v>210</v>
      </c>
      <c r="B213" s="6" t="str">
        <f>"30482021060119014166826"</f>
        <v>30482021060119014166826</v>
      </c>
      <c r="C213" s="6" t="s">
        <v>1128</v>
      </c>
      <c r="D213" s="6" t="str">
        <f>"吴丽转"</f>
        <v>吴丽转</v>
      </c>
      <c r="E213" s="6" t="str">
        <f t="shared" si="7"/>
        <v>女</v>
      </c>
      <c r="F213" s="7" t="s">
        <v>1206</v>
      </c>
    </row>
    <row r="214" spans="1:6" ht="20.100000000000001" customHeight="1" x14ac:dyDescent="0.15">
      <c r="A214" s="5">
        <v>211</v>
      </c>
      <c r="B214" s="6" t="str">
        <f>"30482021060119024866835"</f>
        <v>30482021060119024866835</v>
      </c>
      <c r="C214" s="6" t="s">
        <v>1128</v>
      </c>
      <c r="D214" s="6" t="str">
        <f>"陈芳香"</f>
        <v>陈芳香</v>
      </c>
      <c r="E214" s="6" t="str">
        <f t="shared" si="7"/>
        <v>女</v>
      </c>
      <c r="F214" s="7" t="s">
        <v>58</v>
      </c>
    </row>
    <row r="215" spans="1:6" ht="20.100000000000001" customHeight="1" x14ac:dyDescent="0.15">
      <c r="A215" s="5">
        <v>212</v>
      </c>
      <c r="B215" s="6" t="str">
        <f>"30482021060119044766850"</f>
        <v>30482021060119044766850</v>
      </c>
      <c r="C215" s="6" t="s">
        <v>1128</v>
      </c>
      <c r="D215" s="6" t="str">
        <f>"邵莉红"</f>
        <v>邵莉红</v>
      </c>
      <c r="E215" s="6" t="str">
        <f t="shared" si="7"/>
        <v>女</v>
      </c>
      <c r="F215" s="7" t="s">
        <v>173</v>
      </c>
    </row>
    <row r="216" spans="1:6" ht="20.100000000000001" customHeight="1" x14ac:dyDescent="0.15">
      <c r="A216" s="5">
        <v>213</v>
      </c>
      <c r="B216" s="6" t="str">
        <f>"30482021060119045366852"</f>
        <v>30482021060119045366852</v>
      </c>
      <c r="C216" s="6" t="s">
        <v>1128</v>
      </c>
      <c r="D216" s="6" t="str">
        <f>"童丽秋"</f>
        <v>童丽秋</v>
      </c>
      <c r="E216" s="6" t="str">
        <f t="shared" si="7"/>
        <v>女</v>
      </c>
      <c r="F216" s="7" t="s">
        <v>268</v>
      </c>
    </row>
    <row r="217" spans="1:6" ht="20.100000000000001" customHeight="1" x14ac:dyDescent="0.15">
      <c r="A217" s="5">
        <v>214</v>
      </c>
      <c r="B217" s="6" t="str">
        <f>"30482021060119055266862"</f>
        <v>30482021060119055266862</v>
      </c>
      <c r="C217" s="6" t="s">
        <v>1128</v>
      </c>
      <c r="D217" s="6" t="str">
        <f>"许小钰"</f>
        <v>许小钰</v>
      </c>
      <c r="E217" s="6" t="str">
        <f t="shared" si="7"/>
        <v>女</v>
      </c>
      <c r="F217" s="7" t="s">
        <v>1207</v>
      </c>
    </row>
    <row r="218" spans="1:6" ht="20.100000000000001" customHeight="1" x14ac:dyDescent="0.15">
      <c r="A218" s="5">
        <v>215</v>
      </c>
      <c r="B218" s="6" t="str">
        <f>"30482021060119124666901"</f>
        <v>30482021060119124666901</v>
      </c>
      <c r="C218" s="6" t="s">
        <v>1128</v>
      </c>
      <c r="D218" s="6" t="str">
        <f>"陈春韵"</f>
        <v>陈春韵</v>
      </c>
      <c r="E218" s="6" t="str">
        <f t="shared" si="7"/>
        <v>女</v>
      </c>
      <c r="F218" s="7" t="s">
        <v>1208</v>
      </c>
    </row>
    <row r="219" spans="1:6" ht="20.100000000000001" customHeight="1" x14ac:dyDescent="0.15">
      <c r="A219" s="5">
        <v>216</v>
      </c>
      <c r="B219" s="6" t="str">
        <f>"30482021060119141566909"</f>
        <v>30482021060119141566909</v>
      </c>
      <c r="C219" s="6" t="s">
        <v>1128</v>
      </c>
      <c r="D219" s="6" t="str">
        <f>"韩嫚"</f>
        <v>韩嫚</v>
      </c>
      <c r="E219" s="6" t="str">
        <f t="shared" si="7"/>
        <v>女</v>
      </c>
      <c r="F219" s="7" t="s">
        <v>790</v>
      </c>
    </row>
    <row r="220" spans="1:6" ht="20.100000000000001" customHeight="1" x14ac:dyDescent="0.15">
      <c r="A220" s="5">
        <v>217</v>
      </c>
      <c r="B220" s="6" t="str">
        <f>"30482021060119230066970"</f>
        <v>30482021060119230066970</v>
      </c>
      <c r="C220" s="6" t="s">
        <v>1128</v>
      </c>
      <c r="D220" s="6" t="str">
        <f>"王琬"</f>
        <v>王琬</v>
      </c>
      <c r="E220" s="6" t="str">
        <f t="shared" si="7"/>
        <v>女</v>
      </c>
      <c r="F220" s="7" t="s">
        <v>144</v>
      </c>
    </row>
    <row r="221" spans="1:6" ht="20.100000000000001" customHeight="1" x14ac:dyDescent="0.15">
      <c r="A221" s="5">
        <v>218</v>
      </c>
      <c r="B221" s="6" t="str">
        <f>"30482021060119284367010"</f>
        <v>30482021060119284367010</v>
      </c>
      <c r="C221" s="6" t="s">
        <v>1128</v>
      </c>
      <c r="D221" s="6" t="str">
        <f>"黎菊女"</f>
        <v>黎菊女</v>
      </c>
      <c r="E221" s="6" t="str">
        <f t="shared" si="7"/>
        <v>女</v>
      </c>
      <c r="F221" s="7" t="s">
        <v>1209</v>
      </c>
    </row>
    <row r="222" spans="1:6" ht="20.100000000000001" customHeight="1" x14ac:dyDescent="0.15">
      <c r="A222" s="5">
        <v>219</v>
      </c>
      <c r="B222" s="6" t="str">
        <f>"30482021060119291567015"</f>
        <v>30482021060119291567015</v>
      </c>
      <c r="C222" s="6" t="s">
        <v>1128</v>
      </c>
      <c r="D222" s="6" t="str">
        <f>"李杏儿"</f>
        <v>李杏儿</v>
      </c>
      <c r="E222" s="6" t="str">
        <f t="shared" si="7"/>
        <v>女</v>
      </c>
      <c r="F222" s="7" t="s">
        <v>1210</v>
      </c>
    </row>
    <row r="223" spans="1:6" ht="20.100000000000001" customHeight="1" x14ac:dyDescent="0.15">
      <c r="A223" s="5">
        <v>220</v>
      </c>
      <c r="B223" s="6" t="str">
        <f>"30482021060119304967030"</f>
        <v>30482021060119304967030</v>
      </c>
      <c r="C223" s="6" t="s">
        <v>1128</v>
      </c>
      <c r="D223" s="6" t="str">
        <f>"李秋琴"</f>
        <v>李秋琴</v>
      </c>
      <c r="E223" s="6" t="str">
        <f t="shared" si="7"/>
        <v>女</v>
      </c>
      <c r="F223" s="7" t="s">
        <v>111</v>
      </c>
    </row>
    <row r="224" spans="1:6" ht="20.100000000000001" customHeight="1" x14ac:dyDescent="0.15">
      <c r="A224" s="5">
        <v>221</v>
      </c>
      <c r="B224" s="6" t="str">
        <f>"30482021060119322767045"</f>
        <v>30482021060119322767045</v>
      </c>
      <c r="C224" s="6" t="s">
        <v>1128</v>
      </c>
      <c r="D224" s="6" t="str">
        <f>"蔡慧婷"</f>
        <v>蔡慧婷</v>
      </c>
      <c r="E224" s="6" t="str">
        <f t="shared" si="7"/>
        <v>女</v>
      </c>
      <c r="F224" s="7" t="s">
        <v>357</v>
      </c>
    </row>
    <row r="225" spans="1:6" ht="20.100000000000001" customHeight="1" x14ac:dyDescent="0.15">
      <c r="A225" s="5">
        <v>222</v>
      </c>
      <c r="B225" s="6" t="str">
        <f>"30482021060119344867059"</f>
        <v>30482021060119344867059</v>
      </c>
      <c r="C225" s="6" t="s">
        <v>1128</v>
      </c>
      <c r="D225" s="6" t="str">
        <f>"陈财来"</f>
        <v>陈财来</v>
      </c>
      <c r="E225" s="6" t="str">
        <f t="shared" si="7"/>
        <v>女</v>
      </c>
      <c r="F225" s="7" t="s">
        <v>1211</v>
      </c>
    </row>
    <row r="226" spans="1:6" ht="20.100000000000001" customHeight="1" x14ac:dyDescent="0.15">
      <c r="A226" s="5">
        <v>223</v>
      </c>
      <c r="B226" s="6" t="str">
        <f>"30482021060119352667064"</f>
        <v>30482021060119352667064</v>
      </c>
      <c r="C226" s="6" t="s">
        <v>1128</v>
      </c>
      <c r="D226" s="6" t="str">
        <f>"符青舒"</f>
        <v>符青舒</v>
      </c>
      <c r="E226" s="6" t="str">
        <f t="shared" si="7"/>
        <v>女</v>
      </c>
      <c r="F226" s="7" t="s">
        <v>1212</v>
      </c>
    </row>
    <row r="227" spans="1:6" ht="20.100000000000001" customHeight="1" x14ac:dyDescent="0.15">
      <c r="A227" s="5">
        <v>224</v>
      </c>
      <c r="B227" s="6" t="str">
        <f>"30482021060119354367066"</f>
        <v>30482021060119354367066</v>
      </c>
      <c r="C227" s="6" t="s">
        <v>1128</v>
      </c>
      <c r="D227" s="6" t="str">
        <f>"黄裕敏"</f>
        <v>黄裕敏</v>
      </c>
      <c r="E227" s="6" t="str">
        <f t="shared" si="7"/>
        <v>女</v>
      </c>
      <c r="F227" s="7" t="s">
        <v>440</v>
      </c>
    </row>
    <row r="228" spans="1:6" ht="20.100000000000001" customHeight="1" x14ac:dyDescent="0.15">
      <c r="A228" s="5">
        <v>225</v>
      </c>
      <c r="B228" s="6" t="str">
        <f>"30482021060119394967092"</f>
        <v>30482021060119394967092</v>
      </c>
      <c r="C228" s="6" t="s">
        <v>1128</v>
      </c>
      <c r="D228" s="6" t="str">
        <f>"吴娜"</f>
        <v>吴娜</v>
      </c>
      <c r="E228" s="6" t="str">
        <f t="shared" si="7"/>
        <v>女</v>
      </c>
      <c r="F228" s="7" t="s">
        <v>131</v>
      </c>
    </row>
    <row r="229" spans="1:6" ht="20.100000000000001" customHeight="1" x14ac:dyDescent="0.15">
      <c r="A229" s="5">
        <v>226</v>
      </c>
      <c r="B229" s="6" t="str">
        <f>"30482021060119402267098"</f>
        <v>30482021060119402267098</v>
      </c>
      <c r="C229" s="6" t="s">
        <v>1128</v>
      </c>
      <c r="D229" s="6" t="str">
        <f>"文世攀"</f>
        <v>文世攀</v>
      </c>
      <c r="E229" s="6" t="str">
        <f t="shared" si="7"/>
        <v>女</v>
      </c>
      <c r="F229" s="7" t="s">
        <v>132</v>
      </c>
    </row>
    <row r="230" spans="1:6" ht="20.100000000000001" customHeight="1" x14ac:dyDescent="0.15">
      <c r="A230" s="5">
        <v>227</v>
      </c>
      <c r="B230" s="6" t="str">
        <f>"30482021060119444967138"</f>
        <v>30482021060119444967138</v>
      </c>
      <c r="C230" s="6" t="s">
        <v>1128</v>
      </c>
      <c r="D230" s="6" t="str">
        <f>"李善吉"</f>
        <v>李善吉</v>
      </c>
      <c r="E230" s="6" t="str">
        <f t="shared" si="7"/>
        <v>女</v>
      </c>
      <c r="F230" s="7" t="s">
        <v>584</v>
      </c>
    </row>
    <row r="231" spans="1:6" ht="20.100000000000001" customHeight="1" x14ac:dyDescent="0.15">
      <c r="A231" s="5">
        <v>228</v>
      </c>
      <c r="B231" s="6" t="str">
        <f>"30482021060119463567155"</f>
        <v>30482021060119463567155</v>
      </c>
      <c r="C231" s="6" t="s">
        <v>1128</v>
      </c>
      <c r="D231" s="6" t="str">
        <f>"何欣欣"</f>
        <v>何欣欣</v>
      </c>
      <c r="E231" s="6" t="str">
        <f t="shared" si="7"/>
        <v>女</v>
      </c>
      <c r="F231" s="7" t="s">
        <v>58</v>
      </c>
    </row>
    <row r="232" spans="1:6" ht="20.100000000000001" customHeight="1" x14ac:dyDescent="0.15">
      <c r="A232" s="5">
        <v>229</v>
      </c>
      <c r="B232" s="6" t="str">
        <f>"30482021060119523467724"</f>
        <v>30482021060119523467724</v>
      </c>
      <c r="C232" s="6" t="s">
        <v>1128</v>
      </c>
      <c r="D232" s="6" t="str">
        <f>"冯华玲"</f>
        <v>冯华玲</v>
      </c>
      <c r="E232" s="6" t="str">
        <f t="shared" si="7"/>
        <v>女</v>
      </c>
      <c r="F232" s="7" t="s">
        <v>1213</v>
      </c>
    </row>
    <row r="233" spans="1:6" ht="20.100000000000001" customHeight="1" x14ac:dyDescent="0.15">
      <c r="A233" s="5">
        <v>230</v>
      </c>
      <c r="B233" s="6" t="str">
        <f>"30482021060119525667778"</f>
        <v>30482021060119525667778</v>
      </c>
      <c r="C233" s="6" t="s">
        <v>1128</v>
      </c>
      <c r="D233" s="6" t="str">
        <f>"徐淑萍"</f>
        <v>徐淑萍</v>
      </c>
      <c r="E233" s="6" t="str">
        <f t="shared" si="7"/>
        <v>女</v>
      </c>
      <c r="F233" s="7" t="s">
        <v>1214</v>
      </c>
    </row>
    <row r="234" spans="1:6" ht="20.100000000000001" customHeight="1" x14ac:dyDescent="0.15">
      <c r="A234" s="5">
        <v>231</v>
      </c>
      <c r="B234" s="6" t="str">
        <f>"30482021060119561567864"</f>
        <v>30482021060119561567864</v>
      </c>
      <c r="C234" s="6" t="s">
        <v>1128</v>
      </c>
      <c r="D234" s="6" t="str">
        <f>"谢亚花"</f>
        <v>谢亚花</v>
      </c>
      <c r="E234" s="6" t="str">
        <f t="shared" si="7"/>
        <v>女</v>
      </c>
      <c r="F234" s="7" t="s">
        <v>1215</v>
      </c>
    </row>
    <row r="235" spans="1:6" ht="20.100000000000001" customHeight="1" x14ac:dyDescent="0.15">
      <c r="A235" s="5">
        <v>232</v>
      </c>
      <c r="B235" s="6" t="str">
        <f>"30482021060119581667876"</f>
        <v>30482021060119581667876</v>
      </c>
      <c r="C235" s="6" t="s">
        <v>1128</v>
      </c>
      <c r="D235" s="6" t="str">
        <f>"冯南"</f>
        <v>冯南</v>
      </c>
      <c r="E235" s="6" t="str">
        <f t="shared" si="7"/>
        <v>女</v>
      </c>
      <c r="F235" s="7" t="s">
        <v>1149</v>
      </c>
    </row>
    <row r="236" spans="1:6" ht="20.100000000000001" customHeight="1" x14ac:dyDescent="0.15">
      <c r="A236" s="5">
        <v>233</v>
      </c>
      <c r="B236" s="6" t="str">
        <f>"30482021060120000267888"</f>
        <v>30482021060120000267888</v>
      </c>
      <c r="C236" s="6" t="s">
        <v>1128</v>
      </c>
      <c r="D236" s="6" t="str">
        <f>"李丽巧"</f>
        <v>李丽巧</v>
      </c>
      <c r="E236" s="6" t="str">
        <f t="shared" si="7"/>
        <v>女</v>
      </c>
      <c r="F236" s="7" t="s">
        <v>1216</v>
      </c>
    </row>
    <row r="237" spans="1:6" ht="20.100000000000001" customHeight="1" x14ac:dyDescent="0.15">
      <c r="A237" s="5">
        <v>234</v>
      </c>
      <c r="B237" s="6" t="str">
        <f>"30482021060120000867890"</f>
        <v>30482021060120000867890</v>
      </c>
      <c r="C237" s="6" t="s">
        <v>1128</v>
      </c>
      <c r="D237" s="6" t="str">
        <f>"何靖"</f>
        <v>何靖</v>
      </c>
      <c r="E237" s="6" t="str">
        <f t="shared" si="7"/>
        <v>女</v>
      </c>
      <c r="F237" s="7" t="s">
        <v>44</v>
      </c>
    </row>
    <row r="238" spans="1:6" ht="20.100000000000001" customHeight="1" x14ac:dyDescent="0.15">
      <c r="A238" s="5">
        <v>235</v>
      </c>
      <c r="B238" s="6" t="str">
        <f>"30482021060120045167928"</f>
        <v>30482021060120045167928</v>
      </c>
      <c r="C238" s="6" t="s">
        <v>1128</v>
      </c>
      <c r="D238" s="6" t="str">
        <f>"陈灵妹"</f>
        <v>陈灵妹</v>
      </c>
      <c r="E238" s="6" t="str">
        <f t="shared" si="7"/>
        <v>女</v>
      </c>
      <c r="F238" s="7" t="s">
        <v>1217</v>
      </c>
    </row>
    <row r="239" spans="1:6" ht="20.100000000000001" customHeight="1" x14ac:dyDescent="0.15">
      <c r="A239" s="5">
        <v>236</v>
      </c>
      <c r="B239" s="6" t="str">
        <f>"30482021060120060167937"</f>
        <v>30482021060120060167937</v>
      </c>
      <c r="C239" s="6" t="s">
        <v>1128</v>
      </c>
      <c r="D239" s="6" t="str">
        <f>"李玉坤"</f>
        <v>李玉坤</v>
      </c>
      <c r="E239" s="6" t="str">
        <f t="shared" si="7"/>
        <v>女</v>
      </c>
      <c r="F239" s="7" t="s">
        <v>31</v>
      </c>
    </row>
    <row r="240" spans="1:6" ht="20.100000000000001" customHeight="1" x14ac:dyDescent="0.15">
      <c r="A240" s="5">
        <v>237</v>
      </c>
      <c r="B240" s="6" t="str">
        <f>"30482021060120063167943"</f>
        <v>30482021060120063167943</v>
      </c>
      <c r="C240" s="6" t="s">
        <v>1128</v>
      </c>
      <c r="D240" s="6" t="str">
        <f>"张可欣"</f>
        <v>张可欣</v>
      </c>
      <c r="E240" s="6" t="str">
        <f t="shared" si="7"/>
        <v>女</v>
      </c>
      <c r="F240" s="7" t="s">
        <v>1218</v>
      </c>
    </row>
    <row r="241" spans="1:6" ht="20.100000000000001" customHeight="1" x14ac:dyDescent="0.15">
      <c r="A241" s="5">
        <v>238</v>
      </c>
      <c r="B241" s="6" t="str">
        <f>"30482021060120081367956"</f>
        <v>30482021060120081367956</v>
      </c>
      <c r="C241" s="6" t="s">
        <v>1128</v>
      </c>
      <c r="D241" s="6" t="str">
        <f>"邱玉莹"</f>
        <v>邱玉莹</v>
      </c>
      <c r="E241" s="6" t="str">
        <f t="shared" si="7"/>
        <v>女</v>
      </c>
      <c r="F241" s="7" t="s">
        <v>1056</v>
      </c>
    </row>
    <row r="242" spans="1:6" ht="20.100000000000001" customHeight="1" x14ac:dyDescent="0.15">
      <c r="A242" s="5">
        <v>239</v>
      </c>
      <c r="B242" s="6" t="str">
        <f>"30482021060120081667957"</f>
        <v>30482021060120081667957</v>
      </c>
      <c r="C242" s="6" t="s">
        <v>1128</v>
      </c>
      <c r="D242" s="6" t="str">
        <f>"潘美卉"</f>
        <v>潘美卉</v>
      </c>
      <c r="E242" s="6" t="str">
        <f t="shared" si="7"/>
        <v>女</v>
      </c>
      <c r="F242" s="7" t="s">
        <v>1219</v>
      </c>
    </row>
    <row r="243" spans="1:6" ht="20.100000000000001" customHeight="1" x14ac:dyDescent="0.15">
      <c r="A243" s="5">
        <v>240</v>
      </c>
      <c r="B243" s="6" t="str">
        <f>"30482021060120104967972"</f>
        <v>30482021060120104967972</v>
      </c>
      <c r="C243" s="6" t="s">
        <v>1128</v>
      </c>
      <c r="D243" s="6" t="str">
        <f>"林芬"</f>
        <v>林芬</v>
      </c>
      <c r="E243" s="6" t="str">
        <f t="shared" si="7"/>
        <v>女</v>
      </c>
      <c r="F243" s="7" t="s">
        <v>291</v>
      </c>
    </row>
    <row r="244" spans="1:6" ht="20.100000000000001" customHeight="1" x14ac:dyDescent="0.15">
      <c r="A244" s="5">
        <v>241</v>
      </c>
      <c r="B244" s="6" t="str">
        <f>"30482021060120111467977"</f>
        <v>30482021060120111467977</v>
      </c>
      <c r="C244" s="6" t="s">
        <v>1128</v>
      </c>
      <c r="D244" s="6" t="str">
        <f>"张莎"</f>
        <v>张莎</v>
      </c>
      <c r="E244" s="6" t="str">
        <f t="shared" si="7"/>
        <v>女</v>
      </c>
      <c r="F244" s="7" t="s">
        <v>1220</v>
      </c>
    </row>
    <row r="245" spans="1:6" ht="20.100000000000001" customHeight="1" x14ac:dyDescent="0.15">
      <c r="A245" s="5">
        <v>242</v>
      </c>
      <c r="B245" s="6" t="str">
        <f>"30482021060120120867984"</f>
        <v>30482021060120120867984</v>
      </c>
      <c r="C245" s="6" t="s">
        <v>1128</v>
      </c>
      <c r="D245" s="6" t="str">
        <f>"何荣芬"</f>
        <v>何荣芬</v>
      </c>
      <c r="E245" s="6" t="str">
        <f t="shared" si="7"/>
        <v>女</v>
      </c>
      <c r="F245" s="7" t="s">
        <v>1221</v>
      </c>
    </row>
    <row r="246" spans="1:6" ht="20.100000000000001" customHeight="1" x14ac:dyDescent="0.15">
      <c r="A246" s="5">
        <v>243</v>
      </c>
      <c r="B246" s="6" t="str">
        <f>"30482021060120183668038"</f>
        <v>30482021060120183668038</v>
      </c>
      <c r="C246" s="6" t="s">
        <v>1128</v>
      </c>
      <c r="D246" s="6" t="str">
        <f>"符秋艳"</f>
        <v>符秋艳</v>
      </c>
      <c r="E246" s="6" t="str">
        <f t="shared" si="7"/>
        <v>女</v>
      </c>
      <c r="F246" s="7" t="s">
        <v>1222</v>
      </c>
    </row>
    <row r="247" spans="1:6" ht="20.100000000000001" customHeight="1" x14ac:dyDescent="0.15">
      <c r="A247" s="5">
        <v>244</v>
      </c>
      <c r="B247" s="6" t="str">
        <f>"30482021060120230668086"</f>
        <v>30482021060120230668086</v>
      </c>
      <c r="C247" s="6" t="s">
        <v>1128</v>
      </c>
      <c r="D247" s="6" t="str">
        <f>"陈秋香"</f>
        <v>陈秋香</v>
      </c>
      <c r="E247" s="6" t="str">
        <f t="shared" si="7"/>
        <v>女</v>
      </c>
      <c r="F247" s="7" t="s">
        <v>380</v>
      </c>
    </row>
    <row r="248" spans="1:6" ht="20.100000000000001" customHeight="1" x14ac:dyDescent="0.15">
      <c r="A248" s="5">
        <v>245</v>
      </c>
      <c r="B248" s="6" t="str">
        <f>"30482021060120233968090"</f>
        <v>30482021060120233968090</v>
      </c>
      <c r="C248" s="6" t="s">
        <v>1128</v>
      </c>
      <c r="D248" s="6" t="str">
        <f>"刘静"</f>
        <v>刘静</v>
      </c>
      <c r="E248" s="6" t="str">
        <f t="shared" si="7"/>
        <v>女</v>
      </c>
      <c r="F248" s="7" t="s">
        <v>333</v>
      </c>
    </row>
    <row r="249" spans="1:6" ht="20.100000000000001" customHeight="1" x14ac:dyDescent="0.15">
      <c r="A249" s="5">
        <v>246</v>
      </c>
      <c r="B249" s="6" t="str">
        <f>"30482021060120255168113"</f>
        <v>30482021060120255168113</v>
      </c>
      <c r="C249" s="6" t="s">
        <v>1128</v>
      </c>
      <c r="D249" s="6" t="str">
        <f>"周转"</f>
        <v>周转</v>
      </c>
      <c r="E249" s="6" t="str">
        <f t="shared" si="7"/>
        <v>女</v>
      </c>
      <c r="F249" s="7" t="s">
        <v>1223</v>
      </c>
    </row>
    <row r="250" spans="1:6" ht="20.100000000000001" customHeight="1" x14ac:dyDescent="0.15">
      <c r="A250" s="5">
        <v>247</v>
      </c>
      <c r="B250" s="6" t="str">
        <f>"30482021060120321268167"</f>
        <v>30482021060120321268167</v>
      </c>
      <c r="C250" s="6" t="s">
        <v>1128</v>
      </c>
      <c r="D250" s="6" t="str">
        <f>"唐传婷"</f>
        <v>唐传婷</v>
      </c>
      <c r="E250" s="6" t="str">
        <f t="shared" si="7"/>
        <v>女</v>
      </c>
      <c r="F250" s="7" t="s">
        <v>1224</v>
      </c>
    </row>
    <row r="251" spans="1:6" ht="20.100000000000001" customHeight="1" x14ac:dyDescent="0.15">
      <c r="A251" s="5">
        <v>248</v>
      </c>
      <c r="B251" s="6" t="str">
        <f>"30482021060120321568168"</f>
        <v>30482021060120321568168</v>
      </c>
      <c r="C251" s="6" t="s">
        <v>1128</v>
      </c>
      <c r="D251" s="6" t="str">
        <f>"叶欣媛"</f>
        <v>叶欣媛</v>
      </c>
      <c r="E251" s="6" t="str">
        <f t="shared" si="7"/>
        <v>女</v>
      </c>
      <c r="F251" s="7" t="s">
        <v>496</v>
      </c>
    </row>
    <row r="252" spans="1:6" ht="20.100000000000001" customHeight="1" x14ac:dyDescent="0.15">
      <c r="A252" s="5">
        <v>249</v>
      </c>
      <c r="B252" s="6" t="str">
        <f>"30482021060120333668173"</f>
        <v>30482021060120333668173</v>
      </c>
      <c r="C252" s="6" t="s">
        <v>1128</v>
      </c>
      <c r="D252" s="6" t="str">
        <f>"吴巧"</f>
        <v>吴巧</v>
      </c>
      <c r="E252" s="6" t="str">
        <f t="shared" ref="E252:E299" si="8">"女"</f>
        <v>女</v>
      </c>
      <c r="F252" s="7" t="s">
        <v>1225</v>
      </c>
    </row>
    <row r="253" spans="1:6" ht="20.100000000000001" customHeight="1" x14ac:dyDescent="0.15">
      <c r="A253" s="5">
        <v>250</v>
      </c>
      <c r="B253" s="6" t="str">
        <f>"30482021060120344468184"</f>
        <v>30482021060120344468184</v>
      </c>
      <c r="C253" s="6" t="s">
        <v>1128</v>
      </c>
      <c r="D253" s="6" t="str">
        <f>"郑帝娥"</f>
        <v>郑帝娥</v>
      </c>
      <c r="E253" s="6" t="str">
        <f t="shared" si="8"/>
        <v>女</v>
      </c>
      <c r="F253" s="7" t="s">
        <v>423</v>
      </c>
    </row>
    <row r="254" spans="1:6" ht="20.100000000000001" customHeight="1" x14ac:dyDescent="0.15">
      <c r="A254" s="5">
        <v>251</v>
      </c>
      <c r="B254" s="6" t="str">
        <f>"30482021060120372568204"</f>
        <v>30482021060120372568204</v>
      </c>
      <c r="C254" s="6" t="s">
        <v>1128</v>
      </c>
      <c r="D254" s="6" t="str">
        <f>"林明歌"</f>
        <v>林明歌</v>
      </c>
      <c r="E254" s="6" t="str">
        <f>"男"</f>
        <v>男</v>
      </c>
      <c r="F254" s="7" t="s">
        <v>813</v>
      </c>
    </row>
    <row r="255" spans="1:6" ht="20.100000000000001" customHeight="1" x14ac:dyDescent="0.15">
      <c r="A255" s="5">
        <v>252</v>
      </c>
      <c r="B255" s="6" t="str">
        <f>"30482021060120381968218"</f>
        <v>30482021060120381968218</v>
      </c>
      <c r="C255" s="6" t="s">
        <v>1128</v>
      </c>
      <c r="D255" s="6" t="str">
        <f>"陈晓美"</f>
        <v>陈晓美</v>
      </c>
      <c r="E255" s="6" t="str">
        <f t="shared" si="8"/>
        <v>女</v>
      </c>
      <c r="F255" s="7" t="s">
        <v>139</v>
      </c>
    </row>
    <row r="256" spans="1:6" ht="20.100000000000001" customHeight="1" x14ac:dyDescent="0.15">
      <c r="A256" s="5">
        <v>253</v>
      </c>
      <c r="B256" s="6" t="str">
        <f>"30482021060120383568220"</f>
        <v>30482021060120383568220</v>
      </c>
      <c r="C256" s="6" t="s">
        <v>1128</v>
      </c>
      <c r="D256" s="6" t="str">
        <f>"何恋"</f>
        <v>何恋</v>
      </c>
      <c r="E256" s="6" t="str">
        <f t="shared" si="8"/>
        <v>女</v>
      </c>
      <c r="F256" s="7" t="s">
        <v>1226</v>
      </c>
    </row>
    <row r="257" spans="1:6" ht="20.100000000000001" customHeight="1" x14ac:dyDescent="0.15">
      <c r="A257" s="5">
        <v>254</v>
      </c>
      <c r="B257" s="6" t="str">
        <f>"30482021060120384868223"</f>
        <v>30482021060120384868223</v>
      </c>
      <c r="C257" s="6" t="s">
        <v>1128</v>
      </c>
      <c r="D257" s="6" t="str">
        <f>"邢鸯鸯"</f>
        <v>邢鸯鸯</v>
      </c>
      <c r="E257" s="6" t="str">
        <f t="shared" si="8"/>
        <v>女</v>
      </c>
      <c r="F257" s="7" t="s">
        <v>900</v>
      </c>
    </row>
    <row r="258" spans="1:6" ht="20.100000000000001" customHeight="1" x14ac:dyDescent="0.15">
      <c r="A258" s="5">
        <v>255</v>
      </c>
      <c r="B258" s="6" t="str">
        <f>"30482021060120385368225"</f>
        <v>30482021060120385368225</v>
      </c>
      <c r="C258" s="6" t="s">
        <v>1128</v>
      </c>
      <c r="D258" s="6" t="str">
        <f>"何旺灵"</f>
        <v>何旺灵</v>
      </c>
      <c r="E258" s="6" t="str">
        <f t="shared" si="8"/>
        <v>女</v>
      </c>
      <c r="F258" s="7" t="s">
        <v>1227</v>
      </c>
    </row>
    <row r="259" spans="1:6" ht="20.100000000000001" customHeight="1" x14ac:dyDescent="0.15">
      <c r="A259" s="5">
        <v>256</v>
      </c>
      <c r="B259" s="6" t="str">
        <f>"30482021060120404568239"</f>
        <v>30482021060120404568239</v>
      </c>
      <c r="C259" s="6" t="s">
        <v>1128</v>
      </c>
      <c r="D259" s="6" t="str">
        <f>"李明惠"</f>
        <v>李明惠</v>
      </c>
      <c r="E259" s="6" t="str">
        <f t="shared" si="8"/>
        <v>女</v>
      </c>
      <c r="F259" s="7" t="s">
        <v>14</v>
      </c>
    </row>
    <row r="260" spans="1:6" ht="20.100000000000001" customHeight="1" x14ac:dyDescent="0.15">
      <c r="A260" s="5">
        <v>257</v>
      </c>
      <c r="B260" s="6" t="str">
        <f>"30482021060120420968250"</f>
        <v>30482021060120420968250</v>
      </c>
      <c r="C260" s="6" t="s">
        <v>1128</v>
      </c>
      <c r="D260" s="6" t="str">
        <f>"符淑平"</f>
        <v>符淑平</v>
      </c>
      <c r="E260" s="6" t="str">
        <f t="shared" si="8"/>
        <v>女</v>
      </c>
      <c r="F260" s="7" t="s">
        <v>1228</v>
      </c>
    </row>
    <row r="261" spans="1:6" ht="20.100000000000001" customHeight="1" x14ac:dyDescent="0.15">
      <c r="A261" s="5">
        <v>258</v>
      </c>
      <c r="B261" s="6" t="str">
        <f>"30482021060120491268315"</f>
        <v>30482021060120491268315</v>
      </c>
      <c r="C261" s="6" t="s">
        <v>1128</v>
      </c>
      <c r="D261" s="6" t="str">
        <f>"黄燕华"</f>
        <v>黄燕华</v>
      </c>
      <c r="E261" s="6" t="str">
        <f t="shared" si="8"/>
        <v>女</v>
      </c>
      <c r="F261" s="7" t="s">
        <v>1229</v>
      </c>
    </row>
    <row r="262" spans="1:6" ht="20.100000000000001" customHeight="1" x14ac:dyDescent="0.15">
      <c r="A262" s="5">
        <v>259</v>
      </c>
      <c r="B262" s="6" t="str">
        <f>"30482021060120520568345"</f>
        <v>30482021060120520568345</v>
      </c>
      <c r="C262" s="6" t="s">
        <v>1128</v>
      </c>
      <c r="D262" s="6" t="str">
        <f>"王丹妮"</f>
        <v>王丹妮</v>
      </c>
      <c r="E262" s="6" t="str">
        <f t="shared" si="8"/>
        <v>女</v>
      </c>
      <c r="F262" s="7" t="s">
        <v>1230</v>
      </c>
    </row>
    <row r="263" spans="1:6" ht="20.100000000000001" customHeight="1" x14ac:dyDescent="0.15">
      <c r="A263" s="5">
        <v>260</v>
      </c>
      <c r="B263" s="6" t="str">
        <f>"30482021060120534668360"</f>
        <v>30482021060120534668360</v>
      </c>
      <c r="C263" s="6" t="s">
        <v>1128</v>
      </c>
      <c r="D263" s="6" t="str">
        <f>"黎雨茵"</f>
        <v>黎雨茵</v>
      </c>
      <c r="E263" s="6" t="str">
        <f t="shared" si="8"/>
        <v>女</v>
      </c>
      <c r="F263" s="7" t="s">
        <v>63</v>
      </c>
    </row>
    <row r="264" spans="1:6" ht="20.100000000000001" customHeight="1" x14ac:dyDescent="0.15">
      <c r="A264" s="5">
        <v>261</v>
      </c>
      <c r="B264" s="6" t="str">
        <f>"30482021060120544268373"</f>
        <v>30482021060120544268373</v>
      </c>
      <c r="C264" s="6" t="s">
        <v>1128</v>
      </c>
      <c r="D264" s="6" t="str">
        <f>"王玉婷"</f>
        <v>王玉婷</v>
      </c>
      <c r="E264" s="6" t="str">
        <f t="shared" si="8"/>
        <v>女</v>
      </c>
      <c r="F264" s="7" t="s">
        <v>362</v>
      </c>
    </row>
    <row r="265" spans="1:6" ht="20.100000000000001" customHeight="1" x14ac:dyDescent="0.15">
      <c r="A265" s="5">
        <v>262</v>
      </c>
      <c r="B265" s="6" t="str">
        <f>"30482021060120554568379"</f>
        <v>30482021060120554568379</v>
      </c>
      <c r="C265" s="6" t="s">
        <v>1128</v>
      </c>
      <c r="D265" s="6" t="str">
        <f>"符霜瑜"</f>
        <v>符霜瑜</v>
      </c>
      <c r="E265" s="6" t="str">
        <f t="shared" si="8"/>
        <v>女</v>
      </c>
      <c r="F265" s="7" t="s">
        <v>1210</v>
      </c>
    </row>
    <row r="266" spans="1:6" ht="20.100000000000001" customHeight="1" x14ac:dyDescent="0.15">
      <c r="A266" s="5">
        <v>263</v>
      </c>
      <c r="B266" s="6" t="str">
        <f>"30482021060120560368381"</f>
        <v>30482021060120560368381</v>
      </c>
      <c r="C266" s="6" t="s">
        <v>1128</v>
      </c>
      <c r="D266" s="6" t="str">
        <f>"符兰妍"</f>
        <v>符兰妍</v>
      </c>
      <c r="E266" s="6" t="str">
        <f t="shared" si="8"/>
        <v>女</v>
      </c>
      <c r="F266" s="7" t="s">
        <v>1231</v>
      </c>
    </row>
    <row r="267" spans="1:6" ht="20.100000000000001" customHeight="1" x14ac:dyDescent="0.15">
      <c r="A267" s="5">
        <v>264</v>
      </c>
      <c r="B267" s="6" t="str">
        <f>"30482021060121002868419"</f>
        <v>30482021060121002868419</v>
      </c>
      <c r="C267" s="6" t="s">
        <v>1128</v>
      </c>
      <c r="D267" s="6" t="str">
        <f>"叶丽娜"</f>
        <v>叶丽娜</v>
      </c>
      <c r="E267" s="6" t="str">
        <f t="shared" si="8"/>
        <v>女</v>
      </c>
      <c r="F267" s="7" t="s">
        <v>318</v>
      </c>
    </row>
    <row r="268" spans="1:6" ht="20.100000000000001" customHeight="1" x14ac:dyDescent="0.15">
      <c r="A268" s="5">
        <v>265</v>
      </c>
      <c r="B268" s="6" t="str">
        <f>"30482021060121010568423"</f>
        <v>30482021060121010568423</v>
      </c>
      <c r="C268" s="6" t="s">
        <v>1128</v>
      </c>
      <c r="D268" s="6" t="str">
        <f>"吴可姣"</f>
        <v>吴可姣</v>
      </c>
      <c r="E268" s="6" t="str">
        <f t="shared" si="8"/>
        <v>女</v>
      </c>
      <c r="F268" s="7" t="s">
        <v>1232</v>
      </c>
    </row>
    <row r="269" spans="1:6" ht="20.100000000000001" customHeight="1" x14ac:dyDescent="0.15">
      <c r="A269" s="5">
        <v>266</v>
      </c>
      <c r="B269" s="6" t="str">
        <f>"30482021060121021068432"</f>
        <v>30482021060121021068432</v>
      </c>
      <c r="C269" s="6" t="s">
        <v>1128</v>
      </c>
      <c r="D269" s="6" t="str">
        <f>"陈明媚"</f>
        <v>陈明媚</v>
      </c>
      <c r="E269" s="6" t="str">
        <f t="shared" si="8"/>
        <v>女</v>
      </c>
      <c r="F269" s="7" t="s">
        <v>1233</v>
      </c>
    </row>
    <row r="270" spans="1:6" ht="20.100000000000001" customHeight="1" x14ac:dyDescent="0.15">
      <c r="A270" s="5">
        <v>267</v>
      </c>
      <c r="B270" s="6" t="str">
        <f>"30482021060121040368449"</f>
        <v>30482021060121040368449</v>
      </c>
      <c r="C270" s="6" t="s">
        <v>1128</v>
      </c>
      <c r="D270" s="6" t="str">
        <f>"韩晓虹"</f>
        <v>韩晓虹</v>
      </c>
      <c r="E270" s="6" t="str">
        <f t="shared" si="8"/>
        <v>女</v>
      </c>
      <c r="F270" s="7" t="s">
        <v>1234</v>
      </c>
    </row>
    <row r="271" spans="1:6" ht="20.100000000000001" customHeight="1" x14ac:dyDescent="0.15">
      <c r="A271" s="5">
        <v>268</v>
      </c>
      <c r="B271" s="6" t="str">
        <f>"30482021060121071768476"</f>
        <v>30482021060121071768476</v>
      </c>
      <c r="C271" s="6" t="s">
        <v>1128</v>
      </c>
      <c r="D271" s="6" t="str">
        <f>"郑春敏"</f>
        <v>郑春敏</v>
      </c>
      <c r="E271" s="6" t="str">
        <f t="shared" si="8"/>
        <v>女</v>
      </c>
      <c r="F271" s="7" t="s">
        <v>595</v>
      </c>
    </row>
    <row r="272" spans="1:6" ht="20.100000000000001" customHeight="1" x14ac:dyDescent="0.15">
      <c r="A272" s="5">
        <v>269</v>
      </c>
      <c r="B272" s="6" t="str">
        <f>"30482021060121074668484"</f>
        <v>30482021060121074668484</v>
      </c>
      <c r="C272" s="6" t="s">
        <v>1128</v>
      </c>
      <c r="D272" s="6" t="str">
        <f>"王秋玲"</f>
        <v>王秋玲</v>
      </c>
      <c r="E272" s="6" t="str">
        <f t="shared" si="8"/>
        <v>女</v>
      </c>
      <c r="F272" s="7" t="s">
        <v>360</v>
      </c>
    </row>
    <row r="273" spans="1:6" ht="20.100000000000001" customHeight="1" x14ac:dyDescent="0.15">
      <c r="A273" s="5">
        <v>270</v>
      </c>
      <c r="B273" s="6" t="str">
        <f>"30482021060121114468518"</f>
        <v>30482021060121114468518</v>
      </c>
      <c r="C273" s="6" t="s">
        <v>1128</v>
      </c>
      <c r="D273" s="6" t="str">
        <f>"吴雪萍"</f>
        <v>吴雪萍</v>
      </c>
      <c r="E273" s="6" t="str">
        <f t="shared" si="8"/>
        <v>女</v>
      </c>
      <c r="F273" s="7" t="s">
        <v>1029</v>
      </c>
    </row>
    <row r="274" spans="1:6" ht="20.100000000000001" customHeight="1" x14ac:dyDescent="0.15">
      <c r="A274" s="5">
        <v>271</v>
      </c>
      <c r="B274" s="6" t="str">
        <f>"30482021060121132768528"</f>
        <v>30482021060121132768528</v>
      </c>
      <c r="C274" s="6" t="s">
        <v>1128</v>
      </c>
      <c r="D274" s="6" t="str">
        <f>"周玲选"</f>
        <v>周玲选</v>
      </c>
      <c r="E274" s="6" t="str">
        <f t="shared" si="8"/>
        <v>女</v>
      </c>
      <c r="F274" s="7" t="s">
        <v>535</v>
      </c>
    </row>
    <row r="275" spans="1:6" ht="20.100000000000001" customHeight="1" x14ac:dyDescent="0.15">
      <c r="A275" s="5">
        <v>272</v>
      </c>
      <c r="B275" s="6" t="str">
        <f>"30482021060121151968554"</f>
        <v>30482021060121151968554</v>
      </c>
      <c r="C275" s="6" t="s">
        <v>1128</v>
      </c>
      <c r="D275" s="6" t="str">
        <f>"林彦敏"</f>
        <v>林彦敏</v>
      </c>
      <c r="E275" s="6" t="str">
        <f t="shared" si="8"/>
        <v>女</v>
      </c>
      <c r="F275" s="7" t="s">
        <v>1235</v>
      </c>
    </row>
    <row r="276" spans="1:6" ht="20.100000000000001" customHeight="1" x14ac:dyDescent="0.15">
      <c r="A276" s="5">
        <v>273</v>
      </c>
      <c r="B276" s="6" t="str">
        <f>"30482021060121171568569"</f>
        <v>30482021060121171568569</v>
      </c>
      <c r="C276" s="6" t="s">
        <v>1128</v>
      </c>
      <c r="D276" s="6" t="str">
        <f>"吴金梅"</f>
        <v>吴金梅</v>
      </c>
      <c r="E276" s="6" t="str">
        <f t="shared" si="8"/>
        <v>女</v>
      </c>
      <c r="F276" s="7" t="s">
        <v>1236</v>
      </c>
    </row>
    <row r="277" spans="1:6" ht="20.100000000000001" customHeight="1" x14ac:dyDescent="0.15">
      <c r="A277" s="5">
        <v>274</v>
      </c>
      <c r="B277" s="6" t="str">
        <f>"30482021060121224268614"</f>
        <v>30482021060121224268614</v>
      </c>
      <c r="C277" s="6" t="s">
        <v>1128</v>
      </c>
      <c r="D277" s="6" t="str">
        <f>"周金莉"</f>
        <v>周金莉</v>
      </c>
      <c r="E277" s="6" t="str">
        <f t="shared" si="8"/>
        <v>女</v>
      </c>
      <c r="F277" s="7" t="s">
        <v>34</v>
      </c>
    </row>
    <row r="278" spans="1:6" ht="20.100000000000001" customHeight="1" x14ac:dyDescent="0.15">
      <c r="A278" s="5">
        <v>275</v>
      </c>
      <c r="B278" s="6" t="str">
        <f>"30482021060121224968616"</f>
        <v>30482021060121224968616</v>
      </c>
      <c r="C278" s="6" t="s">
        <v>1128</v>
      </c>
      <c r="D278" s="6" t="str">
        <f>"韩丹"</f>
        <v>韩丹</v>
      </c>
      <c r="E278" s="6" t="str">
        <f t="shared" si="8"/>
        <v>女</v>
      </c>
      <c r="F278" s="7" t="s">
        <v>318</v>
      </c>
    </row>
    <row r="279" spans="1:6" ht="20.100000000000001" customHeight="1" x14ac:dyDescent="0.15">
      <c r="A279" s="5">
        <v>276</v>
      </c>
      <c r="B279" s="6" t="str">
        <f>"30482021060121242068626"</f>
        <v>30482021060121242068626</v>
      </c>
      <c r="C279" s="6" t="s">
        <v>1128</v>
      </c>
      <c r="D279" s="6" t="str">
        <f>"周海蓉"</f>
        <v>周海蓉</v>
      </c>
      <c r="E279" s="6" t="str">
        <f t="shared" si="8"/>
        <v>女</v>
      </c>
      <c r="F279" s="7" t="s">
        <v>147</v>
      </c>
    </row>
    <row r="280" spans="1:6" ht="20.100000000000001" customHeight="1" x14ac:dyDescent="0.15">
      <c r="A280" s="5">
        <v>277</v>
      </c>
      <c r="B280" s="6" t="str">
        <f>"30482021060121263568651"</f>
        <v>30482021060121263568651</v>
      </c>
      <c r="C280" s="6" t="s">
        <v>1128</v>
      </c>
      <c r="D280" s="6" t="str">
        <f>"蔡爱仙"</f>
        <v>蔡爱仙</v>
      </c>
      <c r="E280" s="6" t="str">
        <f t="shared" si="8"/>
        <v>女</v>
      </c>
      <c r="F280" s="7" t="s">
        <v>62</v>
      </c>
    </row>
    <row r="281" spans="1:6" ht="20.100000000000001" customHeight="1" x14ac:dyDescent="0.15">
      <c r="A281" s="5">
        <v>278</v>
      </c>
      <c r="B281" s="6" t="str">
        <f>"30482021060121285568675"</f>
        <v>30482021060121285568675</v>
      </c>
      <c r="C281" s="6" t="s">
        <v>1128</v>
      </c>
      <c r="D281" s="6" t="str">
        <f>"周想"</f>
        <v>周想</v>
      </c>
      <c r="E281" s="6" t="str">
        <f t="shared" si="8"/>
        <v>女</v>
      </c>
      <c r="F281" s="7" t="s">
        <v>1237</v>
      </c>
    </row>
    <row r="282" spans="1:6" ht="20.100000000000001" customHeight="1" x14ac:dyDescent="0.15">
      <c r="A282" s="5">
        <v>279</v>
      </c>
      <c r="B282" s="6" t="str">
        <f>"30482021060121304568697"</f>
        <v>30482021060121304568697</v>
      </c>
      <c r="C282" s="6" t="s">
        <v>1128</v>
      </c>
      <c r="D282" s="6" t="str">
        <f>"孔祥麟"</f>
        <v>孔祥麟</v>
      </c>
      <c r="E282" s="6" t="str">
        <f t="shared" si="8"/>
        <v>女</v>
      </c>
      <c r="F282" s="7" t="s">
        <v>1238</v>
      </c>
    </row>
    <row r="283" spans="1:6" ht="20.100000000000001" customHeight="1" x14ac:dyDescent="0.15">
      <c r="A283" s="5">
        <v>280</v>
      </c>
      <c r="B283" s="6" t="str">
        <f>"30482021060121375069396"</f>
        <v>30482021060121375069396</v>
      </c>
      <c r="C283" s="6" t="s">
        <v>1128</v>
      </c>
      <c r="D283" s="6" t="str">
        <f>"陈小威"</f>
        <v>陈小威</v>
      </c>
      <c r="E283" s="6" t="str">
        <f t="shared" si="8"/>
        <v>女</v>
      </c>
      <c r="F283" s="7" t="s">
        <v>138</v>
      </c>
    </row>
    <row r="284" spans="1:6" ht="20.100000000000001" customHeight="1" x14ac:dyDescent="0.15">
      <c r="A284" s="5">
        <v>281</v>
      </c>
      <c r="B284" s="6" t="str">
        <f>"30482021060121431269457"</f>
        <v>30482021060121431269457</v>
      </c>
      <c r="C284" s="6" t="s">
        <v>1128</v>
      </c>
      <c r="D284" s="6" t="str">
        <f>"符夏金"</f>
        <v>符夏金</v>
      </c>
      <c r="E284" s="6" t="str">
        <f t="shared" si="8"/>
        <v>女</v>
      </c>
      <c r="F284" s="7" t="s">
        <v>1239</v>
      </c>
    </row>
    <row r="285" spans="1:6" ht="20.100000000000001" customHeight="1" x14ac:dyDescent="0.15">
      <c r="A285" s="5">
        <v>282</v>
      </c>
      <c r="B285" s="6" t="str">
        <f>"30482021060121502069529"</f>
        <v>30482021060121502069529</v>
      </c>
      <c r="C285" s="6" t="s">
        <v>1128</v>
      </c>
      <c r="D285" s="6" t="str">
        <f>"吴翠英"</f>
        <v>吴翠英</v>
      </c>
      <c r="E285" s="6" t="str">
        <f t="shared" si="8"/>
        <v>女</v>
      </c>
      <c r="F285" s="7" t="s">
        <v>665</v>
      </c>
    </row>
    <row r="286" spans="1:6" ht="20.100000000000001" customHeight="1" x14ac:dyDescent="0.15">
      <c r="A286" s="5">
        <v>283</v>
      </c>
      <c r="B286" s="6" t="str">
        <f>"30482021060121504569535"</f>
        <v>30482021060121504569535</v>
      </c>
      <c r="C286" s="6" t="s">
        <v>1128</v>
      </c>
      <c r="D286" s="6" t="str">
        <f>"王日珠"</f>
        <v>王日珠</v>
      </c>
      <c r="E286" s="6" t="str">
        <f t="shared" si="8"/>
        <v>女</v>
      </c>
      <c r="F286" s="7" t="s">
        <v>1240</v>
      </c>
    </row>
    <row r="287" spans="1:6" ht="20.100000000000001" customHeight="1" x14ac:dyDescent="0.15">
      <c r="A287" s="5">
        <v>284</v>
      </c>
      <c r="B287" s="6" t="str">
        <f>"30482021060121510569540"</f>
        <v>30482021060121510569540</v>
      </c>
      <c r="C287" s="6" t="s">
        <v>1128</v>
      </c>
      <c r="D287" s="6" t="str">
        <f>"吴晓明"</f>
        <v>吴晓明</v>
      </c>
      <c r="E287" s="6" t="str">
        <f t="shared" si="8"/>
        <v>女</v>
      </c>
      <c r="F287" s="7" t="s">
        <v>131</v>
      </c>
    </row>
    <row r="288" spans="1:6" ht="20.100000000000001" customHeight="1" x14ac:dyDescent="0.15">
      <c r="A288" s="5">
        <v>285</v>
      </c>
      <c r="B288" s="6" t="str">
        <f>"30482021060121542069562"</f>
        <v>30482021060121542069562</v>
      </c>
      <c r="C288" s="6" t="s">
        <v>1128</v>
      </c>
      <c r="D288" s="6" t="str">
        <f>"黄晓佳"</f>
        <v>黄晓佳</v>
      </c>
      <c r="E288" s="6" t="str">
        <f t="shared" si="8"/>
        <v>女</v>
      </c>
      <c r="F288" s="7" t="s">
        <v>1241</v>
      </c>
    </row>
    <row r="289" spans="1:6" ht="20.100000000000001" customHeight="1" x14ac:dyDescent="0.15">
      <c r="A289" s="5">
        <v>286</v>
      </c>
      <c r="B289" s="6" t="str">
        <f>"30482021060121545169572"</f>
        <v>30482021060121545169572</v>
      </c>
      <c r="C289" s="6" t="s">
        <v>1128</v>
      </c>
      <c r="D289" s="6" t="str">
        <f>"王亚蕊"</f>
        <v>王亚蕊</v>
      </c>
      <c r="E289" s="6" t="str">
        <f t="shared" si="8"/>
        <v>女</v>
      </c>
      <c r="F289" s="7" t="s">
        <v>1242</v>
      </c>
    </row>
    <row r="290" spans="1:6" ht="20.100000000000001" customHeight="1" x14ac:dyDescent="0.15">
      <c r="A290" s="5">
        <v>287</v>
      </c>
      <c r="B290" s="6" t="str">
        <f>"30482021060121552169578"</f>
        <v>30482021060121552169578</v>
      </c>
      <c r="C290" s="6" t="s">
        <v>1128</v>
      </c>
      <c r="D290" s="6" t="str">
        <f>"陈尼"</f>
        <v>陈尼</v>
      </c>
      <c r="E290" s="6" t="str">
        <f t="shared" si="8"/>
        <v>女</v>
      </c>
      <c r="F290" s="7" t="s">
        <v>1243</v>
      </c>
    </row>
    <row r="291" spans="1:6" ht="20.100000000000001" customHeight="1" x14ac:dyDescent="0.15">
      <c r="A291" s="5">
        <v>288</v>
      </c>
      <c r="B291" s="6" t="str">
        <f>"30482021060121563369588"</f>
        <v>30482021060121563369588</v>
      </c>
      <c r="C291" s="6" t="s">
        <v>1128</v>
      </c>
      <c r="D291" s="6" t="str">
        <f>"李华菊"</f>
        <v>李华菊</v>
      </c>
      <c r="E291" s="6" t="str">
        <f t="shared" si="8"/>
        <v>女</v>
      </c>
      <c r="F291" s="7" t="s">
        <v>560</v>
      </c>
    </row>
    <row r="292" spans="1:6" ht="20.100000000000001" customHeight="1" x14ac:dyDescent="0.15">
      <c r="A292" s="5">
        <v>289</v>
      </c>
      <c r="B292" s="6" t="str">
        <f>"30482021060121582769605"</f>
        <v>30482021060121582769605</v>
      </c>
      <c r="C292" s="6" t="s">
        <v>1128</v>
      </c>
      <c r="D292" s="6" t="str">
        <f>"谢光霞"</f>
        <v>谢光霞</v>
      </c>
      <c r="E292" s="6" t="str">
        <f t="shared" si="8"/>
        <v>女</v>
      </c>
      <c r="F292" s="7" t="s">
        <v>1091</v>
      </c>
    </row>
    <row r="293" spans="1:6" ht="20.100000000000001" customHeight="1" x14ac:dyDescent="0.15">
      <c r="A293" s="5">
        <v>290</v>
      </c>
      <c r="B293" s="6" t="str">
        <f>"30482021060122022969631"</f>
        <v>30482021060122022969631</v>
      </c>
      <c r="C293" s="6" t="s">
        <v>1128</v>
      </c>
      <c r="D293" s="6" t="str">
        <f>"林丽媛"</f>
        <v>林丽媛</v>
      </c>
      <c r="E293" s="6" t="str">
        <f t="shared" si="8"/>
        <v>女</v>
      </c>
      <c r="F293" s="7" t="s">
        <v>140</v>
      </c>
    </row>
    <row r="294" spans="1:6" ht="20.100000000000001" customHeight="1" x14ac:dyDescent="0.15">
      <c r="A294" s="5">
        <v>291</v>
      </c>
      <c r="B294" s="6" t="str">
        <f>"30482021060122024269634"</f>
        <v>30482021060122024269634</v>
      </c>
      <c r="C294" s="6" t="s">
        <v>1128</v>
      </c>
      <c r="D294" s="6" t="str">
        <f>"卢裕苗"</f>
        <v>卢裕苗</v>
      </c>
      <c r="E294" s="6" t="str">
        <f t="shared" si="8"/>
        <v>女</v>
      </c>
      <c r="F294" s="7" t="s">
        <v>1244</v>
      </c>
    </row>
    <row r="295" spans="1:6" ht="20.100000000000001" customHeight="1" x14ac:dyDescent="0.15">
      <c r="A295" s="5">
        <v>292</v>
      </c>
      <c r="B295" s="6" t="str">
        <f>"30482021060122025469636"</f>
        <v>30482021060122025469636</v>
      </c>
      <c r="C295" s="6" t="s">
        <v>1128</v>
      </c>
      <c r="D295" s="6" t="str">
        <f>"符陈静"</f>
        <v>符陈静</v>
      </c>
      <c r="E295" s="6" t="str">
        <f t="shared" si="8"/>
        <v>女</v>
      </c>
      <c r="F295" s="7" t="s">
        <v>1245</v>
      </c>
    </row>
    <row r="296" spans="1:6" ht="20.100000000000001" customHeight="1" x14ac:dyDescent="0.15">
      <c r="A296" s="5">
        <v>293</v>
      </c>
      <c r="B296" s="6" t="str">
        <f>"30482021060122033869642"</f>
        <v>30482021060122033869642</v>
      </c>
      <c r="C296" s="6" t="s">
        <v>1128</v>
      </c>
      <c r="D296" s="6" t="str">
        <f>"刘慧婧"</f>
        <v>刘慧婧</v>
      </c>
      <c r="E296" s="6" t="str">
        <f t="shared" si="8"/>
        <v>女</v>
      </c>
      <c r="F296" s="7" t="s">
        <v>477</v>
      </c>
    </row>
    <row r="297" spans="1:6" ht="20.100000000000001" customHeight="1" x14ac:dyDescent="0.15">
      <c r="A297" s="5">
        <v>294</v>
      </c>
      <c r="B297" s="6" t="str">
        <f>"30482021060122075069681"</f>
        <v>30482021060122075069681</v>
      </c>
      <c r="C297" s="6" t="s">
        <v>1128</v>
      </c>
      <c r="D297" s="6" t="str">
        <f>"陈慧"</f>
        <v>陈慧</v>
      </c>
      <c r="E297" s="6" t="str">
        <f t="shared" si="8"/>
        <v>女</v>
      </c>
      <c r="F297" s="7" t="s">
        <v>362</v>
      </c>
    </row>
    <row r="298" spans="1:6" ht="20.100000000000001" customHeight="1" x14ac:dyDescent="0.15">
      <c r="A298" s="5">
        <v>295</v>
      </c>
      <c r="B298" s="6" t="str">
        <f>"30482021060122075769683"</f>
        <v>30482021060122075769683</v>
      </c>
      <c r="C298" s="6" t="s">
        <v>1128</v>
      </c>
      <c r="D298" s="6" t="str">
        <f>"姚金秀"</f>
        <v>姚金秀</v>
      </c>
      <c r="E298" s="6" t="str">
        <f t="shared" si="8"/>
        <v>女</v>
      </c>
      <c r="F298" s="7" t="s">
        <v>788</v>
      </c>
    </row>
    <row r="299" spans="1:6" ht="20.100000000000001" customHeight="1" x14ac:dyDescent="0.15">
      <c r="A299" s="5">
        <v>296</v>
      </c>
      <c r="B299" s="6" t="str">
        <f>"30482021060122084269691"</f>
        <v>30482021060122084269691</v>
      </c>
      <c r="C299" s="6" t="s">
        <v>1128</v>
      </c>
      <c r="D299" s="6" t="str">
        <f>"蔡雪薇"</f>
        <v>蔡雪薇</v>
      </c>
      <c r="E299" s="6" t="str">
        <f t="shared" si="8"/>
        <v>女</v>
      </c>
      <c r="F299" s="7" t="s">
        <v>1246</v>
      </c>
    </row>
    <row r="300" spans="1:6" ht="20.100000000000001" customHeight="1" x14ac:dyDescent="0.15">
      <c r="A300" s="5">
        <v>297</v>
      </c>
      <c r="B300" s="6" t="str">
        <f>"30482021060122115869720"</f>
        <v>30482021060122115869720</v>
      </c>
      <c r="C300" s="6" t="s">
        <v>1128</v>
      </c>
      <c r="D300" s="6" t="str">
        <f>"王有东"</f>
        <v>王有东</v>
      </c>
      <c r="E300" s="6" t="str">
        <f>"男"</f>
        <v>男</v>
      </c>
      <c r="F300" s="7" t="s">
        <v>1247</v>
      </c>
    </row>
    <row r="301" spans="1:6" ht="20.100000000000001" customHeight="1" x14ac:dyDescent="0.15">
      <c r="A301" s="5">
        <v>298</v>
      </c>
      <c r="B301" s="6" t="str">
        <f>"30482021060122160369757"</f>
        <v>30482021060122160369757</v>
      </c>
      <c r="C301" s="6" t="s">
        <v>1128</v>
      </c>
      <c r="D301" s="6" t="str">
        <f>"许玉婷"</f>
        <v>许玉婷</v>
      </c>
      <c r="E301" s="6" t="str">
        <f t="shared" ref="E301:E303" si="9">"女"</f>
        <v>女</v>
      </c>
      <c r="F301" s="7" t="s">
        <v>455</v>
      </c>
    </row>
    <row r="302" spans="1:6" ht="20.100000000000001" customHeight="1" x14ac:dyDescent="0.15">
      <c r="A302" s="5">
        <v>299</v>
      </c>
      <c r="B302" s="6" t="str">
        <f>"30482021060122195769783"</f>
        <v>30482021060122195769783</v>
      </c>
      <c r="C302" s="6" t="s">
        <v>1128</v>
      </c>
      <c r="D302" s="6" t="str">
        <f>"吴金慧"</f>
        <v>吴金慧</v>
      </c>
      <c r="E302" s="6" t="str">
        <f t="shared" si="9"/>
        <v>女</v>
      </c>
      <c r="F302" s="7" t="s">
        <v>1108</v>
      </c>
    </row>
    <row r="303" spans="1:6" ht="20.100000000000001" customHeight="1" x14ac:dyDescent="0.15">
      <c r="A303" s="5">
        <v>300</v>
      </c>
      <c r="B303" s="6" t="str">
        <f>"30482021060122212569799"</f>
        <v>30482021060122212569799</v>
      </c>
      <c r="C303" s="6" t="s">
        <v>1128</v>
      </c>
      <c r="D303" s="6" t="str">
        <f>"刘春秀"</f>
        <v>刘春秀</v>
      </c>
      <c r="E303" s="6" t="str">
        <f t="shared" si="9"/>
        <v>女</v>
      </c>
      <c r="F303" s="7" t="s">
        <v>1248</v>
      </c>
    </row>
    <row r="304" spans="1:6" ht="20.100000000000001" customHeight="1" x14ac:dyDescent="0.15">
      <c r="A304" s="5">
        <v>301</v>
      </c>
      <c r="B304" s="6" t="str">
        <f>"30482021060122214169802"</f>
        <v>30482021060122214169802</v>
      </c>
      <c r="C304" s="6" t="s">
        <v>1128</v>
      </c>
      <c r="D304" s="6" t="str">
        <f>"冯宣华"</f>
        <v>冯宣华</v>
      </c>
      <c r="E304" s="6" t="str">
        <f>"男"</f>
        <v>男</v>
      </c>
      <c r="F304" s="7" t="s">
        <v>1088</v>
      </c>
    </row>
    <row r="305" spans="1:6" ht="20.100000000000001" customHeight="1" x14ac:dyDescent="0.15">
      <c r="A305" s="5">
        <v>302</v>
      </c>
      <c r="B305" s="6" t="str">
        <f>"30482021060122235669823"</f>
        <v>30482021060122235669823</v>
      </c>
      <c r="C305" s="6" t="s">
        <v>1128</v>
      </c>
      <c r="D305" s="6" t="str">
        <f>"王华玲"</f>
        <v>王华玲</v>
      </c>
      <c r="E305" s="6" t="str">
        <f t="shared" ref="E305:E322" si="10">"女"</f>
        <v>女</v>
      </c>
      <c r="F305" s="7" t="s">
        <v>155</v>
      </c>
    </row>
    <row r="306" spans="1:6" ht="20.100000000000001" customHeight="1" x14ac:dyDescent="0.15">
      <c r="A306" s="5">
        <v>303</v>
      </c>
      <c r="B306" s="6" t="str">
        <f>"30482021060122243869832"</f>
        <v>30482021060122243869832</v>
      </c>
      <c r="C306" s="6" t="s">
        <v>1128</v>
      </c>
      <c r="D306" s="6" t="str">
        <f>"羊晶鑫"</f>
        <v>羊晶鑫</v>
      </c>
      <c r="E306" s="6" t="str">
        <f t="shared" si="10"/>
        <v>女</v>
      </c>
      <c r="F306" s="7" t="s">
        <v>1249</v>
      </c>
    </row>
    <row r="307" spans="1:6" ht="20.100000000000001" customHeight="1" x14ac:dyDescent="0.15">
      <c r="A307" s="5">
        <v>304</v>
      </c>
      <c r="B307" s="6" t="str">
        <f>"30482021060122280169856"</f>
        <v>30482021060122280169856</v>
      </c>
      <c r="C307" s="6" t="s">
        <v>1128</v>
      </c>
      <c r="D307" s="6" t="str">
        <f>"李倩"</f>
        <v>李倩</v>
      </c>
      <c r="E307" s="6" t="str">
        <f t="shared" si="10"/>
        <v>女</v>
      </c>
      <c r="F307" s="7" t="s">
        <v>1250</v>
      </c>
    </row>
    <row r="308" spans="1:6" ht="20.100000000000001" customHeight="1" x14ac:dyDescent="0.15">
      <c r="A308" s="5">
        <v>305</v>
      </c>
      <c r="B308" s="6" t="str">
        <f>"30482021060122330369904"</f>
        <v>30482021060122330369904</v>
      </c>
      <c r="C308" s="6" t="s">
        <v>1128</v>
      </c>
      <c r="D308" s="6" t="str">
        <f>"符利静"</f>
        <v>符利静</v>
      </c>
      <c r="E308" s="6" t="str">
        <f t="shared" si="10"/>
        <v>女</v>
      </c>
      <c r="F308" s="7" t="s">
        <v>1251</v>
      </c>
    </row>
    <row r="309" spans="1:6" ht="20.100000000000001" customHeight="1" x14ac:dyDescent="0.15">
      <c r="A309" s="5">
        <v>306</v>
      </c>
      <c r="B309" s="6" t="str">
        <f>"30482021060122351369924"</f>
        <v>30482021060122351369924</v>
      </c>
      <c r="C309" s="6" t="s">
        <v>1128</v>
      </c>
      <c r="D309" s="6" t="str">
        <f>"黄永芳"</f>
        <v>黄永芳</v>
      </c>
      <c r="E309" s="6" t="str">
        <f t="shared" si="10"/>
        <v>女</v>
      </c>
      <c r="F309" s="7" t="s">
        <v>1252</v>
      </c>
    </row>
    <row r="310" spans="1:6" ht="20.100000000000001" customHeight="1" x14ac:dyDescent="0.15">
      <c r="A310" s="5">
        <v>307</v>
      </c>
      <c r="B310" s="6" t="str">
        <f>"30482021060122372469946"</f>
        <v>30482021060122372469946</v>
      </c>
      <c r="C310" s="6" t="s">
        <v>1128</v>
      </c>
      <c r="D310" s="6" t="str">
        <f>"庞芳"</f>
        <v>庞芳</v>
      </c>
      <c r="E310" s="6" t="str">
        <f t="shared" si="10"/>
        <v>女</v>
      </c>
      <c r="F310" s="7" t="s">
        <v>136</v>
      </c>
    </row>
    <row r="311" spans="1:6" ht="20.100000000000001" customHeight="1" x14ac:dyDescent="0.15">
      <c r="A311" s="5">
        <v>308</v>
      </c>
      <c r="B311" s="6" t="str">
        <f>"30482021060122413969987"</f>
        <v>30482021060122413969987</v>
      </c>
      <c r="C311" s="6" t="s">
        <v>1128</v>
      </c>
      <c r="D311" s="6" t="str">
        <f>"黎美青"</f>
        <v>黎美青</v>
      </c>
      <c r="E311" s="6" t="str">
        <f t="shared" si="10"/>
        <v>女</v>
      </c>
      <c r="F311" s="7" t="s">
        <v>659</v>
      </c>
    </row>
    <row r="312" spans="1:6" ht="20.100000000000001" customHeight="1" x14ac:dyDescent="0.15">
      <c r="A312" s="5">
        <v>309</v>
      </c>
      <c r="B312" s="6" t="str">
        <f>"30482021060122501270036"</f>
        <v>30482021060122501270036</v>
      </c>
      <c r="C312" s="6" t="s">
        <v>1128</v>
      </c>
      <c r="D312" s="6" t="str">
        <f>"邝小艳"</f>
        <v>邝小艳</v>
      </c>
      <c r="E312" s="6" t="str">
        <f t="shared" si="10"/>
        <v>女</v>
      </c>
      <c r="F312" s="7" t="s">
        <v>213</v>
      </c>
    </row>
    <row r="313" spans="1:6" ht="20.100000000000001" customHeight="1" x14ac:dyDescent="0.15">
      <c r="A313" s="5">
        <v>310</v>
      </c>
      <c r="B313" s="6" t="str">
        <f>"30482021060122504570041"</f>
        <v>30482021060122504570041</v>
      </c>
      <c r="C313" s="6" t="s">
        <v>1128</v>
      </c>
      <c r="D313" s="6" t="str">
        <f>"吕英春"</f>
        <v>吕英春</v>
      </c>
      <c r="E313" s="6" t="str">
        <f t="shared" si="10"/>
        <v>女</v>
      </c>
      <c r="F313" s="7" t="s">
        <v>1253</v>
      </c>
    </row>
    <row r="314" spans="1:6" ht="20.100000000000001" customHeight="1" x14ac:dyDescent="0.15">
      <c r="A314" s="5">
        <v>311</v>
      </c>
      <c r="B314" s="6" t="str">
        <f>"30482021060122511470045"</f>
        <v>30482021060122511470045</v>
      </c>
      <c r="C314" s="6" t="s">
        <v>1128</v>
      </c>
      <c r="D314" s="6" t="str">
        <f>"林秋枫"</f>
        <v>林秋枫</v>
      </c>
      <c r="E314" s="6" t="str">
        <f t="shared" si="10"/>
        <v>女</v>
      </c>
      <c r="F314" s="7" t="s">
        <v>1131</v>
      </c>
    </row>
    <row r="315" spans="1:6" ht="20.100000000000001" customHeight="1" x14ac:dyDescent="0.15">
      <c r="A315" s="5">
        <v>312</v>
      </c>
      <c r="B315" s="6" t="str">
        <f>"30482021060122535970056"</f>
        <v>30482021060122535970056</v>
      </c>
      <c r="C315" s="6" t="s">
        <v>1128</v>
      </c>
      <c r="D315" s="6" t="str">
        <f>"张杏"</f>
        <v>张杏</v>
      </c>
      <c r="E315" s="6" t="str">
        <f t="shared" si="10"/>
        <v>女</v>
      </c>
      <c r="F315" s="7" t="s">
        <v>1055</v>
      </c>
    </row>
    <row r="316" spans="1:6" ht="20.100000000000001" customHeight="1" x14ac:dyDescent="0.15">
      <c r="A316" s="5">
        <v>313</v>
      </c>
      <c r="B316" s="6" t="str">
        <f>"30482021060122551870064"</f>
        <v>30482021060122551870064</v>
      </c>
      <c r="C316" s="6" t="s">
        <v>1128</v>
      </c>
      <c r="D316" s="6" t="str">
        <f>"陈利琳"</f>
        <v>陈利琳</v>
      </c>
      <c r="E316" s="6" t="str">
        <f t="shared" si="10"/>
        <v>女</v>
      </c>
      <c r="F316" s="7" t="s">
        <v>1254</v>
      </c>
    </row>
    <row r="317" spans="1:6" ht="20.100000000000001" customHeight="1" x14ac:dyDescent="0.15">
      <c r="A317" s="5">
        <v>314</v>
      </c>
      <c r="B317" s="6" t="str">
        <f>"30482021060122553270068"</f>
        <v>30482021060122553270068</v>
      </c>
      <c r="C317" s="6" t="s">
        <v>1128</v>
      </c>
      <c r="D317" s="6" t="str">
        <f>"王岳敏"</f>
        <v>王岳敏</v>
      </c>
      <c r="E317" s="6" t="str">
        <f t="shared" si="10"/>
        <v>女</v>
      </c>
      <c r="F317" s="7" t="s">
        <v>37</v>
      </c>
    </row>
    <row r="318" spans="1:6" ht="20.100000000000001" customHeight="1" x14ac:dyDescent="0.15">
      <c r="A318" s="5">
        <v>315</v>
      </c>
      <c r="B318" s="6" t="str">
        <f>"30482021060122554570069"</f>
        <v>30482021060122554570069</v>
      </c>
      <c r="C318" s="6" t="s">
        <v>1128</v>
      </c>
      <c r="D318" s="6" t="str">
        <f>"唐春鹏"</f>
        <v>唐春鹏</v>
      </c>
      <c r="E318" s="6" t="str">
        <f t="shared" si="10"/>
        <v>女</v>
      </c>
      <c r="F318" s="7" t="s">
        <v>931</v>
      </c>
    </row>
    <row r="319" spans="1:6" ht="20.100000000000001" customHeight="1" x14ac:dyDescent="0.15">
      <c r="A319" s="5">
        <v>316</v>
      </c>
      <c r="B319" s="6" t="str">
        <f>"30482021060123030870129"</f>
        <v>30482021060123030870129</v>
      </c>
      <c r="C319" s="6" t="s">
        <v>1128</v>
      </c>
      <c r="D319" s="6" t="str">
        <f>"林丹"</f>
        <v>林丹</v>
      </c>
      <c r="E319" s="6" t="str">
        <f t="shared" si="10"/>
        <v>女</v>
      </c>
      <c r="F319" s="7" t="s">
        <v>709</v>
      </c>
    </row>
    <row r="320" spans="1:6" ht="20.100000000000001" customHeight="1" x14ac:dyDescent="0.15">
      <c r="A320" s="5">
        <v>317</v>
      </c>
      <c r="B320" s="6" t="str">
        <f>"30482021060123072570149"</f>
        <v>30482021060123072570149</v>
      </c>
      <c r="C320" s="6" t="s">
        <v>1128</v>
      </c>
      <c r="D320" s="6" t="str">
        <f>"周静"</f>
        <v>周静</v>
      </c>
      <c r="E320" s="6" t="str">
        <f t="shared" si="10"/>
        <v>女</v>
      </c>
      <c r="F320" s="7" t="s">
        <v>1255</v>
      </c>
    </row>
    <row r="321" spans="1:6" ht="20.100000000000001" customHeight="1" x14ac:dyDescent="0.15">
      <c r="A321" s="5">
        <v>318</v>
      </c>
      <c r="B321" s="6" t="str">
        <f>"30482021060123175570211"</f>
        <v>30482021060123175570211</v>
      </c>
      <c r="C321" s="6" t="s">
        <v>1128</v>
      </c>
      <c r="D321" s="6" t="str">
        <f>"黄雪媛"</f>
        <v>黄雪媛</v>
      </c>
      <c r="E321" s="6" t="str">
        <f t="shared" si="10"/>
        <v>女</v>
      </c>
      <c r="F321" s="7" t="s">
        <v>34</v>
      </c>
    </row>
    <row r="322" spans="1:6" ht="20.100000000000001" customHeight="1" x14ac:dyDescent="0.15">
      <c r="A322" s="5">
        <v>319</v>
      </c>
      <c r="B322" s="6" t="str">
        <f>"30482021060123202270225"</f>
        <v>30482021060123202270225</v>
      </c>
      <c r="C322" s="6" t="s">
        <v>1128</v>
      </c>
      <c r="D322" s="6" t="str">
        <f>"杜海芬"</f>
        <v>杜海芬</v>
      </c>
      <c r="E322" s="6" t="str">
        <f t="shared" si="10"/>
        <v>女</v>
      </c>
      <c r="F322" s="7" t="s">
        <v>910</v>
      </c>
    </row>
    <row r="323" spans="1:6" ht="20.100000000000001" customHeight="1" x14ac:dyDescent="0.15">
      <c r="A323" s="5">
        <v>320</v>
      </c>
      <c r="B323" s="6" t="str">
        <f>"30482021060123423970322"</f>
        <v>30482021060123423970322</v>
      </c>
      <c r="C323" s="6" t="s">
        <v>1128</v>
      </c>
      <c r="D323" s="6" t="str">
        <f>"苏文强"</f>
        <v>苏文强</v>
      </c>
      <c r="E323" s="6" t="str">
        <f>"男"</f>
        <v>男</v>
      </c>
      <c r="F323" s="7" t="s">
        <v>1256</v>
      </c>
    </row>
    <row r="324" spans="1:6" ht="20.100000000000001" customHeight="1" x14ac:dyDescent="0.15">
      <c r="A324" s="5">
        <v>321</v>
      </c>
      <c r="B324" s="6" t="str">
        <f>"30482021060123440170326"</f>
        <v>30482021060123440170326</v>
      </c>
      <c r="C324" s="6" t="s">
        <v>1128</v>
      </c>
      <c r="D324" s="6" t="str">
        <f>"罗春阳"</f>
        <v>罗春阳</v>
      </c>
      <c r="E324" s="6" t="str">
        <f t="shared" ref="E324:E352" si="11">"女"</f>
        <v>女</v>
      </c>
      <c r="F324" s="7" t="s">
        <v>1257</v>
      </c>
    </row>
    <row r="325" spans="1:6" ht="20.100000000000001" customHeight="1" x14ac:dyDescent="0.15">
      <c r="A325" s="5">
        <v>322</v>
      </c>
      <c r="B325" s="6" t="str">
        <f>"30482021060123491670338"</f>
        <v>30482021060123491670338</v>
      </c>
      <c r="C325" s="6" t="s">
        <v>1128</v>
      </c>
      <c r="D325" s="6" t="str">
        <f>"张雪芳"</f>
        <v>张雪芳</v>
      </c>
      <c r="E325" s="6" t="str">
        <f t="shared" si="11"/>
        <v>女</v>
      </c>
      <c r="F325" s="7" t="s">
        <v>552</v>
      </c>
    </row>
    <row r="326" spans="1:6" ht="20.100000000000001" customHeight="1" x14ac:dyDescent="0.15">
      <c r="A326" s="5">
        <v>323</v>
      </c>
      <c r="B326" s="6" t="str">
        <f>"30482021060123544270355"</f>
        <v>30482021060123544270355</v>
      </c>
      <c r="C326" s="6" t="s">
        <v>1128</v>
      </c>
      <c r="D326" s="6" t="str">
        <f>"李云燕"</f>
        <v>李云燕</v>
      </c>
      <c r="E326" s="6" t="str">
        <f t="shared" si="11"/>
        <v>女</v>
      </c>
      <c r="F326" s="7" t="s">
        <v>36</v>
      </c>
    </row>
    <row r="327" spans="1:6" ht="20.100000000000001" customHeight="1" x14ac:dyDescent="0.15">
      <c r="A327" s="5">
        <v>324</v>
      </c>
      <c r="B327" s="6" t="str">
        <f>"30482021060123562370362"</f>
        <v>30482021060123562370362</v>
      </c>
      <c r="C327" s="6" t="s">
        <v>1128</v>
      </c>
      <c r="D327" s="6" t="str">
        <f>"邱文倩"</f>
        <v>邱文倩</v>
      </c>
      <c r="E327" s="6" t="str">
        <f t="shared" si="11"/>
        <v>女</v>
      </c>
      <c r="F327" s="7" t="s">
        <v>37</v>
      </c>
    </row>
    <row r="328" spans="1:6" ht="20.100000000000001" customHeight="1" x14ac:dyDescent="0.15">
      <c r="A328" s="5">
        <v>325</v>
      </c>
      <c r="B328" s="6" t="str">
        <f>"30482021060123591870370"</f>
        <v>30482021060123591870370</v>
      </c>
      <c r="C328" s="6" t="s">
        <v>1128</v>
      </c>
      <c r="D328" s="6" t="str">
        <f>"黄梦静"</f>
        <v>黄梦静</v>
      </c>
      <c r="E328" s="6" t="str">
        <f t="shared" si="11"/>
        <v>女</v>
      </c>
      <c r="F328" s="7" t="s">
        <v>1258</v>
      </c>
    </row>
    <row r="329" spans="1:6" ht="20.100000000000001" customHeight="1" x14ac:dyDescent="0.15">
      <c r="A329" s="5">
        <v>326</v>
      </c>
      <c r="B329" s="6" t="str">
        <f>"30482021060200003670375"</f>
        <v>30482021060200003670375</v>
      </c>
      <c r="C329" s="6" t="s">
        <v>1128</v>
      </c>
      <c r="D329" s="6" t="str">
        <f>"黄茗"</f>
        <v>黄茗</v>
      </c>
      <c r="E329" s="6" t="str">
        <f t="shared" si="11"/>
        <v>女</v>
      </c>
      <c r="F329" s="7" t="s">
        <v>1259</v>
      </c>
    </row>
    <row r="330" spans="1:6" ht="20.100000000000001" customHeight="1" x14ac:dyDescent="0.15">
      <c r="A330" s="5">
        <v>327</v>
      </c>
      <c r="B330" s="6" t="str">
        <f>"30482021060200102870402"</f>
        <v>30482021060200102870402</v>
      </c>
      <c r="C330" s="6" t="s">
        <v>1128</v>
      </c>
      <c r="D330" s="6" t="str">
        <f>"王夏"</f>
        <v>王夏</v>
      </c>
      <c r="E330" s="6" t="str">
        <f t="shared" si="11"/>
        <v>女</v>
      </c>
      <c r="F330" s="7" t="s">
        <v>1260</v>
      </c>
    </row>
    <row r="331" spans="1:6" ht="20.100000000000001" customHeight="1" x14ac:dyDescent="0.15">
      <c r="A331" s="5">
        <v>328</v>
      </c>
      <c r="B331" s="6" t="str">
        <f>"30482021060200142870420"</f>
        <v>30482021060200142870420</v>
      </c>
      <c r="C331" s="6" t="s">
        <v>1128</v>
      </c>
      <c r="D331" s="6" t="str">
        <f>"韩冬丽"</f>
        <v>韩冬丽</v>
      </c>
      <c r="E331" s="6" t="str">
        <f t="shared" si="11"/>
        <v>女</v>
      </c>
      <c r="F331" s="7" t="s">
        <v>1261</v>
      </c>
    </row>
    <row r="332" spans="1:6" ht="20.100000000000001" customHeight="1" x14ac:dyDescent="0.15">
      <c r="A332" s="5">
        <v>329</v>
      </c>
      <c r="B332" s="6" t="str">
        <f>"30482021060200250670437"</f>
        <v>30482021060200250670437</v>
      </c>
      <c r="C332" s="6" t="s">
        <v>1128</v>
      </c>
      <c r="D332" s="6" t="str">
        <f>"李春燕"</f>
        <v>李春燕</v>
      </c>
      <c r="E332" s="6" t="str">
        <f t="shared" si="11"/>
        <v>女</v>
      </c>
      <c r="F332" s="7" t="s">
        <v>1262</v>
      </c>
    </row>
    <row r="333" spans="1:6" ht="20.100000000000001" customHeight="1" x14ac:dyDescent="0.15">
      <c r="A333" s="5">
        <v>330</v>
      </c>
      <c r="B333" s="6" t="str">
        <f>"30482021060200252270440"</f>
        <v>30482021060200252270440</v>
      </c>
      <c r="C333" s="6" t="s">
        <v>1128</v>
      </c>
      <c r="D333" s="6" t="str">
        <f>"陈洁银"</f>
        <v>陈洁银</v>
      </c>
      <c r="E333" s="6" t="str">
        <f t="shared" si="11"/>
        <v>女</v>
      </c>
      <c r="F333" s="7" t="s">
        <v>21</v>
      </c>
    </row>
    <row r="334" spans="1:6" ht="20.100000000000001" customHeight="1" x14ac:dyDescent="0.15">
      <c r="A334" s="5">
        <v>331</v>
      </c>
      <c r="B334" s="6" t="str">
        <f>"30482021060200302870445"</f>
        <v>30482021060200302870445</v>
      </c>
      <c r="C334" s="6" t="s">
        <v>1128</v>
      </c>
      <c r="D334" s="6" t="str">
        <f>"廖殷"</f>
        <v>廖殷</v>
      </c>
      <c r="E334" s="6" t="str">
        <f t="shared" si="11"/>
        <v>女</v>
      </c>
      <c r="F334" s="7" t="s">
        <v>1263</v>
      </c>
    </row>
    <row r="335" spans="1:6" ht="20.100000000000001" customHeight="1" x14ac:dyDescent="0.15">
      <c r="A335" s="5">
        <v>332</v>
      </c>
      <c r="B335" s="6" t="str">
        <f>"30482021060200334470450"</f>
        <v>30482021060200334470450</v>
      </c>
      <c r="C335" s="6" t="s">
        <v>1128</v>
      </c>
      <c r="D335" s="6" t="str">
        <f>"朱代振"</f>
        <v>朱代振</v>
      </c>
      <c r="E335" s="6" t="str">
        <f t="shared" si="11"/>
        <v>女</v>
      </c>
      <c r="F335" s="7" t="s">
        <v>1264</v>
      </c>
    </row>
    <row r="336" spans="1:6" ht="20.100000000000001" customHeight="1" x14ac:dyDescent="0.15">
      <c r="A336" s="5">
        <v>333</v>
      </c>
      <c r="B336" s="6" t="str">
        <f>"30482021060200414670461"</f>
        <v>30482021060200414670461</v>
      </c>
      <c r="C336" s="6" t="s">
        <v>1128</v>
      </c>
      <c r="D336" s="6" t="str">
        <f>"何妮"</f>
        <v>何妮</v>
      </c>
      <c r="E336" s="6" t="str">
        <f t="shared" si="11"/>
        <v>女</v>
      </c>
      <c r="F336" s="7" t="s">
        <v>428</v>
      </c>
    </row>
    <row r="337" spans="1:6" ht="20.100000000000001" customHeight="1" x14ac:dyDescent="0.15">
      <c r="A337" s="5">
        <v>334</v>
      </c>
      <c r="B337" s="6" t="str">
        <f>"30482021060206204770563"</f>
        <v>30482021060206204770563</v>
      </c>
      <c r="C337" s="6" t="s">
        <v>1128</v>
      </c>
      <c r="D337" s="6" t="str">
        <f>"符开霞"</f>
        <v>符开霞</v>
      </c>
      <c r="E337" s="6" t="str">
        <f t="shared" si="11"/>
        <v>女</v>
      </c>
      <c r="F337" s="7" t="s">
        <v>1265</v>
      </c>
    </row>
    <row r="338" spans="1:6" ht="20.100000000000001" customHeight="1" x14ac:dyDescent="0.15">
      <c r="A338" s="5">
        <v>335</v>
      </c>
      <c r="B338" s="6" t="str">
        <f>"30482021060206412770573"</f>
        <v>30482021060206412770573</v>
      </c>
      <c r="C338" s="6" t="s">
        <v>1128</v>
      </c>
      <c r="D338" s="6" t="str">
        <f>"符菁菁"</f>
        <v>符菁菁</v>
      </c>
      <c r="E338" s="6" t="str">
        <f t="shared" si="11"/>
        <v>女</v>
      </c>
      <c r="F338" s="7" t="s">
        <v>43</v>
      </c>
    </row>
    <row r="339" spans="1:6" ht="20.100000000000001" customHeight="1" x14ac:dyDescent="0.15">
      <c r="A339" s="5">
        <v>336</v>
      </c>
      <c r="B339" s="6" t="str">
        <f>"30482021060207162770598"</f>
        <v>30482021060207162770598</v>
      </c>
      <c r="C339" s="6" t="s">
        <v>1128</v>
      </c>
      <c r="D339" s="6" t="str">
        <f>"董佳佳"</f>
        <v>董佳佳</v>
      </c>
      <c r="E339" s="6" t="str">
        <f t="shared" si="11"/>
        <v>女</v>
      </c>
      <c r="F339" s="7" t="s">
        <v>1266</v>
      </c>
    </row>
    <row r="340" spans="1:6" ht="20.100000000000001" customHeight="1" x14ac:dyDescent="0.15">
      <c r="A340" s="5">
        <v>337</v>
      </c>
      <c r="B340" s="6" t="str">
        <f>"30482021060207450270637"</f>
        <v>30482021060207450270637</v>
      </c>
      <c r="C340" s="6" t="s">
        <v>1128</v>
      </c>
      <c r="D340" s="6" t="str">
        <f>"欧丽虹"</f>
        <v>欧丽虹</v>
      </c>
      <c r="E340" s="6" t="str">
        <f t="shared" si="11"/>
        <v>女</v>
      </c>
      <c r="F340" s="7" t="s">
        <v>965</v>
      </c>
    </row>
    <row r="341" spans="1:6" ht="20.100000000000001" customHeight="1" x14ac:dyDescent="0.15">
      <c r="A341" s="5">
        <v>338</v>
      </c>
      <c r="B341" s="6" t="str">
        <f>"30482021060207580270662"</f>
        <v>30482021060207580270662</v>
      </c>
      <c r="C341" s="6" t="s">
        <v>1128</v>
      </c>
      <c r="D341" s="6" t="str">
        <f>"黄文蕾"</f>
        <v>黄文蕾</v>
      </c>
      <c r="E341" s="6" t="str">
        <f t="shared" si="11"/>
        <v>女</v>
      </c>
      <c r="F341" s="7" t="s">
        <v>1267</v>
      </c>
    </row>
    <row r="342" spans="1:6" ht="20.100000000000001" customHeight="1" x14ac:dyDescent="0.15">
      <c r="A342" s="5">
        <v>339</v>
      </c>
      <c r="B342" s="6" t="str">
        <f>"30482021060208025370677"</f>
        <v>30482021060208025370677</v>
      </c>
      <c r="C342" s="6" t="s">
        <v>1128</v>
      </c>
      <c r="D342" s="6" t="str">
        <f>"陈少密"</f>
        <v>陈少密</v>
      </c>
      <c r="E342" s="6" t="str">
        <f t="shared" si="11"/>
        <v>女</v>
      </c>
      <c r="F342" s="7" t="s">
        <v>1268</v>
      </c>
    </row>
    <row r="343" spans="1:6" ht="20.100000000000001" customHeight="1" x14ac:dyDescent="0.15">
      <c r="A343" s="5">
        <v>340</v>
      </c>
      <c r="B343" s="6" t="str">
        <f>"30482021060208044870685"</f>
        <v>30482021060208044870685</v>
      </c>
      <c r="C343" s="6" t="s">
        <v>1128</v>
      </c>
      <c r="D343" s="6" t="str">
        <f>"王海兰"</f>
        <v>王海兰</v>
      </c>
      <c r="E343" s="6" t="str">
        <f t="shared" si="11"/>
        <v>女</v>
      </c>
      <c r="F343" s="7" t="s">
        <v>532</v>
      </c>
    </row>
    <row r="344" spans="1:6" ht="20.100000000000001" customHeight="1" x14ac:dyDescent="0.15">
      <c r="A344" s="5">
        <v>341</v>
      </c>
      <c r="B344" s="6" t="str">
        <f>"30482021060208064870698"</f>
        <v>30482021060208064870698</v>
      </c>
      <c r="C344" s="6" t="s">
        <v>1128</v>
      </c>
      <c r="D344" s="6" t="str">
        <f>"黎慧怡"</f>
        <v>黎慧怡</v>
      </c>
      <c r="E344" s="6" t="str">
        <f t="shared" si="11"/>
        <v>女</v>
      </c>
      <c r="F344" s="7" t="s">
        <v>750</v>
      </c>
    </row>
    <row r="345" spans="1:6" ht="20.100000000000001" customHeight="1" x14ac:dyDescent="0.15">
      <c r="A345" s="5">
        <v>342</v>
      </c>
      <c r="B345" s="6" t="str">
        <f>"30482021060208091170709"</f>
        <v>30482021060208091170709</v>
      </c>
      <c r="C345" s="6" t="s">
        <v>1128</v>
      </c>
      <c r="D345" s="6" t="str">
        <f>"潘沫妃"</f>
        <v>潘沫妃</v>
      </c>
      <c r="E345" s="6" t="str">
        <f t="shared" si="11"/>
        <v>女</v>
      </c>
      <c r="F345" s="7" t="s">
        <v>605</v>
      </c>
    </row>
    <row r="346" spans="1:6" ht="20.100000000000001" customHeight="1" x14ac:dyDescent="0.15">
      <c r="A346" s="5">
        <v>343</v>
      </c>
      <c r="B346" s="6" t="str">
        <f>"30482021060208122470729"</f>
        <v>30482021060208122470729</v>
      </c>
      <c r="C346" s="6" t="s">
        <v>1128</v>
      </c>
      <c r="D346" s="6" t="str">
        <f>"叶紫佳"</f>
        <v>叶紫佳</v>
      </c>
      <c r="E346" s="6" t="str">
        <f t="shared" si="11"/>
        <v>女</v>
      </c>
      <c r="F346" s="7" t="s">
        <v>1269</v>
      </c>
    </row>
    <row r="347" spans="1:6" ht="20.100000000000001" customHeight="1" x14ac:dyDescent="0.15">
      <c r="A347" s="5">
        <v>344</v>
      </c>
      <c r="B347" s="6" t="str">
        <f>"30482021060208155070749"</f>
        <v>30482021060208155070749</v>
      </c>
      <c r="C347" s="6" t="s">
        <v>1128</v>
      </c>
      <c r="D347" s="6" t="str">
        <f>"王丽芬"</f>
        <v>王丽芬</v>
      </c>
      <c r="E347" s="6" t="str">
        <f t="shared" si="11"/>
        <v>女</v>
      </c>
      <c r="F347" s="7" t="s">
        <v>1270</v>
      </c>
    </row>
    <row r="348" spans="1:6" ht="20.100000000000001" customHeight="1" x14ac:dyDescent="0.15">
      <c r="A348" s="5">
        <v>345</v>
      </c>
      <c r="B348" s="6" t="str">
        <f>"30482021060208170070757"</f>
        <v>30482021060208170070757</v>
      </c>
      <c r="C348" s="6" t="s">
        <v>1128</v>
      </c>
      <c r="D348" s="6" t="str">
        <f>"王娜"</f>
        <v>王娜</v>
      </c>
      <c r="E348" s="6" t="str">
        <f t="shared" si="11"/>
        <v>女</v>
      </c>
      <c r="F348" s="7" t="s">
        <v>1271</v>
      </c>
    </row>
    <row r="349" spans="1:6" ht="20.100000000000001" customHeight="1" x14ac:dyDescent="0.15">
      <c r="A349" s="5">
        <v>346</v>
      </c>
      <c r="B349" s="6" t="str">
        <f>"30482021060208184370767"</f>
        <v>30482021060208184370767</v>
      </c>
      <c r="C349" s="6" t="s">
        <v>1128</v>
      </c>
      <c r="D349" s="6" t="str">
        <f>"罗小妹"</f>
        <v>罗小妹</v>
      </c>
      <c r="E349" s="6" t="str">
        <f t="shared" si="11"/>
        <v>女</v>
      </c>
      <c r="F349" s="7" t="s">
        <v>13</v>
      </c>
    </row>
    <row r="350" spans="1:6" ht="20.100000000000001" customHeight="1" x14ac:dyDescent="0.15">
      <c r="A350" s="5">
        <v>347</v>
      </c>
      <c r="B350" s="6" t="str">
        <f>"30482021060208311170857"</f>
        <v>30482021060208311170857</v>
      </c>
      <c r="C350" s="6" t="s">
        <v>1128</v>
      </c>
      <c r="D350" s="6" t="str">
        <f>"黄释贤"</f>
        <v>黄释贤</v>
      </c>
      <c r="E350" s="6" t="str">
        <f t="shared" si="11"/>
        <v>女</v>
      </c>
      <c r="F350" s="7" t="s">
        <v>399</v>
      </c>
    </row>
    <row r="351" spans="1:6" ht="20.100000000000001" customHeight="1" x14ac:dyDescent="0.15">
      <c r="A351" s="5">
        <v>348</v>
      </c>
      <c r="B351" s="6" t="str">
        <f>"30482021060208370970904"</f>
        <v>30482021060208370970904</v>
      </c>
      <c r="C351" s="6" t="s">
        <v>1128</v>
      </c>
      <c r="D351" s="6" t="str">
        <f>"邢姗姗"</f>
        <v>邢姗姗</v>
      </c>
      <c r="E351" s="6" t="str">
        <f t="shared" si="11"/>
        <v>女</v>
      </c>
      <c r="F351" s="7" t="s">
        <v>622</v>
      </c>
    </row>
    <row r="352" spans="1:6" ht="20.100000000000001" customHeight="1" x14ac:dyDescent="0.15">
      <c r="A352" s="5">
        <v>349</v>
      </c>
      <c r="B352" s="6" t="str">
        <f>"30482021060208480771000"</f>
        <v>30482021060208480771000</v>
      </c>
      <c r="C352" s="6" t="s">
        <v>1128</v>
      </c>
      <c r="D352" s="6" t="str">
        <f>"杜菲玲"</f>
        <v>杜菲玲</v>
      </c>
      <c r="E352" s="6" t="str">
        <f t="shared" si="11"/>
        <v>女</v>
      </c>
      <c r="F352" s="7" t="s">
        <v>53</v>
      </c>
    </row>
    <row r="353" spans="1:6" ht="20.100000000000001" customHeight="1" x14ac:dyDescent="0.15">
      <c r="A353" s="5">
        <v>350</v>
      </c>
      <c r="B353" s="6" t="str">
        <f>"30482021060208583071099"</f>
        <v>30482021060208583071099</v>
      </c>
      <c r="C353" s="6" t="s">
        <v>1128</v>
      </c>
      <c r="D353" s="6" t="str">
        <f>"钟运权"</f>
        <v>钟运权</v>
      </c>
      <c r="E353" s="6" t="str">
        <f>"男"</f>
        <v>男</v>
      </c>
      <c r="F353" s="7" t="s">
        <v>1272</v>
      </c>
    </row>
    <row r="354" spans="1:6" ht="20.100000000000001" customHeight="1" x14ac:dyDescent="0.15">
      <c r="A354" s="5">
        <v>351</v>
      </c>
      <c r="B354" s="6" t="str">
        <f>"30482021060209000071113"</f>
        <v>30482021060209000071113</v>
      </c>
      <c r="C354" s="6" t="s">
        <v>1128</v>
      </c>
      <c r="D354" s="6" t="str">
        <f>"陈子妍"</f>
        <v>陈子妍</v>
      </c>
      <c r="E354" s="6" t="str">
        <f t="shared" ref="E354:E383" si="12">"女"</f>
        <v>女</v>
      </c>
      <c r="F354" s="7" t="s">
        <v>179</v>
      </c>
    </row>
    <row r="355" spans="1:6" ht="20.100000000000001" customHeight="1" x14ac:dyDescent="0.15">
      <c r="A355" s="5">
        <v>352</v>
      </c>
      <c r="B355" s="6" t="str">
        <f>"30482021060209020871139"</f>
        <v>30482021060209020871139</v>
      </c>
      <c r="C355" s="6" t="s">
        <v>1128</v>
      </c>
      <c r="D355" s="6" t="str">
        <f>"肖咪"</f>
        <v>肖咪</v>
      </c>
      <c r="E355" s="6" t="str">
        <f t="shared" si="12"/>
        <v>女</v>
      </c>
      <c r="F355" s="7" t="s">
        <v>1273</v>
      </c>
    </row>
    <row r="356" spans="1:6" ht="20.100000000000001" customHeight="1" x14ac:dyDescent="0.15">
      <c r="A356" s="5">
        <v>353</v>
      </c>
      <c r="B356" s="6" t="str">
        <f>"30482021060209022771142"</f>
        <v>30482021060209022771142</v>
      </c>
      <c r="C356" s="6" t="s">
        <v>1128</v>
      </c>
      <c r="D356" s="6" t="str">
        <f>"兰曼"</f>
        <v>兰曼</v>
      </c>
      <c r="E356" s="6" t="str">
        <f t="shared" si="12"/>
        <v>女</v>
      </c>
      <c r="F356" s="7" t="s">
        <v>1274</v>
      </c>
    </row>
    <row r="357" spans="1:6" ht="20.100000000000001" customHeight="1" x14ac:dyDescent="0.15">
      <c r="A357" s="5">
        <v>354</v>
      </c>
      <c r="B357" s="6" t="str">
        <f>"30482021060209042771160"</f>
        <v>30482021060209042771160</v>
      </c>
      <c r="C357" s="6" t="s">
        <v>1128</v>
      </c>
      <c r="D357" s="6" t="str">
        <f>"李娜"</f>
        <v>李娜</v>
      </c>
      <c r="E357" s="6" t="str">
        <f t="shared" si="12"/>
        <v>女</v>
      </c>
      <c r="F357" s="7" t="s">
        <v>1275</v>
      </c>
    </row>
    <row r="358" spans="1:6" ht="20.100000000000001" customHeight="1" x14ac:dyDescent="0.15">
      <c r="A358" s="5">
        <v>355</v>
      </c>
      <c r="B358" s="6" t="str">
        <f>"30482021060209054671177"</f>
        <v>30482021060209054671177</v>
      </c>
      <c r="C358" s="6" t="s">
        <v>1128</v>
      </c>
      <c r="D358" s="6" t="str">
        <f>"刘晓莉"</f>
        <v>刘晓莉</v>
      </c>
      <c r="E358" s="6" t="str">
        <f t="shared" si="12"/>
        <v>女</v>
      </c>
      <c r="F358" s="7" t="s">
        <v>1276</v>
      </c>
    </row>
    <row r="359" spans="1:6" ht="20.100000000000001" customHeight="1" x14ac:dyDescent="0.15">
      <c r="A359" s="5">
        <v>356</v>
      </c>
      <c r="B359" s="6" t="str">
        <f>"30482021060209064771186"</f>
        <v>30482021060209064771186</v>
      </c>
      <c r="C359" s="6" t="s">
        <v>1128</v>
      </c>
      <c r="D359" s="6" t="str">
        <f>"潘容"</f>
        <v>潘容</v>
      </c>
      <c r="E359" s="6" t="str">
        <f t="shared" si="12"/>
        <v>女</v>
      </c>
      <c r="F359" s="7" t="s">
        <v>1277</v>
      </c>
    </row>
    <row r="360" spans="1:6" ht="20.100000000000001" customHeight="1" x14ac:dyDescent="0.15">
      <c r="A360" s="5">
        <v>357</v>
      </c>
      <c r="B360" s="6" t="str">
        <f>"30482021060209082371218"</f>
        <v>30482021060209082371218</v>
      </c>
      <c r="C360" s="6" t="s">
        <v>1128</v>
      </c>
      <c r="D360" s="6" t="str">
        <f>"王嫚妮"</f>
        <v>王嫚妮</v>
      </c>
      <c r="E360" s="6" t="str">
        <f t="shared" si="12"/>
        <v>女</v>
      </c>
      <c r="F360" s="7" t="s">
        <v>1278</v>
      </c>
    </row>
    <row r="361" spans="1:6" ht="20.100000000000001" customHeight="1" x14ac:dyDescent="0.15">
      <c r="A361" s="5">
        <v>358</v>
      </c>
      <c r="B361" s="6" t="str">
        <f>"30482021060209092571229"</f>
        <v>30482021060209092571229</v>
      </c>
      <c r="C361" s="6" t="s">
        <v>1128</v>
      </c>
      <c r="D361" s="6" t="str">
        <f>"郭绍萱"</f>
        <v>郭绍萱</v>
      </c>
      <c r="E361" s="6" t="str">
        <f t="shared" si="12"/>
        <v>女</v>
      </c>
      <c r="F361" s="7" t="s">
        <v>149</v>
      </c>
    </row>
    <row r="362" spans="1:6" ht="20.100000000000001" customHeight="1" x14ac:dyDescent="0.15">
      <c r="A362" s="5">
        <v>359</v>
      </c>
      <c r="B362" s="6" t="str">
        <f>"30482021060209151971284"</f>
        <v>30482021060209151971284</v>
      </c>
      <c r="C362" s="6" t="s">
        <v>1128</v>
      </c>
      <c r="D362" s="6" t="str">
        <f>"洪小冰"</f>
        <v>洪小冰</v>
      </c>
      <c r="E362" s="6" t="str">
        <f t="shared" si="12"/>
        <v>女</v>
      </c>
      <c r="F362" s="7" t="s">
        <v>519</v>
      </c>
    </row>
    <row r="363" spans="1:6" ht="20.100000000000001" customHeight="1" x14ac:dyDescent="0.15">
      <c r="A363" s="5">
        <v>360</v>
      </c>
      <c r="B363" s="6" t="str">
        <f>"30482021060209165771300"</f>
        <v>30482021060209165771300</v>
      </c>
      <c r="C363" s="6" t="s">
        <v>1128</v>
      </c>
      <c r="D363" s="6" t="str">
        <f>"林美秀"</f>
        <v>林美秀</v>
      </c>
      <c r="E363" s="6" t="str">
        <f t="shared" si="12"/>
        <v>女</v>
      </c>
      <c r="F363" s="7" t="s">
        <v>1279</v>
      </c>
    </row>
    <row r="364" spans="1:6" ht="20.100000000000001" customHeight="1" x14ac:dyDescent="0.15">
      <c r="A364" s="5">
        <v>361</v>
      </c>
      <c r="B364" s="6" t="str">
        <f>"30482021060209172171302"</f>
        <v>30482021060209172171302</v>
      </c>
      <c r="C364" s="6" t="s">
        <v>1128</v>
      </c>
      <c r="D364" s="6" t="str">
        <f>"李彩静"</f>
        <v>李彩静</v>
      </c>
      <c r="E364" s="6" t="str">
        <f t="shared" si="12"/>
        <v>女</v>
      </c>
      <c r="F364" s="7" t="s">
        <v>1280</v>
      </c>
    </row>
    <row r="365" spans="1:6" ht="20.100000000000001" customHeight="1" x14ac:dyDescent="0.15">
      <c r="A365" s="5">
        <v>362</v>
      </c>
      <c r="B365" s="6" t="str">
        <f>"30482021060209200771334"</f>
        <v>30482021060209200771334</v>
      </c>
      <c r="C365" s="6" t="s">
        <v>1128</v>
      </c>
      <c r="D365" s="6" t="str">
        <f>"李宛泽"</f>
        <v>李宛泽</v>
      </c>
      <c r="E365" s="6" t="str">
        <f t="shared" si="12"/>
        <v>女</v>
      </c>
      <c r="F365" s="7" t="s">
        <v>250</v>
      </c>
    </row>
    <row r="366" spans="1:6" ht="20.100000000000001" customHeight="1" x14ac:dyDescent="0.15">
      <c r="A366" s="5">
        <v>363</v>
      </c>
      <c r="B366" s="6" t="str">
        <f>"30482021060209222771353"</f>
        <v>30482021060209222771353</v>
      </c>
      <c r="C366" s="6" t="s">
        <v>1128</v>
      </c>
      <c r="D366" s="6" t="str">
        <f>"吴慧珍"</f>
        <v>吴慧珍</v>
      </c>
      <c r="E366" s="6" t="str">
        <f t="shared" si="12"/>
        <v>女</v>
      </c>
      <c r="F366" s="7" t="s">
        <v>605</v>
      </c>
    </row>
    <row r="367" spans="1:6" ht="20.100000000000001" customHeight="1" x14ac:dyDescent="0.15">
      <c r="A367" s="5">
        <v>364</v>
      </c>
      <c r="B367" s="6" t="str">
        <f>"30482021060209241771374"</f>
        <v>30482021060209241771374</v>
      </c>
      <c r="C367" s="6" t="s">
        <v>1128</v>
      </c>
      <c r="D367" s="6" t="str">
        <f>"陈欣"</f>
        <v>陈欣</v>
      </c>
      <c r="E367" s="6" t="str">
        <f t="shared" si="12"/>
        <v>女</v>
      </c>
      <c r="F367" s="7" t="s">
        <v>43</v>
      </c>
    </row>
    <row r="368" spans="1:6" ht="20.100000000000001" customHeight="1" x14ac:dyDescent="0.15">
      <c r="A368" s="5">
        <v>365</v>
      </c>
      <c r="B368" s="6" t="str">
        <f>"30482021060209253971387"</f>
        <v>30482021060209253971387</v>
      </c>
      <c r="C368" s="6" t="s">
        <v>1128</v>
      </c>
      <c r="D368" s="6" t="str">
        <f>"黎世湄"</f>
        <v>黎世湄</v>
      </c>
      <c r="E368" s="6" t="str">
        <f t="shared" si="12"/>
        <v>女</v>
      </c>
      <c r="F368" s="7" t="s">
        <v>1281</v>
      </c>
    </row>
    <row r="369" spans="1:6" ht="20.100000000000001" customHeight="1" x14ac:dyDescent="0.15">
      <c r="A369" s="5">
        <v>366</v>
      </c>
      <c r="B369" s="6" t="str">
        <f>"30482021060209313071467"</f>
        <v>30482021060209313071467</v>
      </c>
      <c r="C369" s="6" t="s">
        <v>1128</v>
      </c>
      <c r="D369" s="6" t="str">
        <f>"陈日映"</f>
        <v>陈日映</v>
      </c>
      <c r="E369" s="6" t="str">
        <f t="shared" si="12"/>
        <v>女</v>
      </c>
      <c r="F369" s="7" t="s">
        <v>789</v>
      </c>
    </row>
    <row r="370" spans="1:6" ht="20.100000000000001" customHeight="1" x14ac:dyDescent="0.15">
      <c r="A370" s="5">
        <v>367</v>
      </c>
      <c r="B370" s="6" t="str">
        <f>"30482021060209334771501"</f>
        <v>30482021060209334771501</v>
      </c>
      <c r="C370" s="6" t="s">
        <v>1128</v>
      </c>
      <c r="D370" s="6" t="str">
        <f>"何日丽"</f>
        <v>何日丽</v>
      </c>
      <c r="E370" s="6" t="str">
        <f t="shared" si="12"/>
        <v>女</v>
      </c>
      <c r="F370" s="7" t="s">
        <v>1282</v>
      </c>
    </row>
    <row r="371" spans="1:6" ht="20.100000000000001" customHeight="1" x14ac:dyDescent="0.15">
      <c r="A371" s="5">
        <v>368</v>
      </c>
      <c r="B371" s="6" t="str">
        <f>"30482021060209425371625"</f>
        <v>30482021060209425371625</v>
      </c>
      <c r="C371" s="6" t="s">
        <v>1128</v>
      </c>
      <c r="D371" s="6" t="str">
        <f>"莫晓煦"</f>
        <v>莫晓煦</v>
      </c>
      <c r="E371" s="6" t="str">
        <f t="shared" si="12"/>
        <v>女</v>
      </c>
      <c r="F371" s="7" t="s">
        <v>1000</v>
      </c>
    </row>
    <row r="372" spans="1:6" ht="20.100000000000001" customHeight="1" x14ac:dyDescent="0.15">
      <c r="A372" s="5">
        <v>369</v>
      </c>
      <c r="B372" s="6" t="str">
        <f>"30482021060209425671627"</f>
        <v>30482021060209425671627</v>
      </c>
      <c r="C372" s="6" t="s">
        <v>1128</v>
      </c>
      <c r="D372" s="6" t="str">
        <f>"谭亿肖"</f>
        <v>谭亿肖</v>
      </c>
      <c r="E372" s="6" t="str">
        <f t="shared" si="12"/>
        <v>女</v>
      </c>
      <c r="F372" s="7" t="s">
        <v>1283</v>
      </c>
    </row>
    <row r="373" spans="1:6" ht="20.100000000000001" customHeight="1" x14ac:dyDescent="0.15">
      <c r="A373" s="5">
        <v>370</v>
      </c>
      <c r="B373" s="6" t="str">
        <f>"30482021060209440371641"</f>
        <v>30482021060209440371641</v>
      </c>
      <c r="C373" s="6" t="s">
        <v>1128</v>
      </c>
      <c r="D373" s="6" t="str">
        <f>"韩露露"</f>
        <v>韩露露</v>
      </c>
      <c r="E373" s="6" t="str">
        <f t="shared" si="12"/>
        <v>女</v>
      </c>
      <c r="F373" s="7" t="s">
        <v>1029</v>
      </c>
    </row>
    <row r="374" spans="1:6" ht="20.100000000000001" customHeight="1" x14ac:dyDescent="0.15">
      <c r="A374" s="5">
        <v>371</v>
      </c>
      <c r="B374" s="6" t="str">
        <f>"30482021060209441971647"</f>
        <v>30482021060209441971647</v>
      </c>
      <c r="C374" s="6" t="s">
        <v>1128</v>
      </c>
      <c r="D374" s="6" t="str">
        <f>"陈小慧"</f>
        <v>陈小慧</v>
      </c>
      <c r="E374" s="6" t="str">
        <f t="shared" si="12"/>
        <v>女</v>
      </c>
      <c r="F374" s="7" t="s">
        <v>435</v>
      </c>
    </row>
    <row r="375" spans="1:6" ht="20.100000000000001" customHeight="1" x14ac:dyDescent="0.15">
      <c r="A375" s="5">
        <v>372</v>
      </c>
      <c r="B375" s="6" t="str">
        <f>"30482021060209453271673"</f>
        <v>30482021060209453271673</v>
      </c>
      <c r="C375" s="6" t="s">
        <v>1128</v>
      </c>
      <c r="D375" s="6" t="str">
        <f>"陈宇莹"</f>
        <v>陈宇莹</v>
      </c>
      <c r="E375" s="6" t="str">
        <f t="shared" si="12"/>
        <v>女</v>
      </c>
      <c r="F375" s="7" t="s">
        <v>876</v>
      </c>
    </row>
    <row r="376" spans="1:6" ht="20.100000000000001" customHeight="1" x14ac:dyDescent="0.15">
      <c r="A376" s="5">
        <v>373</v>
      </c>
      <c r="B376" s="6" t="str">
        <f>"30482021060209501071728"</f>
        <v>30482021060209501071728</v>
      </c>
      <c r="C376" s="6" t="s">
        <v>1128</v>
      </c>
      <c r="D376" s="6" t="str">
        <f>"莫镜程"</f>
        <v>莫镜程</v>
      </c>
      <c r="E376" s="6" t="str">
        <f t="shared" si="12"/>
        <v>女</v>
      </c>
      <c r="F376" s="7" t="s">
        <v>396</v>
      </c>
    </row>
    <row r="377" spans="1:6" ht="20.100000000000001" customHeight="1" x14ac:dyDescent="0.15">
      <c r="A377" s="5">
        <v>374</v>
      </c>
      <c r="B377" s="6" t="str">
        <f>"30482021060209501171729"</f>
        <v>30482021060209501171729</v>
      </c>
      <c r="C377" s="6" t="s">
        <v>1128</v>
      </c>
      <c r="D377" s="6" t="str">
        <f>"陈章妮"</f>
        <v>陈章妮</v>
      </c>
      <c r="E377" s="6" t="str">
        <f t="shared" si="12"/>
        <v>女</v>
      </c>
      <c r="F377" s="7" t="s">
        <v>898</v>
      </c>
    </row>
    <row r="378" spans="1:6" ht="20.100000000000001" customHeight="1" x14ac:dyDescent="0.15">
      <c r="A378" s="5">
        <v>375</v>
      </c>
      <c r="B378" s="6" t="str">
        <f>"30482021060209521271766"</f>
        <v>30482021060209521271766</v>
      </c>
      <c r="C378" s="6" t="s">
        <v>1128</v>
      </c>
      <c r="D378" s="6" t="str">
        <f>"陈虹春"</f>
        <v>陈虹春</v>
      </c>
      <c r="E378" s="6" t="str">
        <f t="shared" si="12"/>
        <v>女</v>
      </c>
      <c r="F378" s="7" t="s">
        <v>1284</v>
      </c>
    </row>
    <row r="379" spans="1:6" ht="20.100000000000001" customHeight="1" x14ac:dyDescent="0.15">
      <c r="A379" s="5">
        <v>376</v>
      </c>
      <c r="B379" s="6" t="str">
        <f>"30482021060209554371805"</f>
        <v>30482021060209554371805</v>
      </c>
      <c r="C379" s="6" t="s">
        <v>1128</v>
      </c>
      <c r="D379" s="6" t="str">
        <f>"林巧咪"</f>
        <v>林巧咪</v>
      </c>
      <c r="E379" s="6" t="str">
        <f t="shared" si="12"/>
        <v>女</v>
      </c>
      <c r="F379" s="7" t="s">
        <v>563</v>
      </c>
    </row>
    <row r="380" spans="1:6" ht="20.100000000000001" customHeight="1" x14ac:dyDescent="0.15">
      <c r="A380" s="5">
        <v>377</v>
      </c>
      <c r="B380" s="6" t="str">
        <f>"30482021060209571371818"</f>
        <v>30482021060209571371818</v>
      </c>
      <c r="C380" s="6" t="s">
        <v>1128</v>
      </c>
      <c r="D380" s="6" t="str">
        <f>"韦文娟"</f>
        <v>韦文娟</v>
      </c>
      <c r="E380" s="6" t="str">
        <f t="shared" si="12"/>
        <v>女</v>
      </c>
      <c r="F380" s="7" t="s">
        <v>172</v>
      </c>
    </row>
    <row r="381" spans="1:6" ht="20.100000000000001" customHeight="1" x14ac:dyDescent="0.15">
      <c r="A381" s="5">
        <v>378</v>
      </c>
      <c r="B381" s="6" t="str">
        <f>"30482021060209595771850"</f>
        <v>30482021060209595771850</v>
      </c>
      <c r="C381" s="6" t="s">
        <v>1128</v>
      </c>
      <c r="D381" s="6" t="str">
        <f>"黄奕琳"</f>
        <v>黄奕琳</v>
      </c>
      <c r="E381" s="6" t="str">
        <f t="shared" si="12"/>
        <v>女</v>
      </c>
      <c r="F381" s="7" t="s">
        <v>35</v>
      </c>
    </row>
    <row r="382" spans="1:6" ht="20.100000000000001" customHeight="1" x14ac:dyDescent="0.15">
      <c r="A382" s="5">
        <v>379</v>
      </c>
      <c r="B382" s="6" t="str">
        <f>"30482021060210041271913"</f>
        <v>30482021060210041271913</v>
      </c>
      <c r="C382" s="6" t="s">
        <v>1128</v>
      </c>
      <c r="D382" s="6" t="str">
        <f>"吴菊妍"</f>
        <v>吴菊妍</v>
      </c>
      <c r="E382" s="6" t="str">
        <f t="shared" si="12"/>
        <v>女</v>
      </c>
      <c r="F382" s="7" t="s">
        <v>883</v>
      </c>
    </row>
    <row r="383" spans="1:6" ht="20.100000000000001" customHeight="1" x14ac:dyDescent="0.15">
      <c r="A383" s="5">
        <v>380</v>
      </c>
      <c r="B383" s="6" t="str">
        <f>"30482021060210065671942"</f>
        <v>30482021060210065671942</v>
      </c>
      <c r="C383" s="6" t="s">
        <v>1128</v>
      </c>
      <c r="D383" s="6" t="str">
        <f>"王婷婷"</f>
        <v>王婷婷</v>
      </c>
      <c r="E383" s="6" t="str">
        <f t="shared" si="12"/>
        <v>女</v>
      </c>
      <c r="F383" s="7" t="s">
        <v>1285</v>
      </c>
    </row>
    <row r="384" spans="1:6" ht="20.100000000000001" customHeight="1" x14ac:dyDescent="0.15">
      <c r="A384" s="5">
        <v>381</v>
      </c>
      <c r="B384" s="6" t="str">
        <f>"30482021060210080171955"</f>
        <v>30482021060210080171955</v>
      </c>
      <c r="C384" s="6" t="s">
        <v>1128</v>
      </c>
      <c r="D384" s="6" t="str">
        <f>"符乃仁"</f>
        <v>符乃仁</v>
      </c>
      <c r="E384" s="6" t="str">
        <f>"男"</f>
        <v>男</v>
      </c>
      <c r="F384" s="7" t="s">
        <v>1286</v>
      </c>
    </row>
    <row r="385" spans="1:6" ht="20.100000000000001" customHeight="1" x14ac:dyDescent="0.15">
      <c r="A385" s="5">
        <v>382</v>
      </c>
      <c r="B385" s="6" t="str">
        <f>"30482021060210094771975"</f>
        <v>30482021060210094771975</v>
      </c>
      <c r="C385" s="6" t="s">
        <v>1128</v>
      </c>
      <c r="D385" s="6" t="str">
        <f>"陈淑南"</f>
        <v>陈淑南</v>
      </c>
      <c r="E385" s="6" t="str">
        <f t="shared" ref="E385:E400" si="13">"女"</f>
        <v>女</v>
      </c>
      <c r="F385" s="7" t="s">
        <v>1287</v>
      </c>
    </row>
    <row r="386" spans="1:6" ht="20.100000000000001" customHeight="1" x14ac:dyDescent="0.15">
      <c r="A386" s="5">
        <v>383</v>
      </c>
      <c r="B386" s="6" t="str">
        <f>"30482021060210102071983"</f>
        <v>30482021060210102071983</v>
      </c>
      <c r="C386" s="6" t="s">
        <v>1128</v>
      </c>
      <c r="D386" s="6" t="str">
        <f>"陈夏薇"</f>
        <v>陈夏薇</v>
      </c>
      <c r="E386" s="6" t="str">
        <f t="shared" si="13"/>
        <v>女</v>
      </c>
      <c r="F386" s="7" t="s">
        <v>140</v>
      </c>
    </row>
    <row r="387" spans="1:6" ht="20.100000000000001" customHeight="1" x14ac:dyDescent="0.15">
      <c r="A387" s="5">
        <v>384</v>
      </c>
      <c r="B387" s="6" t="str">
        <f>"30482021060210111272001"</f>
        <v>30482021060210111272001</v>
      </c>
      <c r="C387" s="6" t="s">
        <v>1128</v>
      </c>
      <c r="D387" s="6" t="str">
        <f>"单婉茹"</f>
        <v>单婉茹</v>
      </c>
      <c r="E387" s="6" t="str">
        <f t="shared" si="13"/>
        <v>女</v>
      </c>
      <c r="F387" s="7" t="s">
        <v>566</v>
      </c>
    </row>
    <row r="388" spans="1:6" ht="20.100000000000001" customHeight="1" x14ac:dyDescent="0.15">
      <c r="A388" s="5">
        <v>385</v>
      </c>
      <c r="B388" s="6" t="str">
        <f>"30482021060210131872028"</f>
        <v>30482021060210131872028</v>
      </c>
      <c r="C388" s="6" t="s">
        <v>1128</v>
      </c>
      <c r="D388" s="6" t="str">
        <f>"吴咪"</f>
        <v>吴咪</v>
      </c>
      <c r="E388" s="6" t="str">
        <f t="shared" si="13"/>
        <v>女</v>
      </c>
      <c r="F388" s="7" t="s">
        <v>305</v>
      </c>
    </row>
    <row r="389" spans="1:6" ht="20.100000000000001" customHeight="1" x14ac:dyDescent="0.15">
      <c r="A389" s="5">
        <v>386</v>
      </c>
      <c r="B389" s="6" t="str">
        <f>"30482021060210133772032"</f>
        <v>30482021060210133772032</v>
      </c>
      <c r="C389" s="6" t="s">
        <v>1128</v>
      </c>
      <c r="D389" s="6" t="str">
        <f>"文梅燕"</f>
        <v>文梅燕</v>
      </c>
      <c r="E389" s="6" t="str">
        <f t="shared" si="13"/>
        <v>女</v>
      </c>
      <c r="F389" s="7" t="s">
        <v>224</v>
      </c>
    </row>
    <row r="390" spans="1:6" ht="20.100000000000001" customHeight="1" x14ac:dyDescent="0.15">
      <c r="A390" s="5">
        <v>387</v>
      </c>
      <c r="B390" s="6" t="str">
        <f>"30482021060210135972039"</f>
        <v>30482021060210135972039</v>
      </c>
      <c r="C390" s="6" t="s">
        <v>1128</v>
      </c>
      <c r="D390" s="6" t="str">
        <f>"蔡丽菁"</f>
        <v>蔡丽菁</v>
      </c>
      <c r="E390" s="6" t="str">
        <f t="shared" si="13"/>
        <v>女</v>
      </c>
      <c r="F390" s="7" t="s">
        <v>423</v>
      </c>
    </row>
    <row r="391" spans="1:6" ht="20.100000000000001" customHeight="1" x14ac:dyDescent="0.15">
      <c r="A391" s="5">
        <v>388</v>
      </c>
      <c r="B391" s="6" t="str">
        <f>"30482021060210144472054"</f>
        <v>30482021060210144472054</v>
      </c>
      <c r="C391" s="6" t="s">
        <v>1128</v>
      </c>
      <c r="D391" s="6" t="str">
        <f>"柴智伟"</f>
        <v>柴智伟</v>
      </c>
      <c r="E391" s="6" t="str">
        <f t="shared" si="13"/>
        <v>女</v>
      </c>
      <c r="F391" s="7" t="s">
        <v>887</v>
      </c>
    </row>
    <row r="392" spans="1:6" ht="20.100000000000001" customHeight="1" x14ac:dyDescent="0.15">
      <c r="A392" s="5">
        <v>389</v>
      </c>
      <c r="B392" s="6" t="str">
        <f>"30482021060210164272087"</f>
        <v>30482021060210164272087</v>
      </c>
      <c r="C392" s="6" t="s">
        <v>1128</v>
      </c>
      <c r="D392" s="6" t="str">
        <f>"李吉薇"</f>
        <v>李吉薇</v>
      </c>
      <c r="E392" s="6" t="str">
        <f t="shared" si="13"/>
        <v>女</v>
      </c>
      <c r="F392" s="7" t="s">
        <v>788</v>
      </c>
    </row>
    <row r="393" spans="1:6" ht="20.100000000000001" customHeight="1" x14ac:dyDescent="0.15">
      <c r="A393" s="5">
        <v>390</v>
      </c>
      <c r="B393" s="6" t="str">
        <f>"30482021060210180172104"</f>
        <v>30482021060210180172104</v>
      </c>
      <c r="C393" s="6" t="s">
        <v>1128</v>
      </c>
      <c r="D393" s="6" t="str">
        <f>"陈静雯"</f>
        <v>陈静雯</v>
      </c>
      <c r="E393" s="6" t="str">
        <f t="shared" si="13"/>
        <v>女</v>
      </c>
      <c r="F393" s="7" t="s">
        <v>1288</v>
      </c>
    </row>
    <row r="394" spans="1:6" ht="20.100000000000001" customHeight="1" x14ac:dyDescent="0.15">
      <c r="A394" s="5">
        <v>391</v>
      </c>
      <c r="B394" s="6" t="str">
        <f>"30482021060210190572114"</f>
        <v>30482021060210190572114</v>
      </c>
      <c r="C394" s="6" t="s">
        <v>1128</v>
      </c>
      <c r="D394" s="6" t="str">
        <f>"蓝晶晶"</f>
        <v>蓝晶晶</v>
      </c>
      <c r="E394" s="6" t="str">
        <f t="shared" si="13"/>
        <v>女</v>
      </c>
      <c r="F394" s="7" t="s">
        <v>1289</v>
      </c>
    </row>
    <row r="395" spans="1:6" ht="20.100000000000001" customHeight="1" x14ac:dyDescent="0.15">
      <c r="A395" s="5">
        <v>392</v>
      </c>
      <c r="B395" s="6" t="str">
        <f>"30482021060210203072134"</f>
        <v>30482021060210203072134</v>
      </c>
      <c r="C395" s="6" t="s">
        <v>1128</v>
      </c>
      <c r="D395" s="6" t="str">
        <f>"蔡兴婷"</f>
        <v>蔡兴婷</v>
      </c>
      <c r="E395" s="6" t="str">
        <f t="shared" si="13"/>
        <v>女</v>
      </c>
      <c r="F395" s="7" t="s">
        <v>25</v>
      </c>
    </row>
    <row r="396" spans="1:6" ht="20.100000000000001" customHeight="1" x14ac:dyDescent="0.15">
      <c r="A396" s="5">
        <v>393</v>
      </c>
      <c r="B396" s="6" t="str">
        <f>"30482021060210214272143"</f>
        <v>30482021060210214272143</v>
      </c>
      <c r="C396" s="6" t="s">
        <v>1128</v>
      </c>
      <c r="D396" s="6" t="str">
        <f>"李月秋"</f>
        <v>李月秋</v>
      </c>
      <c r="E396" s="6" t="str">
        <f t="shared" si="13"/>
        <v>女</v>
      </c>
      <c r="F396" s="7" t="s">
        <v>36</v>
      </c>
    </row>
    <row r="397" spans="1:6" ht="20.100000000000001" customHeight="1" x14ac:dyDescent="0.15">
      <c r="A397" s="5">
        <v>394</v>
      </c>
      <c r="B397" s="6" t="str">
        <f>"30482021060210235072179"</f>
        <v>30482021060210235072179</v>
      </c>
      <c r="C397" s="6" t="s">
        <v>1128</v>
      </c>
      <c r="D397" s="6" t="str">
        <f>"陈妹女"</f>
        <v>陈妹女</v>
      </c>
      <c r="E397" s="6" t="str">
        <f t="shared" si="13"/>
        <v>女</v>
      </c>
      <c r="F397" s="7" t="s">
        <v>1290</v>
      </c>
    </row>
    <row r="398" spans="1:6" ht="20.100000000000001" customHeight="1" x14ac:dyDescent="0.15">
      <c r="A398" s="5">
        <v>395</v>
      </c>
      <c r="B398" s="6" t="str">
        <f>"30482021060210241872186"</f>
        <v>30482021060210241872186</v>
      </c>
      <c r="C398" s="6" t="s">
        <v>1128</v>
      </c>
      <c r="D398" s="6" t="str">
        <f>"赵民英"</f>
        <v>赵民英</v>
      </c>
      <c r="E398" s="6" t="str">
        <f t="shared" si="13"/>
        <v>女</v>
      </c>
      <c r="F398" s="7" t="s">
        <v>345</v>
      </c>
    </row>
    <row r="399" spans="1:6" ht="20.100000000000001" customHeight="1" x14ac:dyDescent="0.15">
      <c r="A399" s="5">
        <v>396</v>
      </c>
      <c r="B399" s="6" t="str">
        <f>"30482021060210241972188"</f>
        <v>30482021060210241972188</v>
      </c>
      <c r="C399" s="6" t="s">
        <v>1128</v>
      </c>
      <c r="D399" s="6" t="str">
        <f>"黎兴芳"</f>
        <v>黎兴芳</v>
      </c>
      <c r="E399" s="6" t="str">
        <f t="shared" si="13"/>
        <v>女</v>
      </c>
      <c r="F399" s="7" t="s">
        <v>1291</v>
      </c>
    </row>
    <row r="400" spans="1:6" ht="20.100000000000001" customHeight="1" x14ac:dyDescent="0.15">
      <c r="A400" s="5">
        <v>397</v>
      </c>
      <c r="B400" s="6" t="str">
        <f>"30482021060210253872207"</f>
        <v>30482021060210253872207</v>
      </c>
      <c r="C400" s="6" t="s">
        <v>1128</v>
      </c>
      <c r="D400" s="6" t="str">
        <f>"郭小榴"</f>
        <v>郭小榴</v>
      </c>
      <c r="E400" s="6" t="str">
        <f t="shared" si="13"/>
        <v>女</v>
      </c>
      <c r="F400" s="7" t="s">
        <v>1204</v>
      </c>
    </row>
    <row r="401" spans="1:6" ht="20.100000000000001" customHeight="1" x14ac:dyDescent="0.15">
      <c r="A401" s="5">
        <v>398</v>
      </c>
      <c r="B401" s="6" t="str">
        <f>"30482021060210280172244"</f>
        <v>30482021060210280172244</v>
      </c>
      <c r="C401" s="6" t="s">
        <v>1128</v>
      </c>
      <c r="D401" s="6" t="str">
        <f>"陈五站"</f>
        <v>陈五站</v>
      </c>
      <c r="E401" s="6" t="str">
        <f>"男"</f>
        <v>男</v>
      </c>
      <c r="F401" s="7" t="s">
        <v>1292</v>
      </c>
    </row>
    <row r="402" spans="1:6" ht="20.100000000000001" customHeight="1" x14ac:dyDescent="0.15">
      <c r="A402" s="5">
        <v>399</v>
      </c>
      <c r="B402" s="6" t="str">
        <f>"30482021060210295072274"</f>
        <v>30482021060210295072274</v>
      </c>
      <c r="C402" s="6" t="s">
        <v>1128</v>
      </c>
      <c r="D402" s="6" t="str">
        <f>"冼能"</f>
        <v>冼能</v>
      </c>
      <c r="E402" s="6" t="str">
        <f>"男"</f>
        <v>男</v>
      </c>
      <c r="F402" s="7" t="s">
        <v>838</v>
      </c>
    </row>
    <row r="403" spans="1:6" ht="20.100000000000001" customHeight="1" x14ac:dyDescent="0.15">
      <c r="A403" s="5">
        <v>400</v>
      </c>
      <c r="B403" s="6" t="str">
        <f>"30482021060210303472285"</f>
        <v>30482021060210303472285</v>
      </c>
      <c r="C403" s="6" t="s">
        <v>1128</v>
      </c>
      <c r="D403" s="6" t="str">
        <f>"林小妹"</f>
        <v>林小妹</v>
      </c>
      <c r="E403" s="6" t="str">
        <f t="shared" ref="E403:E412" si="14">"女"</f>
        <v>女</v>
      </c>
      <c r="F403" s="7" t="s">
        <v>12</v>
      </c>
    </row>
    <row r="404" spans="1:6" ht="20.100000000000001" customHeight="1" x14ac:dyDescent="0.15">
      <c r="A404" s="5">
        <v>401</v>
      </c>
      <c r="B404" s="6" t="str">
        <f>"30482021060210313172297"</f>
        <v>30482021060210313172297</v>
      </c>
      <c r="C404" s="6" t="s">
        <v>1128</v>
      </c>
      <c r="D404" s="6" t="str">
        <f>"王红棉"</f>
        <v>王红棉</v>
      </c>
      <c r="E404" s="6" t="str">
        <f t="shared" si="14"/>
        <v>女</v>
      </c>
      <c r="F404" s="7" t="s">
        <v>88</v>
      </c>
    </row>
    <row r="405" spans="1:6" ht="20.100000000000001" customHeight="1" x14ac:dyDescent="0.15">
      <c r="A405" s="5">
        <v>402</v>
      </c>
      <c r="B405" s="6" t="str">
        <f>"30482021060210373972372"</f>
        <v>30482021060210373972372</v>
      </c>
      <c r="C405" s="6" t="s">
        <v>1128</v>
      </c>
      <c r="D405" s="6" t="str">
        <f>"符冬"</f>
        <v>符冬</v>
      </c>
      <c r="E405" s="6" t="str">
        <f t="shared" si="14"/>
        <v>女</v>
      </c>
      <c r="F405" s="7" t="s">
        <v>1293</v>
      </c>
    </row>
    <row r="406" spans="1:6" ht="20.100000000000001" customHeight="1" x14ac:dyDescent="0.15">
      <c r="A406" s="5">
        <v>403</v>
      </c>
      <c r="B406" s="6" t="str">
        <f>"30482021060210391872388"</f>
        <v>30482021060210391872388</v>
      </c>
      <c r="C406" s="6" t="s">
        <v>1128</v>
      </c>
      <c r="D406" s="6" t="str">
        <f>"李珏桦"</f>
        <v>李珏桦</v>
      </c>
      <c r="E406" s="6" t="str">
        <f t="shared" si="14"/>
        <v>女</v>
      </c>
      <c r="F406" s="7" t="s">
        <v>30</v>
      </c>
    </row>
    <row r="407" spans="1:6" ht="20.100000000000001" customHeight="1" x14ac:dyDescent="0.15">
      <c r="A407" s="5">
        <v>404</v>
      </c>
      <c r="B407" s="6" t="str">
        <f>"30482021060210404772405"</f>
        <v>30482021060210404772405</v>
      </c>
      <c r="C407" s="6" t="s">
        <v>1128</v>
      </c>
      <c r="D407" s="6" t="str">
        <f>"林慧芳"</f>
        <v>林慧芳</v>
      </c>
      <c r="E407" s="6" t="str">
        <f t="shared" si="14"/>
        <v>女</v>
      </c>
      <c r="F407" s="7" t="s">
        <v>1294</v>
      </c>
    </row>
    <row r="408" spans="1:6" ht="20.100000000000001" customHeight="1" x14ac:dyDescent="0.15">
      <c r="A408" s="5">
        <v>405</v>
      </c>
      <c r="B408" s="6" t="str">
        <f>"30482021060210414372422"</f>
        <v>30482021060210414372422</v>
      </c>
      <c r="C408" s="6" t="s">
        <v>1128</v>
      </c>
      <c r="D408" s="6" t="str">
        <f>"廖雯丽"</f>
        <v>廖雯丽</v>
      </c>
      <c r="E408" s="6" t="str">
        <f t="shared" si="14"/>
        <v>女</v>
      </c>
      <c r="F408" s="7" t="s">
        <v>765</v>
      </c>
    </row>
    <row r="409" spans="1:6" ht="20.100000000000001" customHeight="1" x14ac:dyDescent="0.15">
      <c r="A409" s="5">
        <v>406</v>
      </c>
      <c r="B409" s="6" t="str">
        <f>"30482021060210443472467"</f>
        <v>30482021060210443472467</v>
      </c>
      <c r="C409" s="6" t="s">
        <v>1128</v>
      </c>
      <c r="D409" s="6" t="str">
        <f>"王祎"</f>
        <v>王祎</v>
      </c>
      <c r="E409" s="6" t="str">
        <f t="shared" si="14"/>
        <v>女</v>
      </c>
      <c r="F409" s="7" t="s">
        <v>247</v>
      </c>
    </row>
    <row r="410" spans="1:6" ht="20.100000000000001" customHeight="1" x14ac:dyDescent="0.15">
      <c r="A410" s="5">
        <v>407</v>
      </c>
      <c r="B410" s="6" t="str">
        <f>"30482021060210450372477"</f>
        <v>30482021060210450372477</v>
      </c>
      <c r="C410" s="6" t="s">
        <v>1128</v>
      </c>
      <c r="D410" s="6" t="str">
        <f>"王铃"</f>
        <v>王铃</v>
      </c>
      <c r="E410" s="6" t="str">
        <f t="shared" si="14"/>
        <v>女</v>
      </c>
      <c r="F410" s="7" t="s">
        <v>1295</v>
      </c>
    </row>
    <row r="411" spans="1:6" ht="20.100000000000001" customHeight="1" x14ac:dyDescent="0.15">
      <c r="A411" s="5">
        <v>408</v>
      </c>
      <c r="B411" s="6" t="str">
        <f>"30482021060210464172498"</f>
        <v>30482021060210464172498</v>
      </c>
      <c r="C411" s="6" t="s">
        <v>1128</v>
      </c>
      <c r="D411" s="6" t="str">
        <f>"孙玲"</f>
        <v>孙玲</v>
      </c>
      <c r="E411" s="6" t="str">
        <f t="shared" si="14"/>
        <v>女</v>
      </c>
      <c r="F411" s="7" t="s">
        <v>1296</v>
      </c>
    </row>
    <row r="412" spans="1:6" ht="20.100000000000001" customHeight="1" x14ac:dyDescent="0.15">
      <c r="A412" s="5">
        <v>409</v>
      </c>
      <c r="B412" s="6" t="str">
        <f>"30482021060210500372543"</f>
        <v>30482021060210500372543</v>
      </c>
      <c r="C412" s="6" t="s">
        <v>1128</v>
      </c>
      <c r="D412" s="6" t="str">
        <f>"黄艳萍"</f>
        <v>黄艳萍</v>
      </c>
      <c r="E412" s="6" t="str">
        <f t="shared" si="14"/>
        <v>女</v>
      </c>
      <c r="F412" s="7" t="s">
        <v>1297</v>
      </c>
    </row>
    <row r="413" spans="1:6" ht="20.100000000000001" customHeight="1" x14ac:dyDescent="0.15">
      <c r="A413" s="5">
        <v>410</v>
      </c>
      <c r="B413" s="6" t="str">
        <f>"30482021060210543572605"</f>
        <v>30482021060210543572605</v>
      </c>
      <c r="C413" s="6" t="s">
        <v>1128</v>
      </c>
      <c r="D413" s="6" t="str">
        <f>"唐世锐"</f>
        <v>唐世锐</v>
      </c>
      <c r="E413" s="6" t="str">
        <f>"男"</f>
        <v>男</v>
      </c>
      <c r="F413" s="7" t="s">
        <v>1298</v>
      </c>
    </row>
    <row r="414" spans="1:6" ht="20.100000000000001" customHeight="1" x14ac:dyDescent="0.15">
      <c r="A414" s="5">
        <v>411</v>
      </c>
      <c r="B414" s="6" t="str">
        <f>"30482021060210573272639"</f>
        <v>30482021060210573272639</v>
      </c>
      <c r="C414" s="6" t="s">
        <v>1128</v>
      </c>
      <c r="D414" s="6" t="str">
        <f>"王雪翠"</f>
        <v>王雪翠</v>
      </c>
      <c r="E414" s="6" t="str">
        <f t="shared" ref="E414:E421" si="15">"女"</f>
        <v>女</v>
      </c>
      <c r="F414" s="7" t="s">
        <v>434</v>
      </c>
    </row>
    <row r="415" spans="1:6" ht="20.100000000000001" customHeight="1" x14ac:dyDescent="0.15">
      <c r="A415" s="5">
        <v>412</v>
      </c>
      <c r="B415" s="6" t="str">
        <f>"30482021060210585872656"</f>
        <v>30482021060210585872656</v>
      </c>
      <c r="C415" s="6" t="s">
        <v>1128</v>
      </c>
      <c r="D415" s="6" t="str">
        <f>"蔡黎明"</f>
        <v>蔡黎明</v>
      </c>
      <c r="E415" s="6" t="str">
        <f t="shared" si="15"/>
        <v>女</v>
      </c>
      <c r="F415" s="7" t="s">
        <v>461</v>
      </c>
    </row>
    <row r="416" spans="1:6" ht="20.100000000000001" customHeight="1" x14ac:dyDescent="0.15">
      <c r="A416" s="5">
        <v>413</v>
      </c>
      <c r="B416" s="6" t="str">
        <f>"30482021060211035272708"</f>
        <v>30482021060211035272708</v>
      </c>
      <c r="C416" s="6" t="s">
        <v>1128</v>
      </c>
      <c r="D416" s="6" t="str">
        <f>"李咨蔓"</f>
        <v>李咨蔓</v>
      </c>
      <c r="E416" s="6" t="str">
        <f t="shared" si="15"/>
        <v>女</v>
      </c>
      <c r="F416" s="7" t="s">
        <v>140</v>
      </c>
    </row>
    <row r="417" spans="1:6" ht="20.100000000000001" customHeight="1" x14ac:dyDescent="0.15">
      <c r="A417" s="5">
        <v>414</v>
      </c>
      <c r="B417" s="6" t="str">
        <f>"30482021060211035972710"</f>
        <v>30482021060211035972710</v>
      </c>
      <c r="C417" s="6" t="s">
        <v>1128</v>
      </c>
      <c r="D417" s="6" t="str">
        <f>"郑惠"</f>
        <v>郑惠</v>
      </c>
      <c r="E417" s="6" t="str">
        <f t="shared" si="15"/>
        <v>女</v>
      </c>
      <c r="F417" s="7" t="s">
        <v>177</v>
      </c>
    </row>
    <row r="418" spans="1:6" ht="20.100000000000001" customHeight="1" x14ac:dyDescent="0.15">
      <c r="A418" s="5">
        <v>415</v>
      </c>
      <c r="B418" s="6" t="str">
        <f>"30482021060211040672713"</f>
        <v>30482021060211040672713</v>
      </c>
      <c r="C418" s="6" t="s">
        <v>1128</v>
      </c>
      <c r="D418" s="6" t="str">
        <f>"叶春伶"</f>
        <v>叶春伶</v>
      </c>
      <c r="E418" s="6" t="str">
        <f t="shared" si="15"/>
        <v>女</v>
      </c>
      <c r="F418" s="7" t="s">
        <v>1299</v>
      </c>
    </row>
    <row r="419" spans="1:6" ht="20.100000000000001" customHeight="1" x14ac:dyDescent="0.15">
      <c r="A419" s="5">
        <v>416</v>
      </c>
      <c r="B419" s="6" t="str">
        <f>"30482021060211093272781"</f>
        <v>30482021060211093272781</v>
      </c>
      <c r="C419" s="6" t="s">
        <v>1128</v>
      </c>
      <c r="D419" s="6" t="str">
        <f>"林德焱"</f>
        <v>林德焱</v>
      </c>
      <c r="E419" s="6" t="str">
        <f t="shared" si="15"/>
        <v>女</v>
      </c>
      <c r="F419" s="7" t="s">
        <v>1300</v>
      </c>
    </row>
    <row r="420" spans="1:6" ht="20.100000000000001" customHeight="1" x14ac:dyDescent="0.15">
      <c r="A420" s="5">
        <v>417</v>
      </c>
      <c r="B420" s="6" t="str">
        <f>"30482021060211122172809"</f>
        <v>30482021060211122172809</v>
      </c>
      <c r="C420" s="6" t="s">
        <v>1128</v>
      </c>
      <c r="D420" s="6" t="str">
        <f>"李鹏霞"</f>
        <v>李鹏霞</v>
      </c>
      <c r="E420" s="6" t="str">
        <f t="shared" si="15"/>
        <v>女</v>
      </c>
      <c r="F420" s="7" t="s">
        <v>1301</v>
      </c>
    </row>
    <row r="421" spans="1:6" ht="20.100000000000001" customHeight="1" x14ac:dyDescent="0.15">
      <c r="A421" s="5">
        <v>418</v>
      </c>
      <c r="B421" s="6" t="str">
        <f>"30482021060211125372816"</f>
        <v>30482021060211125372816</v>
      </c>
      <c r="C421" s="6" t="s">
        <v>1128</v>
      </c>
      <c r="D421" s="6" t="str">
        <f>"冯露"</f>
        <v>冯露</v>
      </c>
      <c r="E421" s="6" t="str">
        <f t="shared" si="15"/>
        <v>女</v>
      </c>
      <c r="F421" s="7" t="s">
        <v>701</v>
      </c>
    </row>
    <row r="422" spans="1:6" ht="20.100000000000001" customHeight="1" x14ac:dyDescent="0.15">
      <c r="A422" s="5">
        <v>419</v>
      </c>
      <c r="B422" s="6" t="str">
        <f>"30482021060211151572843"</f>
        <v>30482021060211151572843</v>
      </c>
      <c r="C422" s="6" t="s">
        <v>1128</v>
      </c>
      <c r="D422" s="6" t="str">
        <f>"王柏智"</f>
        <v>王柏智</v>
      </c>
      <c r="E422" s="6" t="str">
        <f>"男"</f>
        <v>男</v>
      </c>
      <c r="F422" s="7" t="s">
        <v>1302</v>
      </c>
    </row>
    <row r="423" spans="1:6" ht="20.100000000000001" customHeight="1" x14ac:dyDescent="0.15">
      <c r="A423" s="5">
        <v>420</v>
      </c>
      <c r="B423" s="6" t="str">
        <f>"30482021060211154972856"</f>
        <v>30482021060211154972856</v>
      </c>
      <c r="C423" s="6" t="s">
        <v>1128</v>
      </c>
      <c r="D423" s="6" t="str">
        <f>"邢叶"</f>
        <v>邢叶</v>
      </c>
      <c r="E423" s="6" t="str">
        <f t="shared" ref="E423:E429" si="16">"女"</f>
        <v>女</v>
      </c>
      <c r="F423" s="7" t="s">
        <v>481</v>
      </c>
    </row>
    <row r="424" spans="1:6" ht="20.100000000000001" customHeight="1" x14ac:dyDescent="0.15">
      <c r="A424" s="5">
        <v>421</v>
      </c>
      <c r="B424" s="6" t="str">
        <f>"30482021060211155672857"</f>
        <v>30482021060211155672857</v>
      </c>
      <c r="C424" s="6" t="s">
        <v>1128</v>
      </c>
      <c r="D424" s="6" t="str">
        <f>"邢云淋"</f>
        <v>邢云淋</v>
      </c>
      <c r="E424" s="6" t="str">
        <f t="shared" si="16"/>
        <v>女</v>
      </c>
      <c r="F424" s="7" t="s">
        <v>1303</v>
      </c>
    </row>
    <row r="425" spans="1:6" ht="20.100000000000001" customHeight="1" x14ac:dyDescent="0.15">
      <c r="A425" s="5">
        <v>422</v>
      </c>
      <c r="B425" s="6" t="str">
        <f>"30482021060211173572872"</f>
        <v>30482021060211173572872</v>
      </c>
      <c r="C425" s="6" t="s">
        <v>1128</v>
      </c>
      <c r="D425" s="6" t="str">
        <f>"许茗茸"</f>
        <v>许茗茸</v>
      </c>
      <c r="E425" s="6" t="str">
        <f t="shared" si="16"/>
        <v>女</v>
      </c>
      <c r="F425" s="7" t="s">
        <v>1084</v>
      </c>
    </row>
    <row r="426" spans="1:6" ht="20.100000000000001" customHeight="1" x14ac:dyDescent="0.15">
      <c r="A426" s="5">
        <v>423</v>
      </c>
      <c r="B426" s="6" t="str">
        <f>"30482021060211190572886"</f>
        <v>30482021060211190572886</v>
      </c>
      <c r="C426" s="6" t="s">
        <v>1128</v>
      </c>
      <c r="D426" s="6" t="str">
        <f>"唐空"</f>
        <v>唐空</v>
      </c>
      <c r="E426" s="6" t="str">
        <f t="shared" si="16"/>
        <v>女</v>
      </c>
      <c r="F426" s="7" t="s">
        <v>747</v>
      </c>
    </row>
    <row r="427" spans="1:6" ht="20.100000000000001" customHeight="1" x14ac:dyDescent="0.15">
      <c r="A427" s="5">
        <v>424</v>
      </c>
      <c r="B427" s="6" t="str">
        <f>"30482021060211193772895"</f>
        <v>30482021060211193772895</v>
      </c>
      <c r="C427" s="6" t="s">
        <v>1128</v>
      </c>
      <c r="D427" s="6" t="str">
        <f>"王小茹"</f>
        <v>王小茹</v>
      </c>
      <c r="E427" s="6" t="str">
        <f t="shared" si="16"/>
        <v>女</v>
      </c>
      <c r="F427" s="7" t="s">
        <v>1304</v>
      </c>
    </row>
    <row r="428" spans="1:6" ht="20.100000000000001" customHeight="1" x14ac:dyDescent="0.15">
      <c r="A428" s="5">
        <v>425</v>
      </c>
      <c r="B428" s="6" t="str">
        <f>"30482021060211203672915"</f>
        <v>30482021060211203672915</v>
      </c>
      <c r="C428" s="6" t="s">
        <v>1128</v>
      </c>
      <c r="D428" s="6" t="str">
        <f>"王倩"</f>
        <v>王倩</v>
      </c>
      <c r="E428" s="6" t="str">
        <f t="shared" si="16"/>
        <v>女</v>
      </c>
      <c r="F428" s="7" t="s">
        <v>9</v>
      </c>
    </row>
    <row r="429" spans="1:6" ht="20.100000000000001" customHeight="1" x14ac:dyDescent="0.15">
      <c r="A429" s="5">
        <v>426</v>
      </c>
      <c r="B429" s="6" t="str">
        <f>"30482021060211210172920"</f>
        <v>30482021060211210172920</v>
      </c>
      <c r="C429" s="6" t="s">
        <v>1128</v>
      </c>
      <c r="D429" s="6" t="str">
        <f>"杨小惠"</f>
        <v>杨小惠</v>
      </c>
      <c r="E429" s="6" t="str">
        <f t="shared" si="16"/>
        <v>女</v>
      </c>
      <c r="F429" s="7" t="s">
        <v>134</v>
      </c>
    </row>
    <row r="430" spans="1:6" ht="20.100000000000001" customHeight="1" x14ac:dyDescent="0.15">
      <c r="A430" s="5">
        <v>427</v>
      </c>
      <c r="B430" s="6" t="str">
        <f>"30482021060211225272934"</f>
        <v>30482021060211225272934</v>
      </c>
      <c r="C430" s="6" t="s">
        <v>1128</v>
      </c>
      <c r="D430" s="6" t="str">
        <f>"杨许诚"</f>
        <v>杨许诚</v>
      </c>
      <c r="E430" s="6" t="str">
        <f>"男"</f>
        <v>男</v>
      </c>
      <c r="F430" s="7" t="s">
        <v>1305</v>
      </c>
    </row>
    <row r="431" spans="1:6" ht="20.100000000000001" customHeight="1" x14ac:dyDescent="0.15">
      <c r="A431" s="5">
        <v>428</v>
      </c>
      <c r="B431" s="6" t="str">
        <f>"30482021060211281372984"</f>
        <v>30482021060211281372984</v>
      </c>
      <c r="C431" s="6" t="s">
        <v>1128</v>
      </c>
      <c r="D431" s="6" t="str">
        <f>"李书玉"</f>
        <v>李书玉</v>
      </c>
      <c r="E431" s="6" t="str">
        <f t="shared" ref="E431:E440" si="17">"女"</f>
        <v>女</v>
      </c>
      <c r="F431" s="7" t="s">
        <v>1306</v>
      </c>
    </row>
    <row r="432" spans="1:6" ht="20.100000000000001" customHeight="1" x14ac:dyDescent="0.15">
      <c r="A432" s="5">
        <v>429</v>
      </c>
      <c r="B432" s="6" t="str">
        <f>"30482021060211290872996"</f>
        <v>30482021060211290872996</v>
      </c>
      <c r="C432" s="6" t="s">
        <v>1128</v>
      </c>
      <c r="D432" s="6" t="str">
        <f>"张晓肖"</f>
        <v>张晓肖</v>
      </c>
      <c r="E432" s="6" t="str">
        <f t="shared" si="17"/>
        <v>女</v>
      </c>
      <c r="F432" s="7" t="s">
        <v>1069</v>
      </c>
    </row>
    <row r="433" spans="1:6" ht="20.100000000000001" customHeight="1" x14ac:dyDescent="0.15">
      <c r="A433" s="5">
        <v>430</v>
      </c>
      <c r="B433" s="6" t="str">
        <f>"30482021060211304573012"</f>
        <v>30482021060211304573012</v>
      </c>
      <c r="C433" s="6" t="s">
        <v>1128</v>
      </c>
      <c r="D433" s="6" t="str">
        <f>"莫泽婉"</f>
        <v>莫泽婉</v>
      </c>
      <c r="E433" s="6" t="str">
        <f t="shared" si="17"/>
        <v>女</v>
      </c>
      <c r="F433" s="7" t="s">
        <v>1294</v>
      </c>
    </row>
    <row r="434" spans="1:6" ht="20.100000000000001" customHeight="1" x14ac:dyDescent="0.15">
      <c r="A434" s="5">
        <v>431</v>
      </c>
      <c r="B434" s="6" t="str">
        <f>"30482021060211305773016"</f>
        <v>30482021060211305773016</v>
      </c>
      <c r="C434" s="6" t="s">
        <v>1128</v>
      </c>
      <c r="D434" s="6" t="str">
        <f>"苏悦"</f>
        <v>苏悦</v>
      </c>
      <c r="E434" s="6" t="str">
        <f t="shared" si="17"/>
        <v>女</v>
      </c>
      <c r="F434" s="7" t="s">
        <v>1307</v>
      </c>
    </row>
    <row r="435" spans="1:6" ht="20.100000000000001" customHeight="1" x14ac:dyDescent="0.15">
      <c r="A435" s="5">
        <v>432</v>
      </c>
      <c r="B435" s="6" t="str">
        <f>"30482021060211325273033"</f>
        <v>30482021060211325273033</v>
      </c>
      <c r="C435" s="6" t="s">
        <v>1128</v>
      </c>
      <c r="D435" s="6" t="str">
        <f>"云彩艳"</f>
        <v>云彩艳</v>
      </c>
      <c r="E435" s="6" t="str">
        <f t="shared" si="17"/>
        <v>女</v>
      </c>
      <c r="F435" s="7" t="s">
        <v>1308</v>
      </c>
    </row>
    <row r="436" spans="1:6" ht="20.100000000000001" customHeight="1" x14ac:dyDescent="0.15">
      <c r="A436" s="5">
        <v>433</v>
      </c>
      <c r="B436" s="6" t="str">
        <f>"30482021060211331473036"</f>
        <v>30482021060211331473036</v>
      </c>
      <c r="C436" s="6" t="s">
        <v>1128</v>
      </c>
      <c r="D436" s="6" t="str">
        <f>"文新芬"</f>
        <v>文新芬</v>
      </c>
      <c r="E436" s="6" t="str">
        <f t="shared" si="17"/>
        <v>女</v>
      </c>
      <c r="F436" s="7" t="s">
        <v>1309</v>
      </c>
    </row>
    <row r="437" spans="1:6" ht="20.100000000000001" customHeight="1" x14ac:dyDescent="0.15">
      <c r="A437" s="5">
        <v>434</v>
      </c>
      <c r="B437" s="6" t="str">
        <f>"30482021060211335073041"</f>
        <v>30482021060211335073041</v>
      </c>
      <c r="C437" s="6" t="s">
        <v>1128</v>
      </c>
      <c r="D437" s="6" t="str">
        <f>"郭江丹"</f>
        <v>郭江丹</v>
      </c>
      <c r="E437" s="6" t="str">
        <f t="shared" si="17"/>
        <v>女</v>
      </c>
      <c r="F437" s="7" t="s">
        <v>157</v>
      </c>
    </row>
    <row r="438" spans="1:6" ht="20.100000000000001" customHeight="1" x14ac:dyDescent="0.15">
      <c r="A438" s="5">
        <v>435</v>
      </c>
      <c r="B438" s="6" t="str">
        <f>"30482021060211410373122"</f>
        <v>30482021060211410373122</v>
      </c>
      <c r="C438" s="6" t="s">
        <v>1128</v>
      </c>
      <c r="D438" s="6" t="str">
        <f>"王佳欣"</f>
        <v>王佳欣</v>
      </c>
      <c r="E438" s="6" t="str">
        <f t="shared" si="17"/>
        <v>女</v>
      </c>
      <c r="F438" s="7" t="s">
        <v>887</v>
      </c>
    </row>
    <row r="439" spans="1:6" ht="20.100000000000001" customHeight="1" x14ac:dyDescent="0.15">
      <c r="A439" s="5">
        <v>436</v>
      </c>
      <c r="B439" s="6" t="str">
        <f>"30482021060211422773135"</f>
        <v>30482021060211422773135</v>
      </c>
      <c r="C439" s="6" t="s">
        <v>1128</v>
      </c>
      <c r="D439" s="6" t="str">
        <f>"林桂香"</f>
        <v>林桂香</v>
      </c>
      <c r="E439" s="6" t="str">
        <f t="shared" si="17"/>
        <v>女</v>
      </c>
      <c r="F439" s="7" t="s">
        <v>328</v>
      </c>
    </row>
    <row r="440" spans="1:6" ht="20.100000000000001" customHeight="1" x14ac:dyDescent="0.15">
      <c r="A440" s="5">
        <v>437</v>
      </c>
      <c r="B440" s="6" t="str">
        <f>"30482021060211443473154"</f>
        <v>30482021060211443473154</v>
      </c>
      <c r="C440" s="6" t="s">
        <v>1128</v>
      </c>
      <c r="D440" s="6" t="str">
        <f>"周思萌"</f>
        <v>周思萌</v>
      </c>
      <c r="E440" s="6" t="str">
        <f t="shared" si="17"/>
        <v>女</v>
      </c>
      <c r="F440" s="7" t="s">
        <v>338</v>
      </c>
    </row>
    <row r="441" spans="1:6" ht="20.100000000000001" customHeight="1" x14ac:dyDescent="0.15">
      <c r="A441" s="5">
        <v>438</v>
      </c>
      <c r="B441" s="6" t="str">
        <f>"30482021060211465273176"</f>
        <v>30482021060211465273176</v>
      </c>
      <c r="C441" s="6" t="s">
        <v>1128</v>
      </c>
      <c r="D441" s="6" t="str">
        <f>"王啟鉴"</f>
        <v>王啟鉴</v>
      </c>
      <c r="E441" s="6" t="str">
        <f>"男"</f>
        <v>男</v>
      </c>
      <c r="F441" s="7" t="s">
        <v>1310</v>
      </c>
    </row>
    <row r="442" spans="1:6" ht="20.100000000000001" customHeight="1" x14ac:dyDescent="0.15">
      <c r="A442" s="5">
        <v>439</v>
      </c>
      <c r="B442" s="6" t="str">
        <f>"30482021060211475973188"</f>
        <v>30482021060211475973188</v>
      </c>
      <c r="C442" s="6" t="s">
        <v>1128</v>
      </c>
      <c r="D442" s="6" t="str">
        <f>"冯小玉"</f>
        <v>冯小玉</v>
      </c>
      <c r="E442" s="6" t="str">
        <f t="shared" ref="E442:E469" si="18">"女"</f>
        <v>女</v>
      </c>
      <c r="F442" s="7" t="s">
        <v>1311</v>
      </c>
    </row>
    <row r="443" spans="1:6" ht="20.100000000000001" customHeight="1" x14ac:dyDescent="0.15">
      <c r="A443" s="5">
        <v>440</v>
      </c>
      <c r="B443" s="6" t="str">
        <f>"30482021060211503173213"</f>
        <v>30482021060211503173213</v>
      </c>
      <c r="C443" s="6" t="s">
        <v>1128</v>
      </c>
      <c r="D443" s="6" t="str">
        <f>"吴欢"</f>
        <v>吴欢</v>
      </c>
      <c r="E443" s="6" t="str">
        <f t="shared" si="18"/>
        <v>女</v>
      </c>
      <c r="F443" s="7" t="s">
        <v>486</v>
      </c>
    </row>
    <row r="444" spans="1:6" ht="20.100000000000001" customHeight="1" x14ac:dyDescent="0.15">
      <c r="A444" s="5">
        <v>441</v>
      </c>
      <c r="B444" s="6" t="str">
        <f>"30482021060211520173224"</f>
        <v>30482021060211520173224</v>
      </c>
      <c r="C444" s="6" t="s">
        <v>1128</v>
      </c>
      <c r="D444" s="6" t="str">
        <f>"王捷"</f>
        <v>王捷</v>
      </c>
      <c r="E444" s="6" t="str">
        <f t="shared" si="18"/>
        <v>女</v>
      </c>
      <c r="F444" s="7" t="s">
        <v>1184</v>
      </c>
    </row>
    <row r="445" spans="1:6" ht="20.100000000000001" customHeight="1" x14ac:dyDescent="0.15">
      <c r="A445" s="5">
        <v>442</v>
      </c>
      <c r="B445" s="6" t="str">
        <f>"30482021060211555773252"</f>
        <v>30482021060211555773252</v>
      </c>
      <c r="C445" s="6" t="s">
        <v>1128</v>
      </c>
      <c r="D445" s="6" t="str">
        <f>"陈春惠"</f>
        <v>陈春惠</v>
      </c>
      <c r="E445" s="6" t="str">
        <f t="shared" si="18"/>
        <v>女</v>
      </c>
      <c r="F445" s="7" t="s">
        <v>529</v>
      </c>
    </row>
    <row r="446" spans="1:6" ht="20.100000000000001" customHeight="1" x14ac:dyDescent="0.15">
      <c r="A446" s="5">
        <v>443</v>
      </c>
      <c r="B446" s="6" t="str">
        <f>"30482021060212004473281"</f>
        <v>30482021060212004473281</v>
      </c>
      <c r="C446" s="6" t="s">
        <v>1128</v>
      </c>
      <c r="D446" s="6" t="str">
        <f>"陈欣玫"</f>
        <v>陈欣玫</v>
      </c>
      <c r="E446" s="6" t="str">
        <f t="shared" si="18"/>
        <v>女</v>
      </c>
      <c r="F446" s="7" t="s">
        <v>620</v>
      </c>
    </row>
    <row r="447" spans="1:6" ht="20.100000000000001" customHeight="1" x14ac:dyDescent="0.15">
      <c r="A447" s="5">
        <v>444</v>
      </c>
      <c r="B447" s="6" t="str">
        <f>"30482021060212023173290"</f>
        <v>30482021060212023173290</v>
      </c>
      <c r="C447" s="6" t="s">
        <v>1128</v>
      </c>
      <c r="D447" s="6" t="str">
        <f>"何彩雁"</f>
        <v>何彩雁</v>
      </c>
      <c r="E447" s="6" t="str">
        <f t="shared" si="18"/>
        <v>女</v>
      </c>
      <c r="F447" s="7" t="s">
        <v>1312</v>
      </c>
    </row>
    <row r="448" spans="1:6" ht="20.100000000000001" customHeight="1" x14ac:dyDescent="0.15">
      <c r="A448" s="5">
        <v>445</v>
      </c>
      <c r="B448" s="6" t="str">
        <f>"30482021060212070573321"</f>
        <v>30482021060212070573321</v>
      </c>
      <c r="C448" s="6" t="s">
        <v>1128</v>
      </c>
      <c r="D448" s="6" t="str">
        <f>"林立湲"</f>
        <v>林立湲</v>
      </c>
      <c r="E448" s="6" t="str">
        <f t="shared" si="18"/>
        <v>女</v>
      </c>
      <c r="F448" s="7" t="s">
        <v>284</v>
      </c>
    </row>
    <row r="449" spans="1:6" ht="20.100000000000001" customHeight="1" x14ac:dyDescent="0.15">
      <c r="A449" s="5">
        <v>446</v>
      </c>
      <c r="B449" s="6" t="str">
        <f>"30482021060212095473345"</f>
        <v>30482021060212095473345</v>
      </c>
      <c r="C449" s="6" t="s">
        <v>1128</v>
      </c>
      <c r="D449" s="6" t="str">
        <f>"蒙慧丽"</f>
        <v>蒙慧丽</v>
      </c>
      <c r="E449" s="6" t="str">
        <f t="shared" si="18"/>
        <v>女</v>
      </c>
      <c r="F449" s="7" t="s">
        <v>1313</v>
      </c>
    </row>
    <row r="450" spans="1:6" ht="20.100000000000001" customHeight="1" x14ac:dyDescent="0.15">
      <c r="A450" s="5">
        <v>447</v>
      </c>
      <c r="B450" s="6" t="str">
        <f>"30482021060212095873348"</f>
        <v>30482021060212095873348</v>
      </c>
      <c r="C450" s="6" t="s">
        <v>1128</v>
      </c>
      <c r="D450" s="6" t="str">
        <f>"符岚紫"</f>
        <v>符岚紫</v>
      </c>
      <c r="E450" s="6" t="str">
        <f t="shared" si="18"/>
        <v>女</v>
      </c>
      <c r="F450" s="7" t="s">
        <v>1314</v>
      </c>
    </row>
    <row r="451" spans="1:6" ht="20.100000000000001" customHeight="1" x14ac:dyDescent="0.15">
      <c r="A451" s="5">
        <v>448</v>
      </c>
      <c r="B451" s="6" t="str">
        <f>"30482021060212112673358"</f>
        <v>30482021060212112673358</v>
      </c>
      <c r="C451" s="6" t="s">
        <v>1128</v>
      </c>
      <c r="D451" s="6" t="str">
        <f>"卢香奕"</f>
        <v>卢香奕</v>
      </c>
      <c r="E451" s="6" t="str">
        <f t="shared" si="18"/>
        <v>女</v>
      </c>
      <c r="F451" s="7" t="s">
        <v>1315</v>
      </c>
    </row>
    <row r="452" spans="1:6" ht="20.100000000000001" customHeight="1" x14ac:dyDescent="0.15">
      <c r="A452" s="5">
        <v>449</v>
      </c>
      <c r="B452" s="6" t="str">
        <f>"30482021060212124573369"</f>
        <v>30482021060212124573369</v>
      </c>
      <c r="C452" s="6" t="s">
        <v>1128</v>
      </c>
      <c r="D452" s="6" t="str">
        <f>"陈小慧"</f>
        <v>陈小慧</v>
      </c>
      <c r="E452" s="6" t="str">
        <f t="shared" si="18"/>
        <v>女</v>
      </c>
      <c r="F452" s="7" t="s">
        <v>1134</v>
      </c>
    </row>
    <row r="453" spans="1:6" ht="20.100000000000001" customHeight="1" x14ac:dyDescent="0.15">
      <c r="A453" s="5">
        <v>450</v>
      </c>
      <c r="B453" s="6" t="str">
        <f>"30482021060212183373410"</f>
        <v>30482021060212183373410</v>
      </c>
      <c r="C453" s="6" t="s">
        <v>1128</v>
      </c>
      <c r="D453" s="6" t="str">
        <f>"符会蕊"</f>
        <v>符会蕊</v>
      </c>
      <c r="E453" s="6" t="str">
        <f t="shared" si="18"/>
        <v>女</v>
      </c>
      <c r="F453" s="7" t="s">
        <v>1316</v>
      </c>
    </row>
    <row r="454" spans="1:6" ht="20.100000000000001" customHeight="1" x14ac:dyDescent="0.15">
      <c r="A454" s="5">
        <v>451</v>
      </c>
      <c r="B454" s="6" t="str">
        <f>"30482021060212185073415"</f>
        <v>30482021060212185073415</v>
      </c>
      <c r="C454" s="6" t="s">
        <v>1128</v>
      </c>
      <c r="D454" s="6" t="str">
        <f>"李丽霞"</f>
        <v>李丽霞</v>
      </c>
      <c r="E454" s="6" t="str">
        <f t="shared" si="18"/>
        <v>女</v>
      </c>
      <c r="F454" s="7" t="s">
        <v>1317</v>
      </c>
    </row>
    <row r="455" spans="1:6" ht="20.100000000000001" customHeight="1" x14ac:dyDescent="0.15">
      <c r="A455" s="5">
        <v>452</v>
      </c>
      <c r="B455" s="6" t="str">
        <f>"30482021060212201873426"</f>
        <v>30482021060212201873426</v>
      </c>
      <c r="C455" s="6" t="s">
        <v>1128</v>
      </c>
      <c r="D455" s="6" t="str">
        <f>"唐慧"</f>
        <v>唐慧</v>
      </c>
      <c r="E455" s="6" t="str">
        <f t="shared" si="18"/>
        <v>女</v>
      </c>
      <c r="F455" s="7" t="s">
        <v>318</v>
      </c>
    </row>
    <row r="456" spans="1:6" ht="20.100000000000001" customHeight="1" x14ac:dyDescent="0.15">
      <c r="A456" s="5">
        <v>453</v>
      </c>
      <c r="B456" s="6" t="str">
        <f>"30482021060212203273431"</f>
        <v>30482021060212203273431</v>
      </c>
      <c r="C456" s="6" t="s">
        <v>1128</v>
      </c>
      <c r="D456" s="6" t="str">
        <f>"王秋雨"</f>
        <v>王秋雨</v>
      </c>
      <c r="E456" s="6" t="str">
        <f t="shared" si="18"/>
        <v>女</v>
      </c>
      <c r="F456" s="7" t="s">
        <v>1318</v>
      </c>
    </row>
    <row r="457" spans="1:6" ht="20.100000000000001" customHeight="1" x14ac:dyDescent="0.15">
      <c r="A457" s="5">
        <v>454</v>
      </c>
      <c r="B457" s="6" t="str">
        <f>"30482021060212211673437"</f>
        <v>30482021060212211673437</v>
      </c>
      <c r="C457" s="6" t="s">
        <v>1128</v>
      </c>
      <c r="D457" s="6" t="str">
        <f>"陈小丹"</f>
        <v>陈小丹</v>
      </c>
      <c r="E457" s="6" t="str">
        <f t="shared" si="18"/>
        <v>女</v>
      </c>
      <c r="F457" s="7" t="s">
        <v>99</v>
      </c>
    </row>
    <row r="458" spans="1:6" ht="20.100000000000001" customHeight="1" x14ac:dyDescent="0.15">
      <c r="A458" s="5">
        <v>455</v>
      </c>
      <c r="B458" s="6" t="str">
        <f>"30482021060212212573439"</f>
        <v>30482021060212212573439</v>
      </c>
      <c r="C458" s="6" t="s">
        <v>1128</v>
      </c>
      <c r="D458" s="6" t="str">
        <f>"何雨欣"</f>
        <v>何雨欣</v>
      </c>
      <c r="E458" s="6" t="str">
        <f t="shared" si="18"/>
        <v>女</v>
      </c>
      <c r="F458" s="7" t="s">
        <v>30</v>
      </c>
    </row>
    <row r="459" spans="1:6" ht="20.100000000000001" customHeight="1" x14ac:dyDescent="0.15">
      <c r="A459" s="5">
        <v>456</v>
      </c>
      <c r="B459" s="6" t="str">
        <f>"30482021060212221073447"</f>
        <v>30482021060212221073447</v>
      </c>
      <c r="C459" s="6" t="s">
        <v>1128</v>
      </c>
      <c r="D459" s="6" t="str">
        <f>"王智芳"</f>
        <v>王智芳</v>
      </c>
      <c r="E459" s="6" t="str">
        <f t="shared" si="18"/>
        <v>女</v>
      </c>
      <c r="F459" s="7" t="s">
        <v>38</v>
      </c>
    </row>
    <row r="460" spans="1:6" ht="20.100000000000001" customHeight="1" x14ac:dyDescent="0.15">
      <c r="A460" s="5">
        <v>457</v>
      </c>
      <c r="B460" s="6" t="str">
        <f>"30482021060212233173453"</f>
        <v>30482021060212233173453</v>
      </c>
      <c r="C460" s="6" t="s">
        <v>1128</v>
      </c>
      <c r="D460" s="6" t="str">
        <f>"王铮钰"</f>
        <v>王铮钰</v>
      </c>
      <c r="E460" s="6" t="str">
        <f t="shared" si="18"/>
        <v>女</v>
      </c>
      <c r="F460" s="7" t="s">
        <v>143</v>
      </c>
    </row>
    <row r="461" spans="1:6" ht="20.100000000000001" customHeight="1" x14ac:dyDescent="0.15">
      <c r="A461" s="5">
        <v>458</v>
      </c>
      <c r="B461" s="6" t="str">
        <f>"30482021060212243973465"</f>
        <v>30482021060212243973465</v>
      </c>
      <c r="C461" s="6" t="s">
        <v>1128</v>
      </c>
      <c r="D461" s="6" t="str">
        <f>"卢周莹"</f>
        <v>卢周莹</v>
      </c>
      <c r="E461" s="6" t="str">
        <f t="shared" si="18"/>
        <v>女</v>
      </c>
      <c r="F461" s="7" t="s">
        <v>396</v>
      </c>
    </row>
    <row r="462" spans="1:6" ht="20.100000000000001" customHeight="1" x14ac:dyDescent="0.15">
      <c r="A462" s="5">
        <v>459</v>
      </c>
      <c r="B462" s="6" t="str">
        <f>"30482021060212314073533"</f>
        <v>30482021060212314073533</v>
      </c>
      <c r="C462" s="6" t="s">
        <v>1128</v>
      </c>
      <c r="D462" s="6" t="str">
        <f>"符丹蕊"</f>
        <v>符丹蕊</v>
      </c>
      <c r="E462" s="6" t="str">
        <f t="shared" si="18"/>
        <v>女</v>
      </c>
      <c r="F462" s="7" t="s">
        <v>496</v>
      </c>
    </row>
    <row r="463" spans="1:6" ht="20.100000000000001" customHeight="1" x14ac:dyDescent="0.15">
      <c r="A463" s="5">
        <v>460</v>
      </c>
      <c r="B463" s="6" t="str">
        <f>"30482021060212380073600"</f>
        <v>30482021060212380073600</v>
      </c>
      <c r="C463" s="6" t="s">
        <v>1128</v>
      </c>
      <c r="D463" s="6" t="str">
        <f>"谭学晶"</f>
        <v>谭学晶</v>
      </c>
      <c r="E463" s="6" t="str">
        <f t="shared" si="18"/>
        <v>女</v>
      </c>
      <c r="F463" s="7" t="s">
        <v>429</v>
      </c>
    </row>
    <row r="464" spans="1:6" ht="20.100000000000001" customHeight="1" x14ac:dyDescent="0.15">
      <c r="A464" s="5">
        <v>461</v>
      </c>
      <c r="B464" s="6" t="str">
        <f>"30482021060212383973610"</f>
        <v>30482021060212383973610</v>
      </c>
      <c r="C464" s="6" t="s">
        <v>1128</v>
      </c>
      <c r="D464" s="6" t="str">
        <f>"符贵春"</f>
        <v>符贵春</v>
      </c>
      <c r="E464" s="6" t="str">
        <f t="shared" si="18"/>
        <v>女</v>
      </c>
      <c r="F464" s="7" t="s">
        <v>293</v>
      </c>
    </row>
    <row r="465" spans="1:6" ht="20.100000000000001" customHeight="1" x14ac:dyDescent="0.15">
      <c r="A465" s="5">
        <v>462</v>
      </c>
      <c r="B465" s="6" t="str">
        <f>"30482021060212424073649"</f>
        <v>30482021060212424073649</v>
      </c>
      <c r="C465" s="6" t="s">
        <v>1128</v>
      </c>
      <c r="D465" s="6" t="str">
        <f>"符曼青"</f>
        <v>符曼青</v>
      </c>
      <c r="E465" s="6" t="str">
        <f t="shared" si="18"/>
        <v>女</v>
      </c>
      <c r="F465" s="7" t="s">
        <v>1319</v>
      </c>
    </row>
    <row r="466" spans="1:6" ht="20.100000000000001" customHeight="1" x14ac:dyDescent="0.15">
      <c r="A466" s="5">
        <v>463</v>
      </c>
      <c r="B466" s="6" t="str">
        <f>"30482021060212430073656"</f>
        <v>30482021060212430073656</v>
      </c>
      <c r="C466" s="6" t="s">
        <v>1128</v>
      </c>
      <c r="D466" s="6" t="str">
        <f>"王皇姑"</f>
        <v>王皇姑</v>
      </c>
      <c r="E466" s="6" t="str">
        <f t="shared" si="18"/>
        <v>女</v>
      </c>
      <c r="F466" s="7" t="s">
        <v>488</v>
      </c>
    </row>
    <row r="467" spans="1:6" ht="20.100000000000001" customHeight="1" x14ac:dyDescent="0.15">
      <c r="A467" s="5">
        <v>464</v>
      </c>
      <c r="B467" s="6" t="str">
        <f>"30482021060212472273681"</f>
        <v>30482021060212472273681</v>
      </c>
      <c r="C467" s="6" t="s">
        <v>1128</v>
      </c>
      <c r="D467" s="6" t="str">
        <f>"庄丽莹"</f>
        <v>庄丽莹</v>
      </c>
      <c r="E467" s="6" t="str">
        <f t="shared" si="18"/>
        <v>女</v>
      </c>
      <c r="F467" s="7" t="s">
        <v>1320</v>
      </c>
    </row>
    <row r="468" spans="1:6" ht="20.100000000000001" customHeight="1" x14ac:dyDescent="0.15">
      <c r="A468" s="5">
        <v>465</v>
      </c>
      <c r="B468" s="6" t="str">
        <f>"30482021060212562573741"</f>
        <v>30482021060212562573741</v>
      </c>
      <c r="C468" s="6" t="s">
        <v>1128</v>
      </c>
      <c r="D468" s="6" t="str">
        <f>"余鼎鼎"</f>
        <v>余鼎鼎</v>
      </c>
      <c r="E468" s="6" t="str">
        <f t="shared" si="18"/>
        <v>女</v>
      </c>
      <c r="F468" s="7" t="s">
        <v>987</v>
      </c>
    </row>
    <row r="469" spans="1:6" ht="20.100000000000001" customHeight="1" x14ac:dyDescent="0.15">
      <c r="A469" s="5">
        <v>466</v>
      </c>
      <c r="B469" s="6" t="str">
        <f>"30482021060213011073778"</f>
        <v>30482021060213011073778</v>
      </c>
      <c r="C469" s="6" t="s">
        <v>1128</v>
      </c>
      <c r="D469" s="6" t="str">
        <f>"李庆怡"</f>
        <v>李庆怡</v>
      </c>
      <c r="E469" s="6" t="str">
        <f t="shared" si="18"/>
        <v>女</v>
      </c>
      <c r="F469" s="7" t="s">
        <v>474</v>
      </c>
    </row>
    <row r="470" spans="1:6" ht="20.100000000000001" customHeight="1" x14ac:dyDescent="0.15">
      <c r="A470" s="5">
        <v>467</v>
      </c>
      <c r="B470" s="6" t="str">
        <f>"30482021060213044773811"</f>
        <v>30482021060213044773811</v>
      </c>
      <c r="C470" s="6" t="s">
        <v>1128</v>
      </c>
      <c r="D470" s="6" t="str">
        <f>"梁其隆"</f>
        <v>梁其隆</v>
      </c>
      <c r="E470" s="6" t="str">
        <f>"男"</f>
        <v>男</v>
      </c>
      <c r="F470" s="7" t="s">
        <v>1321</v>
      </c>
    </row>
    <row r="471" spans="1:6" ht="20.100000000000001" customHeight="1" x14ac:dyDescent="0.15">
      <c r="A471" s="5">
        <v>468</v>
      </c>
      <c r="B471" s="6" t="str">
        <f>"30482021060213074273840"</f>
        <v>30482021060213074273840</v>
      </c>
      <c r="C471" s="6" t="s">
        <v>1128</v>
      </c>
      <c r="D471" s="6" t="str">
        <f>"吴芳娃"</f>
        <v>吴芳娃</v>
      </c>
      <c r="E471" s="6" t="str">
        <f t="shared" ref="E471:E504" si="19">"女"</f>
        <v>女</v>
      </c>
      <c r="F471" s="7" t="s">
        <v>1322</v>
      </c>
    </row>
    <row r="472" spans="1:6" ht="20.100000000000001" customHeight="1" x14ac:dyDescent="0.15">
      <c r="A472" s="5">
        <v>469</v>
      </c>
      <c r="B472" s="6" t="str">
        <f>"30482021060213075273844"</f>
        <v>30482021060213075273844</v>
      </c>
      <c r="C472" s="6" t="s">
        <v>1128</v>
      </c>
      <c r="D472" s="6" t="str">
        <f>"陈文静"</f>
        <v>陈文静</v>
      </c>
      <c r="E472" s="6" t="str">
        <f t="shared" si="19"/>
        <v>女</v>
      </c>
      <c r="F472" s="7" t="s">
        <v>1323</v>
      </c>
    </row>
    <row r="473" spans="1:6" ht="20.100000000000001" customHeight="1" x14ac:dyDescent="0.15">
      <c r="A473" s="5">
        <v>470</v>
      </c>
      <c r="B473" s="6" t="str">
        <f>"30482021060213081573849"</f>
        <v>30482021060213081573849</v>
      </c>
      <c r="C473" s="6" t="s">
        <v>1128</v>
      </c>
      <c r="D473" s="6" t="str">
        <f>"文妙柔"</f>
        <v>文妙柔</v>
      </c>
      <c r="E473" s="6" t="str">
        <f t="shared" si="19"/>
        <v>女</v>
      </c>
      <c r="F473" s="7" t="s">
        <v>654</v>
      </c>
    </row>
    <row r="474" spans="1:6" ht="20.100000000000001" customHeight="1" x14ac:dyDescent="0.15">
      <c r="A474" s="5">
        <v>471</v>
      </c>
      <c r="B474" s="6" t="str">
        <f>"30482021060213105273866"</f>
        <v>30482021060213105273866</v>
      </c>
      <c r="C474" s="6" t="s">
        <v>1128</v>
      </c>
      <c r="D474" s="6" t="str">
        <f>"陈楚楚"</f>
        <v>陈楚楚</v>
      </c>
      <c r="E474" s="6" t="str">
        <f t="shared" si="19"/>
        <v>女</v>
      </c>
      <c r="F474" s="7" t="s">
        <v>1324</v>
      </c>
    </row>
    <row r="475" spans="1:6" ht="20.100000000000001" customHeight="1" x14ac:dyDescent="0.15">
      <c r="A475" s="5">
        <v>472</v>
      </c>
      <c r="B475" s="6" t="str">
        <f>"30482021060213202273931"</f>
        <v>30482021060213202273931</v>
      </c>
      <c r="C475" s="6" t="s">
        <v>1128</v>
      </c>
      <c r="D475" s="6" t="str">
        <f>"林华影"</f>
        <v>林华影</v>
      </c>
      <c r="E475" s="6" t="str">
        <f t="shared" si="19"/>
        <v>女</v>
      </c>
      <c r="F475" s="7" t="s">
        <v>551</v>
      </c>
    </row>
    <row r="476" spans="1:6" ht="20.100000000000001" customHeight="1" x14ac:dyDescent="0.15">
      <c r="A476" s="5">
        <v>473</v>
      </c>
      <c r="B476" s="6" t="str">
        <f>"30482021060213230073950"</f>
        <v>30482021060213230073950</v>
      </c>
      <c r="C476" s="6" t="s">
        <v>1128</v>
      </c>
      <c r="D476" s="6" t="str">
        <f>"张祺"</f>
        <v>张祺</v>
      </c>
      <c r="E476" s="6" t="str">
        <f t="shared" si="19"/>
        <v>女</v>
      </c>
      <c r="F476" s="7" t="s">
        <v>140</v>
      </c>
    </row>
    <row r="477" spans="1:6" ht="20.100000000000001" customHeight="1" x14ac:dyDescent="0.15">
      <c r="A477" s="5">
        <v>474</v>
      </c>
      <c r="B477" s="6" t="str">
        <f>"30482021060213235173952"</f>
        <v>30482021060213235173952</v>
      </c>
      <c r="C477" s="6" t="s">
        <v>1128</v>
      </c>
      <c r="D477" s="6" t="str">
        <f>"李元花"</f>
        <v>李元花</v>
      </c>
      <c r="E477" s="6" t="str">
        <f t="shared" si="19"/>
        <v>女</v>
      </c>
      <c r="F477" s="7" t="s">
        <v>74</v>
      </c>
    </row>
    <row r="478" spans="1:6" ht="20.100000000000001" customHeight="1" x14ac:dyDescent="0.15">
      <c r="A478" s="5">
        <v>475</v>
      </c>
      <c r="B478" s="6" t="str">
        <f>"30482021060213361874036"</f>
        <v>30482021060213361874036</v>
      </c>
      <c r="C478" s="6" t="s">
        <v>1128</v>
      </c>
      <c r="D478" s="6" t="str">
        <f>"王小芬"</f>
        <v>王小芬</v>
      </c>
      <c r="E478" s="6" t="str">
        <f t="shared" si="19"/>
        <v>女</v>
      </c>
      <c r="F478" s="7" t="s">
        <v>384</v>
      </c>
    </row>
    <row r="479" spans="1:6" ht="20.100000000000001" customHeight="1" x14ac:dyDescent="0.15">
      <c r="A479" s="5">
        <v>476</v>
      </c>
      <c r="B479" s="6" t="str">
        <f>"30482021060213434974067"</f>
        <v>30482021060213434974067</v>
      </c>
      <c r="C479" s="6" t="s">
        <v>1128</v>
      </c>
      <c r="D479" s="6" t="str">
        <f>"麦淑珍"</f>
        <v>麦淑珍</v>
      </c>
      <c r="E479" s="6" t="str">
        <f t="shared" si="19"/>
        <v>女</v>
      </c>
      <c r="F479" s="7" t="s">
        <v>194</v>
      </c>
    </row>
    <row r="480" spans="1:6" ht="20.100000000000001" customHeight="1" x14ac:dyDescent="0.15">
      <c r="A480" s="5">
        <v>477</v>
      </c>
      <c r="B480" s="6" t="str">
        <f>"30482021060213483774095"</f>
        <v>30482021060213483774095</v>
      </c>
      <c r="C480" s="6" t="s">
        <v>1128</v>
      </c>
      <c r="D480" s="6" t="str">
        <f>"张小莉"</f>
        <v>张小莉</v>
      </c>
      <c r="E480" s="6" t="str">
        <f t="shared" si="19"/>
        <v>女</v>
      </c>
      <c r="F480" s="7" t="s">
        <v>1007</v>
      </c>
    </row>
    <row r="481" spans="1:6" ht="20.100000000000001" customHeight="1" x14ac:dyDescent="0.15">
      <c r="A481" s="5">
        <v>478</v>
      </c>
      <c r="B481" s="6" t="str">
        <f>"30482021060213532574114"</f>
        <v>30482021060213532574114</v>
      </c>
      <c r="C481" s="6" t="s">
        <v>1128</v>
      </c>
      <c r="D481" s="6" t="str">
        <f>"曾平婷"</f>
        <v>曾平婷</v>
      </c>
      <c r="E481" s="6" t="str">
        <f t="shared" si="19"/>
        <v>女</v>
      </c>
      <c r="F481" s="7" t="s">
        <v>1080</v>
      </c>
    </row>
    <row r="482" spans="1:6" ht="20.100000000000001" customHeight="1" x14ac:dyDescent="0.15">
      <c r="A482" s="5">
        <v>479</v>
      </c>
      <c r="B482" s="6" t="str">
        <f>"30482021060213542674121"</f>
        <v>30482021060213542674121</v>
      </c>
      <c r="C482" s="6" t="s">
        <v>1128</v>
      </c>
      <c r="D482" s="6" t="str">
        <f>"冯本吹"</f>
        <v>冯本吹</v>
      </c>
      <c r="E482" s="6" t="str">
        <f t="shared" si="19"/>
        <v>女</v>
      </c>
      <c r="F482" s="7" t="s">
        <v>1325</v>
      </c>
    </row>
    <row r="483" spans="1:6" ht="20.100000000000001" customHeight="1" x14ac:dyDescent="0.15">
      <c r="A483" s="5">
        <v>480</v>
      </c>
      <c r="B483" s="6" t="str">
        <f>"30482021060213555674131"</f>
        <v>30482021060213555674131</v>
      </c>
      <c r="C483" s="6" t="s">
        <v>1128</v>
      </c>
      <c r="D483" s="6" t="str">
        <f>"吴文婷"</f>
        <v>吴文婷</v>
      </c>
      <c r="E483" s="6" t="str">
        <f t="shared" si="19"/>
        <v>女</v>
      </c>
      <c r="F483" s="7" t="s">
        <v>552</v>
      </c>
    </row>
    <row r="484" spans="1:6" ht="20.100000000000001" customHeight="1" x14ac:dyDescent="0.15">
      <c r="A484" s="5">
        <v>481</v>
      </c>
      <c r="B484" s="6" t="str">
        <f>"30482021060213571374142"</f>
        <v>30482021060213571374142</v>
      </c>
      <c r="C484" s="6" t="s">
        <v>1128</v>
      </c>
      <c r="D484" s="6" t="str">
        <f>"黄依"</f>
        <v>黄依</v>
      </c>
      <c r="E484" s="6" t="str">
        <f t="shared" si="19"/>
        <v>女</v>
      </c>
      <c r="F484" s="7" t="s">
        <v>1326</v>
      </c>
    </row>
    <row r="485" spans="1:6" ht="20.100000000000001" customHeight="1" x14ac:dyDescent="0.15">
      <c r="A485" s="5">
        <v>482</v>
      </c>
      <c r="B485" s="6" t="str">
        <f>"30482021060214155774234"</f>
        <v>30482021060214155774234</v>
      </c>
      <c r="C485" s="6" t="s">
        <v>1128</v>
      </c>
      <c r="D485" s="6" t="str">
        <f>"卢炳欣"</f>
        <v>卢炳欣</v>
      </c>
      <c r="E485" s="6" t="str">
        <f t="shared" si="19"/>
        <v>女</v>
      </c>
      <c r="F485" s="7" t="s">
        <v>1327</v>
      </c>
    </row>
    <row r="486" spans="1:6" ht="20.100000000000001" customHeight="1" x14ac:dyDescent="0.15">
      <c r="A486" s="5">
        <v>483</v>
      </c>
      <c r="B486" s="6" t="str">
        <f>"30482021060214175074245"</f>
        <v>30482021060214175074245</v>
      </c>
      <c r="C486" s="6" t="s">
        <v>1128</v>
      </c>
      <c r="D486" s="6" t="str">
        <f>"唐皭琪"</f>
        <v>唐皭琪</v>
      </c>
      <c r="E486" s="6" t="str">
        <f t="shared" si="19"/>
        <v>女</v>
      </c>
      <c r="F486" s="7" t="s">
        <v>460</v>
      </c>
    </row>
    <row r="487" spans="1:6" ht="20.100000000000001" customHeight="1" x14ac:dyDescent="0.15">
      <c r="A487" s="5">
        <v>484</v>
      </c>
      <c r="B487" s="6" t="str">
        <f>"30482021060214262174289"</f>
        <v>30482021060214262174289</v>
      </c>
      <c r="C487" s="6" t="s">
        <v>1128</v>
      </c>
      <c r="D487" s="6" t="str">
        <f>"符惠真"</f>
        <v>符惠真</v>
      </c>
      <c r="E487" s="6" t="str">
        <f t="shared" si="19"/>
        <v>女</v>
      </c>
      <c r="F487" s="7" t="s">
        <v>486</v>
      </c>
    </row>
    <row r="488" spans="1:6" ht="20.100000000000001" customHeight="1" x14ac:dyDescent="0.15">
      <c r="A488" s="5">
        <v>485</v>
      </c>
      <c r="B488" s="6" t="str">
        <f>"30482021060214264674293"</f>
        <v>30482021060214264674293</v>
      </c>
      <c r="C488" s="6" t="s">
        <v>1128</v>
      </c>
      <c r="D488" s="6" t="str">
        <f>"陈小青"</f>
        <v>陈小青</v>
      </c>
      <c r="E488" s="6" t="str">
        <f t="shared" si="19"/>
        <v>女</v>
      </c>
      <c r="F488" s="7" t="s">
        <v>450</v>
      </c>
    </row>
    <row r="489" spans="1:6" ht="20.100000000000001" customHeight="1" x14ac:dyDescent="0.15">
      <c r="A489" s="5">
        <v>486</v>
      </c>
      <c r="B489" s="6" t="str">
        <f>"30482021060214321874333"</f>
        <v>30482021060214321874333</v>
      </c>
      <c r="C489" s="6" t="s">
        <v>1128</v>
      </c>
      <c r="D489" s="6" t="str">
        <f>"陈丽蓉"</f>
        <v>陈丽蓉</v>
      </c>
      <c r="E489" s="6" t="str">
        <f t="shared" si="19"/>
        <v>女</v>
      </c>
      <c r="F489" s="7" t="s">
        <v>1328</v>
      </c>
    </row>
    <row r="490" spans="1:6" ht="20.100000000000001" customHeight="1" x14ac:dyDescent="0.15">
      <c r="A490" s="5">
        <v>487</v>
      </c>
      <c r="B490" s="6" t="str">
        <f>"30482021060214353774361"</f>
        <v>30482021060214353774361</v>
      </c>
      <c r="C490" s="6" t="s">
        <v>1128</v>
      </c>
      <c r="D490" s="6" t="str">
        <f>"黄彩虹"</f>
        <v>黄彩虹</v>
      </c>
      <c r="E490" s="6" t="str">
        <f t="shared" si="19"/>
        <v>女</v>
      </c>
      <c r="F490" s="7" t="s">
        <v>1233</v>
      </c>
    </row>
    <row r="491" spans="1:6" ht="20.100000000000001" customHeight="1" x14ac:dyDescent="0.15">
      <c r="A491" s="5">
        <v>488</v>
      </c>
      <c r="B491" s="6" t="str">
        <f>"30482021060214363074369"</f>
        <v>30482021060214363074369</v>
      </c>
      <c r="C491" s="6" t="s">
        <v>1128</v>
      </c>
      <c r="D491" s="6" t="str">
        <f>"吴文君"</f>
        <v>吴文君</v>
      </c>
      <c r="E491" s="6" t="str">
        <f t="shared" si="19"/>
        <v>女</v>
      </c>
      <c r="F491" s="7" t="s">
        <v>1329</v>
      </c>
    </row>
    <row r="492" spans="1:6" ht="20.100000000000001" customHeight="1" x14ac:dyDescent="0.15">
      <c r="A492" s="5">
        <v>489</v>
      </c>
      <c r="B492" s="6" t="str">
        <f>"30482021060214382474380"</f>
        <v>30482021060214382474380</v>
      </c>
      <c r="C492" s="6" t="s">
        <v>1128</v>
      </c>
      <c r="D492" s="6" t="str">
        <f>"莫晓玲"</f>
        <v>莫晓玲</v>
      </c>
      <c r="E492" s="6" t="str">
        <f t="shared" si="19"/>
        <v>女</v>
      </c>
      <c r="F492" s="7" t="s">
        <v>985</v>
      </c>
    </row>
    <row r="493" spans="1:6" ht="20.100000000000001" customHeight="1" x14ac:dyDescent="0.15">
      <c r="A493" s="5">
        <v>490</v>
      </c>
      <c r="B493" s="6" t="str">
        <f>"30482021060214502174479"</f>
        <v>30482021060214502174479</v>
      </c>
      <c r="C493" s="6" t="s">
        <v>1128</v>
      </c>
      <c r="D493" s="6" t="str">
        <f>"陈梅"</f>
        <v>陈梅</v>
      </c>
      <c r="E493" s="6" t="str">
        <f t="shared" si="19"/>
        <v>女</v>
      </c>
      <c r="F493" s="7" t="s">
        <v>43</v>
      </c>
    </row>
    <row r="494" spans="1:6" ht="20.100000000000001" customHeight="1" x14ac:dyDescent="0.15">
      <c r="A494" s="5">
        <v>491</v>
      </c>
      <c r="B494" s="6" t="str">
        <f>"30482021060214512474498"</f>
        <v>30482021060214512474498</v>
      </c>
      <c r="C494" s="6" t="s">
        <v>1128</v>
      </c>
      <c r="D494" s="6" t="str">
        <f>"苏高运"</f>
        <v>苏高运</v>
      </c>
      <c r="E494" s="6" t="str">
        <f t="shared" si="19"/>
        <v>女</v>
      </c>
      <c r="F494" s="7" t="s">
        <v>1330</v>
      </c>
    </row>
    <row r="495" spans="1:6" ht="20.100000000000001" customHeight="1" x14ac:dyDescent="0.15">
      <c r="A495" s="5">
        <v>492</v>
      </c>
      <c r="B495" s="6" t="str">
        <f>"30482021060214562174541"</f>
        <v>30482021060214562174541</v>
      </c>
      <c r="C495" s="6" t="s">
        <v>1128</v>
      </c>
      <c r="D495" s="6" t="str">
        <f>"云琼雨"</f>
        <v>云琼雨</v>
      </c>
      <c r="E495" s="6" t="str">
        <f t="shared" si="19"/>
        <v>女</v>
      </c>
      <c r="F495" s="7" t="s">
        <v>530</v>
      </c>
    </row>
    <row r="496" spans="1:6" ht="20.100000000000001" customHeight="1" x14ac:dyDescent="0.15">
      <c r="A496" s="5">
        <v>493</v>
      </c>
      <c r="B496" s="6" t="str">
        <f>"30482021060214580574563"</f>
        <v>30482021060214580574563</v>
      </c>
      <c r="C496" s="6" t="s">
        <v>1128</v>
      </c>
      <c r="D496" s="6" t="str">
        <f>"陈清柳"</f>
        <v>陈清柳</v>
      </c>
      <c r="E496" s="6" t="str">
        <f t="shared" si="19"/>
        <v>女</v>
      </c>
      <c r="F496" s="7" t="s">
        <v>550</v>
      </c>
    </row>
    <row r="497" spans="1:6" ht="20.100000000000001" customHeight="1" x14ac:dyDescent="0.15">
      <c r="A497" s="5">
        <v>494</v>
      </c>
      <c r="B497" s="6" t="str">
        <f>"30482021060214581474565"</f>
        <v>30482021060214581474565</v>
      </c>
      <c r="C497" s="6" t="s">
        <v>1128</v>
      </c>
      <c r="D497" s="6" t="str">
        <f>"梁珊萍"</f>
        <v>梁珊萍</v>
      </c>
      <c r="E497" s="6" t="str">
        <f t="shared" si="19"/>
        <v>女</v>
      </c>
      <c r="F497" s="7" t="s">
        <v>91</v>
      </c>
    </row>
    <row r="498" spans="1:6" ht="20.100000000000001" customHeight="1" x14ac:dyDescent="0.15">
      <c r="A498" s="5">
        <v>495</v>
      </c>
      <c r="B498" s="6" t="str">
        <f>"30482021060214594574576"</f>
        <v>30482021060214594574576</v>
      </c>
      <c r="C498" s="6" t="s">
        <v>1128</v>
      </c>
      <c r="D498" s="6" t="str">
        <f>"黄白桦"</f>
        <v>黄白桦</v>
      </c>
      <c r="E498" s="6" t="str">
        <f t="shared" si="19"/>
        <v>女</v>
      </c>
      <c r="F498" s="7" t="s">
        <v>91</v>
      </c>
    </row>
    <row r="499" spans="1:6" ht="20.100000000000001" customHeight="1" x14ac:dyDescent="0.15">
      <c r="A499" s="5">
        <v>496</v>
      </c>
      <c r="B499" s="6" t="str">
        <f>"30482021060215043674629"</f>
        <v>30482021060215043674629</v>
      </c>
      <c r="C499" s="6" t="s">
        <v>1128</v>
      </c>
      <c r="D499" s="6" t="str">
        <f>"张肇莎"</f>
        <v>张肇莎</v>
      </c>
      <c r="E499" s="6" t="str">
        <f t="shared" si="19"/>
        <v>女</v>
      </c>
      <c r="F499" s="7" t="s">
        <v>1331</v>
      </c>
    </row>
    <row r="500" spans="1:6" ht="20.100000000000001" customHeight="1" x14ac:dyDescent="0.15">
      <c r="A500" s="5">
        <v>497</v>
      </c>
      <c r="B500" s="6" t="str">
        <f>"30482021060215180074766"</f>
        <v>30482021060215180074766</v>
      </c>
      <c r="C500" s="6" t="s">
        <v>1128</v>
      </c>
      <c r="D500" s="6" t="str">
        <f>"潘蝶蕾"</f>
        <v>潘蝶蕾</v>
      </c>
      <c r="E500" s="6" t="str">
        <f t="shared" si="19"/>
        <v>女</v>
      </c>
      <c r="F500" s="7" t="s">
        <v>184</v>
      </c>
    </row>
    <row r="501" spans="1:6" ht="20.100000000000001" customHeight="1" x14ac:dyDescent="0.15">
      <c r="A501" s="5">
        <v>498</v>
      </c>
      <c r="B501" s="6" t="str">
        <f>"30482021060215180074767"</f>
        <v>30482021060215180074767</v>
      </c>
      <c r="C501" s="6" t="s">
        <v>1128</v>
      </c>
      <c r="D501" s="6" t="str">
        <f>"林冰"</f>
        <v>林冰</v>
      </c>
      <c r="E501" s="6" t="str">
        <f t="shared" si="19"/>
        <v>女</v>
      </c>
      <c r="F501" s="7" t="s">
        <v>920</v>
      </c>
    </row>
    <row r="502" spans="1:6" ht="20.100000000000001" customHeight="1" x14ac:dyDescent="0.15">
      <c r="A502" s="5">
        <v>499</v>
      </c>
      <c r="B502" s="6" t="str">
        <f>"30482021060215183874775"</f>
        <v>30482021060215183874775</v>
      </c>
      <c r="C502" s="6" t="s">
        <v>1128</v>
      </c>
      <c r="D502" s="6" t="str">
        <f>"张少艳"</f>
        <v>张少艳</v>
      </c>
      <c r="E502" s="6" t="str">
        <f t="shared" si="19"/>
        <v>女</v>
      </c>
      <c r="F502" s="7" t="s">
        <v>1332</v>
      </c>
    </row>
    <row r="503" spans="1:6" ht="20.100000000000001" customHeight="1" x14ac:dyDescent="0.15">
      <c r="A503" s="5">
        <v>500</v>
      </c>
      <c r="B503" s="6" t="str">
        <f>"30482021060215185474781"</f>
        <v>30482021060215185474781</v>
      </c>
      <c r="C503" s="6" t="s">
        <v>1128</v>
      </c>
      <c r="D503" s="6" t="str">
        <f>"吴敏晓"</f>
        <v>吴敏晓</v>
      </c>
      <c r="E503" s="6" t="str">
        <f t="shared" si="19"/>
        <v>女</v>
      </c>
      <c r="F503" s="7" t="s">
        <v>409</v>
      </c>
    </row>
    <row r="504" spans="1:6" ht="20.100000000000001" customHeight="1" x14ac:dyDescent="0.15">
      <c r="A504" s="5">
        <v>501</v>
      </c>
      <c r="B504" s="6" t="str">
        <f>"30482021060215250074834"</f>
        <v>30482021060215250074834</v>
      </c>
      <c r="C504" s="6" t="s">
        <v>1128</v>
      </c>
      <c r="D504" s="6" t="str">
        <f>"黄宁"</f>
        <v>黄宁</v>
      </c>
      <c r="E504" s="6" t="str">
        <f t="shared" si="19"/>
        <v>女</v>
      </c>
      <c r="F504" s="7" t="s">
        <v>1333</v>
      </c>
    </row>
    <row r="505" spans="1:6" ht="20.100000000000001" customHeight="1" x14ac:dyDescent="0.15">
      <c r="A505" s="5">
        <v>502</v>
      </c>
      <c r="B505" s="6" t="str">
        <f>"30482021060215250874839"</f>
        <v>30482021060215250874839</v>
      </c>
      <c r="C505" s="6" t="s">
        <v>1128</v>
      </c>
      <c r="D505" s="6" t="str">
        <f>"吴炳坤"</f>
        <v>吴炳坤</v>
      </c>
      <c r="E505" s="6" t="str">
        <f>"男"</f>
        <v>男</v>
      </c>
      <c r="F505" s="7" t="s">
        <v>120</v>
      </c>
    </row>
    <row r="506" spans="1:6" ht="20.100000000000001" customHeight="1" x14ac:dyDescent="0.15">
      <c r="A506" s="5">
        <v>503</v>
      </c>
      <c r="B506" s="6" t="str">
        <f>"30482021060215263174853"</f>
        <v>30482021060215263174853</v>
      </c>
      <c r="C506" s="6" t="s">
        <v>1128</v>
      </c>
      <c r="D506" s="6" t="str">
        <f>"张小晶"</f>
        <v>张小晶</v>
      </c>
      <c r="E506" s="6" t="str">
        <f t="shared" ref="E506:E532" si="20">"女"</f>
        <v>女</v>
      </c>
      <c r="F506" s="7" t="s">
        <v>383</v>
      </c>
    </row>
    <row r="507" spans="1:6" ht="20.100000000000001" customHeight="1" x14ac:dyDescent="0.15">
      <c r="A507" s="5">
        <v>504</v>
      </c>
      <c r="B507" s="6" t="str">
        <f>"30482021060215264274857"</f>
        <v>30482021060215264274857</v>
      </c>
      <c r="C507" s="6" t="s">
        <v>1128</v>
      </c>
      <c r="D507" s="6" t="str">
        <f>"钟琪"</f>
        <v>钟琪</v>
      </c>
      <c r="E507" s="6" t="str">
        <f t="shared" si="20"/>
        <v>女</v>
      </c>
      <c r="F507" s="7" t="s">
        <v>915</v>
      </c>
    </row>
    <row r="508" spans="1:6" ht="20.100000000000001" customHeight="1" x14ac:dyDescent="0.15">
      <c r="A508" s="5">
        <v>505</v>
      </c>
      <c r="B508" s="6" t="str">
        <f>"30482021060215295274891"</f>
        <v>30482021060215295274891</v>
      </c>
      <c r="C508" s="6" t="s">
        <v>1128</v>
      </c>
      <c r="D508" s="6" t="str">
        <f>"曾维倩"</f>
        <v>曾维倩</v>
      </c>
      <c r="E508" s="6" t="str">
        <f t="shared" si="20"/>
        <v>女</v>
      </c>
      <c r="F508" s="7" t="s">
        <v>622</v>
      </c>
    </row>
    <row r="509" spans="1:6" ht="20.100000000000001" customHeight="1" x14ac:dyDescent="0.15">
      <c r="A509" s="5">
        <v>506</v>
      </c>
      <c r="B509" s="6" t="str">
        <f>"30482021060215340274957"</f>
        <v>30482021060215340274957</v>
      </c>
      <c r="C509" s="6" t="s">
        <v>1128</v>
      </c>
      <c r="D509" s="6" t="str">
        <f>"苏小菊"</f>
        <v>苏小菊</v>
      </c>
      <c r="E509" s="6" t="str">
        <f t="shared" si="20"/>
        <v>女</v>
      </c>
      <c r="F509" s="7" t="s">
        <v>144</v>
      </c>
    </row>
    <row r="510" spans="1:6" ht="20.100000000000001" customHeight="1" x14ac:dyDescent="0.15">
      <c r="A510" s="5">
        <v>507</v>
      </c>
      <c r="B510" s="6" t="str">
        <f>"30482021060215370174987"</f>
        <v>30482021060215370174987</v>
      </c>
      <c r="C510" s="6" t="s">
        <v>1128</v>
      </c>
      <c r="D510" s="6" t="str">
        <f>"苏小菊"</f>
        <v>苏小菊</v>
      </c>
      <c r="E510" s="6" t="str">
        <f t="shared" si="20"/>
        <v>女</v>
      </c>
      <c r="F510" s="7" t="s">
        <v>1334</v>
      </c>
    </row>
    <row r="511" spans="1:6" ht="20.100000000000001" customHeight="1" x14ac:dyDescent="0.15">
      <c r="A511" s="5">
        <v>508</v>
      </c>
      <c r="B511" s="6" t="str">
        <f>"30482021060215383375002"</f>
        <v>30482021060215383375002</v>
      </c>
      <c r="C511" s="6" t="s">
        <v>1128</v>
      </c>
      <c r="D511" s="6" t="str">
        <f>"熊奕奕"</f>
        <v>熊奕奕</v>
      </c>
      <c r="E511" s="6" t="str">
        <f t="shared" si="20"/>
        <v>女</v>
      </c>
      <c r="F511" s="7" t="s">
        <v>355</v>
      </c>
    </row>
    <row r="512" spans="1:6" ht="20.100000000000001" customHeight="1" x14ac:dyDescent="0.15">
      <c r="A512" s="5">
        <v>509</v>
      </c>
      <c r="B512" s="6" t="str">
        <f>"30482021060215430175051"</f>
        <v>30482021060215430175051</v>
      </c>
      <c r="C512" s="6" t="s">
        <v>1128</v>
      </c>
      <c r="D512" s="6" t="str">
        <f>"王娇婉"</f>
        <v>王娇婉</v>
      </c>
      <c r="E512" s="6" t="str">
        <f t="shared" si="20"/>
        <v>女</v>
      </c>
      <c r="F512" s="7" t="s">
        <v>1335</v>
      </c>
    </row>
    <row r="513" spans="1:6" ht="20.100000000000001" customHeight="1" x14ac:dyDescent="0.15">
      <c r="A513" s="5">
        <v>510</v>
      </c>
      <c r="B513" s="6" t="str">
        <f>"30482021060215464675101"</f>
        <v>30482021060215464675101</v>
      </c>
      <c r="C513" s="6" t="s">
        <v>1128</v>
      </c>
      <c r="D513" s="6" t="str">
        <f>"徐怡"</f>
        <v>徐怡</v>
      </c>
      <c r="E513" s="6" t="str">
        <f t="shared" si="20"/>
        <v>女</v>
      </c>
      <c r="F513" s="7" t="s">
        <v>1336</v>
      </c>
    </row>
    <row r="514" spans="1:6" ht="20.100000000000001" customHeight="1" x14ac:dyDescent="0.15">
      <c r="A514" s="5">
        <v>511</v>
      </c>
      <c r="B514" s="6" t="str">
        <f>"30482021060215504075137"</f>
        <v>30482021060215504075137</v>
      </c>
      <c r="C514" s="6" t="s">
        <v>1128</v>
      </c>
      <c r="D514" s="6" t="str">
        <f>"程欣"</f>
        <v>程欣</v>
      </c>
      <c r="E514" s="6" t="str">
        <f t="shared" si="20"/>
        <v>女</v>
      </c>
      <c r="F514" s="7" t="s">
        <v>1337</v>
      </c>
    </row>
    <row r="515" spans="1:6" ht="20.100000000000001" customHeight="1" x14ac:dyDescent="0.15">
      <c r="A515" s="5">
        <v>512</v>
      </c>
      <c r="B515" s="6" t="str">
        <f>"30482021060215505475138"</f>
        <v>30482021060215505475138</v>
      </c>
      <c r="C515" s="6" t="s">
        <v>1128</v>
      </c>
      <c r="D515" s="6" t="str">
        <f>"张雨婷"</f>
        <v>张雨婷</v>
      </c>
      <c r="E515" s="6" t="str">
        <f t="shared" si="20"/>
        <v>女</v>
      </c>
      <c r="F515" s="7" t="s">
        <v>483</v>
      </c>
    </row>
    <row r="516" spans="1:6" ht="20.100000000000001" customHeight="1" x14ac:dyDescent="0.15">
      <c r="A516" s="5">
        <v>513</v>
      </c>
      <c r="B516" s="6" t="str">
        <f>"30482021060215515975156"</f>
        <v>30482021060215515975156</v>
      </c>
      <c r="C516" s="6" t="s">
        <v>1128</v>
      </c>
      <c r="D516" s="6" t="str">
        <f>"范聪"</f>
        <v>范聪</v>
      </c>
      <c r="E516" s="6" t="str">
        <f t="shared" si="20"/>
        <v>女</v>
      </c>
      <c r="F516" s="7" t="s">
        <v>1338</v>
      </c>
    </row>
    <row r="517" spans="1:6" ht="20.100000000000001" customHeight="1" x14ac:dyDescent="0.15">
      <c r="A517" s="5">
        <v>514</v>
      </c>
      <c r="B517" s="6" t="str">
        <f>"30482021060215535775175"</f>
        <v>30482021060215535775175</v>
      </c>
      <c r="C517" s="6" t="s">
        <v>1128</v>
      </c>
      <c r="D517" s="6" t="str">
        <f>"翁文翠"</f>
        <v>翁文翠</v>
      </c>
      <c r="E517" s="6" t="str">
        <f t="shared" si="20"/>
        <v>女</v>
      </c>
      <c r="F517" s="7" t="s">
        <v>37</v>
      </c>
    </row>
    <row r="518" spans="1:6" ht="20.100000000000001" customHeight="1" x14ac:dyDescent="0.15">
      <c r="A518" s="5">
        <v>515</v>
      </c>
      <c r="B518" s="6" t="str">
        <f>"30482021060215572975218"</f>
        <v>30482021060215572975218</v>
      </c>
      <c r="C518" s="6" t="s">
        <v>1128</v>
      </c>
      <c r="D518" s="6" t="str">
        <f>"郑羚"</f>
        <v>郑羚</v>
      </c>
      <c r="E518" s="6" t="str">
        <f t="shared" si="20"/>
        <v>女</v>
      </c>
      <c r="F518" s="7" t="s">
        <v>1175</v>
      </c>
    </row>
    <row r="519" spans="1:6" ht="20.100000000000001" customHeight="1" x14ac:dyDescent="0.15">
      <c r="A519" s="5">
        <v>516</v>
      </c>
      <c r="B519" s="6" t="str">
        <f>"30482021060216010675258"</f>
        <v>30482021060216010675258</v>
      </c>
      <c r="C519" s="6" t="s">
        <v>1128</v>
      </c>
      <c r="D519" s="6" t="str">
        <f>"王幸子"</f>
        <v>王幸子</v>
      </c>
      <c r="E519" s="6" t="str">
        <f t="shared" si="20"/>
        <v>女</v>
      </c>
      <c r="F519" s="7" t="s">
        <v>1339</v>
      </c>
    </row>
    <row r="520" spans="1:6" ht="20.100000000000001" customHeight="1" x14ac:dyDescent="0.15">
      <c r="A520" s="5">
        <v>517</v>
      </c>
      <c r="B520" s="6" t="str">
        <f>"30482021060216024875277"</f>
        <v>30482021060216024875277</v>
      </c>
      <c r="C520" s="6" t="s">
        <v>1128</v>
      </c>
      <c r="D520" s="6" t="str">
        <f>"谢慧"</f>
        <v>谢慧</v>
      </c>
      <c r="E520" s="6" t="str">
        <f t="shared" si="20"/>
        <v>女</v>
      </c>
      <c r="F520" s="7" t="s">
        <v>1340</v>
      </c>
    </row>
    <row r="521" spans="1:6" ht="20.100000000000001" customHeight="1" x14ac:dyDescent="0.15">
      <c r="A521" s="5">
        <v>518</v>
      </c>
      <c r="B521" s="6" t="str">
        <f>"30482021060216033975286"</f>
        <v>30482021060216033975286</v>
      </c>
      <c r="C521" s="6" t="s">
        <v>1128</v>
      </c>
      <c r="D521" s="6" t="str">
        <f>"唐萍"</f>
        <v>唐萍</v>
      </c>
      <c r="E521" s="6" t="str">
        <f t="shared" si="20"/>
        <v>女</v>
      </c>
      <c r="F521" s="7" t="s">
        <v>111</v>
      </c>
    </row>
    <row r="522" spans="1:6" ht="20.100000000000001" customHeight="1" x14ac:dyDescent="0.15">
      <c r="A522" s="5">
        <v>519</v>
      </c>
      <c r="B522" s="6" t="str">
        <f>"30482021060216044575297"</f>
        <v>30482021060216044575297</v>
      </c>
      <c r="C522" s="6" t="s">
        <v>1128</v>
      </c>
      <c r="D522" s="6" t="str">
        <f>"崔晶"</f>
        <v>崔晶</v>
      </c>
      <c r="E522" s="6" t="str">
        <f t="shared" si="20"/>
        <v>女</v>
      </c>
      <c r="F522" s="7" t="s">
        <v>250</v>
      </c>
    </row>
    <row r="523" spans="1:6" ht="20.100000000000001" customHeight="1" x14ac:dyDescent="0.15">
      <c r="A523" s="5">
        <v>520</v>
      </c>
      <c r="B523" s="6" t="str">
        <f>"30482021060216052775306"</f>
        <v>30482021060216052775306</v>
      </c>
      <c r="C523" s="6" t="s">
        <v>1128</v>
      </c>
      <c r="D523" s="6" t="str">
        <f>"王芳"</f>
        <v>王芳</v>
      </c>
      <c r="E523" s="6" t="str">
        <f t="shared" si="20"/>
        <v>女</v>
      </c>
      <c r="F523" s="7" t="s">
        <v>791</v>
      </c>
    </row>
    <row r="524" spans="1:6" ht="20.100000000000001" customHeight="1" x14ac:dyDescent="0.15">
      <c r="A524" s="5">
        <v>521</v>
      </c>
      <c r="B524" s="6" t="str">
        <f>"30482021060216053075307"</f>
        <v>30482021060216053075307</v>
      </c>
      <c r="C524" s="6" t="s">
        <v>1128</v>
      </c>
      <c r="D524" s="6" t="str">
        <f>"王月佳"</f>
        <v>王月佳</v>
      </c>
      <c r="E524" s="6" t="str">
        <f t="shared" si="20"/>
        <v>女</v>
      </c>
      <c r="F524" s="7" t="s">
        <v>345</v>
      </c>
    </row>
    <row r="525" spans="1:6" ht="20.100000000000001" customHeight="1" x14ac:dyDescent="0.15">
      <c r="A525" s="5">
        <v>522</v>
      </c>
      <c r="B525" s="6" t="str">
        <f>"30482021060216053675310"</f>
        <v>30482021060216053675310</v>
      </c>
      <c r="C525" s="6" t="s">
        <v>1128</v>
      </c>
      <c r="D525" s="6" t="str">
        <f>"苏文妮"</f>
        <v>苏文妮</v>
      </c>
      <c r="E525" s="6" t="str">
        <f t="shared" si="20"/>
        <v>女</v>
      </c>
      <c r="F525" s="7" t="s">
        <v>1341</v>
      </c>
    </row>
    <row r="526" spans="1:6" ht="20.100000000000001" customHeight="1" x14ac:dyDescent="0.15">
      <c r="A526" s="5">
        <v>523</v>
      </c>
      <c r="B526" s="6" t="str">
        <f>"30482021060216053875311"</f>
        <v>30482021060216053875311</v>
      </c>
      <c r="C526" s="6" t="s">
        <v>1128</v>
      </c>
      <c r="D526" s="6" t="str">
        <f>"文燕微"</f>
        <v>文燕微</v>
      </c>
      <c r="E526" s="6" t="str">
        <f t="shared" si="20"/>
        <v>女</v>
      </c>
      <c r="F526" s="7" t="s">
        <v>328</v>
      </c>
    </row>
    <row r="527" spans="1:6" ht="20.100000000000001" customHeight="1" x14ac:dyDescent="0.15">
      <c r="A527" s="5">
        <v>524</v>
      </c>
      <c r="B527" s="6" t="str">
        <f>"30482021060216062075318"</f>
        <v>30482021060216062075318</v>
      </c>
      <c r="C527" s="6" t="s">
        <v>1128</v>
      </c>
      <c r="D527" s="6" t="str">
        <f>"颜顼"</f>
        <v>颜顼</v>
      </c>
      <c r="E527" s="6" t="str">
        <f t="shared" si="20"/>
        <v>女</v>
      </c>
      <c r="F527" s="7" t="s">
        <v>250</v>
      </c>
    </row>
    <row r="528" spans="1:6" ht="20.100000000000001" customHeight="1" x14ac:dyDescent="0.15">
      <c r="A528" s="5">
        <v>525</v>
      </c>
      <c r="B528" s="6" t="str">
        <f>"30482021060216100575350"</f>
        <v>30482021060216100575350</v>
      </c>
      <c r="C528" s="6" t="s">
        <v>1128</v>
      </c>
      <c r="D528" s="6" t="str">
        <f>"卓红莲"</f>
        <v>卓红莲</v>
      </c>
      <c r="E528" s="6" t="str">
        <f t="shared" si="20"/>
        <v>女</v>
      </c>
      <c r="F528" s="7" t="s">
        <v>1342</v>
      </c>
    </row>
    <row r="529" spans="1:6" ht="20.100000000000001" customHeight="1" x14ac:dyDescent="0.15">
      <c r="A529" s="5">
        <v>526</v>
      </c>
      <c r="B529" s="6" t="str">
        <f>"30482021060216152975401"</f>
        <v>30482021060216152975401</v>
      </c>
      <c r="C529" s="6" t="s">
        <v>1128</v>
      </c>
      <c r="D529" s="6" t="str">
        <f>"杨娇惠"</f>
        <v>杨娇惠</v>
      </c>
      <c r="E529" s="6" t="str">
        <f t="shared" si="20"/>
        <v>女</v>
      </c>
      <c r="F529" s="7" t="s">
        <v>1343</v>
      </c>
    </row>
    <row r="530" spans="1:6" ht="20.100000000000001" customHeight="1" x14ac:dyDescent="0.15">
      <c r="A530" s="5">
        <v>527</v>
      </c>
      <c r="B530" s="6" t="str">
        <f>"30482021060216163275411"</f>
        <v>30482021060216163275411</v>
      </c>
      <c r="C530" s="6" t="s">
        <v>1128</v>
      </c>
      <c r="D530" s="6" t="str">
        <f>"李敏"</f>
        <v>李敏</v>
      </c>
      <c r="E530" s="6" t="str">
        <f t="shared" si="20"/>
        <v>女</v>
      </c>
      <c r="F530" s="7" t="s">
        <v>266</v>
      </c>
    </row>
    <row r="531" spans="1:6" ht="20.100000000000001" customHeight="1" x14ac:dyDescent="0.15">
      <c r="A531" s="5">
        <v>528</v>
      </c>
      <c r="B531" s="6" t="str">
        <f>"30482021060216164175412"</f>
        <v>30482021060216164175412</v>
      </c>
      <c r="C531" s="6" t="s">
        <v>1128</v>
      </c>
      <c r="D531" s="6" t="str">
        <f>"陈雯"</f>
        <v>陈雯</v>
      </c>
      <c r="E531" s="6" t="str">
        <f t="shared" si="20"/>
        <v>女</v>
      </c>
      <c r="F531" s="7" t="s">
        <v>1344</v>
      </c>
    </row>
    <row r="532" spans="1:6" ht="20.100000000000001" customHeight="1" x14ac:dyDescent="0.15">
      <c r="A532" s="5">
        <v>529</v>
      </c>
      <c r="B532" s="6" t="str">
        <f>"30482021060216234775474"</f>
        <v>30482021060216234775474</v>
      </c>
      <c r="C532" s="6" t="s">
        <v>1128</v>
      </c>
      <c r="D532" s="6" t="str">
        <f>"苏惠"</f>
        <v>苏惠</v>
      </c>
      <c r="E532" s="6" t="str">
        <f t="shared" si="20"/>
        <v>女</v>
      </c>
      <c r="F532" s="7" t="s">
        <v>345</v>
      </c>
    </row>
    <row r="533" spans="1:6" ht="20.100000000000001" customHeight="1" x14ac:dyDescent="0.15">
      <c r="A533" s="5">
        <v>530</v>
      </c>
      <c r="B533" s="6" t="str">
        <f>"30482021060216340275575"</f>
        <v>30482021060216340275575</v>
      </c>
      <c r="C533" s="6" t="s">
        <v>1128</v>
      </c>
      <c r="D533" s="6" t="str">
        <f>"符策飞"</f>
        <v>符策飞</v>
      </c>
      <c r="E533" s="6" t="str">
        <f>"男"</f>
        <v>男</v>
      </c>
      <c r="F533" s="7" t="s">
        <v>548</v>
      </c>
    </row>
    <row r="534" spans="1:6" ht="20.100000000000001" customHeight="1" x14ac:dyDescent="0.15">
      <c r="A534" s="5">
        <v>531</v>
      </c>
      <c r="B534" s="6" t="str">
        <f>"30482021060216350575585"</f>
        <v>30482021060216350575585</v>
      </c>
      <c r="C534" s="6" t="s">
        <v>1128</v>
      </c>
      <c r="D534" s="6" t="str">
        <f>"黄良琴"</f>
        <v>黄良琴</v>
      </c>
      <c r="E534" s="6" t="str">
        <f t="shared" ref="E534:E546" si="21">"女"</f>
        <v>女</v>
      </c>
      <c r="F534" s="7" t="s">
        <v>1293</v>
      </c>
    </row>
    <row r="535" spans="1:6" ht="20.100000000000001" customHeight="1" x14ac:dyDescent="0.15">
      <c r="A535" s="5">
        <v>532</v>
      </c>
      <c r="B535" s="6" t="str">
        <f>"30482021060216355775598"</f>
        <v>30482021060216355775598</v>
      </c>
      <c r="C535" s="6" t="s">
        <v>1128</v>
      </c>
      <c r="D535" s="6" t="str">
        <f>"范雅惠"</f>
        <v>范雅惠</v>
      </c>
      <c r="E535" s="6" t="str">
        <f t="shared" si="21"/>
        <v>女</v>
      </c>
      <c r="F535" s="7" t="s">
        <v>77</v>
      </c>
    </row>
    <row r="536" spans="1:6" ht="20.100000000000001" customHeight="1" x14ac:dyDescent="0.15">
      <c r="A536" s="5">
        <v>533</v>
      </c>
      <c r="B536" s="6" t="str">
        <f>"30482021060216422775666"</f>
        <v>30482021060216422775666</v>
      </c>
      <c r="C536" s="6" t="s">
        <v>1128</v>
      </c>
      <c r="D536" s="6" t="str">
        <f>"曾月香"</f>
        <v>曾月香</v>
      </c>
      <c r="E536" s="6" t="str">
        <f t="shared" si="21"/>
        <v>女</v>
      </c>
      <c r="F536" s="7" t="s">
        <v>1345</v>
      </c>
    </row>
    <row r="537" spans="1:6" ht="20.100000000000001" customHeight="1" x14ac:dyDescent="0.15">
      <c r="A537" s="5">
        <v>534</v>
      </c>
      <c r="B537" s="6" t="str">
        <f>"30482021060216481075713"</f>
        <v>30482021060216481075713</v>
      </c>
      <c r="C537" s="6" t="s">
        <v>1128</v>
      </c>
      <c r="D537" s="6" t="str">
        <f>"陈慧敏"</f>
        <v>陈慧敏</v>
      </c>
      <c r="E537" s="6" t="str">
        <f t="shared" si="21"/>
        <v>女</v>
      </c>
      <c r="F537" s="7" t="s">
        <v>1346</v>
      </c>
    </row>
    <row r="538" spans="1:6" ht="20.100000000000001" customHeight="1" x14ac:dyDescent="0.15">
      <c r="A538" s="5">
        <v>535</v>
      </c>
      <c r="B538" s="6" t="str">
        <f>"30482021060216511375744"</f>
        <v>30482021060216511375744</v>
      </c>
      <c r="C538" s="6" t="s">
        <v>1128</v>
      </c>
      <c r="D538" s="6" t="str">
        <f>"戴淑玲"</f>
        <v>戴淑玲</v>
      </c>
      <c r="E538" s="6" t="str">
        <f t="shared" si="21"/>
        <v>女</v>
      </c>
      <c r="F538" s="7" t="s">
        <v>1044</v>
      </c>
    </row>
    <row r="539" spans="1:6" ht="20.100000000000001" customHeight="1" x14ac:dyDescent="0.15">
      <c r="A539" s="5">
        <v>536</v>
      </c>
      <c r="B539" s="6" t="str">
        <f>"30482021060217004975825"</f>
        <v>30482021060217004975825</v>
      </c>
      <c r="C539" s="6" t="s">
        <v>1128</v>
      </c>
      <c r="D539" s="6" t="str">
        <f>"王丹"</f>
        <v>王丹</v>
      </c>
      <c r="E539" s="6" t="str">
        <f t="shared" si="21"/>
        <v>女</v>
      </c>
      <c r="F539" s="7" t="s">
        <v>100</v>
      </c>
    </row>
    <row r="540" spans="1:6" ht="20.100000000000001" customHeight="1" x14ac:dyDescent="0.15">
      <c r="A540" s="5">
        <v>537</v>
      </c>
      <c r="B540" s="6" t="str">
        <f>"30482021060217115375936"</f>
        <v>30482021060217115375936</v>
      </c>
      <c r="C540" s="6" t="s">
        <v>1128</v>
      </c>
      <c r="D540" s="6" t="str">
        <f>"符燕珍"</f>
        <v>符燕珍</v>
      </c>
      <c r="E540" s="6" t="str">
        <f t="shared" si="21"/>
        <v>女</v>
      </c>
      <c r="F540" s="7" t="s">
        <v>1347</v>
      </c>
    </row>
    <row r="541" spans="1:6" ht="20.100000000000001" customHeight="1" x14ac:dyDescent="0.15">
      <c r="A541" s="5">
        <v>538</v>
      </c>
      <c r="B541" s="6" t="str">
        <f>"30482021060217120175939"</f>
        <v>30482021060217120175939</v>
      </c>
      <c r="C541" s="6" t="s">
        <v>1128</v>
      </c>
      <c r="D541" s="6" t="str">
        <f>"曾德桂"</f>
        <v>曾德桂</v>
      </c>
      <c r="E541" s="6" t="str">
        <f t="shared" si="21"/>
        <v>女</v>
      </c>
      <c r="F541" s="7" t="s">
        <v>345</v>
      </c>
    </row>
    <row r="542" spans="1:6" ht="20.100000000000001" customHeight="1" x14ac:dyDescent="0.15">
      <c r="A542" s="5">
        <v>539</v>
      </c>
      <c r="B542" s="6" t="str">
        <f>"30482021060217122675944"</f>
        <v>30482021060217122675944</v>
      </c>
      <c r="C542" s="6" t="s">
        <v>1128</v>
      </c>
      <c r="D542" s="6" t="str">
        <f>"陈文丽"</f>
        <v>陈文丽</v>
      </c>
      <c r="E542" s="6" t="str">
        <f t="shared" si="21"/>
        <v>女</v>
      </c>
      <c r="F542" s="7" t="s">
        <v>1348</v>
      </c>
    </row>
    <row r="543" spans="1:6" ht="20.100000000000001" customHeight="1" x14ac:dyDescent="0.15">
      <c r="A543" s="5">
        <v>540</v>
      </c>
      <c r="B543" s="6" t="str">
        <f>"30482021060217152575966"</f>
        <v>30482021060217152575966</v>
      </c>
      <c r="C543" s="6" t="s">
        <v>1128</v>
      </c>
      <c r="D543" s="6" t="str">
        <f>"陈吉银"</f>
        <v>陈吉银</v>
      </c>
      <c r="E543" s="6" t="str">
        <f t="shared" si="21"/>
        <v>女</v>
      </c>
      <c r="F543" s="7" t="s">
        <v>324</v>
      </c>
    </row>
    <row r="544" spans="1:6" ht="20.100000000000001" customHeight="1" x14ac:dyDescent="0.15">
      <c r="A544" s="5">
        <v>541</v>
      </c>
      <c r="B544" s="6" t="str">
        <f>"30482021060217163775984"</f>
        <v>30482021060217163775984</v>
      </c>
      <c r="C544" s="6" t="s">
        <v>1128</v>
      </c>
      <c r="D544" s="6" t="str">
        <f>"吴泳莉"</f>
        <v>吴泳莉</v>
      </c>
      <c r="E544" s="6" t="str">
        <f t="shared" si="21"/>
        <v>女</v>
      </c>
      <c r="F544" s="7" t="s">
        <v>1349</v>
      </c>
    </row>
    <row r="545" spans="1:6" ht="20.100000000000001" customHeight="1" x14ac:dyDescent="0.15">
      <c r="A545" s="5">
        <v>542</v>
      </c>
      <c r="B545" s="6" t="str">
        <f>"30482021060217313676114"</f>
        <v>30482021060217313676114</v>
      </c>
      <c r="C545" s="6" t="s">
        <v>1128</v>
      </c>
      <c r="D545" s="6" t="str">
        <f>"林美应"</f>
        <v>林美应</v>
      </c>
      <c r="E545" s="6" t="str">
        <f t="shared" si="21"/>
        <v>女</v>
      </c>
      <c r="F545" s="7" t="s">
        <v>1328</v>
      </c>
    </row>
    <row r="546" spans="1:6" ht="20.100000000000001" customHeight="1" x14ac:dyDescent="0.15">
      <c r="A546" s="5">
        <v>543</v>
      </c>
      <c r="B546" s="6" t="str">
        <f>"30482021060217345276140"</f>
        <v>30482021060217345276140</v>
      </c>
      <c r="C546" s="6" t="s">
        <v>1128</v>
      </c>
      <c r="D546" s="6" t="str">
        <f>"李高艳"</f>
        <v>李高艳</v>
      </c>
      <c r="E546" s="6" t="str">
        <f t="shared" si="21"/>
        <v>女</v>
      </c>
      <c r="F546" s="7" t="s">
        <v>1350</v>
      </c>
    </row>
    <row r="547" spans="1:6" ht="20.100000000000001" customHeight="1" x14ac:dyDescent="0.15">
      <c r="A547" s="5">
        <v>544</v>
      </c>
      <c r="B547" s="6" t="str">
        <f>"30482021060217355576151"</f>
        <v>30482021060217355576151</v>
      </c>
      <c r="C547" s="6" t="s">
        <v>1128</v>
      </c>
      <c r="D547" s="6" t="str">
        <f>"王豪杰"</f>
        <v>王豪杰</v>
      </c>
      <c r="E547" s="6" t="str">
        <f>"男"</f>
        <v>男</v>
      </c>
      <c r="F547" s="7" t="s">
        <v>1351</v>
      </c>
    </row>
    <row r="548" spans="1:6" ht="20.100000000000001" customHeight="1" x14ac:dyDescent="0.15">
      <c r="A548" s="5">
        <v>545</v>
      </c>
      <c r="B548" s="6" t="str">
        <f>"30482021060217412476188"</f>
        <v>30482021060217412476188</v>
      </c>
      <c r="C548" s="6" t="s">
        <v>1128</v>
      </c>
      <c r="D548" s="6" t="str">
        <f>"曾曼菲"</f>
        <v>曾曼菲</v>
      </c>
      <c r="E548" s="6" t="str">
        <f t="shared" ref="E548:E574" si="22">"女"</f>
        <v>女</v>
      </c>
      <c r="F548" s="7" t="s">
        <v>250</v>
      </c>
    </row>
    <row r="549" spans="1:6" ht="20.100000000000001" customHeight="1" x14ac:dyDescent="0.15">
      <c r="A549" s="5">
        <v>546</v>
      </c>
      <c r="B549" s="6" t="str">
        <f>"30482021060217503476259"</f>
        <v>30482021060217503476259</v>
      </c>
      <c r="C549" s="6" t="s">
        <v>1128</v>
      </c>
      <c r="D549" s="6" t="str">
        <f>"王丹"</f>
        <v>王丹</v>
      </c>
      <c r="E549" s="6" t="str">
        <f t="shared" si="22"/>
        <v>女</v>
      </c>
      <c r="F549" s="7" t="s">
        <v>1352</v>
      </c>
    </row>
    <row r="550" spans="1:6" ht="20.100000000000001" customHeight="1" x14ac:dyDescent="0.15">
      <c r="A550" s="5">
        <v>547</v>
      </c>
      <c r="B550" s="6" t="str">
        <f>"30482021060217510976262"</f>
        <v>30482021060217510976262</v>
      </c>
      <c r="C550" s="6" t="s">
        <v>1128</v>
      </c>
      <c r="D550" s="6" t="str">
        <f>"王柯"</f>
        <v>王柯</v>
      </c>
      <c r="E550" s="6" t="str">
        <f t="shared" si="22"/>
        <v>女</v>
      </c>
      <c r="F550" s="7" t="s">
        <v>1314</v>
      </c>
    </row>
    <row r="551" spans="1:6" ht="20.100000000000001" customHeight="1" x14ac:dyDescent="0.15">
      <c r="A551" s="5">
        <v>548</v>
      </c>
      <c r="B551" s="6" t="str">
        <f>"30482021060218003476335"</f>
        <v>30482021060218003476335</v>
      </c>
      <c r="C551" s="6" t="s">
        <v>1128</v>
      </c>
      <c r="D551" s="6" t="str">
        <f>"陈香羽"</f>
        <v>陈香羽</v>
      </c>
      <c r="E551" s="6" t="str">
        <f t="shared" si="22"/>
        <v>女</v>
      </c>
      <c r="F551" s="7" t="s">
        <v>250</v>
      </c>
    </row>
    <row r="552" spans="1:6" ht="20.100000000000001" customHeight="1" x14ac:dyDescent="0.15">
      <c r="A552" s="5">
        <v>549</v>
      </c>
      <c r="B552" s="6" t="str">
        <f>"30482021060218014376345"</f>
        <v>30482021060218014376345</v>
      </c>
      <c r="C552" s="6" t="s">
        <v>1128</v>
      </c>
      <c r="D552" s="6" t="str">
        <f>"符艺羚"</f>
        <v>符艺羚</v>
      </c>
      <c r="E552" s="6" t="str">
        <f t="shared" si="22"/>
        <v>女</v>
      </c>
      <c r="F552" s="7" t="s">
        <v>456</v>
      </c>
    </row>
    <row r="553" spans="1:6" ht="20.100000000000001" customHeight="1" x14ac:dyDescent="0.15">
      <c r="A553" s="5">
        <v>550</v>
      </c>
      <c r="B553" s="6" t="str">
        <f>"30482021060218024376357"</f>
        <v>30482021060218024376357</v>
      </c>
      <c r="C553" s="6" t="s">
        <v>1128</v>
      </c>
      <c r="D553" s="6" t="str">
        <f>"朱适春"</f>
        <v>朱适春</v>
      </c>
      <c r="E553" s="6" t="str">
        <f t="shared" si="22"/>
        <v>女</v>
      </c>
      <c r="F553" s="7" t="s">
        <v>1328</v>
      </c>
    </row>
    <row r="554" spans="1:6" ht="20.100000000000001" customHeight="1" x14ac:dyDescent="0.15">
      <c r="A554" s="5">
        <v>551</v>
      </c>
      <c r="B554" s="6" t="str">
        <f>"30482021060218242976492"</f>
        <v>30482021060218242976492</v>
      </c>
      <c r="C554" s="6" t="s">
        <v>1128</v>
      </c>
      <c r="D554" s="6" t="str">
        <f>"韩惠妃"</f>
        <v>韩惠妃</v>
      </c>
      <c r="E554" s="6" t="str">
        <f t="shared" si="22"/>
        <v>女</v>
      </c>
      <c r="F554" s="7" t="s">
        <v>85</v>
      </c>
    </row>
    <row r="555" spans="1:6" ht="20.100000000000001" customHeight="1" x14ac:dyDescent="0.15">
      <c r="A555" s="5">
        <v>552</v>
      </c>
      <c r="B555" s="6" t="str">
        <f>"30482021060218253076508"</f>
        <v>30482021060218253076508</v>
      </c>
      <c r="C555" s="6" t="s">
        <v>1128</v>
      </c>
      <c r="D555" s="6" t="str">
        <f>"符式慧"</f>
        <v>符式慧</v>
      </c>
      <c r="E555" s="6" t="str">
        <f t="shared" si="22"/>
        <v>女</v>
      </c>
      <c r="F555" s="7" t="s">
        <v>566</v>
      </c>
    </row>
    <row r="556" spans="1:6" ht="20.100000000000001" customHeight="1" x14ac:dyDescent="0.15">
      <c r="A556" s="5">
        <v>553</v>
      </c>
      <c r="B556" s="6" t="str">
        <f>"30482021060218313176549"</f>
        <v>30482021060218313176549</v>
      </c>
      <c r="C556" s="6" t="s">
        <v>1128</v>
      </c>
      <c r="D556" s="6" t="str">
        <f>"黄陈梅"</f>
        <v>黄陈梅</v>
      </c>
      <c r="E556" s="6" t="str">
        <f t="shared" si="22"/>
        <v>女</v>
      </c>
      <c r="F556" s="7" t="s">
        <v>1353</v>
      </c>
    </row>
    <row r="557" spans="1:6" ht="20.100000000000001" customHeight="1" x14ac:dyDescent="0.15">
      <c r="A557" s="5">
        <v>554</v>
      </c>
      <c r="B557" s="6" t="str">
        <f>"30482021060218315276555"</f>
        <v>30482021060218315276555</v>
      </c>
      <c r="C557" s="6" t="s">
        <v>1128</v>
      </c>
      <c r="D557" s="6" t="str">
        <f>"谭文颖"</f>
        <v>谭文颖</v>
      </c>
      <c r="E557" s="6" t="str">
        <f t="shared" si="22"/>
        <v>女</v>
      </c>
      <c r="F557" s="7" t="s">
        <v>887</v>
      </c>
    </row>
    <row r="558" spans="1:6" ht="20.100000000000001" customHeight="1" x14ac:dyDescent="0.15">
      <c r="A558" s="5">
        <v>555</v>
      </c>
      <c r="B558" s="6" t="str">
        <f>"30482021060218340576570"</f>
        <v>30482021060218340576570</v>
      </c>
      <c r="C558" s="6" t="s">
        <v>1128</v>
      </c>
      <c r="D558" s="6" t="str">
        <f>"余海宁"</f>
        <v>余海宁</v>
      </c>
      <c r="E558" s="6" t="str">
        <f t="shared" si="22"/>
        <v>女</v>
      </c>
      <c r="F558" s="7" t="s">
        <v>1354</v>
      </c>
    </row>
    <row r="559" spans="1:6" ht="20.100000000000001" customHeight="1" x14ac:dyDescent="0.15">
      <c r="A559" s="5">
        <v>556</v>
      </c>
      <c r="B559" s="6" t="str">
        <f>"30482021060218350676575"</f>
        <v>30482021060218350676575</v>
      </c>
      <c r="C559" s="6" t="s">
        <v>1128</v>
      </c>
      <c r="D559" s="6" t="str">
        <f>"程叶"</f>
        <v>程叶</v>
      </c>
      <c r="E559" s="6" t="str">
        <f t="shared" si="22"/>
        <v>女</v>
      </c>
      <c r="F559" s="7" t="s">
        <v>732</v>
      </c>
    </row>
    <row r="560" spans="1:6" ht="20.100000000000001" customHeight="1" x14ac:dyDescent="0.15">
      <c r="A560" s="5">
        <v>557</v>
      </c>
      <c r="B560" s="6" t="str">
        <f>"30482021060218403676609"</f>
        <v>30482021060218403676609</v>
      </c>
      <c r="C560" s="6" t="s">
        <v>1128</v>
      </c>
      <c r="D560" s="6" t="str">
        <f>"徐妃"</f>
        <v>徐妃</v>
      </c>
      <c r="E560" s="6" t="str">
        <f t="shared" si="22"/>
        <v>女</v>
      </c>
      <c r="F560" s="7" t="s">
        <v>37</v>
      </c>
    </row>
    <row r="561" spans="1:6" ht="20.100000000000001" customHeight="1" x14ac:dyDescent="0.15">
      <c r="A561" s="5">
        <v>558</v>
      </c>
      <c r="B561" s="6" t="str">
        <f>"30482021060218423476624"</f>
        <v>30482021060218423476624</v>
      </c>
      <c r="C561" s="6" t="s">
        <v>1128</v>
      </c>
      <c r="D561" s="6" t="str">
        <f>"史超雅"</f>
        <v>史超雅</v>
      </c>
      <c r="E561" s="6" t="str">
        <f t="shared" si="22"/>
        <v>女</v>
      </c>
      <c r="F561" s="7" t="s">
        <v>161</v>
      </c>
    </row>
    <row r="562" spans="1:6" ht="20.100000000000001" customHeight="1" x14ac:dyDescent="0.15">
      <c r="A562" s="5">
        <v>559</v>
      </c>
      <c r="B562" s="6" t="str">
        <f>"30482021060218470476651"</f>
        <v>30482021060218470476651</v>
      </c>
      <c r="C562" s="6" t="s">
        <v>1128</v>
      </c>
      <c r="D562" s="6" t="str">
        <f>"陈熙文"</f>
        <v>陈熙文</v>
      </c>
      <c r="E562" s="6" t="str">
        <f t="shared" si="22"/>
        <v>女</v>
      </c>
      <c r="F562" s="7" t="s">
        <v>456</v>
      </c>
    </row>
    <row r="563" spans="1:6" ht="20.100000000000001" customHeight="1" x14ac:dyDescent="0.15">
      <c r="A563" s="5">
        <v>560</v>
      </c>
      <c r="B563" s="6" t="str">
        <f>"30482021060218482776669"</f>
        <v>30482021060218482776669</v>
      </c>
      <c r="C563" s="6" t="s">
        <v>1128</v>
      </c>
      <c r="D563" s="6" t="str">
        <f>"王玉婷"</f>
        <v>王玉婷</v>
      </c>
      <c r="E563" s="6" t="str">
        <f t="shared" si="22"/>
        <v>女</v>
      </c>
      <c r="F563" s="7" t="s">
        <v>684</v>
      </c>
    </row>
    <row r="564" spans="1:6" ht="20.100000000000001" customHeight="1" x14ac:dyDescent="0.15">
      <c r="A564" s="5">
        <v>561</v>
      </c>
      <c r="B564" s="6" t="str">
        <f>"30482021060218510676689"</f>
        <v>30482021060218510676689</v>
      </c>
      <c r="C564" s="6" t="s">
        <v>1128</v>
      </c>
      <c r="D564" s="6" t="str">
        <f>"王秋丹"</f>
        <v>王秋丹</v>
      </c>
      <c r="E564" s="6" t="str">
        <f t="shared" si="22"/>
        <v>女</v>
      </c>
      <c r="F564" s="7" t="s">
        <v>150</v>
      </c>
    </row>
    <row r="565" spans="1:6" ht="20.100000000000001" customHeight="1" x14ac:dyDescent="0.15">
      <c r="A565" s="5">
        <v>562</v>
      </c>
      <c r="B565" s="6" t="str">
        <f>"30482021060218574976730"</f>
        <v>30482021060218574976730</v>
      </c>
      <c r="C565" s="6" t="s">
        <v>1128</v>
      </c>
      <c r="D565" s="6" t="str">
        <f>"何诗"</f>
        <v>何诗</v>
      </c>
      <c r="E565" s="6" t="str">
        <f t="shared" si="22"/>
        <v>女</v>
      </c>
      <c r="F565" s="7" t="s">
        <v>649</v>
      </c>
    </row>
    <row r="566" spans="1:6" ht="20.100000000000001" customHeight="1" x14ac:dyDescent="0.15">
      <c r="A566" s="5">
        <v>563</v>
      </c>
      <c r="B566" s="6" t="str">
        <f>"30482021060218575576731"</f>
        <v>30482021060218575576731</v>
      </c>
      <c r="C566" s="6" t="s">
        <v>1128</v>
      </c>
      <c r="D566" s="6" t="str">
        <f>"吴坛慧"</f>
        <v>吴坛慧</v>
      </c>
      <c r="E566" s="6" t="str">
        <f t="shared" si="22"/>
        <v>女</v>
      </c>
      <c r="F566" s="7" t="s">
        <v>1355</v>
      </c>
    </row>
    <row r="567" spans="1:6" ht="20.100000000000001" customHeight="1" x14ac:dyDescent="0.15">
      <c r="A567" s="5">
        <v>564</v>
      </c>
      <c r="B567" s="6" t="str">
        <f>"30482021060218590276738"</f>
        <v>30482021060218590276738</v>
      </c>
      <c r="C567" s="6" t="s">
        <v>1128</v>
      </c>
      <c r="D567" s="6" t="str">
        <f>"符梦云"</f>
        <v>符梦云</v>
      </c>
      <c r="E567" s="6" t="str">
        <f t="shared" si="22"/>
        <v>女</v>
      </c>
      <c r="F567" s="7" t="s">
        <v>160</v>
      </c>
    </row>
    <row r="568" spans="1:6" ht="20.100000000000001" customHeight="1" x14ac:dyDescent="0.15">
      <c r="A568" s="5">
        <v>565</v>
      </c>
      <c r="B568" s="6" t="str">
        <f>"30482021060218595776744"</f>
        <v>30482021060218595776744</v>
      </c>
      <c r="C568" s="6" t="s">
        <v>1128</v>
      </c>
      <c r="D568" s="6" t="str">
        <f>"林本平"</f>
        <v>林本平</v>
      </c>
      <c r="E568" s="6" t="str">
        <f t="shared" si="22"/>
        <v>女</v>
      </c>
      <c r="F568" s="7" t="s">
        <v>1356</v>
      </c>
    </row>
    <row r="569" spans="1:6" ht="20.100000000000001" customHeight="1" x14ac:dyDescent="0.15">
      <c r="A569" s="5">
        <v>566</v>
      </c>
      <c r="B569" s="6" t="str">
        <f>"30482021060219042676772"</f>
        <v>30482021060219042676772</v>
      </c>
      <c r="C569" s="6" t="s">
        <v>1128</v>
      </c>
      <c r="D569" s="6" t="str">
        <f>"黄春"</f>
        <v>黄春</v>
      </c>
      <c r="E569" s="6" t="str">
        <f t="shared" si="22"/>
        <v>女</v>
      </c>
      <c r="F569" s="7" t="s">
        <v>368</v>
      </c>
    </row>
    <row r="570" spans="1:6" ht="20.100000000000001" customHeight="1" x14ac:dyDescent="0.15">
      <c r="A570" s="5">
        <v>567</v>
      </c>
      <c r="B570" s="6" t="str">
        <f>"30482021060219051976776"</f>
        <v>30482021060219051976776</v>
      </c>
      <c r="C570" s="6" t="s">
        <v>1128</v>
      </c>
      <c r="D570" s="6" t="str">
        <f>"何婷婷"</f>
        <v>何婷婷</v>
      </c>
      <c r="E570" s="6" t="str">
        <f t="shared" si="22"/>
        <v>女</v>
      </c>
      <c r="F570" s="7" t="s">
        <v>742</v>
      </c>
    </row>
    <row r="571" spans="1:6" ht="20.100000000000001" customHeight="1" x14ac:dyDescent="0.15">
      <c r="A571" s="5">
        <v>568</v>
      </c>
      <c r="B571" s="6" t="str">
        <f>"30482021060219094976811"</f>
        <v>30482021060219094976811</v>
      </c>
      <c r="C571" s="6" t="s">
        <v>1128</v>
      </c>
      <c r="D571" s="6" t="str">
        <f>"陈玉兰"</f>
        <v>陈玉兰</v>
      </c>
      <c r="E571" s="6" t="str">
        <f t="shared" si="22"/>
        <v>女</v>
      </c>
      <c r="F571" s="7" t="s">
        <v>1357</v>
      </c>
    </row>
    <row r="572" spans="1:6" ht="20.100000000000001" customHeight="1" x14ac:dyDescent="0.15">
      <c r="A572" s="5">
        <v>569</v>
      </c>
      <c r="B572" s="6" t="str">
        <f>"30482021060219175376853"</f>
        <v>30482021060219175376853</v>
      </c>
      <c r="C572" s="6" t="s">
        <v>1128</v>
      </c>
      <c r="D572" s="6" t="str">
        <f>"曾绳芳"</f>
        <v>曾绳芳</v>
      </c>
      <c r="E572" s="6" t="str">
        <f t="shared" si="22"/>
        <v>女</v>
      </c>
      <c r="F572" s="7" t="s">
        <v>1358</v>
      </c>
    </row>
    <row r="573" spans="1:6" ht="20.100000000000001" customHeight="1" x14ac:dyDescent="0.15">
      <c r="A573" s="5">
        <v>570</v>
      </c>
      <c r="B573" s="6" t="str">
        <f>"30482021060219191276863"</f>
        <v>30482021060219191276863</v>
      </c>
      <c r="C573" s="6" t="s">
        <v>1128</v>
      </c>
      <c r="D573" s="6" t="str">
        <f>"李明秀"</f>
        <v>李明秀</v>
      </c>
      <c r="E573" s="6" t="str">
        <f t="shared" si="22"/>
        <v>女</v>
      </c>
      <c r="F573" s="7" t="s">
        <v>983</v>
      </c>
    </row>
    <row r="574" spans="1:6" ht="20.100000000000001" customHeight="1" x14ac:dyDescent="0.15">
      <c r="A574" s="5">
        <v>571</v>
      </c>
      <c r="B574" s="6" t="str">
        <f>"30482021060219235276891"</f>
        <v>30482021060219235276891</v>
      </c>
      <c r="C574" s="6" t="s">
        <v>1128</v>
      </c>
      <c r="D574" s="6" t="str">
        <f>"杨菲"</f>
        <v>杨菲</v>
      </c>
      <c r="E574" s="6" t="str">
        <f t="shared" si="22"/>
        <v>女</v>
      </c>
      <c r="F574" s="7" t="s">
        <v>1359</v>
      </c>
    </row>
    <row r="575" spans="1:6" ht="20.100000000000001" customHeight="1" x14ac:dyDescent="0.15">
      <c r="A575" s="5">
        <v>572</v>
      </c>
      <c r="B575" s="6" t="str">
        <f>"30482021060219263976913"</f>
        <v>30482021060219263976913</v>
      </c>
      <c r="C575" s="6" t="s">
        <v>1128</v>
      </c>
      <c r="D575" s="6" t="str">
        <f>"符运松"</f>
        <v>符运松</v>
      </c>
      <c r="E575" s="6" t="str">
        <f>"男"</f>
        <v>男</v>
      </c>
      <c r="F575" s="7" t="s">
        <v>839</v>
      </c>
    </row>
    <row r="576" spans="1:6" ht="20.100000000000001" customHeight="1" x14ac:dyDescent="0.15">
      <c r="A576" s="5">
        <v>573</v>
      </c>
      <c r="B576" s="6" t="str">
        <f>"30482021060219274376924"</f>
        <v>30482021060219274376924</v>
      </c>
      <c r="C576" s="6" t="s">
        <v>1128</v>
      </c>
      <c r="D576" s="6" t="str">
        <f>"曾红豆"</f>
        <v>曾红豆</v>
      </c>
      <c r="E576" s="6" t="str">
        <f t="shared" ref="E576:E619" si="23">"女"</f>
        <v>女</v>
      </c>
      <c r="F576" s="7" t="s">
        <v>43</v>
      </c>
    </row>
    <row r="577" spans="1:6" ht="20.100000000000001" customHeight="1" x14ac:dyDescent="0.15">
      <c r="A577" s="5">
        <v>574</v>
      </c>
      <c r="B577" s="6" t="str">
        <f>"30482021060219303176945"</f>
        <v>30482021060219303176945</v>
      </c>
      <c r="C577" s="6" t="s">
        <v>1128</v>
      </c>
      <c r="D577" s="6" t="str">
        <f>"陈晓瑜"</f>
        <v>陈晓瑜</v>
      </c>
      <c r="E577" s="6" t="str">
        <f t="shared" si="23"/>
        <v>女</v>
      </c>
      <c r="F577" s="7" t="s">
        <v>1360</v>
      </c>
    </row>
    <row r="578" spans="1:6" ht="20.100000000000001" customHeight="1" x14ac:dyDescent="0.15">
      <c r="A578" s="5">
        <v>575</v>
      </c>
      <c r="B578" s="6" t="str">
        <f>"30482021060219311476952"</f>
        <v>30482021060219311476952</v>
      </c>
      <c r="C578" s="6" t="s">
        <v>1128</v>
      </c>
      <c r="D578" s="6" t="str">
        <f>"陈曦"</f>
        <v>陈曦</v>
      </c>
      <c r="E578" s="6" t="str">
        <f t="shared" si="23"/>
        <v>女</v>
      </c>
      <c r="F578" s="7" t="s">
        <v>1036</v>
      </c>
    </row>
    <row r="579" spans="1:6" ht="20.100000000000001" customHeight="1" x14ac:dyDescent="0.15">
      <c r="A579" s="5">
        <v>576</v>
      </c>
      <c r="B579" s="6" t="str">
        <f>"30482021060219330576967"</f>
        <v>30482021060219330576967</v>
      </c>
      <c r="C579" s="6" t="s">
        <v>1128</v>
      </c>
      <c r="D579" s="6" t="str">
        <f>"彭玲玲"</f>
        <v>彭玲玲</v>
      </c>
      <c r="E579" s="6" t="str">
        <f t="shared" si="23"/>
        <v>女</v>
      </c>
      <c r="F579" s="7" t="s">
        <v>1361</v>
      </c>
    </row>
    <row r="580" spans="1:6" ht="20.100000000000001" customHeight="1" x14ac:dyDescent="0.15">
      <c r="A580" s="5">
        <v>577</v>
      </c>
      <c r="B580" s="6" t="str">
        <f>"30482021060219430977048"</f>
        <v>30482021060219430977048</v>
      </c>
      <c r="C580" s="6" t="s">
        <v>1128</v>
      </c>
      <c r="D580" s="6" t="str">
        <f>"郭学坤"</f>
        <v>郭学坤</v>
      </c>
      <c r="E580" s="6" t="str">
        <f t="shared" si="23"/>
        <v>女</v>
      </c>
      <c r="F580" s="7" t="s">
        <v>1236</v>
      </c>
    </row>
    <row r="581" spans="1:6" ht="20.100000000000001" customHeight="1" x14ac:dyDescent="0.15">
      <c r="A581" s="5">
        <v>578</v>
      </c>
      <c r="B581" s="6" t="str">
        <f>"30482021060219455977078"</f>
        <v>30482021060219455977078</v>
      </c>
      <c r="C581" s="6" t="s">
        <v>1128</v>
      </c>
      <c r="D581" s="6" t="str">
        <f>"万容"</f>
        <v>万容</v>
      </c>
      <c r="E581" s="6" t="str">
        <f t="shared" si="23"/>
        <v>女</v>
      </c>
      <c r="F581" s="7" t="s">
        <v>293</v>
      </c>
    </row>
    <row r="582" spans="1:6" ht="20.100000000000001" customHeight="1" x14ac:dyDescent="0.15">
      <c r="A582" s="5">
        <v>579</v>
      </c>
      <c r="B582" s="6" t="str">
        <f>"30482021060219460977079"</f>
        <v>30482021060219460977079</v>
      </c>
      <c r="C582" s="6" t="s">
        <v>1128</v>
      </c>
      <c r="D582" s="6" t="str">
        <f>"王玫"</f>
        <v>王玫</v>
      </c>
      <c r="E582" s="6" t="str">
        <f t="shared" si="23"/>
        <v>女</v>
      </c>
      <c r="F582" s="7" t="s">
        <v>898</v>
      </c>
    </row>
    <row r="583" spans="1:6" ht="20.100000000000001" customHeight="1" x14ac:dyDescent="0.15">
      <c r="A583" s="5">
        <v>580</v>
      </c>
      <c r="B583" s="6" t="str">
        <f>"30482021060219540577132"</f>
        <v>30482021060219540577132</v>
      </c>
      <c r="C583" s="6" t="s">
        <v>1128</v>
      </c>
      <c r="D583" s="6" t="str">
        <f>"符钰月"</f>
        <v>符钰月</v>
      </c>
      <c r="E583" s="6" t="str">
        <f t="shared" si="23"/>
        <v>女</v>
      </c>
      <c r="F583" s="7" t="s">
        <v>1362</v>
      </c>
    </row>
    <row r="584" spans="1:6" ht="20.100000000000001" customHeight="1" x14ac:dyDescent="0.15">
      <c r="A584" s="5">
        <v>581</v>
      </c>
      <c r="B584" s="6" t="str">
        <f>"30482021060219563077158"</f>
        <v>30482021060219563077158</v>
      </c>
      <c r="C584" s="6" t="s">
        <v>1128</v>
      </c>
      <c r="D584" s="6" t="str">
        <f>"麦小菲"</f>
        <v>麦小菲</v>
      </c>
      <c r="E584" s="6" t="str">
        <f t="shared" si="23"/>
        <v>女</v>
      </c>
      <c r="F584" s="7" t="s">
        <v>718</v>
      </c>
    </row>
    <row r="585" spans="1:6" ht="20.100000000000001" customHeight="1" x14ac:dyDescent="0.15">
      <c r="A585" s="5">
        <v>582</v>
      </c>
      <c r="B585" s="6" t="str">
        <f>"30482021060219583377173"</f>
        <v>30482021060219583377173</v>
      </c>
      <c r="C585" s="6" t="s">
        <v>1128</v>
      </c>
      <c r="D585" s="6" t="str">
        <f>"庄艳美"</f>
        <v>庄艳美</v>
      </c>
      <c r="E585" s="6" t="str">
        <f t="shared" si="23"/>
        <v>女</v>
      </c>
      <c r="F585" s="7" t="s">
        <v>1350</v>
      </c>
    </row>
    <row r="586" spans="1:6" ht="20.100000000000001" customHeight="1" x14ac:dyDescent="0.15">
      <c r="A586" s="5">
        <v>583</v>
      </c>
      <c r="B586" s="6" t="str">
        <f>"30482021060219595577185"</f>
        <v>30482021060219595577185</v>
      </c>
      <c r="C586" s="6" t="s">
        <v>1128</v>
      </c>
      <c r="D586" s="6" t="str">
        <f>"丁园园"</f>
        <v>丁园园</v>
      </c>
      <c r="E586" s="6" t="str">
        <f t="shared" si="23"/>
        <v>女</v>
      </c>
      <c r="F586" s="7" t="s">
        <v>623</v>
      </c>
    </row>
    <row r="587" spans="1:6" ht="20.100000000000001" customHeight="1" x14ac:dyDescent="0.15">
      <c r="A587" s="5">
        <v>584</v>
      </c>
      <c r="B587" s="6" t="str">
        <f>"30482021060220053077236"</f>
        <v>30482021060220053077236</v>
      </c>
      <c r="C587" s="6" t="s">
        <v>1128</v>
      </c>
      <c r="D587" s="6" t="str">
        <f>"王小环"</f>
        <v>王小环</v>
      </c>
      <c r="E587" s="6" t="str">
        <f t="shared" si="23"/>
        <v>女</v>
      </c>
      <c r="F587" s="7" t="s">
        <v>403</v>
      </c>
    </row>
    <row r="588" spans="1:6" ht="20.100000000000001" customHeight="1" x14ac:dyDescent="0.15">
      <c r="A588" s="5">
        <v>585</v>
      </c>
      <c r="B588" s="6" t="str">
        <f>"30482021060220083677266"</f>
        <v>30482021060220083677266</v>
      </c>
      <c r="C588" s="6" t="s">
        <v>1128</v>
      </c>
      <c r="D588" s="6" t="str">
        <f>"黄亚孟"</f>
        <v>黄亚孟</v>
      </c>
      <c r="E588" s="6" t="str">
        <f t="shared" si="23"/>
        <v>女</v>
      </c>
      <c r="F588" s="7" t="s">
        <v>963</v>
      </c>
    </row>
    <row r="589" spans="1:6" ht="20.100000000000001" customHeight="1" x14ac:dyDescent="0.15">
      <c r="A589" s="5">
        <v>586</v>
      </c>
      <c r="B589" s="6" t="str">
        <f>"30482021060220122577286"</f>
        <v>30482021060220122577286</v>
      </c>
      <c r="C589" s="6" t="s">
        <v>1128</v>
      </c>
      <c r="D589" s="6" t="str">
        <f>"王海关 "</f>
        <v xml:space="preserve">王海关 </v>
      </c>
      <c r="E589" s="6" t="str">
        <f t="shared" si="23"/>
        <v>女</v>
      </c>
      <c r="F589" s="7" t="s">
        <v>1363</v>
      </c>
    </row>
    <row r="590" spans="1:6" ht="20.100000000000001" customHeight="1" x14ac:dyDescent="0.15">
      <c r="A590" s="5">
        <v>587</v>
      </c>
      <c r="B590" s="6" t="str">
        <f>"30482021060220272677420"</f>
        <v>30482021060220272677420</v>
      </c>
      <c r="C590" s="6" t="s">
        <v>1128</v>
      </c>
      <c r="D590" s="6" t="str">
        <f>"刘海霞"</f>
        <v>刘海霞</v>
      </c>
      <c r="E590" s="6" t="str">
        <f t="shared" si="23"/>
        <v>女</v>
      </c>
      <c r="F590" s="7" t="s">
        <v>1364</v>
      </c>
    </row>
    <row r="591" spans="1:6" ht="20.100000000000001" customHeight="1" x14ac:dyDescent="0.15">
      <c r="A591" s="5">
        <v>588</v>
      </c>
      <c r="B591" s="6" t="str">
        <f>"30482021060220273377422"</f>
        <v>30482021060220273377422</v>
      </c>
      <c r="C591" s="6" t="s">
        <v>1128</v>
      </c>
      <c r="D591" s="6" t="str">
        <f>"林慧慧"</f>
        <v>林慧慧</v>
      </c>
      <c r="E591" s="6" t="str">
        <f t="shared" si="23"/>
        <v>女</v>
      </c>
      <c r="F591" s="7" t="s">
        <v>1175</v>
      </c>
    </row>
    <row r="592" spans="1:6" ht="20.100000000000001" customHeight="1" x14ac:dyDescent="0.15">
      <c r="A592" s="5">
        <v>589</v>
      </c>
      <c r="B592" s="6" t="str">
        <f>"30482021060220283377429"</f>
        <v>30482021060220283377429</v>
      </c>
      <c r="C592" s="6" t="s">
        <v>1128</v>
      </c>
      <c r="D592" s="6" t="str">
        <f>"黄少映"</f>
        <v>黄少映</v>
      </c>
      <c r="E592" s="6" t="str">
        <f t="shared" si="23"/>
        <v>女</v>
      </c>
      <c r="F592" s="7" t="s">
        <v>81</v>
      </c>
    </row>
    <row r="593" spans="1:6" ht="20.100000000000001" customHeight="1" x14ac:dyDescent="0.15">
      <c r="A593" s="5">
        <v>590</v>
      </c>
      <c r="B593" s="6" t="str">
        <f>"30482021060220290877436"</f>
        <v>30482021060220290877436</v>
      </c>
      <c r="C593" s="6" t="s">
        <v>1128</v>
      </c>
      <c r="D593" s="6" t="str">
        <f>"王海林"</f>
        <v>王海林</v>
      </c>
      <c r="E593" s="6" t="str">
        <f t="shared" si="23"/>
        <v>女</v>
      </c>
      <c r="F593" s="7" t="s">
        <v>144</v>
      </c>
    </row>
    <row r="594" spans="1:6" ht="20.100000000000001" customHeight="1" x14ac:dyDescent="0.15">
      <c r="A594" s="5">
        <v>591</v>
      </c>
      <c r="B594" s="6" t="str">
        <f>"30482021060220300377447"</f>
        <v>30482021060220300377447</v>
      </c>
      <c r="C594" s="6" t="s">
        <v>1128</v>
      </c>
      <c r="D594" s="6" t="str">
        <f>"符赵霞"</f>
        <v>符赵霞</v>
      </c>
      <c r="E594" s="6" t="str">
        <f t="shared" si="23"/>
        <v>女</v>
      </c>
      <c r="F594" s="7" t="s">
        <v>1365</v>
      </c>
    </row>
    <row r="595" spans="1:6" ht="20.100000000000001" customHeight="1" x14ac:dyDescent="0.15">
      <c r="A595" s="5">
        <v>592</v>
      </c>
      <c r="B595" s="6" t="str">
        <f>"30482021060220313477455"</f>
        <v>30482021060220313477455</v>
      </c>
      <c r="C595" s="6" t="s">
        <v>1128</v>
      </c>
      <c r="D595" s="6" t="str">
        <f>"陈添园"</f>
        <v>陈添园</v>
      </c>
      <c r="E595" s="6" t="str">
        <f t="shared" si="23"/>
        <v>女</v>
      </c>
      <c r="F595" s="7" t="s">
        <v>80</v>
      </c>
    </row>
    <row r="596" spans="1:6" ht="20.100000000000001" customHeight="1" x14ac:dyDescent="0.15">
      <c r="A596" s="5">
        <v>593</v>
      </c>
      <c r="B596" s="6" t="str">
        <f>"30482021060220331077472"</f>
        <v>30482021060220331077472</v>
      </c>
      <c r="C596" s="6" t="s">
        <v>1128</v>
      </c>
      <c r="D596" s="6" t="str">
        <f>"王素南"</f>
        <v>王素南</v>
      </c>
      <c r="E596" s="6" t="str">
        <f t="shared" si="23"/>
        <v>女</v>
      </c>
      <c r="F596" s="7" t="s">
        <v>1366</v>
      </c>
    </row>
    <row r="597" spans="1:6" ht="20.100000000000001" customHeight="1" x14ac:dyDescent="0.15">
      <c r="A597" s="5">
        <v>594</v>
      </c>
      <c r="B597" s="6" t="str">
        <f>"30482021060220355977495"</f>
        <v>30482021060220355977495</v>
      </c>
      <c r="C597" s="6" t="s">
        <v>1128</v>
      </c>
      <c r="D597" s="6" t="str">
        <f>"陈双燕"</f>
        <v>陈双燕</v>
      </c>
      <c r="E597" s="6" t="str">
        <f t="shared" si="23"/>
        <v>女</v>
      </c>
      <c r="F597" s="7" t="s">
        <v>760</v>
      </c>
    </row>
    <row r="598" spans="1:6" ht="20.100000000000001" customHeight="1" x14ac:dyDescent="0.15">
      <c r="A598" s="5">
        <v>595</v>
      </c>
      <c r="B598" s="6" t="str">
        <f>"30482021060220360077496"</f>
        <v>30482021060220360077496</v>
      </c>
      <c r="C598" s="6" t="s">
        <v>1128</v>
      </c>
      <c r="D598" s="6" t="str">
        <f>"王小夏"</f>
        <v>王小夏</v>
      </c>
      <c r="E598" s="6" t="str">
        <f t="shared" si="23"/>
        <v>女</v>
      </c>
      <c r="F598" s="7" t="s">
        <v>183</v>
      </c>
    </row>
    <row r="599" spans="1:6" ht="20.100000000000001" customHeight="1" x14ac:dyDescent="0.15">
      <c r="A599" s="5">
        <v>596</v>
      </c>
      <c r="B599" s="6" t="str">
        <f>"30482021060220364577503"</f>
        <v>30482021060220364577503</v>
      </c>
      <c r="C599" s="6" t="s">
        <v>1128</v>
      </c>
      <c r="D599" s="6" t="str">
        <f>"王欣慧"</f>
        <v>王欣慧</v>
      </c>
      <c r="E599" s="6" t="str">
        <f t="shared" si="23"/>
        <v>女</v>
      </c>
      <c r="F599" s="7" t="s">
        <v>634</v>
      </c>
    </row>
    <row r="600" spans="1:6" ht="20.100000000000001" customHeight="1" x14ac:dyDescent="0.15">
      <c r="A600" s="5">
        <v>597</v>
      </c>
      <c r="B600" s="6" t="str">
        <f>"30482021060220431877567"</f>
        <v>30482021060220431877567</v>
      </c>
      <c r="C600" s="6" t="s">
        <v>1128</v>
      </c>
      <c r="D600" s="6" t="str">
        <f>"倪靓"</f>
        <v>倪靓</v>
      </c>
      <c r="E600" s="6" t="str">
        <f t="shared" si="23"/>
        <v>女</v>
      </c>
      <c r="F600" s="7" t="s">
        <v>458</v>
      </c>
    </row>
    <row r="601" spans="1:6" ht="20.100000000000001" customHeight="1" x14ac:dyDescent="0.15">
      <c r="A601" s="5">
        <v>598</v>
      </c>
      <c r="B601" s="6" t="str">
        <f>"30482021060220533477650"</f>
        <v>30482021060220533477650</v>
      </c>
      <c r="C601" s="6" t="s">
        <v>1128</v>
      </c>
      <c r="D601" s="6" t="str">
        <f>"王愿"</f>
        <v>王愿</v>
      </c>
      <c r="E601" s="6" t="str">
        <f t="shared" si="23"/>
        <v>女</v>
      </c>
      <c r="F601" s="7" t="s">
        <v>1033</v>
      </c>
    </row>
    <row r="602" spans="1:6" ht="20.100000000000001" customHeight="1" x14ac:dyDescent="0.15">
      <c r="A602" s="5">
        <v>599</v>
      </c>
      <c r="B602" s="6" t="str">
        <f>"30482021060220565377686"</f>
        <v>30482021060220565377686</v>
      </c>
      <c r="C602" s="6" t="s">
        <v>1128</v>
      </c>
      <c r="D602" s="6" t="str">
        <f>"潘宜慧"</f>
        <v>潘宜慧</v>
      </c>
      <c r="E602" s="6" t="str">
        <f t="shared" si="23"/>
        <v>女</v>
      </c>
      <c r="F602" s="7" t="s">
        <v>140</v>
      </c>
    </row>
    <row r="603" spans="1:6" ht="20.100000000000001" customHeight="1" x14ac:dyDescent="0.15">
      <c r="A603" s="5">
        <v>600</v>
      </c>
      <c r="B603" s="6" t="str">
        <f>"30482021060220571477690"</f>
        <v>30482021060220571477690</v>
      </c>
      <c r="C603" s="6" t="s">
        <v>1128</v>
      </c>
      <c r="D603" s="6" t="str">
        <f>"谢欢"</f>
        <v>谢欢</v>
      </c>
      <c r="E603" s="6" t="str">
        <f t="shared" si="23"/>
        <v>女</v>
      </c>
      <c r="F603" s="7" t="s">
        <v>715</v>
      </c>
    </row>
    <row r="604" spans="1:6" ht="20.100000000000001" customHeight="1" x14ac:dyDescent="0.15">
      <c r="A604" s="5">
        <v>601</v>
      </c>
      <c r="B604" s="6" t="str">
        <f>"30482021060220573177695"</f>
        <v>30482021060220573177695</v>
      </c>
      <c r="C604" s="6" t="s">
        <v>1128</v>
      </c>
      <c r="D604" s="6" t="str">
        <f>"陈雪"</f>
        <v>陈雪</v>
      </c>
      <c r="E604" s="6" t="str">
        <f t="shared" si="23"/>
        <v>女</v>
      </c>
      <c r="F604" s="7" t="s">
        <v>1367</v>
      </c>
    </row>
    <row r="605" spans="1:6" ht="20.100000000000001" customHeight="1" x14ac:dyDescent="0.15">
      <c r="A605" s="5">
        <v>602</v>
      </c>
      <c r="B605" s="6" t="str">
        <f>"30482021060220584777703"</f>
        <v>30482021060220584777703</v>
      </c>
      <c r="C605" s="6" t="s">
        <v>1128</v>
      </c>
      <c r="D605" s="6" t="str">
        <f>"洪玉妮"</f>
        <v>洪玉妮</v>
      </c>
      <c r="E605" s="6" t="str">
        <f t="shared" si="23"/>
        <v>女</v>
      </c>
      <c r="F605" s="7" t="s">
        <v>1130</v>
      </c>
    </row>
    <row r="606" spans="1:6" ht="20.100000000000001" customHeight="1" x14ac:dyDescent="0.15">
      <c r="A606" s="5">
        <v>603</v>
      </c>
      <c r="B606" s="6" t="str">
        <f>"30482021060221010977720"</f>
        <v>30482021060221010977720</v>
      </c>
      <c r="C606" s="6" t="s">
        <v>1128</v>
      </c>
      <c r="D606" s="6" t="str">
        <f>"曾晶"</f>
        <v>曾晶</v>
      </c>
      <c r="E606" s="6" t="str">
        <f t="shared" si="23"/>
        <v>女</v>
      </c>
      <c r="F606" s="7" t="s">
        <v>152</v>
      </c>
    </row>
    <row r="607" spans="1:6" ht="20.100000000000001" customHeight="1" x14ac:dyDescent="0.15">
      <c r="A607" s="5">
        <v>604</v>
      </c>
      <c r="B607" s="6" t="str">
        <f>"30482021060221052577746"</f>
        <v>30482021060221052577746</v>
      </c>
      <c r="C607" s="6" t="s">
        <v>1128</v>
      </c>
      <c r="D607" s="6" t="str">
        <f>"吴慧芳"</f>
        <v>吴慧芳</v>
      </c>
      <c r="E607" s="6" t="str">
        <f t="shared" si="23"/>
        <v>女</v>
      </c>
      <c r="F607" s="7" t="s">
        <v>741</v>
      </c>
    </row>
    <row r="608" spans="1:6" ht="20.100000000000001" customHeight="1" x14ac:dyDescent="0.15">
      <c r="A608" s="5">
        <v>605</v>
      </c>
      <c r="B608" s="6" t="str">
        <f>"30482021060221072277761"</f>
        <v>30482021060221072277761</v>
      </c>
      <c r="C608" s="6" t="s">
        <v>1128</v>
      </c>
      <c r="D608" s="6" t="str">
        <f>"于璐"</f>
        <v>于璐</v>
      </c>
      <c r="E608" s="6" t="str">
        <f t="shared" si="23"/>
        <v>女</v>
      </c>
      <c r="F608" s="7" t="s">
        <v>1368</v>
      </c>
    </row>
    <row r="609" spans="1:6" ht="20.100000000000001" customHeight="1" x14ac:dyDescent="0.15">
      <c r="A609" s="5">
        <v>606</v>
      </c>
      <c r="B609" s="6" t="str">
        <f>"30482021060221103577785"</f>
        <v>30482021060221103577785</v>
      </c>
      <c r="C609" s="6" t="s">
        <v>1128</v>
      </c>
      <c r="D609" s="6" t="str">
        <f>"罗丹"</f>
        <v>罗丹</v>
      </c>
      <c r="E609" s="6" t="str">
        <f t="shared" si="23"/>
        <v>女</v>
      </c>
      <c r="F609" s="7" t="s">
        <v>855</v>
      </c>
    </row>
    <row r="610" spans="1:6" ht="20.100000000000001" customHeight="1" x14ac:dyDescent="0.15">
      <c r="A610" s="5">
        <v>607</v>
      </c>
      <c r="B610" s="6" t="str">
        <f>"30482021060221130177804"</f>
        <v>30482021060221130177804</v>
      </c>
      <c r="C610" s="6" t="s">
        <v>1128</v>
      </c>
      <c r="D610" s="6" t="str">
        <f>"陈爱玉"</f>
        <v>陈爱玉</v>
      </c>
      <c r="E610" s="6" t="str">
        <f t="shared" si="23"/>
        <v>女</v>
      </c>
      <c r="F610" s="7" t="s">
        <v>659</v>
      </c>
    </row>
    <row r="611" spans="1:6" ht="20.100000000000001" customHeight="1" x14ac:dyDescent="0.15">
      <c r="A611" s="5">
        <v>608</v>
      </c>
      <c r="B611" s="6" t="str">
        <f>"30482021060221152777831"</f>
        <v>30482021060221152777831</v>
      </c>
      <c r="C611" s="6" t="s">
        <v>1128</v>
      </c>
      <c r="D611" s="6" t="str">
        <f>"郭玲珠"</f>
        <v>郭玲珠</v>
      </c>
      <c r="E611" s="6" t="str">
        <f t="shared" si="23"/>
        <v>女</v>
      </c>
      <c r="F611" s="7" t="s">
        <v>25</v>
      </c>
    </row>
    <row r="612" spans="1:6" ht="20.100000000000001" customHeight="1" x14ac:dyDescent="0.15">
      <c r="A612" s="5">
        <v>609</v>
      </c>
      <c r="B612" s="6" t="str">
        <f>"30482021060221240077910"</f>
        <v>30482021060221240077910</v>
      </c>
      <c r="C612" s="6" t="s">
        <v>1128</v>
      </c>
      <c r="D612" s="6" t="str">
        <f>"莫云萃"</f>
        <v>莫云萃</v>
      </c>
      <c r="E612" s="6" t="str">
        <f t="shared" si="23"/>
        <v>女</v>
      </c>
      <c r="F612" s="7" t="s">
        <v>152</v>
      </c>
    </row>
    <row r="613" spans="1:6" ht="20.100000000000001" customHeight="1" x14ac:dyDescent="0.15">
      <c r="A613" s="5">
        <v>610</v>
      </c>
      <c r="B613" s="6" t="str">
        <f>"30482021060221271977938"</f>
        <v>30482021060221271977938</v>
      </c>
      <c r="C613" s="6" t="s">
        <v>1128</v>
      </c>
      <c r="D613" s="6" t="str">
        <f>"郭琼花"</f>
        <v>郭琼花</v>
      </c>
      <c r="E613" s="6" t="str">
        <f t="shared" si="23"/>
        <v>女</v>
      </c>
      <c r="F613" s="7" t="s">
        <v>859</v>
      </c>
    </row>
    <row r="614" spans="1:6" ht="20.100000000000001" customHeight="1" x14ac:dyDescent="0.15">
      <c r="A614" s="5">
        <v>611</v>
      </c>
      <c r="B614" s="6" t="str">
        <f>"30482021060221280677945"</f>
        <v>30482021060221280677945</v>
      </c>
      <c r="C614" s="6" t="s">
        <v>1128</v>
      </c>
      <c r="D614" s="6" t="str">
        <f>"邓晓婕"</f>
        <v>邓晓婕</v>
      </c>
      <c r="E614" s="6" t="str">
        <f t="shared" si="23"/>
        <v>女</v>
      </c>
      <c r="F614" s="7" t="s">
        <v>460</v>
      </c>
    </row>
    <row r="615" spans="1:6" ht="20.100000000000001" customHeight="1" x14ac:dyDescent="0.15">
      <c r="A615" s="5">
        <v>612</v>
      </c>
      <c r="B615" s="6" t="str">
        <f>"30482021060221420178043"</f>
        <v>30482021060221420178043</v>
      </c>
      <c r="C615" s="6" t="s">
        <v>1128</v>
      </c>
      <c r="D615" s="6" t="str">
        <f>"龙册真"</f>
        <v>龙册真</v>
      </c>
      <c r="E615" s="6" t="str">
        <f t="shared" si="23"/>
        <v>女</v>
      </c>
      <c r="F615" s="7" t="s">
        <v>1369</v>
      </c>
    </row>
    <row r="616" spans="1:6" ht="20.100000000000001" customHeight="1" x14ac:dyDescent="0.15">
      <c r="A616" s="5">
        <v>613</v>
      </c>
      <c r="B616" s="6" t="str">
        <f>"30482021060221421378047"</f>
        <v>30482021060221421378047</v>
      </c>
      <c r="C616" s="6" t="s">
        <v>1128</v>
      </c>
      <c r="D616" s="6" t="str">
        <f>"林芳珍"</f>
        <v>林芳珍</v>
      </c>
      <c r="E616" s="6" t="str">
        <f t="shared" si="23"/>
        <v>女</v>
      </c>
      <c r="F616" s="7" t="s">
        <v>1370</v>
      </c>
    </row>
    <row r="617" spans="1:6" ht="20.100000000000001" customHeight="1" x14ac:dyDescent="0.15">
      <c r="A617" s="5">
        <v>614</v>
      </c>
      <c r="B617" s="6" t="str">
        <f>"30482021060221433178054"</f>
        <v>30482021060221433178054</v>
      </c>
      <c r="C617" s="6" t="s">
        <v>1128</v>
      </c>
      <c r="D617" s="6" t="str">
        <f>"李秀艾"</f>
        <v>李秀艾</v>
      </c>
      <c r="E617" s="6" t="str">
        <f t="shared" si="23"/>
        <v>女</v>
      </c>
      <c r="F617" s="7" t="s">
        <v>963</v>
      </c>
    </row>
    <row r="618" spans="1:6" ht="20.100000000000001" customHeight="1" x14ac:dyDescent="0.15">
      <c r="A618" s="5">
        <v>615</v>
      </c>
      <c r="B618" s="6" t="str">
        <f>"30482021060221490778096"</f>
        <v>30482021060221490778096</v>
      </c>
      <c r="C618" s="6" t="s">
        <v>1128</v>
      </c>
      <c r="D618" s="6" t="str">
        <f>"温玉焕"</f>
        <v>温玉焕</v>
      </c>
      <c r="E618" s="6" t="str">
        <f t="shared" si="23"/>
        <v>女</v>
      </c>
      <c r="F618" s="7" t="s">
        <v>106</v>
      </c>
    </row>
    <row r="619" spans="1:6" ht="20.100000000000001" customHeight="1" x14ac:dyDescent="0.15">
      <c r="A619" s="5">
        <v>616</v>
      </c>
      <c r="B619" s="6" t="str">
        <f>"30482021060221522678114"</f>
        <v>30482021060221522678114</v>
      </c>
      <c r="C619" s="6" t="s">
        <v>1128</v>
      </c>
      <c r="D619" s="6" t="str">
        <f>"符艺颖"</f>
        <v>符艺颖</v>
      </c>
      <c r="E619" s="6" t="str">
        <f t="shared" si="23"/>
        <v>女</v>
      </c>
      <c r="F619" s="7" t="s">
        <v>160</v>
      </c>
    </row>
    <row r="620" spans="1:6" ht="20.100000000000001" customHeight="1" x14ac:dyDescent="0.15">
      <c r="A620" s="5">
        <v>617</v>
      </c>
      <c r="B620" s="6" t="str">
        <f>"30482021060221523978117"</f>
        <v>30482021060221523978117</v>
      </c>
      <c r="C620" s="6" t="s">
        <v>1128</v>
      </c>
      <c r="D620" s="6" t="str">
        <f>"张鑫"</f>
        <v>张鑫</v>
      </c>
      <c r="E620" s="6" t="str">
        <f>"男"</f>
        <v>男</v>
      </c>
      <c r="F620" s="7" t="s">
        <v>1371</v>
      </c>
    </row>
    <row r="621" spans="1:6" ht="20.100000000000001" customHeight="1" x14ac:dyDescent="0.15">
      <c r="A621" s="5">
        <v>618</v>
      </c>
      <c r="B621" s="6" t="str">
        <f>"30482021060221541578126"</f>
        <v>30482021060221541578126</v>
      </c>
      <c r="C621" s="6" t="s">
        <v>1128</v>
      </c>
      <c r="D621" s="6" t="str">
        <f>"黎玉兰"</f>
        <v>黎玉兰</v>
      </c>
      <c r="E621" s="6" t="str">
        <f t="shared" ref="E621:E646" si="24">"女"</f>
        <v>女</v>
      </c>
      <c r="F621" s="7" t="s">
        <v>1372</v>
      </c>
    </row>
    <row r="622" spans="1:6" ht="20.100000000000001" customHeight="1" x14ac:dyDescent="0.15">
      <c r="A622" s="5">
        <v>619</v>
      </c>
      <c r="B622" s="6" t="str">
        <f>"30482021060222034878208"</f>
        <v>30482021060222034878208</v>
      </c>
      <c r="C622" s="6" t="s">
        <v>1128</v>
      </c>
      <c r="D622" s="6" t="str">
        <f>"陈小芳"</f>
        <v>陈小芳</v>
      </c>
      <c r="E622" s="6" t="str">
        <f t="shared" si="24"/>
        <v>女</v>
      </c>
      <c r="F622" s="7" t="s">
        <v>400</v>
      </c>
    </row>
    <row r="623" spans="1:6" ht="20.100000000000001" customHeight="1" x14ac:dyDescent="0.15">
      <c r="A623" s="5">
        <v>620</v>
      </c>
      <c r="B623" s="6" t="str">
        <f>"30482021060222041678213"</f>
        <v>30482021060222041678213</v>
      </c>
      <c r="C623" s="6" t="s">
        <v>1128</v>
      </c>
      <c r="D623" s="6" t="str">
        <f>"郭惠锦"</f>
        <v>郭惠锦</v>
      </c>
      <c r="E623" s="6" t="str">
        <f t="shared" si="24"/>
        <v>女</v>
      </c>
      <c r="F623" s="7" t="s">
        <v>111</v>
      </c>
    </row>
    <row r="624" spans="1:6" ht="20.100000000000001" customHeight="1" x14ac:dyDescent="0.15">
      <c r="A624" s="5">
        <v>621</v>
      </c>
      <c r="B624" s="6" t="str">
        <f>"30482021060222043178216"</f>
        <v>30482021060222043178216</v>
      </c>
      <c r="C624" s="6" t="s">
        <v>1128</v>
      </c>
      <c r="D624" s="6" t="str">
        <f>"张曼"</f>
        <v>张曼</v>
      </c>
      <c r="E624" s="6" t="str">
        <f t="shared" si="24"/>
        <v>女</v>
      </c>
      <c r="F624" s="7" t="s">
        <v>1373</v>
      </c>
    </row>
    <row r="625" spans="1:6" ht="20.100000000000001" customHeight="1" x14ac:dyDescent="0.15">
      <c r="A625" s="5">
        <v>622</v>
      </c>
      <c r="B625" s="6" t="str">
        <f>"30482021060222054678225"</f>
        <v>30482021060222054678225</v>
      </c>
      <c r="C625" s="6" t="s">
        <v>1128</v>
      </c>
      <c r="D625" s="6" t="str">
        <f>"符祝女"</f>
        <v>符祝女</v>
      </c>
      <c r="E625" s="6" t="str">
        <f t="shared" si="24"/>
        <v>女</v>
      </c>
      <c r="F625" s="7" t="s">
        <v>915</v>
      </c>
    </row>
    <row r="626" spans="1:6" ht="20.100000000000001" customHeight="1" x14ac:dyDescent="0.15">
      <c r="A626" s="5">
        <v>623</v>
      </c>
      <c r="B626" s="6" t="str">
        <f>"30482021060222070678238"</f>
        <v>30482021060222070678238</v>
      </c>
      <c r="C626" s="6" t="s">
        <v>1128</v>
      </c>
      <c r="D626" s="6" t="str">
        <f>"文娟娟"</f>
        <v>文娟娟</v>
      </c>
      <c r="E626" s="6" t="str">
        <f t="shared" si="24"/>
        <v>女</v>
      </c>
      <c r="F626" s="7" t="s">
        <v>529</v>
      </c>
    </row>
    <row r="627" spans="1:6" ht="20.100000000000001" customHeight="1" x14ac:dyDescent="0.15">
      <c r="A627" s="5">
        <v>624</v>
      </c>
      <c r="B627" s="6" t="str">
        <f>"30482021060222092878255"</f>
        <v>30482021060222092878255</v>
      </c>
      <c r="C627" s="6" t="s">
        <v>1128</v>
      </c>
      <c r="D627" s="6" t="str">
        <f>"陈欣"</f>
        <v>陈欣</v>
      </c>
      <c r="E627" s="6" t="str">
        <f t="shared" si="24"/>
        <v>女</v>
      </c>
      <c r="F627" s="7" t="s">
        <v>247</v>
      </c>
    </row>
    <row r="628" spans="1:6" ht="20.100000000000001" customHeight="1" x14ac:dyDescent="0.15">
      <c r="A628" s="5">
        <v>625</v>
      </c>
      <c r="B628" s="6" t="str">
        <f>"30482021060222112678271"</f>
        <v>30482021060222112678271</v>
      </c>
      <c r="C628" s="6" t="s">
        <v>1128</v>
      </c>
      <c r="D628" s="6" t="str">
        <f>"王珺"</f>
        <v>王珺</v>
      </c>
      <c r="E628" s="6" t="str">
        <f t="shared" si="24"/>
        <v>女</v>
      </c>
      <c r="F628" s="7" t="s">
        <v>1077</v>
      </c>
    </row>
    <row r="629" spans="1:6" ht="20.100000000000001" customHeight="1" x14ac:dyDescent="0.15">
      <c r="A629" s="5">
        <v>626</v>
      </c>
      <c r="B629" s="6" t="str">
        <f>"30482021060222173978321"</f>
        <v>30482021060222173978321</v>
      </c>
      <c r="C629" s="6" t="s">
        <v>1128</v>
      </c>
      <c r="D629" s="6" t="str">
        <f>"邱帮雪"</f>
        <v>邱帮雪</v>
      </c>
      <c r="E629" s="6" t="str">
        <f t="shared" si="24"/>
        <v>女</v>
      </c>
      <c r="F629" s="7" t="s">
        <v>1374</v>
      </c>
    </row>
    <row r="630" spans="1:6" ht="20.100000000000001" customHeight="1" x14ac:dyDescent="0.15">
      <c r="A630" s="5">
        <v>627</v>
      </c>
      <c r="B630" s="6" t="str">
        <f>"30482021060222201978343"</f>
        <v>30482021060222201978343</v>
      </c>
      <c r="C630" s="6" t="s">
        <v>1128</v>
      </c>
      <c r="D630" s="6" t="str">
        <f>"骆美妍"</f>
        <v>骆美妍</v>
      </c>
      <c r="E630" s="6" t="str">
        <f t="shared" si="24"/>
        <v>女</v>
      </c>
      <c r="F630" s="7" t="s">
        <v>442</v>
      </c>
    </row>
    <row r="631" spans="1:6" ht="20.100000000000001" customHeight="1" x14ac:dyDescent="0.15">
      <c r="A631" s="5">
        <v>628</v>
      </c>
      <c r="B631" s="6" t="str">
        <f>"30482021060222215478360"</f>
        <v>30482021060222215478360</v>
      </c>
      <c r="C631" s="6" t="s">
        <v>1128</v>
      </c>
      <c r="D631" s="6" t="str">
        <f>"符霞萍"</f>
        <v>符霞萍</v>
      </c>
      <c r="E631" s="6" t="str">
        <f t="shared" si="24"/>
        <v>女</v>
      </c>
      <c r="F631" s="7" t="s">
        <v>1375</v>
      </c>
    </row>
    <row r="632" spans="1:6" ht="20.100000000000001" customHeight="1" x14ac:dyDescent="0.15">
      <c r="A632" s="5">
        <v>629</v>
      </c>
      <c r="B632" s="6" t="str">
        <f>"30482021060222215478361"</f>
        <v>30482021060222215478361</v>
      </c>
      <c r="C632" s="6" t="s">
        <v>1128</v>
      </c>
      <c r="D632" s="6" t="str">
        <f>"文莉"</f>
        <v>文莉</v>
      </c>
      <c r="E632" s="6" t="str">
        <f t="shared" si="24"/>
        <v>女</v>
      </c>
      <c r="F632" s="7" t="s">
        <v>1376</v>
      </c>
    </row>
    <row r="633" spans="1:6" ht="20.100000000000001" customHeight="1" x14ac:dyDescent="0.15">
      <c r="A633" s="5">
        <v>630</v>
      </c>
      <c r="B633" s="6" t="str">
        <f>"30482021060222235178370"</f>
        <v>30482021060222235178370</v>
      </c>
      <c r="C633" s="6" t="s">
        <v>1128</v>
      </c>
      <c r="D633" s="6" t="str">
        <f>"熊嘉雯"</f>
        <v>熊嘉雯</v>
      </c>
      <c r="E633" s="6" t="str">
        <f t="shared" si="24"/>
        <v>女</v>
      </c>
      <c r="F633" s="7" t="s">
        <v>345</v>
      </c>
    </row>
    <row r="634" spans="1:6" ht="20.100000000000001" customHeight="1" x14ac:dyDescent="0.15">
      <c r="A634" s="5">
        <v>631</v>
      </c>
      <c r="B634" s="6" t="str">
        <f>"30482021060222251578377"</f>
        <v>30482021060222251578377</v>
      </c>
      <c r="C634" s="6" t="s">
        <v>1128</v>
      </c>
      <c r="D634" s="6" t="str">
        <f>"唐文婕"</f>
        <v>唐文婕</v>
      </c>
      <c r="E634" s="6" t="str">
        <f t="shared" si="24"/>
        <v>女</v>
      </c>
      <c r="F634" s="7" t="s">
        <v>12</v>
      </c>
    </row>
    <row r="635" spans="1:6" ht="20.100000000000001" customHeight="1" x14ac:dyDescent="0.15">
      <c r="A635" s="5">
        <v>632</v>
      </c>
      <c r="B635" s="6" t="str">
        <f>"30482021060222291278417"</f>
        <v>30482021060222291278417</v>
      </c>
      <c r="C635" s="6" t="s">
        <v>1128</v>
      </c>
      <c r="D635" s="6" t="str">
        <f>"冯慧丹"</f>
        <v>冯慧丹</v>
      </c>
      <c r="E635" s="6" t="str">
        <f t="shared" si="24"/>
        <v>女</v>
      </c>
      <c r="F635" s="7" t="s">
        <v>1377</v>
      </c>
    </row>
    <row r="636" spans="1:6" ht="20.100000000000001" customHeight="1" x14ac:dyDescent="0.15">
      <c r="A636" s="5">
        <v>633</v>
      </c>
      <c r="B636" s="6" t="str">
        <f>"30482021060222292378421"</f>
        <v>30482021060222292378421</v>
      </c>
      <c r="C636" s="6" t="s">
        <v>1128</v>
      </c>
      <c r="D636" s="6" t="str">
        <f>"卢小婧"</f>
        <v>卢小婧</v>
      </c>
      <c r="E636" s="6" t="str">
        <f t="shared" si="24"/>
        <v>女</v>
      </c>
      <c r="F636" s="7" t="s">
        <v>1378</v>
      </c>
    </row>
    <row r="637" spans="1:6" ht="20.100000000000001" customHeight="1" x14ac:dyDescent="0.15">
      <c r="A637" s="5">
        <v>634</v>
      </c>
      <c r="B637" s="6" t="str">
        <f>"30482021060222363078466"</f>
        <v>30482021060222363078466</v>
      </c>
      <c r="C637" s="6" t="s">
        <v>1128</v>
      </c>
      <c r="D637" s="6" t="str">
        <f>"符蕾"</f>
        <v>符蕾</v>
      </c>
      <c r="E637" s="6" t="str">
        <f t="shared" si="24"/>
        <v>女</v>
      </c>
      <c r="F637" s="7" t="s">
        <v>152</v>
      </c>
    </row>
    <row r="638" spans="1:6" ht="20.100000000000001" customHeight="1" x14ac:dyDescent="0.15">
      <c r="A638" s="5">
        <v>635</v>
      </c>
      <c r="B638" s="6" t="str">
        <f>"30482021060222385478492"</f>
        <v>30482021060222385478492</v>
      </c>
      <c r="C638" s="6" t="s">
        <v>1128</v>
      </c>
      <c r="D638" s="6" t="str">
        <f>"徐荟萃"</f>
        <v>徐荟萃</v>
      </c>
      <c r="E638" s="6" t="str">
        <f t="shared" si="24"/>
        <v>女</v>
      </c>
      <c r="F638" s="7" t="s">
        <v>62</v>
      </c>
    </row>
    <row r="639" spans="1:6" ht="20.100000000000001" customHeight="1" x14ac:dyDescent="0.15">
      <c r="A639" s="5">
        <v>636</v>
      </c>
      <c r="B639" s="6" t="str">
        <f>"30482021060222423378526"</f>
        <v>30482021060222423378526</v>
      </c>
      <c r="C639" s="6" t="s">
        <v>1128</v>
      </c>
      <c r="D639" s="6" t="str">
        <f>"何薇"</f>
        <v>何薇</v>
      </c>
      <c r="E639" s="6" t="str">
        <f t="shared" si="24"/>
        <v>女</v>
      </c>
      <c r="F639" s="7" t="s">
        <v>942</v>
      </c>
    </row>
    <row r="640" spans="1:6" ht="20.100000000000001" customHeight="1" x14ac:dyDescent="0.15">
      <c r="A640" s="5">
        <v>637</v>
      </c>
      <c r="B640" s="6" t="str">
        <f>"30482021060222573478632"</f>
        <v>30482021060222573478632</v>
      </c>
      <c r="C640" s="6" t="s">
        <v>1128</v>
      </c>
      <c r="D640" s="6" t="str">
        <f>"熊雨轩"</f>
        <v>熊雨轩</v>
      </c>
      <c r="E640" s="6" t="str">
        <f t="shared" si="24"/>
        <v>女</v>
      </c>
      <c r="F640" s="7" t="s">
        <v>659</v>
      </c>
    </row>
    <row r="641" spans="1:6" ht="20.100000000000001" customHeight="1" x14ac:dyDescent="0.15">
      <c r="A641" s="5">
        <v>638</v>
      </c>
      <c r="B641" s="6" t="str">
        <f>"30482021060222583678639"</f>
        <v>30482021060222583678639</v>
      </c>
      <c r="C641" s="6" t="s">
        <v>1128</v>
      </c>
      <c r="D641" s="6" t="str">
        <f>"黎丽莎"</f>
        <v>黎丽莎</v>
      </c>
      <c r="E641" s="6" t="str">
        <f t="shared" si="24"/>
        <v>女</v>
      </c>
      <c r="F641" s="7" t="s">
        <v>1379</v>
      </c>
    </row>
    <row r="642" spans="1:6" ht="20.100000000000001" customHeight="1" x14ac:dyDescent="0.15">
      <c r="A642" s="5">
        <v>639</v>
      </c>
      <c r="B642" s="6" t="str">
        <f>"30482021060223035478676"</f>
        <v>30482021060223035478676</v>
      </c>
      <c r="C642" s="6" t="s">
        <v>1128</v>
      </c>
      <c r="D642" s="6" t="str">
        <f>"陈婉芬"</f>
        <v>陈婉芬</v>
      </c>
      <c r="E642" s="6" t="str">
        <f t="shared" si="24"/>
        <v>女</v>
      </c>
      <c r="F642" s="7" t="s">
        <v>1380</v>
      </c>
    </row>
    <row r="643" spans="1:6" ht="20.100000000000001" customHeight="1" x14ac:dyDescent="0.15">
      <c r="A643" s="5">
        <v>640</v>
      </c>
      <c r="B643" s="6" t="str">
        <f>"30482021060223120478722"</f>
        <v>30482021060223120478722</v>
      </c>
      <c r="C643" s="6" t="s">
        <v>1128</v>
      </c>
      <c r="D643" s="6" t="str">
        <f>"王秋月"</f>
        <v>王秋月</v>
      </c>
      <c r="E643" s="6" t="str">
        <f t="shared" si="24"/>
        <v>女</v>
      </c>
      <c r="F643" s="7" t="s">
        <v>1381</v>
      </c>
    </row>
    <row r="644" spans="1:6" ht="20.100000000000001" customHeight="1" x14ac:dyDescent="0.15">
      <c r="A644" s="5">
        <v>641</v>
      </c>
      <c r="B644" s="6" t="str">
        <f>"30482021060223183178756"</f>
        <v>30482021060223183178756</v>
      </c>
      <c r="C644" s="6" t="s">
        <v>1128</v>
      </c>
      <c r="D644" s="6" t="str">
        <f>"吴惠丹"</f>
        <v>吴惠丹</v>
      </c>
      <c r="E644" s="6" t="str">
        <f t="shared" si="24"/>
        <v>女</v>
      </c>
      <c r="F644" s="7" t="s">
        <v>770</v>
      </c>
    </row>
    <row r="645" spans="1:6" ht="20.100000000000001" customHeight="1" x14ac:dyDescent="0.15">
      <c r="A645" s="5">
        <v>642</v>
      </c>
      <c r="B645" s="6" t="str">
        <f>"30482021060223191978760"</f>
        <v>30482021060223191978760</v>
      </c>
      <c r="C645" s="6" t="s">
        <v>1128</v>
      </c>
      <c r="D645" s="6" t="str">
        <f>"王彩怡"</f>
        <v>王彩怡</v>
      </c>
      <c r="E645" s="6" t="str">
        <f t="shared" si="24"/>
        <v>女</v>
      </c>
      <c r="F645" s="7" t="s">
        <v>1382</v>
      </c>
    </row>
    <row r="646" spans="1:6" ht="20.100000000000001" customHeight="1" x14ac:dyDescent="0.15">
      <c r="A646" s="5">
        <v>643</v>
      </c>
      <c r="B646" s="6" t="str">
        <f>"30482021060223211378772"</f>
        <v>30482021060223211378772</v>
      </c>
      <c r="C646" s="6" t="s">
        <v>1128</v>
      </c>
      <c r="D646" s="6" t="str">
        <f>"林彩芬"</f>
        <v>林彩芬</v>
      </c>
      <c r="E646" s="6" t="str">
        <f t="shared" si="24"/>
        <v>女</v>
      </c>
      <c r="F646" s="7" t="s">
        <v>904</v>
      </c>
    </row>
    <row r="647" spans="1:6" ht="20.100000000000001" customHeight="1" x14ac:dyDescent="0.15">
      <c r="A647" s="5">
        <v>644</v>
      </c>
      <c r="B647" s="6" t="str">
        <f>"30482021060223281678816"</f>
        <v>30482021060223281678816</v>
      </c>
      <c r="C647" s="6" t="s">
        <v>1128</v>
      </c>
      <c r="D647" s="6" t="str">
        <f>"符传义"</f>
        <v>符传义</v>
      </c>
      <c r="E647" s="6" t="str">
        <f>"男"</f>
        <v>男</v>
      </c>
      <c r="F647" s="7" t="s">
        <v>1383</v>
      </c>
    </row>
    <row r="648" spans="1:6" ht="20.100000000000001" customHeight="1" x14ac:dyDescent="0.15">
      <c r="A648" s="5">
        <v>645</v>
      </c>
      <c r="B648" s="6" t="str">
        <f>"30482021060223333378850"</f>
        <v>30482021060223333378850</v>
      </c>
      <c r="C648" s="6" t="s">
        <v>1128</v>
      </c>
      <c r="D648" s="6" t="str">
        <f>"王舒倩"</f>
        <v>王舒倩</v>
      </c>
      <c r="E648" s="6" t="str">
        <f t="shared" ref="E648:E692" si="25">"女"</f>
        <v>女</v>
      </c>
      <c r="F648" s="7" t="s">
        <v>1384</v>
      </c>
    </row>
    <row r="649" spans="1:6" ht="20.100000000000001" customHeight="1" x14ac:dyDescent="0.15">
      <c r="A649" s="5">
        <v>646</v>
      </c>
      <c r="B649" s="6" t="str">
        <f>"30482021060223403578879"</f>
        <v>30482021060223403578879</v>
      </c>
      <c r="C649" s="6" t="s">
        <v>1128</v>
      </c>
      <c r="D649" s="6" t="str">
        <f>"陈德嫒"</f>
        <v>陈德嫒</v>
      </c>
      <c r="E649" s="6" t="str">
        <f t="shared" si="25"/>
        <v>女</v>
      </c>
      <c r="F649" s="7" t="s">
        <v>1385</v>
      </c>
    </row>
    <row r="650" spans="1:6" ht="20.100000000000001" customHeight="1" x14ac:dyDescent="0.15">
      <c r="A650" s="5">
        <v>647</v>
      </c>
      <c r="B650" s="6" t="str">
        <f>"30482021060223580378953"</f>
        <v>30482021060223580378953</v>
      </c>
      <c r="C650" s="6" t="s">
        <v>1128</v>
      </c>
      <c r="D650" s="6" t="str">
        <f>"陈冰"</f>
        <v>陈冰</v>
      </c>
      <c r="E650" s="6" t="str">
        <f t="shared" si="25"/>
        <v>女</v>
      </c>
      <c r="F650" s="7" t="s">
        <v>1386</v>
      </c>
    </row>
    <row r="651" spans="1:6" ht="20.100000000000001" customHeight="1" x14ac:dyDescent="0.15">
      <c r="A651" s="5">
        <v>648</v>
      </c>
      <c r="B651" s="6" t="str">
        <f>"30482021060223581878955"</f>
        <v>30482021060223581878955</v>
      </c>
      <c r="C651" s="6" t="s">
        <v>1128</v>
      </c>
      <c r="D651" s="6" t="str">
        <f>"文精娇"</f>
        <v>文精娇</v>
      </c>
      <c r="E651" s="6" t="str">
        <f t="shared" si="25"/>
        <v>女</v>
      </c>
      <c r="F651" s="7" t="s">
        <v>1387</v>
      </c>
    </row>
    <row r="652" spans="1:6" ht="20.100000000000001" customHeight="1" x14ac:dyDescent="0.15">
      <c r="A652" s="5">
        <v>649</v>
      </c>
      <c r="B652" s="6" t="str">
        <f>"30482021060300092378988"</f>
        <v>30482021060300092378988</v>
      </c>
      <c r="C652" s="6" t="s">
        <v>1128</v>
      </c>
      <c r="D652" s="6" t="str">
        <f>"林尹一"</f>
        <v>林尹一</v>
      </c>
      <c r="E652" s="6" t="str">
        <f t="shared" si="25"/>
        <v>女</v>
      </c>
      <c r="F652" s="7" t="s">
        <v>37</v>
      </c>
    </row>
    <row r="653" spans="1:6" ht="20.100000000000001" customHeight="1" x14ac:dyDescent="0.15">
      <c r="A653" s="5">
        <v>650</v>
      </c>
      <c r="B653" s="6" t="str">
        <f>"30482021060300120978996"</f>
        <v>30482021060300120978996</v>
      </c>
      <c r="C653" s="6" t="s">
        <v>1128</v>
      </c>
      <c r="D653" s="6" t="str">
        <f>"陈玉雪"</f>
        <v>陈玉雪</v>
      </c>
      <c r="E653" s="6" t="str">
        <f t="shared" si="25"/>
        <v>女</v>
      </c>
      <c r="F653" s="7" t="s">
        <v>1388</v>
      </c>
    </row>
    <row r="654" spans="1:6" ht="20.100000000000001" customHeight="1" x14ac:dyDescent="0.15">
      <c r="A654" s="5">
        <v>651</v>
      </c>
      <c r="B654" s="6" t="str">
        <f>"30482021060300202679010"</f>
        <v>30482021060300202679010</v>
      </c>
      <c r="C654" s="6" t="s">
        <v>1128</v>
      </c>
      <c r="D654" s="6" t="str">
        <f>"张钰浠"</f>
        <v>张钰浠</v>
      </c>
      <c r="E654" s="6" t="str">
        <f t="shared" si="25"/>
        <v>女</v>
      </c>
      <c r="F654" s="7" t="s">
        <v>1389</v>
      </c>
    </row>
    <row r="655" spans="1:6" ht="20.100000000000001" customHeight="1" x14ac:dyDescent="0.15">
      <c r="A655" s="5">
        <v>652</v>
      </c>
      <c r="B655" s="6" t="str">
        <f>"30482021060300512179074"</f>
        <v>30482021060300512179074</v>
      </c>
      <c r="C655" s="6" t="s">
        <v>1128</v>
      </c>
      <c r="D655" s="6" t="str">
        <f>"李玲"</f>
        <v>李玲</v>
      </c>
      <c r="E655" s="6" t="str">
        <f t="shared" si="25"/>
        <v>女</v>
      </c>
      <c r="F655" s="7" t="s">
        <v>402</v>
      </c>
    </row>
    <row r="656" spans="1:6" ht="20.100000000000001" customHeight="1" x14ac:dyDescent="0.15">
      <c r="A656" s="5">
        <v>653</v>
      </c>
      <c r="B656" s="6" t="str">
        <f>"30482021060302071279130"</f>
        <v>30482021060302071279130</v>
      </c>
      <c r="C656" s="6" t="s">
        <v>1128</v>
      </c>
      <c r="D656" s="6" t="str">
        <f>"陈章琳"</f>
        <v>陈章琳</v>
      </c>
      <c r="E656" s="6" t="str">
        <f t="shared" si="25"/>
        <v>女</v>
      </c>
      <c r="F656" s="7" t="s">
        <v>793</v>
      </c>
    </row>
    <row r="657" spans="1:6" ht="20.100000000000001" customHeight="1" x14ac:dyDescent="0.15">
      <c r="A657" s="5">
        <v>654</v>
      </c>
      <c r="B657" s="6" t="str">
        <f>"30482021060302184779131"</f>
        <v>30482021060302184779131</v>
      </c>
      <c r="C657" s="6" t="s">
        <v>1128</v>
      </c>
      <c r="D657" s="6" t="str">
        <f>"郑萍"</f>
        <v>郑萍</v>
      </c>
      <c r="E657" s="6" t="str">
        <f t="shared" si="25"/>
        <v>女</v>
      </c>
      <c r="F657" s="7" t="s">
        <v>887</v>
      </c>
    </row>
    <row r="658" spans="1:6" ht="20.100000000000001" customHeight="1" x14ac:dyDescent="0.15">
      <c r="A658" s="5">
        <v>655</v>
      </c>
      <c r="B658" s="6" t="str">
        <f>"30482021060303505679145"</f>
        <v>30482021060303505679145</v>
      </c>
      <c r="C658" s="6" t="s">
        <v>1128</v>
      </c>
      <c r="D658" s="6" t="str">
        <f>"李秋妹"</f>
        <v>李秋妹</v>
      </c>
      <c r="E658" s="6" t="str">
        <f t="shared" si="25"/>
        <v>女</v>
      </c>
      <c r="F658" s="7" t="s">
        <v>191</v>
      </c>
    </row>
    <row r="659" spans="1:6" ht="20.100000000000001" customHeight="1" x14ac:dyDescent="0.15">
      <c r="A659" s="5">
        <v>656</v>
      </c>
      <c r="B659" s="6" t="str">
        <f>"30482021060306335679160"</f>
        <v>30482021060306335679160</v>
      </c>
      <c r="C659" s="6" t="s">
        <v>1128</v>
      </c>
      <c r="D659" s="6" t="str">
        <f>"陈诗婷"</f>
        <v>陈诗婷</v>
      </c>
      <c r="E659" s="6" t="str">
        <f t="shared" si="25"/>
        <v>女</v>
      </c>
      <c r="F659" s="7" t="s">
        <v>1246</v>
      </c>
    </row>
    <row r="660" spans="1:6" ht="20.100000000000001" customHeight="1" x14ac:dyDescent="0.15">
      <c r="A660" s="5">
        <v>657</v>
      </c>
      <c r="B660" s="6" t="str">
        <f>"30482021060307511779237"</f>
        <v>30482021060307511779237</v>
      </c>
      <c r="C660" s="6" t="s">
        <v>1128</v>
      </c>
      <c r="D660" s="6" t="str">
        <f>"欧乾静"</f>
        <v>欧乾静</v>
      </c>
      <c r="E660" s="6" t="str">
        <f t="shared" si="25"/>
        <v>女</v>
      </c>
      <c r="F660" s="7" t="s">
        <v>1390</v>
      </c>
    </row>
    <row r="661" spans="1:6" ht="20.100000000000001" customHeight="1" x14ac:dyDescent="0.15">
      <c r="A661" s="5">
        <v>658</v>
      </c>
      <c r="B661" s="6" t="str">
        <f>"30482021060308243479420"</f>
        <v>30482021060308243479420</v>
      </c>
      <c r="C661" s="6" t="s">
        <v>1128</v>
      </c>
      <c r="D661" s="6" t="str">
        <f>"李文珍"</f>
        <v>李文珍</v>
      </c>
      <c r="E661" s="6" t="str">
        <f t="shared" si="25"/>
        <v>女</v>
      </c>
      <c r="F661" s="7" t="s">
        <v>1280</v>
      </c>
    </row>
    <row r="662" spans="1:6" ht="20.100000000000001" customHeight="1" x14ac:dyDescent="0.15">
      <c r="A662" s="5">
        <v>659</v>
      </c>
      <c r="B662" s="6" t="str">
        <f>"30482021060308262079430"</f>
        <v>30482021060308262079430</v>
      </c>
      <c r="C662" s="6" t="s">
        <v>1128</v>
      </c>
      <c r="D662" s="6" t="str">
        <f>"黄子苗"</f>
        <v>黄子苗</v>
      </c>
      <c r="E662" s="6" t="str">
        <f t="shared" si="25"/>
        <v>女</v>
      </c>
      <c r="F662" s="7" t="s">
        <v>313</v>
      </c>
    </row>
    <row r="663" spans="1:6" ht="20.100000000000001" customHeight="1" x14ac:dyDescent="0.15">
      <c r="A663" s="5">
        <v>660</v>
      </c>
      <c r="B663" s="6" t="str">
        <f>"30482021060308363379520"</f>
        <v>30482021060308363379520</v>
      </c>
      <c r="C663" s="6" t="s">
        <v>1128</v>
      </c>
      <c r="D663" s="6" t="str">
        <f>"王淑英"</f>
        <v>王淑英</v>
      </c>
      <c r="E663" s="6" t="str">
        <f t="shared" si="25"/>
        <v>女</v>
      </c>
      <c r="F663" s="7" t="s">
        <v>1391</v>
      </c>
    </row>
    <row r="664" spans="1:6" ht="20.100000000000001" customHeight="1" x14ac:dyDescent="0.15">
      <c r="A664" s="5">
        <v>661</v>
      </c>
      <c r="B664" s="6" t="str">
        <f>"30482021060308385079544"</f>
        <v>30482021060308385079544</v>
      </c>
      <c r="C664" s="6" t="s">
        <v>1128</v>
      </c>
      <c r="D664" s="6" t="str">
        <f>"吴清冰"</f>
        <v>吴清冰</v>
      </c>
      <c r="E664" s="6" t="str">
        <f t="shared" si="25"/>
        <v>女</v>
      </c>
      <c r="F664" s="7" t="s">
        <v>1392</v>
      </c>
    </row>
    <row r="665" spans="1:6" ht="20.100000000000001" customHeight="1" x14ac:dyDescent="0.15">
      <c r="A665" s="5">
        <v>662</v>
      </c>
      <c r="B665" s="6" t="str">
        <f>"30482021060308391379550"</f>
        <v>30482021060308391379550</v>
      </c>
      <c r="C665" s="6" t="s">
        <v>1128</v>
      </c>
      <c r="D665" s="6" t="str">
        <f>"陈晓珊"</f>
        <v>陈晓珊</v>
      </c>
      <c r="E665" s="6" t="str">
        <f t="shared" si="25"/>
        <v>女</v>
      </c>
      <c r="F665" s="7" t="s">
        <v>965</v>
      </c>
    </row>
    <row r="666" spans="1:6" ht="20.100000000000001" customHeight="1" x14ac:dyDescent="0.15">
      <c r="A666" s="5">
        <v>663</v>
      </c>
      <c r="B666" s="6" t="str">
        <f>"30482021060308452479615"</f>
        <v>30482021060308452479615</v>
      </c>
      <c r="C666" s="6" t="s">
        <v>1128</v>
      </c>
      <c r="D666" s="6" t="str">
        <f>"曾恋鸿"</f>
        <v>曾恋鸿</v>
      </c>
      <c r="E666" s="6" t="str">
        <f t="shared" si="25"/>
        <v>女</v>
      </c>
      <c r="F666" s="7" t="s">
        <v>1393</v>
      </c>
    </row>
    <row r="667" spans="1:6" ht="20.100000000000001" customHeight="1" x14ac:dyDescent="0.15">
      <c r="A667" s="5">
        <v>664</v>
      </c>
      <c r="B667" s="6" t="str">
        <f>"30482021060308523879686"</f>
        <v>30482021060308523879686</v>
      </c>
      <c r="C667" s="6" t="s">
        <v>1128</v>
      </c>
      <c r="D667" s="6" t="str">
        <f>"吴玉梅"</f>
        <v>吴玉梅</v>
      </c>
      <c r="E667" s="6" t="str">
        <f t="shared" si="25"/>
        <v>女</v>
      </c>
      <c r="F667" s="7" t="s">
        <v>1394</v>
      </c>
    </row>
    <row r="668" spans="1:6" ht="20.100000000000001" customHeight="1" x14ac:dyDescent="0.15">
      <c r="A668" s="5">
        <v>665</v>
      </c>
      <c r="B668" s="6" t="str">
        <f>"30482021060308534579697"</f>
        <v>30482021060308534579697</v>
      </c>
      <c r="C668" s="6" t="s">
        <v>1128</v>
      </c>
      <c r="D668" s="6" t="str">
        <f>"林春爱"</f>
        <v>林春爱</v>
      </c>
      <c r="E668" s="6" t="str">
        <f t="shared" si="25"/>
        <v>女</v>
      </c>
      <c r="F668" s="7" t="s">
        <v>766</v>
      </c>
    </row>
    <row r="669" spans="1:6" ht="20.100000000000001" customHeight="1" x14ac:dyDescent="0.15">
      <c r="A669" s="5">
        <v>666</v>
      </c>
      <c r="B669" s="6" t="str">
        <f>"30482021060308544979718"</f>
        <v>30482021060308544979718</v>
      </c>
      <c r="C669" s="6" t="s">
        <v>1128</v>
      </c>
      <c r="D669" s="6" t="str">
        <f>"王思琪"</f>
        <v>王思琪</v>
      </c>
      <c r="E669" s="6" t="str">
        <f t="shared" si="25"/>
        <v>女</v>
      </c>
      <c r="F669" s="7" t="s">
        <v>1395</v>
      </c>
    </row>
    <row r="670" spans="1:6" ht="20.100000000000001" customHeight="1" x14ac:dyDescent="0.15">
      <c r="A670" s="5">
        <v>667</v>
      </c>
      <c r="B670" s="6" t="str">
        <f>"30482021060308552179724"</f>
        <v>30482021060308552179724</v>
      </c>
      <c r="C670" s="6" t="s">
        <v>1128</v>
      </c>
      <c r="D670" s="6" t="str">
        <f>"符秀文"</f>
        <v>符秀文</v>
      </c>
      <c r="E670" s="6" t="str">
        <f t="shared" si="25"/>
        <v>女</v>
      </c>
      <c r="F670" s="7" t="s">
        <v>1175</v>
      </c>
    </row>
    <row r="671" spans="1:6" ht="20.100000000000001" customHeight="1" x14ac:dyDescent="0.15">
      <c r="A671" s="5">
        <v>668</v>
      </c>
      <c r="B671" s="6" t="str">
        <f>"30482021060308584679778"</f>
        <v>30482021060308584679778</v>
      </c>
      <c r="C671" s="6" t="s">
        <v>1128</v>
      </c>
      <c r="D671" s="6" t="str">
        <f>"符永香"</f>
        <v>符永香</v>
      </c>
      <c r="E671" s="6" t="str">
        <f t="shared" si="25"/>
        <v>女</v>
      </c>
      <c r="F671" s="7" t="s">
        <v>1396</v>
      </c>
    </row>
    <row r="672" spans="1:6" ht="20.100000000000001" customHeight="1" x14ac:dyDescent="0.15">
      <c r="A672" s="5">
        <v>669</v>
      </c>
      <c r="B672" s="6" t="str">
        <f>"30482021060309014179822"</f>
        <v>30482021060309014179822</v>
      </c>
      <c r="C672" s="6" t="s">
        <v>1128</v>
      </c>
      <c r="D672" s="6" t="str">
        <f>"许先娇"</f>
        <v>许先娇</v>
      </c>
      <c r="E672" s="6" t="str">
        <f t="shared" si="25"/>
        <v>女</v>
      </c>
      <c r="F672" s="7" t="s">
        <v>1397</v>
      </c>
    </row>
    <row r="673" spans="1:6" ht="20.100000000000001" customHeight="1" x14ac:dyDescent="0.15">
      <c r="A673" s="5">
        <v>670</v>
      </c>
      <c r="B673" s="6" t="str">
        <f>"30482021060309022279829"</f>
        <v>30482021060309022279829</v>
      </c>
      <c r="C673" s="6" t="s">
        <v>1128</v>
      </c>
      <c r="D673" s="6" t="str">
        <f>"洪恩娟"</f>
        <v>洪恩娟</v>
      </c>
      <c r="E673" s="6" t="str">
        <f t="shared" si="25"/>
        <v>女</v>
      </c>
      <c r="F673" s="7" t="s">
        <v>102</v>
      </c>
    </row>
    <row r="674" spans="1:6" ht="20.100000000000001" customHeight="1" x14ac:dyDescent="0.15">
      <c r="A674" s="5">
        <v>671</v>
      </c>
      <c r="B674" s="6" t="str">
        <f>"30482021060309205280068"</f>
        <v>30482021060309205280068</v>
      </c>
      <c r="C674" s="6" t="s">
        <v>1128</v>
      </c>
      <c r="D674" s="6" t="str">
        <f>"陈琪"</f>
        <v>陈琪</v>
      </c>
      <c r="E674" s="6" t="str">
        <f t="shared" si="25"/>
        <v>女</v>
      </c>
      <c r="F674" s="7" t="s">
        <v>31</v>
      </c>
    </row>
    <row r="675" spans="1:6" ht="20.100000000000001" customHeight="1" x14ac:dyDescent="0.15">
      <c r="A675" s="5">
        <v>672</v>
      </c>
      <c r="B675" s="6" t="str">
        <f>"30482021060309243380123"</f>
        <v>30482021060309243380123</v>
      </c>
      <c r="C675" s="6" t="s">
        <v>1128</v>
      </c>
      <c r="D675" s="6" t="str">
        <f>"韩丛竹"</f>
        <v>韩丛竹</v>
      </c>
      <c r="E675" s="6" t="str">
        <f t="shared" si="25"/>
        <v>女</v>
      </c>
      <c r="F675" s="7" t="s">
        <v>761</v>
      </c>
    </row>
    <row r="676" spans="1:6" ht="20.100000000000001" customHeight="1" x14ac:dyDescent="0.15">
      <c r="A676" s="5">
        <v>673</v>
      </c>
      <c r="B676" s="6" t="str">
        <f>"30482021060309365080314"</f>
        <v>30482021060309365080314</v>
      </c>
      <c r="C676" s="6" t="s">
        <v>1128</v>
      </c>
      <c r="D676" s="6" t="str">
        <f>"陈国珠"</f>
        <v>陈国珠</v>
      </c>
      <c r="E676" s="6" t="str">
        <f t="shared" si="25"/>
        <v>女</v>
      </c>
      <c r="F676" s="7" t="s">
        <v>1119</v>
      </c>
    </row>
    <row r="677" spans="1:6" ht="20.100000000000001" customHeight="1" x14ac:dyDescent="0.15">
      <c r="A677" s="5">
        <v>674</v>
      </c>
      <c r="B677" s="6" t="str">
        <f>"30482021060309381680330"</f>
        <v>30482021060309381680330</v>
      </c>
      <c r="C677" s="6" t="s">
        <v>1128</v>
      </c>
      <c r="D677" s="6" t="str">
        <f>"张存"</f>
        <v>张存</v>
      </c>
      <c r="E677" s="6" t="str">
        <f t="shared" si="25"/>
        <v>女</v>
      </c>
      <c r="F677" s="7" t="s">
        <v>741</v>
      </c>
    </row>
    <row r="678" spans="1:6" ht="20.100000000000001" customHeight="1" x14ac:dyDescent="0.15">
      <c r="A678" s="5">
        <v>675</v>
      </c>
      <c r="B678" s="6" t="str">
        <f>"30482021060309390180341"</f>
        <v>30482021060309390180341</v>
      </c>
      <c r="C678" s="6" t="s">
        <v>1128</v>
      </c>
      <c r="D678" s="6" t="str">
        <f>"符芳秀"</f>
        <v>符芳秀</v>
      </c>
      <c r="E678" s="6" t="str">
        <f t="shared" si="25"/>
        <v>女</v>
      </c>
      <c r="F678" s="7" t="s">
        <v>1398</v>
      </c>
    </row>
    <row r="679" spans="1:6" ht="20.100000000000001" customHeight="1" x14ac:dyDescent="0.15">
      <c r="A679" s="5">
        <v>676</v>
      </c>
      <c r="B679" s="6" t="str">
        <f>"30482021060309394780352"</f>
        <v>30482021060309394780352</v>
      </c>
      <c r="C679" s="6" t="s">
        <v>1128</v>
      </c>
      <c r="D679" s="6" t="str">
        <f>"李梦鑫"</f>
        <v>李梦鑫</v>
      </c>
      <c r="E679" s="6" t="str">
        <f t="shared" si="25"/>
        <v>女</v>
      </c>
      <c r="F679" s="7" t="s">
        <v>1399</v>
      </c>
    </row>
    <row r="680" spans="1:6" ht="20.100000000000001" customHeight="1" x14ac:dyDescent="0.15">
      <c r="A680" s="5">
        <v>677</v>
      </c>
      <c r="B680" s="6" t="str">
        <f>"30482021060309493480497"</f>
        <v>30482021060309493480497</v>
      </c>
      <c r="C680" s="6" t="s">
        <v>1128</v>
      </c>
      <c r="D680" s="6" t="str">
        <f>"梁艺"</f>
        <v>梁艺</v>
      </c>
      <c r="E680" s="6" t="str">
        <f t="shared" si="25"/>
        <v>女</v>
      </c>
      <c r="F680" s="7" t="s">
        <v>1400</v>
      </c>
    </row>
    <row r="681" spans="1:6" ht="20.100000000000001" customHeight="1" x14ac:dyDescent="0.15">
      <c r="A681" s="5">
        <v>678</v>
      </c>
      <c r="B681" s="6" t="str">
        <f>"30482021060309511380533"</f>
        <v>30482021060309511380533</v>
      </c>
      <c r="C681" s="6" t="s">
        <v>1128</v>
      </c>
      <c r="D681" s="6" t="str">
        <f>"陈奕婵"</f>
        <v>陈奕婵</v>
      </c>
      <c r="E681" s="6" t="str">
        <f t="shared" si="25"/>
        <v>女</v>
      </c>
      <c r="F681" s="7" t="s">
        <v>1159</v>
      </c>
    </row>
    <row r="682" spans="1:6" ht="20.100000000000001" customHeight="1" x14ac:dyDescent="0.15">
      <c r="A682" s="5">
        <v>679</v>
      </c>
      <c r="B682" s="6" t="str">
        <f>"30482021060309525680556"</f>
        <v>30482021060309525680556</v>
      </c>
      <c r="C682" s="6" t="s">
        <v>1128</v>
      </c>
      <c r="D682" s="6" t="str">
        <f>"吴佩珠"</f>
        <v>吴佩珠</v>
      </c>
      <c r="E682" s="6" t="str">
        <f t="shared" si="25"/>
        <v>女</v>
      </c>
      <c r="F682" s="7" t="s">
        <v>1156</v>
      </c>
    </row>
    <row r="683" spans="1:6" ht="20.100000000000001" customHeight="1" x14ac:dyDescent="0.15">
      <c r="A683" s="5">
        <v>680</v>
      </c>
      <c r="B683" s="6" t="str">
        <f>"30482021060309555780609"</f>
        <v>30482021060309555780609</v>
      </c>
      <c r="C683" s="6" t="s">
        <v>1128</v>
      </c>
      <c r="D683" s="6" t="str">
        <f>"林咪咪"</f>
        <v>林咪咪</v>
      </c>
      <c r="E683" s="6" t="str">
        <f t="shared" si="25"/>
        <v>女</v>
      </c>
      <c r="F683" s="7" t="s">
        <v>1401</v>
      </c>
    </row>
    <row r="684" spans="1:6" ht="20.100000000000001" customHeight="1" x14ac:dyDescent="0.15">
      <c r="A684" s="5">
        <v>681</v>
      </c>
      <c r="B684" s="6" t="str">
        <f>"30482021060309590680665"</f>
        <v>30482021060309590680665</v>
      </c>
      <c r="C684" s="6" t="s">
        <v>1128</v>
      </c>
      <c r="D684" s="6" t="str">
        <f>"陆芯兰"</f>
        <v>陆芯兰</v>
      </c>
      <c r="E684" s="6" t="str">
        <f t="shared" si="25"/>
        <v>女</v>
      </c>
      <c r="F684" s="7" t="s">
        <v>101</v>
      </c>
    </row>
    <row r="685" spans="1:6" ht="20.100000000000001" customHeight="1" x14ac:dyDescent="0.15">
      <c r="A685" s="5">
        <v>682</v>
      </c>
      <c r="B685" s="6" t="str">
        <f>"30482021060310051580762"</f>
        <v>30482021060310051580762</v>
      </c>
      <c r="C685" s="6" t="s">
        <v>1128</v>
      </c>
      <c r="D685" s="6" t="str">
        <f>"李影"</f>
        <v>李影</v>
      </c>
      <c r="E685" s="6" t="str">
        <f t="shared" si="25"/>
        <v>女</v>
      </c>
      <c r="F685" s="7" t="s">
        <v>1086</v>
      </c>
    </row>
    <row r="686" spans="1:6" ht="20.100000000000001" customHeight="1" x14ac:dyDescent="0.15">
      <c r="A686" s="5">
        <v>683</v>
      </c>
      <c r="B686" s="6" t="str">
        <f>"30482021060310063480785"</f>
        <v>30482021060310063480785</v>
      </c>
      <c r="C686" s="6" t="s">
        <v>1128</v>
      </c>
      <c r="D686" s="6" t="str">
        <f>"王晓玲"</f>
        <v>王晓玲</v>
      </c>
      <c r="E686" s="6" t="str">
        <f t="shared" si="25"/>
        <v>女</v>
      </c>
      <c r="F686" s="7" t="s">
        <v>235</v>
      </c>
    </row>
    <row r="687" spans="1:6" ht="20.100000000000001" customHeight="1" x14ac:dyDescent="0.15">
      <c r="A687" s="5">
        <v>684</v>
      </c>
      <c r="B687" s="6" t="str">
        <f>"30482021060310070980802"</f>
        <v>30482021060310070980802</v>
      </c>
      <c r="C687" s="6" t="s">
        <v>1128</v>
      </c>
      <c r="D687" s="6" t="str">
        <f>"陈辉苗"</f>
        <v>陈辉苗</v>
      </c>
      <c r="E687" s="6" t="str">
        <f t="shared" si="25"/>
        <v>女</v>
      </c>
      <c r="F687" s="7" t="s">
        <v>43</v>
      </c>
    </row>
    <row r="688" spans="1:6" ht="20.100000000000001" customHeight="1" x14ac:dyDescent="0.15">
      <c r="A688" s="5">
        <v>685</v>
      </c>
      <c r="B688" s="6" t="str">
        <f>"30482021060310084980833"</f>
        <v>30482021060310084980833</v>
      </c>
      <c r="C688" s="6" t="s">
        <v>1128</v>
      </c>
      <c r="D688" s="6" t="str">
        <f>"麦惠群"</f>
        <v>麦惠群</v>
      </c>
      <c r="E688" s="6" t="str">
        <f t="shared" si="25"/>
        <v>女</v>
      </c>
      <c r="F688" s="7" t="s">
        <v>1402</v>
      </c>
    </row>
    <row r="689" spans="1:6" ht="20.100000000000001" customHeight="1" x14ac:dyDescent="0.15">
      <c r="A689" s="5">
        <v>686</v>
      </c>
      <c r="B689" s="6" t="str">
        <f>"30482021060310132280899"</f>
        <v>30482021060310132280899</v>
      </c>
      <c r="C689" s="6" t="s">
        <v>1128</v>
      </c>
      <c r="D689" s="6" t="str">
        <f>"黄冠丹"</f>
        <v>黄冠丹</v>
      </c>
      <c r="E689" s="6" t="str">
        <f t="shared" si="25"/>
        <v>女</v>
      </c>
      <c r="F689" s="7" t="s">
        <v>107</v>
      </c>
    </row>
    <row r="690" spans="1:6" ht="20.100000000000001" customHeight="1" x14ac:dyDescent="0.15">
      <c r="A690" s="5">
        <v>687</v>
      </c>
      <c r="B690" s="6" t="str">
        <f>"30482021060310140780913"</f>
        <v>30482021060310140780913</v>
      </c>
      <c r="C690" s="6" t="s">
        <v>1128</v>
      </c>
      <c r="D690" s="6" t="str">
        <f>"唐利利"</f>
        <v>唐利利</v>
      </c>
      <c r="E690" s="6" t="str">
        <f t="shared" si="25"/>
        <v>女</v>
      </c>
      <c r="F690" s="7" t="s">
        <v>355</v>
      </c>
    </row>
    <row r="691" spans="1:6" ht="20.100000000000001" customHeight="1" x14ac:dyDescent="0.15">
      <c r="A691" s="5">
        <v>688</v>
      </c>
      <c r="B691" s="6" t="str">
        <f>"30482021060310145280932"</f>
        <v>30482021060310145280932</v>
      </c>
      <c r="C691" s="6" t="s">
        <v>1128</v>
      </c>
      <c r="D691" s="6" t="str">
        <f>"吴青"</f>
        <v>吴青</v>
      </c>
      <c r="E691" s="6" t="str">
        <f t="shared" si="25"/>
        <v>女</v>
      </c>
      <c r="F691" s="7" t="s">
        <v>553</v>
      </c>
    </row>
    <row r="692" spans="1:6" ht="20.100000000000001" customHeight="1" x14ac:dyDescent="0.15">
      <c r="A692" s="5">
        <v>689</v>
      </c>
      <c r="B692" s="6" t="str">
        <f>"30482021060310174180984"</f>
        <v>30482021060310174180984</v>
      </c>
      <c r="C692" s="6" t="s">
        <v>1128</v>
      </c>
      <c r="D692" s="6" t="str">
        <f>"李杰元"</f>
        <v>李杰元</v>
      </c>
      <c r="E692" s="6" t="str">
        <f t="shared" si="25"/>
        <v>女</v>
      </c>
      <c r="F692" s="7" t="s">
        <v>1403</v>
      </c>
    </row>
    <row r="693" spans="1:6" ht="20.100000000000001" customHeight="1" x14ac:dyDescent="0.15">
      <c r="A693" s="5">
        <v>690</v>
      </c>
      <c r="B693" s="6" t="str">
        <f>"30482021060310275181135"</f>
        <v>30482021060310275181135</v>
      </c>
      <c r="C693" s="6" t="s">
        <v>1128</v>
      </c>
      <c r="D693" s="6" t="str">
        <f>"甘昌阳"</f>
        <v>甘昌阳</v>
      </c>
      <c r="E693" s="6" t="str">
        <f>"男"</f>
        <v>男</v>
      </c>
      <c r="F693" s="7" t="s">
        <v>468</v>
      </c>
    </row>
    <row r="694" spans="1:6" ht="20.100000000000001" customHeight="1" x14ac:dyDescent="0.15">
      <c r="A694" s="5">
        <v>691</v>
      </c>
      <c r="B694" s="6" t="str">
        <f>"30482021060310375981298"</f>
        <v>30482021060310375981298</v>
      </c>
      <c r="C694" s="6" t="s">
        <v>1128</v>
      </c>
      <c r="D694" s="6" t="str">
        <f>"彭舒凤"</f>
        <v>彭舒凤</v>
      </c>
      <c r="E694" s="6" t="str">
        <f t="shared" ref="E694:E698" si="26">"女"</f>
        <v>女</v>
      </c>
      <c r="F694" s="7" t="s">
        <v>1404</v>
      </c>
    </row>
    <row r="695" spans="1:6" ht="20.100000000000001" customHeight="1" x14ac:dyDescent="0.15">
      <c r="A695" s="5">
        <v>692</v>
      </c>
      <c r="B695" s="6" t="str">
        <f>"30482021060310383581309"</f>
        <v>30482021060310383581309</v>
      </c>
      <c r="C695" s="6" t="s">
        <v>1128</v>
      </c>
      <c r="D695" s="6" t="str">
        <f>"薛秀乾"</f>
        <v>薛秀乾</v>
      </c>
      <c r="E695" s="6" t="str">
        <f t="shared" si="26"/>
        <v>女</v>
      </c>
      <c r="F695" s="7" t="s">
        <v>1159</v>
      </c>
    </row>
    <row r="696" spans="1:6" ht="20.100000000000001" customHeight="1" x14ac:dyDescent="0.15">
      <c r="A696" s="5">
        <v>693</v>
      </c>
      <c r="B696" s="6" t="str">
        <f>"30482021060310465581442"</f>
        <v>30482021060310465581442</v>
      </c>
      <c r="C696" s="6" t="s">
        <v>1128</v>
      </c>
      <c r="D696" s="6" t="str">
        <f>"唐瑜"</f>
        <v>唐瑜</v>
      </c>
      <c r="E696" s="6" t="str">
        <f t="shared" si="26"/>
        <v>女</v>
      </c>
      <c r="F696" s="7" t="s">
        <v>247</v>
      </c>
    </row>
    <row r="697" spans="1:6" ht="20.100000000000001" customHeight="1" x14ac:dyDescent="0.15">
      <c r="A697" s="5">
        <v>694</v>
      </c>
      <c r="B697" s="6" t="str">
        <f>"30482021060310495781495"</f>
        <v>30482021060310495781495</v>
      </c>
      <c r="C697" s="6" t="s">
        <v>1128</v>
      </c>
      <c r="D697" s="6" t="str">
        <f>"陈秋南"</f>
        <v>陈秋南</v>
      </c>
      <c r="E697" s="6" t="str">
        <f t="shared" si="26"/>
        <v>女</v>
      </c>
      <c r="F697" s="7" t="s">
        <v>679</v>
      </c>
    </row>
    <row r="698" spans="1:6" ht="20.100000000000001" customHeight="1" x14ac:dyDescent="0.15">
      <c r="A698" s="5">
        <v>695</v>
      </c>
      <c r="B698" s="6" t="str">
        <f>"30482021060310513381521"</f>
        <v>30482021060310513381521</v>
      </c>
      <c r="C698" s="6" t="s">
        <v>1128</v>
      </c>
      <c r="D698" s="6" t="str">
        <f>"吴心玉"</f>
        <v>吴心玉</v>
      </c>
      <c r="E698" s="6" t="str">
        <f t="shared" si="26"/>
        <v>女</v>
      </c>
      <c r="F698" s="7" t="s">
        <v>208</v>
      </c>
    </row>
    <row r="699" spans="1:6" ht="20.100000000000001" customHeight="1" x14ac:dyDescent="0.15">
      <c r="A699" s="5">
        <v>696</v>
      </c>
      <c r="B699" s="6" t="str">
        <f>"30482021060310580581627"</f>
        <v>30482021060310580581627</v>
      </c>
      <c r="C699" s="6" t="s">
        <v>1128</v>
      </c>
      <c r="D699" s="6" t="str">
        <f>"汤昌弟"</f>
        <v>汤昌弟</v>
      </c>
      <c r="E699" s="6" t="str">
        <f>"男"</f>
        <v>男</v>
      </c>
      <c r="F699" s="7" t="s">
        <v>1405</v>
      </c>
    </row>
    <row r="700" spans="1:6" ht="20.100000000000001" customHeight="1" x14ac:dyDescent="0.15">
      <c r="A700" s="5">
        <v>697</v>
      </c>
      <c r="B700" s="6" t="str">
        <f>"30482021060311014281688"</f>
        <v>30482021060311014281688</v>
      </c>
      <c r="C700" s="6" t="s">
        <v>1128</v>
      </c>
      <c r="D700" s="6" t="str">
        <f>"陈曦"</f>
        <v>陈曦</v>
      </c>
      <c r="E700" s="6" t="str">
        <f t="shared" ref="E700:E763" si="27">"女"</f>
        <v>女</v>
      </c>
      <c r="F700" s="7" t="s">
        <v>934</v>
      </c>
    </row>
    <row r="701" spans="1:6" ht="20.100000000000001" customHeight="1" x14ac:dyDescent="0.15">
      <c r="A701" s="5">
        <v>698</v>
      </c>
      <c r="B701" s="6" t="str">
        <f>"30482021060311050581757"</f>
        <v>30482021060311050581757</v>
      </c>
      <c r="C701" s="6" t="s">
        <v>1128</v>
      </c>
      <c r="D701" s="6" t="str">
        <f>"莫儒诗"</f>
        <v>莫儒诗</v>
      </c>
      <c r="E701" s="6" t="str">
        <f t="shared" si="27"/>
        <v>女</v>
      </c>
      <c r="F701" s="7" t="s">
        <v>648</v>
      </c>
    </row>
    <row r="702" spans="1:6" ht="20.100000000000001" customHeight="1" x14ac:dyDescent="0.15">
      <c r="A702" s="5">
        <v>699</v>
      </c>
      <c r="B702" s="6" t="str">
        <f>"30482021060311060081771"</f>
        <v>30482021060311060081771</v>
      </c>
      <c r="C702" s="6" t="s">
        <v>1128</v>
      </c>
      <c r="D702" s="6" t="str">
        <f>"王俏俏"</f>
        <v>王俏俏</v>
      </c>
      <c r="E702" s="6" t="str">
        <f t="shared" si="27"/>
        <v>女</v>
      </c>
      <c r="F702" s="7" t="s">
        <v>1099</v>
      </c>
    </row>
    <row r="703" spans="1:6" ht="20.100000000000001" customHeight="1" x14ac:dyDescent="0.15">
      <c r="A703" s="5">
        <v>700</v>
      </c>
      <c r="B703" s="6" t="str">
        <f>"30482021060311064881781"</f>
        <v>30482021060311064881781</v>
      </c>
      <c r="C703" s="6" t="s">
        <v>1128</v>
      </c>
      <c r="D703" s="6" t="str">
        <f>"黎燕"</f>
        <v>黎燕</v>
      </c>
      <c r="E703" s="6" t="str">
        <f t="shared" si="27"/>
        <v>女</v>
      </c>
      <c r="F703" s="7" t="s">
        <v>483</v>
      </c>
    </row>
    <row r="704" spans="1:6" ht="20.100000000000001" customHeight="1" x14ac:dyDescent="0.15">
      <c r="A704" s="5">
        <v>701</v>
      </c>
      <c r="B704" s="6" t="str">
        <f>"30482021060311112681850"</f>
        <v>30482021060311112681850</v>
      </c>
      <c r="C704" s="6" t="s">
        <v>1128</v>
      </c>
      <c r="D704" s="6" t="str">
        <f>"冯沐颖"</f>
        <v>冯沐颖</v>
      </c>
      <c r="E704" s="6" t="str">
        <f t="shared" si="27"/>
        <v>女</v>
      </c>
      <c r="F704" s="7" t="s">
        <v>456</v>
      </c>
    </row>
    <row r="705" spans="1:6" ht="20.100000000000001" customHeight="1" x14ac:dyDescent="0.15">
      <c r="A705" s="5">
        <v>702</v>
      </c>
      <c r="B705" s="6" t="str">
        <f>"30482021060311143881893"</f>
        <v>30482021060311143881893</v>
      </c>
      <c r="C705" s="6" t="s">
        <v>1128</v>
      </c>
      <c r="D705" s="6" t="str">
        <f>"林亚丽"</f>
        <v>林亚丽</v>
      </c>
      <c r="E705" s="6" t="str">
        <f t="shared" si="27"/>
        <v>女</v>
      </c>
      <c r="F705" s="7" t="s">
        <v>92</v>
      </c>
    </row>
    <row r="706" spans="1:6" ht="20.100000000000001" customHeight="1" x14ac:dyDescent="0.15">
      <c r="A706" s="5">
        <v>703</v>
      </c>
      <c r="B706" s="6" t="str">
        <f>"30482021060311150481904"</f>
        <v>30482021060311150481904</v>
      </c>
      <c r="C706" s="6" t="s">
        <v>1128</v>
      </c>
      <c r="D706" s="6" t="str">
        <f>"谢诗珺"</f>
        <v>谢诗珺</v>
      </c>
      <c r="E706" s="6" t="str">
        <f t="shared" si="27"/>
        <v>女</v>
      </c>
      <c r="F706" s="7" t="s">
        <v>165</v>
      </c>
    </row>
    <row r="707" spans="1:6" ht="20.100000000000001" customHeight="1" x14ac:dyDescent="0.15">
      <c r="A707" s="5">
        <v>704</v>
      </c>
      <c r="B707" s="6" t="str">
        <f>"30482021060311173981939"</f>
        <v>30482021060311173981939</v>
      </c>
      <c r="C707" s="6" t="s">
        <v>1128</v>
      </c>
      <c r="D707" s="6" t="str">
        <f>"张玉柳"</f>
        <v>张玉柳</v>
      </c>
      <c r="E707" s="6" t="str">
        <f t="shared" si="27"/>
        <v>女</v>
      </c>
      <c r="F707" s="7" t="s">
        <v>1190</v>
      </c>
    </row>
    <row r="708" spans="1:6" ht="20.100000000000001" customHeight="1" x14ac:dyDescent="0.15">
      <c r="A708" s="5">
        <v>705</v>
      </c>
      <c r="B708" s="6" t="str">
        <f>"30482021060311194481961"</f>
        <v>30482021060311194481961</v>
      </c>
      <c r="C708" s="6" t="s">
        <v>1128</v>
      </c>
      <c r="D708" s="6" t="str">
        <f>"陈梦婷"</f>
        <v>陈梦婷</v>
      </c>
      <c r="E708" s="6" t="str">
        <f t="shared" si="27"/>
        <v>女</v>
      </c>
      <c r="F708" s="7" t="s">
        <v>1406</v>
      </c>
    </row>
    <row r="709" spans="1:6" ht="20.100000000000001" customHeight="1" x14ac:dyDescent="0.15">
      <c r="A709" s="5">
        <v>706</v>
      </c>
      <c r="B709" s="6" t="str">
        <f>"30482021060311202081971"</f>
        <v>30482021060311202081971</v>
      </c>
      <c r="C709" s="6" t="s">
        <v>1128</v>
      </c>
      <c r="D709" s="6" t="str">
        <f>"王应妹"</f>
        <v>王应妹</v>
      </c>
      <c r="E709" s="6" t="str">
        <f t="shared" si="27"/>
        <v>女</v>
      </c>
      <c r="F709" s="7" t="s">
        <v>649</v>
      </c>
    </row>
    <row r="710" spans="1:6" ht="20.100000000000001" customHeight="1" x14ac:dyDescent="0.15">
      <c r="A710" s="5">
        <v>707</v>
      </c>
      <c r="B710" s="6" t="str">
        <f>"30482021060311313382098"</f>
        <v>30482021060311313382098</v>
      </c>
      <c r="C710" s="6" t="s">
        <v>1128</v>
      </c>
      <c r="D710" s="6" t="str">
        <f>"王小美"</f>
        <v>王小美</v>
      </c>
      <c r="E710" s="6" t="str">
        <f t="shared" si="27"/>
        <v>女</v>
      </c>
      <c r="F710" s="7" t="s">
        <v>1407</v>
      </c>
    </row>
    <row r="711" spans="1:6" ht="20.100000000000001" customHeight="1" x14ac:dyDescent="0.15">
      <c r="A711" s="5">
        <v>708</v>
      </c>
      <c r="B711" s="6" t="str">
        <f>"30482021060311334682126"</f>
        <v>30482021060311334682126</v>
      </c>
      <c r="C711" s="6" t="s">
        <v>1128</v>
      </c>
      <c r="D711" s="6" t="str">
        <f>"冯小妹"</f>
        <v>冯小妹</v>
      </c>
      <c r="E711" s="6" t="str">
        <f t="shared" si="27"/>
        <v>女</v>
      </c>
      <c r="F711" s="7" t="s">
        <v>528</v>
      </c>
    </row>
    <row r="712" spans="1:6" ht="20.100000000000001" customHeight="1" x14ac:dyDescent="0.15">
      <c r="A712" s="5">
        <v>709</v>
      </c>
      <c r="B712" s="6" t="str">
        <f>"30482021060311343482133"</f>
        <v>30482021060311343482133</v>
      </c>
      <c r="C712" s="6" t="s">
        <v>1128</v>
      </c>
      <c r="D712" s="6" t="str">
        <f>"周欣瑜"</f>
        <v>周欣瑜</v>
      </c>
      <c r="E712" s="6" t="str">
        <f t="shared" si="27"/>
        <v>女</v>
      </c>
      <c r="F712" s="7" t="s">
        <v>139</v>
      </c>
    </row>
    <row r="713" spans="1:6" ht="20.100000000000001" customHeight="1" x14ac:dyDescent="0.15">
      <c r="A713" s="5">
        <v>710</v>
      </c>
      <c r="B713" s="6" t="str">
        <f>"30482021060311350982144"</f>
        <v>30482021060311350982144</v>
      </c>
      <c r="C713" s="6" t="s">
        <v>1128</v>
      </c>
      <c r="D713" s="6" t="str">
        <f>"冯秋转"</f>
        <v>冯秋转</v>
      </c>
      <c r="E713" s="6" t="str">
        <f t="shared" si="27"/>
        <v>女</v>
      </c>
      <c r="F713" s="7" t="s">
        <v>400</v>
      </c>
    </row>
    <row r="714" spans="1:6" ht="20.100000000000001" customHeight="1" x14ac:dyDescent="0.15">
      <c r="A714" s="5">
        <v>711</v>
      </c>
      <c r="B714" s="6" t="str">
        <f>"30482021060311352282149"</f>
        <v>30482021060311352282149</v>
      </c>
      <c r="C714" s="6" t="s">
        <v>1128</v>
      </c>
      <c r="D714" s="6" t="str">
        <f>"符有妹"</f>
        <v>符有妹</v>
      </c>
      <c r="E714" s="6" t="str">
        <f t="shared" si="27"/>
        <v>女</v>
      </c>
      <c r="F714" s="7" t="s">
        <v>1408</v>
      </c>
    </row>
    <row r="715" spans="1:6" ht="20.100000000000001" customHeight="1" x14ac:dyDescent="0.15">
      <c r="A715" s="5">
        <v>712</v>
      </c>
      <c r="B715" s="6" t="str">
        <f>"30482021060311382782189"</f>
        <v>30482021060311382782189</v>
      </c>
      <c r="C715" s="6" t="s">
        <v>1128</v>
      </c>
      <c r="D715" s="6" t="str">
        <f>"黄美佳"</f>
        <v>黄美佳</v>
      </c>
      <c r="E715" s="6" t="str">
        <f t="shared" si="27"/>
        <v>女</v>
      </c>
      <c r="F715" s="7" t="s">
        <v>1408</v>
      </c>
    </row>
    <row r="716" spans="1:6" ht="20.100000000000001" customHeight="1" x14ac:dyDescent="0.15">
      <c r="A716" s="5">
        <v>713</v>
      </c>
      <c r="B716" s="6" t="str">
        <f>"30482021060311491082301"</f>
        <v>30482021060311491082301</v>
      </c>
      <c r="C716" s="6" t="s">
        <v>1128</v>
      </c>
      <c r="D716" s="6" t="str">
        <f>"戴雅婷"</f>
        <v>戴雅婷</v>
      </c>
      <c r="E716" s="6" t="str">
        <f t="shared" si="27"/>
        <v>女</v>
      </c>
      <c r="F716" s="7" t="s">
        <v>1409</v>
      </c>
    </row>
    <row r="717" spans="1:6" ht="20.100000000000001" customHeight="1" x14ac:dyDescent="0.15">
      <c r="A717" s="5">
        <v>714</v>
      </c>
      <c r="B717" s="6" t="str">
        <f>"30482021060311565682397"</f>
        <v>30482021060311565682397</v>
      </c>
      <c r="C717" s="6" t="s">
        <v>1128</v>
      </c>
      <c r="D717" s="6" t="str">
        <f>"陈凤嫦"</f>
        <v>陈凤嫦</v>
      </c>
      <c r="E717" s="6" t="str">
        <f t="shared" si="27"/>
        <v>女</v>
      </c>
      <c r="F717" s="7" t="s">
        <v>228</v>
      </c>
    </row>
    <row r="718" spans="1:6" ht="20.100000000000001" customHeight="1" x14ac:dyDescent="0.15">
      <c r="A718" s="5">
        <v>715</v>
      </c>
      <c r="B718" s="6" t="str">
        <f>"30482021060312213682630"</f>
        <v>30482021060312213682630</v>
      </c>
      <c r="C718" s="6" t="s">
        <v>1128</v>
      </c>
      <c r="D718" s="6" t="str">
        <f>"高雅婷"</f>
        <v>高雅婷</v>
      </c>
      <c r="E718" s="6" t="str">
        <f t="shared" si="27"/>
        <v>女</v>
      </c>
      <c r="F718" s="7" t="s">
        <v>1027</v>
      </c>
    </row>
    <row r="719" spans="1:6" ht="20.100000000000001" customHeight="1" x14ac:dyDescent="0.15">
      <c r="A719" s="5">
        <v>716</v>
      </c>
      <c r="B719" s="6" t="str">
        <f>"30482021060312242182654"</f>
        <v>30482021060312242182654</v>
      </c>
      <c r="C719" s="6" t="s">
        <v>1128</v>
      </c>
      <c r="D719" s="6" t="str">
        <f>"薛秋梅"</f>
        <v>薛秋梅</v>
      </c>
      <c r="E719" s="6" t="str">
        <f t="shared" si="27"/>
        <v>女</v>
      </c>
      <c r="F719" s="7" t="s">
        <v>752</v>
      </c>
    </row>
    <row r="720" spans="1:6" ht="20.100000000000001" customHeight="1" x14ac:dyDescent="0.15">
      <c r="A720" s="5">
        <v>717</v>
      </c>
      <c r="B720" s="6" t="str">
        <f>"30482021060312244982659"</f>
        <v>30482021060312244982659</v>
      </c>
      <c r="C720" s="6" t="s">
        <v>1128</v>
      </c>
      <c r="D720" s="6" t="str">
        <f>"符家瑜"</f>
        <v>符家瑜</v>
      </c>
      <c r="E720" s="6" t="str">
        <f t="shared" si="27"/>
        <v>女</v>
      </c>
      <c r="F720" s="7" t="s">
        <v>302</v>
      </c>
    </row>
    <row r="721" spans="1:6" ht="20.100000000000001" customHeight="1" x14ac:dyDescent="0.15">
      <c r="A721" s="5">
        <v>718</v>
      </c>
      <c r="B721" s="6" t="str">
        <f>"30482021060312321182744"</f>
        <v>30482021060312321182744</v>
      </c>
      <c r="C721" s="6" t="s">
        <v>1128</v>
      </c>
      <c r="D721" s="6" t="str">
        <f>"沈俊宏"</f>
        <v>沈俊宏</v>
      </c>
      <c r="E721" s="6" t="str">
        <f t="shared" si="27"/>
        <v>女</v>
      </c>
      <c r="F721" s="7" t="s">
        <v>436</v>
      </c>
    </row>
    <row r="722" spans="1:6" ht="20.100000000000001" customHeight="1" x14ac:dyDescent="0.15">
      <c r="A722" s="5">
        <v>719</v>
      </c>
      <c r="B722" s="6" t="str">
        <f>"30482021060312365582783"</f>
        <v>30482021060312365582783</v>
      </c>
      <c r="C722" s="6" t="s">
        <v>1128</v>
      </c>
      <c r="D722" s="6" t="str">
        <f>"蔡思芳"</f>
        <v>蔡思芳</v>
      </c>
      <c r="E722" s="6" t="str">
        <f t="shared" si="27"/>
        <v>女</v>
      </c>
      <c r="F722" s="7" t="s">
        <v>84</v>
      </c>
    </row>
    <row r="723" spans="1:6" ht="20.100000000000001" customHeight="1" x14ac:dyDescent="0.15">
      <c r="A723" s="5">
        <v>720</v>
      </c>
      <c r="B723" s="6" t="str">
        <f>"30482021060312374782790"</f>
        <v>30482021060312374782790</v>
      </c>
      <c r="C723" s="6" t="s">
        <v>1128</v>
      </c>
      <c r="D723" s="6" t="str">
        <f>"王瑾"</f>
        <v>王瑾</v>
      </c>
      <c r="E723" s="6" t="str">
        <f t="shared" si="27"/>
        <v>女</v>
      </c>
      <c r="F723" s="7" t="s">
        <v>673</v>
      </c>
    </row>
    <row r="724" spans="1:6" ht="20.100000000000001" customHeight="1" x14ac:dyDescent="0.15">
      <c r="A724" s="5">
        <v>721</v>
      </c>
      <c r="B724" s="6" t="str">
        <f>"30482021060312404882824"</f>
        <v>30482021060312404882824</v>
      </c>
      <c r="C724" s="6" t="s">
        <v>1128</v>
      </c>
      <c r="D724" s="6" t="str">
        <f>"何石兰"</f>
        <v>何石兰</v>
      </c>
      <c r="E724" s="6" t="str">
        <f t="shared" si="27"/>
        <v>女</v>
      </c>
      <c r="F724" s="7" t="s">
        <v>705</v>
      </c>
    </row>
    <row r="725" spans="1:6" ht="20.100000000000001" customHeight="1" x14ac:dyDescent="0.15">
      <c r="A725" s="5">
        <v>722</v>
      </c>
      <c r="B725" s="6" t="str">
        <f>"30482021060312414582837"</f>
        <v>30482021060312414582837</v>
      </c>
      <c r="C725" s="6" t="s">
        <v>1128</v>
      </c>
      <c r="D725" s="6" t="str">
        <f>"李曼玉"</f>
        <v>李曼玉</v>
      </c>
      <c r="E725" s="6" t="str">
        <f t="shared" si="27"/>
        <v>女</v>
      </c>
      <c r="F725" s="7" t="s">
        <v>184</v>
      </c>
    </row>
    <row r="726" spans="1:6" ht="20.100000000000001" customHeight="1" x14ac:dyDescent="0.15">
      <c r="A726" s="5">
        <v>723</v>
      </c>
      <c r="B726" s="6" t="str">
        <f>"30482021060312424282847"</f>
        <v>30482021060312424282847</v>
      </c>
      <c r="C726" s="6" t="s">
        <v>1128</v>
      </c>
      <c r="D726" s="6" t="str">
        <f>"王怡"</f>
        <v>王怡</v>
      </c>
      <c r="E726" s="6" t="str">
        <f t="shared" si="27"/>
        <v>女</v>
      </c>
      <c r="F726" s="7" t="s">
        <v>1410</v>
      </c>
    </row>
    <row r="727" spans="1:6" ht="20.100000000000001" customHeight="1" x14ac:dyDescent="0.15">
      <c r="A727" s="5">
        <v>724</v>
      </c>
      <c r="B727" s="6" t="str">
        <f>"30482021060312462982886"</f>
        <v>30482021060312462982886</v>
      </c>
      <c r="C727" s="6" t="s">
        <v>1128</v>
      </c>
      <c r="D727" s="6" t="str">
        <f>"黄钰斐"</f>
        <v>黄钰斐</v>
      </c>
      <c r="E727" s="6" t="str">
        <f t="shared" si="27"/>
        <v>女</v>
      </c>
      <c r="F727" s="7" t="s">
        <v>1314</v>
      </c>
    </row>
    <row r="728" spans="1:6" ht="20.100000000000001" customHeight="1" x14ac:dyDescent="0.15">
      <c r="A728" s="5">
        <v>725</v>
      </c>
      <c r="B728" s="6" t="str">
        <f>"30482021060312490982914"</f>
        <v>30482021060312490982914</v>
      </c>
      <c r="C728" s="6" t="s">
        <v>1128</v>
      </c>
      <c r="D728" s="6" t="str">
        <f>"唐敏燕"</f>
        <v>唐敏燕</v>
      </c>
      <c r="E728" s="6" t="str">
        <f t="shared" si="27"/>
        <v>女</v>
      </c>
      <c r="F728" s="7" t="s">
        <v>1411</v>
      </c>
    </row>
    <row r="729" spans="1:6" ht="20.100000000000001" customHeight="1" x14ac:dyDescent="0.15">
      <c r="A729" s="5">
        <v>726</v>
      </c>
      <c r="B729" s="6" t="str">
        <f>"30482021060312542882956"</f>
        <v>30482021060312542882956</v>
      </c>
      <c r="C729" s="6" t="s">
        <v>1128</v>
      </c>
      <c r="D729" s="6" t="str">
        <f>"潘招"</f>
        <v>潘招</v>
      </c>
      <c r="E729" s="6" t="str">
        <f t="shared" si="27"/>
        <v>女</v>
      </c>
      <c r="F729" s="7" t="s">
        <v>725</v>
      </c>
    </row>
    <row r="730" spans="1:6" ht="20.100000000000001" customHeight="1" x14ac:dyDescent="0.15">
      <c r="A730" s="5">
        <v>727</v>
      </c>
      <c r="B730" s="6" t="str">
        <f>"30482021060312572682983"</f>
        <v>30482021060312572682983</v>
      </c>
      <c r="C730" s="6" t="s">
        <v>1128</v>
      </c>
      <c r="D730" s="6" t="str">
        <f>"李秋蓉"</f>
        <v>李秋蓉</v>
      </c>
      <c r="E730" s="6" t="str">
        <f t="shared" si="27"/>
        <v>女</v>
      </c>
      <c r="F730" s="7" t="s">
        <v>623</v>
      </c>
    </row>
    <row r="731" spans="1:6" ht="20.100000000000001" customHeight="1" x14ac:dyDescent="0.15">
      <c r="A731" s="5">
        <v>728</v>
      </c>
      <c r="B731" s="6" t="str">
        <f>"30482021060313084483080"</f>
        <v>30482021060313084483080</v>
      </c>
      <c r="C731" s="6" t="s">
        <v>1128</v>
      </c>
      <c r="D731" s="6" t="str">
        <f>"胡梦欢"</f>
        <v>胡梦欢</v>
      </c>
      <c r="E731" s="6" t="str">
        <f t="shared" si="27"/>
        <v>女</v>
      </c>
      <c r="F731" s="7" t="s">
        <v>1412</v>
      </c>
    </row>
    <row r="732" spans="1:6" ht="20.100000000000001" customHeight="1" x14ac:dyDescent="0.15">
      <c r="A732" s="5">
        <v>729</v>
      </c>
      <c r="B732" s="6" t="str">
        <f>"30482021060313131483133"</f>
        <v>30482021060313131483133</v>
      </c>
      <c r="C732" s="6" t="s">
        <v>1128</v>
      </c>
      <c r="D732" s="6" t="str">
        <f>"卢惠灵"</f>
        <v>卢惠灵</v>
      </c>
      <c r="E732" s="6" t="str">
        <f t="shared" si="27"/>
        <v>女</v>
      </c>
      <c r="F732" s="7" t="s">
        <v>1413</v>
      </c>
    </row>
    <row r="733" spans="1:6" ht="20.100000000000001" customHeight="1" x14ac:dyDescent="0.15">
      <c r="A733" s="5">
        <v>730</v>
      </c>
      <c r="B733" s="6" t="str">
        <f>"30482021060313143683147"</f>
        <v>30482021060313143683147</v>
      </c>
      <c r="C733" s="6" t="s">
        <v>1128</v>
      </c>
      <c r="D733" s="6" t="str">
        <f>"王艺婉"</f>
        <v>王艺婉</v>
      </c>
      <c r="E733" s="6" t="str">
        <f t="shared" si="27"/>
        <v>女</v>
      </c>
      <c r="F733" s="7" t="s">
        <v>622</v>
      </c>
    </row>
    <row r="734" spans="1:6" ht="20.100000000000001" customHeight="1" x14ac:dyDescent="0.15">
      <c r="A734" s="5">
        <v>731</v>
      </c>
      <c r="B734" s="6" t="str">
        <f>"30482021060313162983166"</f>
        <v>30482021060313162983166</v>
      </c>
      <c r="C734" s="6" t="s">
        <v>1128</v>
      </c>
      <c r="D734" s="6" t="str">
        <f>"蒋小介"</f>
        <v>蒋小介</v>
      </c>
      <c r="E734" s="6" t="str">
        <f t="shared" si="27"/>
        <v>女</v>
      </c>
      <c r="F734" s="7" t="s">
        <v>917</v>
      </c>
    </row>
    <row r="735" spans="1:6" ht="20.100000000000001" customHeight="1" x14ac:dyDescent="0.15">
      <c r="A735" s="5">
        <v>732</v>
      </c>
      <c r="B735" s="6" t="str">
        <f>"30482021060313290283273"</f>
        <v>30482021060313290283273</v>
      </c>
      <c r="C735" s="6" t="s">
        <v>1128</v>
      </c>
      <c r="D735" s="6" t="str">
        <f>"陈春宇"</f>
        <v>陈春宇</v>
      </c>
      <c r="E735" s="6" t="str">
        <f t="shared" si="27"/>
        <v>女</v>
      </c>
      <c r="F735" s="7" t="s">
        <v>238</v>
      </c>
    </row>
    <row r="736" spans="1:6" ht="20.100000000000001" customHeight="1" x14ac:dyDescent="0.15">
      <c r="A736" s="5">
        <v>733</v>
      </c>
      <c r="B736" s="6" t="str">
        <f>"30482021060313350983314"</f>
        <v>30482021060313350983314</v>
      </c>
      <c r="C736" s="6" t="s">
        <v>1128</v>
      </c>
      <c r="D736" s="6" t="str">
        <f>"杨小由"</f>
        <v>杨小由</v>
      </c>
      <c r="E736" s="6" t="str">
        <f t="shared" si="27"/>
        <v>女</v>
      </c>
      <c r="F736" s="7" t="s">
        <v>131</v>
      </c>
    </row>
    <row r="737" spans="1:6" ht="20.100000000000001" customHeight="1" x14ac:dyDescent="0.15">
      <c r="A737" s="5">
        <v>734</v>
      </c>
      <c r="B737" s="6" t="str">
        <f>"30482021060314045583516"</f>
        <v>30482021060314045583516</v>
      </c>
      <c r="C737" s="6" t="s">
        <v>1128</v>
      </c>
      <c r="D737" s="6" t="str">
        <f>"张梁莉"</f>
        <v>张梁莉</v>
      </c>
      <c r="E737" s="6" t="str">
        <f t="shared" si="27"/>
        <v>女</v>
      </c>
      <c r="F737" s="7" t="s">
        <v>345</v>
      </c>
    </row>
    <row r="738" spans="1:6" ht="20.100000000000001" customHeight="1" x14ac:dyDescent="0.15">
      <c r="A738" s="5">
        <v>735</v>
      </c>
      <c r="B738" s="6" t="str">
        <f>"30482021060314193383619"</f>
        <v>30482021060314193383619</v>
      </c>
      <c r="C738" s="6" t="s">
        <v>1128</v>
      </c>
      <c r="D738" s="6" t="str">
        <f>"钟慧琪"</f>
        <v>钟慧琪</v>
      </c>
      <c r="E738" s="6" t="str">
        <f t="shared" si="27"/>
        <v>女</v>
      </c>
      <c r="F738" s="7" t="s">
        <v>614</v>
      </c>
    </row>
    <row r="739" spans="1:6" ht="20.100000000000001" customHeight="1" x14ac:dyDescent="0.15">
      <c r="A739" s="5">
        <v>736</v>
      </c>
      <c r="B739" s="6" t="str">
        <f>"30482021060314291183696"</f>
        <v>30482021060314291183696</v>
      </c>
      <c r="C739" s="6" t="s">
        <v>1128</v>
      </c>
      <c r="D739" s="6" t="str">
        <f>"赵莉"</f>
        <v>赵莉</v>
      </c>
      <c r="E739" s="6" t="str">
        <f t="shared" si="27"/>
        <v>女</v>
      </c>
      <c r="F739" s="7" t="s">
        <v>727</v>
      </c>
    </row>
    <row r="740" spans="1:6" ht="20.100000000000001" customHeight="1" x14ac:dyDescent="0.15">
      <c r="A740" s="5">
        <v>737</v>
      </c>
      <c r="B740" s="6" t="str">
        <f>"30482021060314331483747"</f>
        <v>30482021060314331483747</v>
      </c>
      <c r="C740" s="6" t="s">
        <v>1128</v>
      </c>
      <c r="D740" s="6" t="str">
        <f>"农惠婷"</f>
        <v>农惠婷</v>
      </c>
      <c r="E740" s="6" t="str">
        <f t="shared" si="27"/>
        <v>女</v>
      </c>
      <c r="F740" s="7" t="s">
        <v>1414</v>
      </c>
    </row>
    <row r="741" spans="1:6" ht="20.100000000000001" customHeight="1" x14ac:dyDescent="0.15">
      <c r="A741" s="5">
        <v>738</v>
      </c>
      <c r="B741" s="6" t="str">
        <f>"30482021060314372883796"</f>
        <v>30482021060314372883796</v>
      </c>
      <c r="C741" s="6" t="s">
        <v>1128</v>
      </c>
      <c r="D741" s="6" t="str">
        <f>"陈明颖"</f>
        <v>陈明颖</v>
      </c>
      <c r="E741" s="6" t="str">
        <f t="shared" si="27"/>
        <v>女</v>
      </c>
      <c r="F741" s="7" t="s">
        <v>787</v>
      </c>
    </row>
    <row r="742" spans="1:6" ht="20.100000000000001" customHeight="1" x14ac:dyDescent="0.15">
      <c r="A742" s="5">
        <v>739</v>
      </c>
      <c r="B742" s="6" t="str">
        <f>"30482021060314434283860"</f>
        <v>30482021060314434283860</v>
      </c>
      <c r="C742" s="6" t="s">
        <v>1128</v>
      </c>
      <c r="D742" s="6" t="str">
        <f>"杨怀"</f>
        <v>杨怀</v>
      </c>
      <c r="E742" s="6" t="str">
        <f t="shared" si="27"/>
        <v>女</v>
      </c>
      <c r="F742" s="7" t="s">
        <v>1197</v>
      </c>
    </row>
    <row r="743" spans="1:6" ht="20.100000000000001" customHeight="1" x14ac:dyDescent="0.15">
      <c r="A743" s="5">
        <v>740</v>
      </c>
      <c r="B743" s="6" t="str">
        <f>"30482021060314561584022"</f>
        <v>30482021060314561584022</v>
      </c>
      <c r="C743" s="6" t="s">
        <v>1128</v>
      </c>
      <c r="D743" s="6" t="str">
        <f>"王娟"</f>
        <v>王娟</v>
      </c>
      <c r="E743" s="6" t="str">
        <f t="shared" si="27"/>
        <v>女</v>
      </c>
      <c r="F743" s="7" t="s">
        <v>1415</v>
      </c>
    </row>
    <row r="744" spans="1:6" ht="20.100000000000001" customHeight="1" x14ac:dyDescent="0.15">
      <c r="A744" s="5">
        <v>741</v>
      </c>
      <c r="B744" s="6" t="str">
        <f>"30482021060315031084093"</f>
        <v>30482021060315031084093</v>
      </c>
      <c r="C744" s="6" t="s">
        <v>1128</v>
      </c>
      <c r="D744" s="6" t="str">
        <f>"邱琳"</f>
        <v>邱琳</v>
      </c>
      <c r="E744" s="6" t="str">
        <f t="shared" si="27"/>
        <v>女</v>
      </c>
      <c r="F744" s="7" t="s">
        <v>887</v>
      </c>
    </row>
    <row r="745" spans="1:6" ht="20.100000000000001" customHeight="1" x14ac:dyDescent="0.15">
      <c r="A745" s="5">
        <v>742</v>
      </c>
      <c r="B745" s="6" t="str">
        <f>"30482021060315054784131"</f>
        <v>30482021060315054784131</v>
      </c>
      <c r="C745" s="6" t="s">
        <v>1128</v>
      </c>
      <c r="D745" s="6" t="str">
        <f>"高圆圆"</f>
        <v>高圆圆</v>
      </c>
      <c r="E745" s="6" t="str">
        <f t="shared" si="27"/>
        <v>女</v>
      </c>
      <c r="F745" s="7" t="s">
        <v>1280</v>
      </c>
    </row>
    <row r="746" spans="1:6" ht="20.100000000000001" customHeight="1" x14ac:dyDescent="0.15">
      <c r="A746" s="5">
        <v>743</v>
      </c>
      <c r="B746" s="6" t="str">
        <f>"30482021060315061184135"</f>
        <v>30482021060315061184135</v>
      </c>
      <c r="C746" s="6" t="s">
        <v>1128</v>
      </c>
      <c r="D746" s="6" t="str">
        <f>"陈亚燕"</f>
        <v>陈亚燕</v>
      </c>
      <c r="E746" s="6" t="str">
        <f t="shared" si="27"/>
        <v>女</v>
      </c>
      <c r="F746" s="7" t="s">
        <v>407</v>
      </c>
    </row>
    <row r="747" spans="1:6" ht="20.100000000000001" customHeight="1" x14ac:dyDescent="0.15">
      <c r="A747" s="5">
        <v>744</v>
      </c>
      <c r="B747" s="6" t="str">
        <f>"30482021060315110184184"</f>
        <v>30482021060315110184184</v>
      </c>
      <c r="C747" s="6" t="s">
        <v>1128</v>
      </c>
      <c r="D747" s="6" t="str">
        <f>"何秋"</f>
        <v>何秋</v>
      </c>
      <c r="E747" s="6" t="str">
        <f t="shared" si="27"/>
        <v>女</v>
      </c>
      <c r="F747" s="7" t="s">
        <v>1189</v>
      </c>
    </row>
    <row r="748" spans="1:6" ht="20.100000000000001" customHeight="1" x14ac:dyDescent="0.15">
      <c r="A748" s="5">
        <v>745</v>
      </c>
      <c r="B748" s="6" t="str">
        <f>"30482021060315145184241"</f>
        <v>30482021060315145184241</v>
      </c>
      <c r="C748" s="6" t="s">
        <v>1128</v>
      </c>
      <c r="D748" s="6" t="str">
        <f>"王俊莉"</f>
        <v>王俊莉</v>
      </c>
      <c r="E748" s="6" t="str">
        <f t="shared" si="27"/>
        <v>女</v>
      </c>
      <c r="F748" s="7" t="s">
        <v>53</v>
      </c>
    </row>
    <row r="749" spans="1:6" ht="20.100000000000001" customHeight="1" x14ac:dyDescent="0.15">
      <c r="A749" s="5">
        <v>746</v>
      </c>
      <c r="B749" s="6" t="str">
        <f>"30482021060315225984348"</f>
        <v>30482021060315225984348</v>
      </c>
      <c r="C749" s="6" t="s">
        <v>1128</v>
      </c>
      <c r="D749" s="6" t="str">
        <f>"薛扬扬"</f>
        <v>薛扬扬</v>
      </c>
      <c r="E749" s="6" t="str">
        <f t="shared" si="27"/>
        <v>女</v>
      </c>
      <c r="F749" s="7" t="s">
        <v>64</v>
      </c>
    </row>
    <row r="750" spans="1:6" ht="20.100000000000001" customHeight="1" x14ac:dyDescent="0.15">
      <c r="A750" s="5">
        <v>747</v>
      </c>
      <c r="B750" s="6" t="str">
        <f>"30482021060315293584432"</f>
        <v>30482021060315293584432</v>
      </c>
      <c r="C750" s="6" t="s">
        <v>1128</v>
      </c>
      <c r="D750" s="6" t="str">
        <f>"董心园"</f>
        <v>董心园</v>
      </c>
      <c r="E750" s="6" t="str">
        <f t="shared" si="27"/>
        <v>女</v>
      </c>
      <c r="F750" s="7" t="s">
        <v>1193</v>
      </c>
    </row>
    <row r="751" spans="1:6" ht="20.100000000000001" customHeight="1" x14ac:dyDescent="0.15">
      <c r="A751" s="5">
        <v>748</v>
      </c>
      <c r="B751" s="6" t="str">
        <f>"30482021060315385384580"</f>
        <v>30482021060315385384580</v>
      </c>
      <c r="C751" s="6" t="s">
        <v>1128</v>
      </c>
      <c r="D751" s="6" t="str">
        <f>"邢韵"</f>
        <v>邢韵</v>
      </c>
      <c r="E751" s="6" t="str">
        <f t="shared" si="27"/>
        <v>女</v>
      </c>
      <c r="F751" s="7" t="s">
        <v>46</v>
      </c>
    </row>
    <row r="752" spans="1:6" ht="20.100000000000001" customHeight="1" x14ac:dyDescent="0.15">
      <c r="A752" s="5">
        <v>749</v>
      </c>
      <c r="B752" s="6" t="str">
        <f>"30482021060315414384623"</f>
        <v>30482021060315414384623</v>
      </c>
      <c r="C752" s="6" t="s">
        <v>1128</v>
      </c>
      <c r="D752" s="6" t="str">
        <f>"符婧"</f>
        <v>符婧</v>
      </c>
      <c r="E752" s="6" t="str">
        <f t="shared" si="27"/>
        <v>女</v>
      </c>
      <c r="F752" s="7" t="s">
        <v>148</v>
      </c>
    </row>
    <row r="753" spans="1:6" ht="20.100000000000001" customHeight="1" x14ac:dyDescent="0.15">
      <c r="A753" s="5">
        <v>750</v>
      </c>
      <c r="B753" s="6" t="str">
        <f>"30482021060315451284673"</f>
        <v>30482021060315451284673</v>
      </c>
      <c r="C753" s="6" t="s">
        <v>1128</v>
      </c>
      <c r="D753" s="6" t="str">
        <f>"吴儒菊"</f>
        <v>吴儒菊</v>
      </c>
      <c r="E753" s="6" t="str">
        <f t="shared" si="27"/>
        <v>女</v>
      </c>
      <c r="F753" s="7" t="s">
        <v>1409</v>
      </c>
    </row>
    <row r="754" spans="1:6" ht="20.100000000000001" customHeight="1" x14ac:dyDescent="0.15">
      <c r="A754" s="5">
        <v>751</v>
      </c>
      <c r="B754" s="6" t="str">
        <f>"30482021060315494784746"</f>
        <v>30482021060315494784746</v>
      </c>
      <c r="C754" s="6" t="s">
        <v>1128</v>
      </c>
      <c r="D754" s="6" t="str">
        <f>"陈娜"</f>
        <v>陈娜</v>
      </c>
      <c r="E754" s="6" t="str">
        <f t="shared" si="27"/>
        <v>女</v>
      </c>
      <c r="F754" s="7" t="s">
        <v>974</v>
      </c>
    </row>
    <row r="755" spans="1:6" ht="20.100000000000001" customHeight="1" x14ac:dyDescent="0.15">
      <c r="A755" s="5">
        <v>752</v>
      </c>
      <c r="B755" s="6" t="str">
        <f>"30482021060315511684763"</f>
        <v>30482021060315511684763</v>
      </c>
      <c r="C755" s="6" t="s">
        <v>1128</v>
      </c>
      <c r="D755" s="6" t="str">
        <f>"肖巧慧"</f>
        <v>肖巧慧</v>
      </c>
      <c r="E755" s="6" t="str">
        <f t="shared" si="27"/>
        <v>女</v>
      </c>
      <c r="F755" s="7" t="s">
        <v>891</v>
      </c>
    </row>
    <row r="756" spans="1:6" ht="20.100000000000001" customHeight="1" x14ac:dyDescent="0.15">
      <c r="A756" s="5">
        <v>753</v>
      </c>
      <c r="B756" s="6" t="str">
        <f>"30482021060315520784774"</f>
        <v>30482021060315520784774</v>
      </c>
      <c r="C756" s="6" t="s">
        <v>1128</v>
      </c>
      <c r="D756" s="6" t="str">
        <f>"符剑艳"</f>
        <v>符剑艳</v>
      </c>
      <c r="E756" s="6" t="str">
        <f t="shared" si="27"/>
        <v>女</v>
      </c>
      <c r="F756" s="7" t="s">
        <v>1210</v>
      </c>
    </row>
    <row r="757" spans="1:6" ht="20.100000000000001" customHeight="1" x14ac:dyDescent="0.15">
      <c r="A757" s="5">
        <v>754</v>
      </c>
      <c r="B757" s="6" t="str">
        <f>"30482021060315523084780"</f>
        <v>30482021060315523084780</v>
      </c>
      <c r="C757" s="6" t="s">
        <v>1128</v>
      </c>
      <c r="D757" s="6" t="str">
        <f>"韩文静"</f>
        <v>韩文静</v>
      </c>
      <c r="E757" s="6" t="str">
        <f t="shared" si="27"/>
        <v>女</v>
      </c>
      <c r="F757" s="7" t="s">
        <v>62</v>
      </c>
    </row>
    <row r="758" spans="1:6" ht="20.100000000000001" customHeight="1" x14ac:dyDescent="0.15">
      <c r="A758" s="5">
        <v>755</v>
      </c>
      <c r="B758" s="6" t="str">
        <f>"30482021060315552584820"</f>
        <v>30482021060315552584820</v>
      </c>
      <c r="C758" s="6" t="s">
        <v>1128</v>
      </c>
      <c r="D758" s="6" t="str">
        <f>"陈杨飘"</f>
        <v>陈杨飘</v>
      </c>
      <c r="E758" s="6" t="str">
        <f t="shared" si="27"/>
        <v>女</v>
      </c>
      <c r="F758" s="7" t="s">
        <v>456</v>
      </c>
    </row>
    <row r="759" spans="1:6" ht="20.100000000000001" customHeight="1" x14ac:dyDescent="0.15">
      <c r="A759" s="5">
        <v>756</v>
      </c>
      <c r="B759" s="6" t="str">
        <f>"30482021060316054584948"</f>
        <v>30482021060316054584948</v>
      </c>
      <c r="C759" s="6" t="s">
        <v>1128</v>
      </c>
      <c r="D759" s="6" t="str">
        <f>"唐天凤"</f>
        <v>唐天凤</v>
      </c>
      <c r="E759" s="6" t="str">
        <f t="shared" si="27"/>
        <v>女</v>
      </c>
      <c r="F759" s="7" t="s">
        <v>1416</v>
      </c>
    </row>
    <row r="760" spans="1:6" ht="20.100000000000001" customHeight="1" x14ac:dyDescent="0.15">
      <c r="A760" s="5">
        <v>757</v>
      </c>
      <c r="B760" s="6" t="str">
        <f>"30482021060316075484976"</f>
        <v>30482021060316075484976</v>
      </c>
      <c r="C760" s="6" t="s">
        <v>1128</v>
      </c>
      <c r="D760" s="6" t="str">
        <f>"陈丽晶"</f>
        <v>陈丽晶</v>
      </c>
      <c r="E760" s="6" t="str">
        <f t="shared" si="27"/>
        <v>女</v>
      </c>
      <c r="F760" s="7" t="s">
        <v>66</v>
      </c>
    </row>
    <row r="761" spans="1:6" ht="20.100000000000001" customHeight="1" x14ac:dyDescent="0.15">
      <c r="A761" s="5">
        <v>758</v>
      </c>
      <c r="B761" s="6" t="str">
        <f>"30482021060316124585033"</f>
        <v>30482021060316124585033</v>
      </c>
      <c r="C761" s="6" t="s">
        <v>1128</v>
      </c>
      <c r="D761" s="6" t="str">
        <f>"陈彩岭"</f>
        <v>陈彩岭</v>
      </c>
      <c r="E761" s="6" t="str">
        <f t="shared" si="27"/>
        <v>女</v>
      </c>
      <c r="F761" s="7" t="s">
        <v>196</v>
      </c>
    </row>
    <row r="762" spans="1:6" ht="20.100000000000001" customHeight="1" x14ac:dyDescent="0.15">
      <c r="A762" s="5">
        <v>759</v>
      </c>
      <c r="B762" s="6" t="str">
        <f>"30482021060316125985042"</f>
        <v>30482021060316125985042</v>
      </c>
      <c r="C762" s="6" t="s">
        <v>1128</v>
      </c>
      <c r="D762" s="6" t="str">
        <f>"王海珍"</f>
        <v>王海珍</v>
      </c>
      <c r="E762" s="6" t="str">
        <f t="shared" si="27"/>
        <v>女</v>
      </c>
      <c r="F762" s="7" t="s">
        <v>753</v>
      </c>
    </row>
    <row r="763" spans="1:6" ht="20.100000000000001" customHeight="1" x14ac:dyDescent="0.15">
      <c r="A763" s="5">
        <v>760</v>
      </c>
      <c r="B763" s="6" t="str">
        <f>"30482021060316140485050"</f>
        <v>30482021060316140485050</v>
      </c>
      <c r="C763" s="6" t="s">
        <v>1128</v>
      </c>
      <c r="D763" s="6" t="str">
        <f>"符春美"</f>
        <v>符春美</v>
      </c>
      <c r="E763" s="6" t="str">
        <f t="shared" si="27"/>
        <v>女</v>
      </c>
      <c r="F763" s="7" t="s">
        <v>111</v>
      </c>
    </row>
    <row r="764" spans="1:6" ht="20.100000000000001" customHeight="1" x14ac:dyDescent="0.15">
      <c r="A764" s="5">
        <v>761</v>
      </c>
      <c r="B764" s="6" t="str">
        <f>"30482021060316291385225"</f>
        <v>30482021060316291385225</v>
      </c>
      <c r="C764" s="6" t="s">
        <v>1128</v>
      </c>
      <c r="D764" s="6" t="str">
        <f>"苏莉莉"</f>
        <v>苏莉莉</v>
      </c>
      <c r="E764" s="6" t="str">
        <f t="shared" ref="E764:E806" si="28">"女"</f>
        <v>女</v>
      </c>
      <c r="F764" s="7" t="s">
        <v>428</v>
      </c>
    </row>
    <row r="765" spans="1:6" ht="20.100000000000001" customHeight="1" x14ac:dyDescent="0.15">
      <c r="A765" s="5">
        <v>762</v>
      </c>
      <c r="B765" s="6" t="str">
        <f>"30482021060316341285280"</f>
        <v>30482021060316341285280</v>
      </c>
      <c r="C765" s="6" t="s">
        <v>1128</v>
      </c>
      <c r="D765" s="6" t="str">
        <f>"文小静"</f>
        <v>文小静</v>
      </c>
      <c r="E765" s="6" t="str">
        <f t="shared" si="28"/>
        <v>女</v>
      </c>
      <c r="F765" s="7" t="s">
        <v>134</v>
      </c>
    </row>
    <row r="766" spans="1:6" ht="20.100000000000001" customHeight="1" x14ac:dyDescent="0.15">
      <c r="A766" s="5">
        <v>763</v>
      </c>
      <c r="B766" s="6" t="str">
        <f>"30482021060316354785296"</f>
        <v>30482021060316354785296</v>
      </c>
      <c r="C766" s="6" t="s">
        <v>1128</v>
      </c>
      <c r="D766" s="6" t="str">
        <f>"陈雅婷"</f>
        <v>陈雅婷</v>
      </c>
      <c r="E766" s="6" t="str">
        <f t="shared" si="28"/>
        <v>女</v>
      </c>
      <c r="F766" s="7" t="s">
        <v>333</v>
      </c>
    </row>
    <row r="767" spans="1:6" ht="20.100000000000001" customHeight="1" x14ac:dyDescent="0.15">
      <c r="A767" s="5">
        <v>764</v>
      </c>
      <c r="B767" s="6" t="str">
        <f>"30482021060316390585346"</f>
        <v>30482021060316390585346</v>
      </c>
      <c r="C767" s="6" t="s">
        <v>1128</v>
      </c>
      <c r="D767" s="6" t="str">
        <f>"马雯雯"</f>
        <v>马雯雯</v>
      </c>
      <c r="E767" s="6" t="str">
        <f t="shared" si="28"/>
        <v>女</v>
      </c>
      <c r="F767" s="7" t="s">
        <v>1417</v>
      </c>
    </row>
    <row r="768" spans="1:6" ht="20.100000000000001" customHeight="1" x14ac:dyDescent="0.15">
      <c r="A768" s="5">
        <v>765</v>
      </c>
      <c r="B768" s="6" t="str">
        <f>"30482021060316421485377"</f>
        <v>30482021060316421485377</v>
      </c>
      <c r="C768" s="6" t="s">
        <v>1128</v>
      </c>
      <c r="D768" s="6" t="str">
        <f>"任喜芊"</f>
        <v>任喜芊</v>
      </c>
      <c r="E768" s="6" t="str">
        <f t="shared" si="28"/>
        <v>女</v>
      </c>
      <c r="F768" s="7" t="s">
        <v>1418</v>
      </c>
    </row>
    <row r="769" spans="1:6" ht="20.100000000000001" customHeight="1" x14ac:dyDescent="0.15">
      <c r="A769" s="5">
        <v>766</v>
      </c>
      <c r="B769" s="6" t="str">
        <f>"30482021060316442185398"</f>
        <v>30482021060316442185398</v>
      </c>
      <c r="C769" s="6" t="s">
        <v>1128</v>
      </c>
      <c r="D769" s="6" t="str">
        <f>"陈嘉敏"</f>
        <v>陈嘉敏</v>
      </c>
      <c r="E769" s="6" t="str">
        <f t="shared" si="28"/>
        <v>女</v>
      </c>
      <c r="F769" s="7" t="s">
        <v>16</v>
      </c>
    </row>
    <row r="770" spans="1:6" ht="20.100000000000001" customHeight="1" x14ac:dyDescent="0.15">
      <c r="A770" s="5">
        <v>767</v>
      </c>
      <c r="B770" s="6" t="str">
        <f>"30482021060316522085495"</f>
        <v>30482021060316522085495</v>
      </c>
      <c r="C770" s="6" t="s">
        <v>1128</v>
      </c>
      <c r="D770" s="6" t="str">
        <f>"陈虹"</f>
        <v>陈虹</v>
      </c>
      <c r="E770" s="6" t="str">
        <f t="shared" si="28"/>
        <v>女</v>
      </c>
      <c r="F770" s="7" t="s">
        <v>235</v>
      </c>
    </row>
    <row r="771" spans="1:6" ht="20.100000000000001" customHeight="1" x14ac:dyDescent="0.15">
      <c r="A771" s="5">
        <v>768</v>
      </c>
      <c r="B771" s="6" t="str">
        <f>"30482021060316541085519"</f>
        <v>30482021060316541085519</v>
      </c>
      <c r="C771" s="6" t="s">
        <v>1128</v>
      </c>
      <c r="D771" s="6" t="str">
        <f>"谭金月"</f>
        <v>谭金月</v>
      </c>
      <c r="E771" s="6" t="str">
        <f t="shared" si="28"/>
        <v>女</v>
      </c>
      <c r="F771" s="7" t="s">
        <v>43</v>
      </c>
    </row>
    <row r="772" spans="1:6" ht="20.100000000000001" customHeight="1" x14ac:dyDescent="0.15">
      <c r="A772" s="5">
        <v>769</v>
      </c>
      <c r="B772" s="6" t="str">
        <f>"30482021060317004485600"</f>
        <v>30482021060317004485600</v>
      </c>
      <c r="C772" s="6" t="s">
        <v>1128</v>
      </c>
      <c r="D772" s="6" t="str">
        <f>"陈蕾伊"</f>
        <v>陈蕾伊</v>
      </c>
      <c r="E772" s="6" t="str">
        <f t="shared" si="28"/>
        <v>女</v>
      </c>
      <c r="F772" s="7" t="s">
        <v>43</v>
      </c>
    </row>
    <row r="773" spans="1:6" ht="20.100000000000001" customHeight="1" x14ac:dyDescent="0.15">
      <c r="A773" s="5">
        <v>770</v>
      </c>
      <c r="B773" s="6" t="str">
        <f>"30482021060317213285821"</f>
        <v>30482021060317213285821</v>
      </c>
      <c r="C773" s="6" t="s">
        <v>1128</v>
      </c>
      <c r="D773" s="6" t="str">
        <f>"何佳欣"</f>
        <v>何佳欣</v>
      </c>
      <c r="E773" s="6" t="str">
        <f t="shared" si="28"/>
        <v>女</v>
      </c>
      <c r="F773" s="7" t="s">
        <v>1399</v>
      </c>
    </row>
    <row r="774" spans="1:6" ht="20.100000000000001" customHeight="1" x14ac:dyDescent="0.15">
      <c r="A774" s="5">
        <v>771</v>
      </c>
      <c r="B774" s="6" t="str">
        <f>"30482021060317333185943"</f>
        <v>30482021060317333185943</v>
      </c>
      <c r="C774" s="6" t="s">
        <v>1128</v>
      </c>
      <c r="D774" s="6" t="str">
        <f>"陈世倩"</f>
        <v>陈世倩</v>
      </c>
      <c r="E774" s="6" t="str">
        <f t="shared" si="28"/>
        <v>女</v>
      </c>
      <c r="F774" s="7" t="s">
        <v>1419</v>
      </c>
    </row>
    <row r="775" spans="1:6" ht="20.100000000000001" customHeight="1" x14ac:dyDescent="0.15">
      <c r="A775" s="5">
        <v>772</v>
      </c>
      <c r="B775" s="6" t="str">
        <f>"30482021060317412286025"</f>
        <v>30482021060317412286025</v>
      </c>
      <c r="C775" s="6" t="s">
        <v>1128</v>
      </c>
      <c r="D775" s="6" t="str">
        <f>"郑柳"</f>
        <v>郑柳</v>
      </c>
      <c r="E775" s="6" t="str">
        <f t="shared" si="28"/>
        <v>女</v>
      </c>
      <c r="F775" s="7" t="s">
        <v>407</v>
      </c>
    </row>
    <row r="776" spans="1:6" ht="20.100000000000001" customHeight="1" x14ac:dyDescent="0.15">
      <c r="A776" s="5">
        <v>773</v>
      </c>
      <c r="B776" s="6" t="str">
        <f>"30482021060317413286028"</f>
        <v>30482021060317413286028</v>
      </c>
      <c r="C776" s="6" t="s">
        <v>1128</v>
      </c>
      <c r="D776" s="6" t="str">
        <f>"薛晶乙"</f>
        <v>薛晶乙</v>
      </c>
      <c r="E776" s="6" t="str">
        <f t="shared" si="28"/>
        <v>女</v>
      </c>
      <c r="F776" s="7" t="s">
        <v>1420</v>
      </c>
    </row>
    <row r="777" spans="1:6" ht="20.100000000000001" customHeight="1" x14ac:dyDescent="0.15">
      <c r="A777" s="5">
        <v>774</v>
      </c>
      <c r="B777" s="6" t="str">
        <f>"30482021060317443186058"</f>
        <v>30482021060317443186058</v>
      </c>
      <c r="C777" s="6" t="s">
        <v>1128</v>
      </c>
      <c r="D777" s="6" t="str">
        <f>"吉微"</f>
        <v>吉微</v>
      </c>
      <c r="E777" s="6" t="str">
        <f t="shared" si="28"/>
        <v>女</v>
      </c>
      <c r="F777" s="7" t="s">
        <v>765</v>
      </c>
    </row>
    <row r="778" spans="1:6" ht="20.100000000000001" customHeight="1" x14ac:dyDescent="0.15">
      <c r="A778" s="5">
        <v>775</v>
      </c>
      <c r="B778" s="6" t="str">
        <f>"30482021060317493386109"</f>
        <v>30482021060317493386109</v>
      </c>
      <c r="C778" s="6" t="s">
        <v>1128</v>
      </c>
      <c r="D778" s="6" t="str">
        <f>"范金兰"</f>
        <v>范金兰</v>
      </c>
      <c r="E778" s="6" t="str">
        <f t="shared" si="28"/>
        <v>女</v>
      </c>
      <c r="F778" s="7" t="s">
        <v>1421</v>
      </c>
    </row>
    <row r="779" spans="1:6" ht="20.100000000000001" customHeight="1" x14ac:dyDescent="0.15">
      <c r="A779" s="5">
        <v>776</v>
      </c>
      <c r="B779" s="6" t="str">
        <f>"30482021060318005086207"</f>
        <v>30482021060318005086207</v>
      </c>
      <c r="C779" s="6" t="s">
        <v>1128</v>
      </c>
      <c r="D779" s="6" t="str">
        <f>"林恋"</f>
        <v>林恋</v>
      </c>
      <c r="E779" s="6" t="str">
        <f t="shared" si="28"/>
        <v>女</v>
      </c>
      <c r="F779" s="7" t="s">
        <v>1259</v>
      </c>
    </row>
    <row r="780" spans="1:6" ht="20.100000000000001" customHeight="1" x14ac:dyDescent="0.15">
      <c r="A780" s="5">
        <v>777</v>
      </c>
      <c r="B780" s="6" t="str">
        <f>"30482021060318164386339"</f>
        <v>30482021060318164386339</v>
      </c>
      <c r="C780" s="6" t="s">
        <v>1128</v>
      </c>
      <c r="D780" s="6" t="str">
        <f>"左蓉"</f>
        <v>左蓉</v>
      </c>
      <c r="E780" s="6" t="str">
        <f t="shared" si="28"/>
        <v>女</v>
      </c>
      <c r="F780" s="7" t="s">
        <v>140</v>
      </c>
    </row>
    <row r="781" spans="1:6" ht="20.100000000000001" customHeight="1" x14ac:dyDescent="0.15">
      <c r="A781" s="5">
        <v>778</v>
      </c>
      <c r="B781" s="6" t="str">
        <f>"30482021060318230186395"</f>
        <v>30482021060318230186395</v>
      </c>
      <c r="C781" s="6" t="s">
        <v>1128</v>
      </c>
      <c r="D781" s="6" t="str">
        <f>"林娇慧"</f>
        <v>林娇慧</v>
      </c>
      <c r="E781" s="6" t="str">
        <f t="shared" si="28"/>
        <v>女</v>
      </c>
      <c r="F781" s="7" t="s">
        <v>991</v>
      </c>
    </row>
    <row r="782" spans="1:6" ht="20.100000000000001" customHeight="1" x14ac:dyDescent="0.15">
      <c r="A782" s="5">
        <v>779</v>
      </c>
      <c r="B782" s="6" t="str">
        <f>"30482021060318404186546"</f>
        <v>30482021060318404186546</v>
      </c>
      <c r="C782" s="6" t="s">
        <v>1128</v>
      </c>
      <c r="D782" s="6" t="str">
        <f>"陈小静"</f>
        <v>陈小静</v>
      </c>
      <c r="E782" s="6" t="str">
        <f t="shared" si="28"/>
        <v>女</v>
      </c>
      <c r="F782" s="7" t="s">
        <v>1054</v>
      </c>
    </row>
    <row r="783" spans="1:6" ht="20.100000000000001" customHeight="1" x14ac:dyDescent="0.15">
      <c r="A783" s="5">
        <v>780</v>
      </c>
      <c r="B783" s="6" t="str">
        <f>"30482021060318491386627"</f>
        <v>30482021060318491386627</v>
      </c>
      <c r="C783" s="6" t="s">
        <v>1128</v>
      </c>
      <c r="D783" s="6" t="str">
        <f>"何春蓉"</f>
        <v>何春蓉</v>
      </c>
      <c r="E783" s="6" t="str">
        <f t="shared" si="28"/>
        <v>女</v>
      </c>
      <c r="F783" s="7" t="s">
        <v>131</v>
      </c>
    </row>
    <row r="784" spans="1:6" ht="20.100000000000001" customHeight="1" x14ac:dyDescent="0.15">
      <c r="A784" s="5">
        <v>781</v>
      </c>
      <c r="B784" s="6" t="str">
        <f>"30482021060318525186662"</f>
        <v>30482021060318525186662</v>
      </c>
      <c r="C784" s="6" t="s">
        <v>1128</v>
      </c>
      <c r="D784" s="6" t="str">
        <f>"韩艳虹"</f>
        <v>韩艳虹</v>
      </c>
      <c r="E784" s="6" t="str">
        <f t="shared" si="28"/>
        <v>女</v>
      </c>
      <c r="F784" s="7" t="s">
        <v>1422</v>
      </c>
    </row>
    <row r="785" spans="1:6" ht="20.100000000000001" customHeight="1" x14ac:dyDescent="0.15">
      <c r="A785" s="5">
        <v>782</v>
      </c>
      <c r="B785" s="6" t="str">
        <f>"30482021060319033686740"</f>
        <v>30482021060319033686740</v>
      </c>
      <c r="C785" s="6" t="s">
        <v>1128</v>
      </c>
      <c r="D785" s="6" t="str">
        <f>"曾少玲"</f>
        <v>曾少玲</v>
      </c>
      <c r="E785" s="6" t="str">
        <f t="shared" si="28"/>
        <v>女</v>
      </c>
      <c r="F785" s="7" t="s">
        <v>454</v>
      </c>
    </row>
    <row r="786" spans="1:6" ht="20.100000000000001" customHeight="1" x14ac:dyDescent="0.15">
      <c r="A786" s="5">
        <v>783</v>
      </c>
      <c r="B786" s="6" t="str">
        <f>"30482021060319055586760"</f>
        <v>30482021060319055586760</v>
      </c>
      <c r="C786" s="6" t="s">
        <v>1128</v>
      </c>
      <c r="D786" s="6" t="str">
        <f>"吴燕南"</f>
        <v>吴燕南</v>
      </c>
      <c r="E786" s="6" t="str">
        <f t="shared" si="28"/>
        <v>女</v>
      </c>
      <c r="F786" s="7" t="s">
        <v>1423</v>
      </c>
    </row>
    <row r="787" spans="1:6" ht="20.100000000000001" customHeight="1" x14ac:dyDescent="0.15">
      <c r="A787" s="5">
        <v>784</v>
      </c>
      <c r="B787" s="6" t="str">
        <f>"30482021060319174586857"</f>
        <v>30482021060319174586857</v>
      </c>
      <c r="C787" s="6" t="s">
        <v>1128</v>
      </c>
      <c r="D787" s="6" t="str">
        <f>"谢润蕾"</f>
        <v>谢润蕾</v>
      </c>
      <c r="E787" s="6" t="str">
        <f t="shared" si="28"/>
        <v>女</v>
      </c>
      <c r="F787" s="7" t="s">
        <v>1421</v>
      </c>
    </row>
    <row r="788" spans="1:6" ht="20.100000000000001" customHeight="1" x14ac:dyDescent="0.15">
      <c r="A788" s="5">
        <v>785</v>
      </c>
      <c r="B788" s="6" t="str">
        <f>"30482021060319292286961"</f>
        <v>30482021060319292286961</v>
      </c>
      <c r="C788" s="6" t="s">
        <v>1128</v>
      </c>
      <c r="D788" s="6" t="str">
        <f>"符绿梅"</f>
        <v>符绿梅</v>
      </c>
      <c r="E788" s="6" t="str">
        <f t="shared" si="28"/>
        <v>女</v>
      </c>
      <c r="F788" s="7" t="s">
        <v>855</v>
      </c>
    </row>
    <row r="789" spans="1:6" ht="20.100000000000001" customHeight="1" x14ac:dyDescent="0.15">
      <c r="A789" s="5">
        <v>786</v>
      </c>
      <c r="B789" s="6" t="str">
        <f>"30482021060319331286991"</f>
        <v>30482021060319331286991</v>
      </c>
      <c r="C789" s="6" t="s">
        <v>1128</v>
      </c>
      <c r="D789" s="6" t="str">
        <f>"张赢天"</f>
        <v>张赢天</v>
      </c>
      <c r="E789" s="6" t="str">
        <f t="shared" si="28"/>
        <v>女</v>
      </c>
      <c r="F789" s="7" t="s">
        <v>143</v>
      </c>
    </row>
    <row r="790" spans="1:6" ht="20.100000000000001" customHeight="1" x14ac:dyDescent="0.15">
      <c r="A790" s="5">
        <v>787</v>
      </c>
      <c r="B790" s="6" t="str">
        <f>"30482021060319394187047"</f>
        <v>30482021060319394187047</v>
      </c>
      <c r="C790" s="6" t="s">
        <v>1128</v>
      </c>
      <c r="D790" s="6" t="str">
        <f>"许力鸣"</f>
        <v>许力鸣</v>
      </c>
      <c r="E790" s="6" t="str">
        <f t="shared" si="28"/>
        <v>女</v>
      </c>
      <c r="F790" s="7" t="s">
        <v>53</v>
      </c>
    </row>
    <row r="791" spans="1:6" ht="20.100000000000001" customHeight="1" x14ac:dyDescent="0.15">
      <c r="A791" s="5">
        <v>788</v>
      </c>
      <c r="B791" s="8" t="str">
        <f>"30482021060319424587072"</f>
        <v>30482021060319424587072</v>
      </c>
      <c r="C791" s="8" t="s">
        <v>1128</v>
      </c>
      <c r="D791" s="8" t="str">
        <f>"邹强"</f>
        <v>邹强</v>
      </c>
      <c r="E791" s="8" t="str">
        <f t="shared" si="28"/>
        <v>女</v>
      </c>
      <c r="F791" s="7" t="s">
        <v>338</v>
      </c>
    </row>
    <row r="792" spans="1:6" ht="20.100000000000001" customHeight="1" x14ac:dyDescent="0.15">
      <c r="A792" s="5">
        <v>789</v>
      </c>
      <c r="B792" s="6" t="str">
        <f>"30482021060319482087126"</f>
        <v>30482021060319482087126</v>
      </c>
      <c r="C792" s="6" t="s">
        <v>1128</v>
      </c>
      <c r="D792" s="6" t="str">
        <f>"何萃婷"</f>
        <v>何萃婷</v>
      </c>
      <c r="E792" s="6" t="str">
        <f t="shared" si="28"/>
        <v>女</v>
      </c>
      <c r="F792" s="7" t="s">
        <v>195</v>
      </c>
    </row>
    <row r="793" spans="1:6" ht="20.100000000000001" customHeight="1" x14ac:dyDescent="0.15">
      <c r="A793" s="5">
        <v>790</v>
      </c>
      <c r="B793" s="6" t="str">
        <f>"30482021060319483687128"</f>
        <v>30482021060319483687128</v>
      </c>
      <c r="C793" s="6" t="s">
        <v>1128</v>
      </c>
      <c r="D793" s="6" t="str">
        <f>"黎丽菁"</f>
        <v>黎丽菁</v>
      </c>
      <c r="E793" s="6" t="str">
        <f t="shared" si="28"/>
        <v>女</v>
      </c>
      <c r="F793" s="7" t="s">
        <v>1424</v>
      </c>
    </row>
    <row r="794" spans="1:6" ht="20.100000000000001" customHeight="1" x14ac:dyDescent="0.15">
      <c r="A794" s="5">
        <v>791</v>
      </c>
      <c r="B794" s="6" t="str">
        <f>"30482021060319584487212"</f>
        <v>30482021060319584487212</v>
      </c>
      <c r="C794" s="6" t="s">
        <v>1128</v>
      </c>
      <c r="D794" s="6" t="str">
        <f>"李佳滢"</f>
        <v>李佳滢</v>
      </c>
      <c r="E794" s="6" t="str">
        <f t="shared" si="28"/>
        <v>女</v>
      </c>
      <c r="F794" s="7" t="s">
        <v>396</v>
      </c>
    </row>
    <row r="795" spans="1:6" ht="20.100000000000001" customHeight="1" x14ac:dyDescent="0.15">
      <c r="A795" s="5">
        <v>792</v>
      </c>
      <c r="B795" s="6" t="str">
        <f>"30482021060320003087225"</f>
        <v>30482021060320003087225</v>
      </c>
      <c r="C795" s="6" t="s">
        <v>1128</v>
      </c>
      <c r="D795" s="6" t="str">
        <f>"彭浩欢"</f>
        <v>彭浩欢</v>
      </c>
      <c r="E795" s="6" t="str">
        <f t="shared" si="28"/>
        <v>女</v>
      </c>
      <c r="F795" s="7" t="s">
        <v>1425</v>
      </c>
    </row>
    <row r="796" spans="1:6" ht="20.100000000000001" customHeight="1" x14ac:dyDescent="0.15">
      <c r="A796" s="5">
        <v>793</v>
      </c>
      <c r="B796" s="6" t="str">
        <f>"30482021060320113387335"</f>
        <v>30482021060320113387335</v>
      </c>
      <c r="C796" s="6" t="s">
        <v>1128</v>
      </c>
      <c r="D796" s="6" t="str">
        <f>"吴剑花"</f>
        <v>吴剑花</v>
      </c>
      <c r="E796" s="6" t="str">
        <f t="shared" si="28"/>
        <v>女</v>
      </c>
      <c r="F796" s="7" t="s">
        <v>737</v>
      </c>
    </row>
    <row r="797" spans="1:6" ht="20.100000000000001" customHeight="1" x14ac:dyDescent="0.15">
      <c r="A797" s="5">
        <v>794</v>
      </c>
      <c r="B797" s="6" t="str">
        <f>"30482021060320145687375"</f>
        <v>30482021060320145687375</v>
      </c>
      <c r="C797" s="6" t="s">
        <v>1128</v>
      </c>
      <c r="D797" s="6" t="str">
        <f>"马倩雯"</f>
        <v>马倩雯</v>
      </c>
      <c r="E797" s="6" t="str">
        <f t="shared" si="28"/>
        <v>女</v>
      </c>
      <c r="F797" s="7" t="s">
        <v>1130</v>
      </c>
    </row>
    <row r="798" spans="1:6" ht="20.100000000000001" customHeight="1" x14ac:dyDescent="0.15">
      <c r="A798" s="5">
        <v>795</v>
      </c>
      <c r="B798" s="6" t="str">
        <f>"30482021060320161787389"</f>
        <v>30482021060320161787389</v>
      </c>
      <c r="C798" s="6" t="s">
        <v>1128</v>
      </c>
      <c r="D798" s="6" t="str">
        <f>"符文晶"</f>
        <v>符文晶</v>
      </c>
      <c r="E798" s="6" t="str">
        <f t="shared" si="28"/>
        <v>女</v>
      </c>
      <c r="F798" s="7" t="s">
        <v>1426</v>
      </c>
    </row>
    <row r="799" spans="1:6" ht="20.100000000000001" customHeight="1" x14ac:dyDescent="0.15">
      <c r="A799" s="5">
        <v>796</v>
      </c>
      <c r="B799" s="6" t="str">
        <f>"30482021060320185987422"</f>
        <v>30482021060320185987422</v>
      </c>
      <c r="C799" s="6" t="s">
        <v>1128</v>
      </c>
      <c r="D799" s="6" t="str">
        <f>"郑芳玲"</f>
        <v>郑芳玲</v>
      </c>
      <c r="E799" s="6" t="str">
        <f t="shared" si="28"/>
        <v>女</v>
      </c>
      <c r="F799" s="7" t="s">
        <v>1427</v>
      </c>
    </row>
    <row r="800" spans="1:6" ht="20.100000000000001" customHeight="1" x14ac:dyDescent="0.15">
      <c r="A800" s="5">
        <v>797</v>
      </c>
      <c r="B800" s="6" t="str">
        <f>"30482021060320205587447"</f>
        <v>30482021060320205587447</v>
      </c>
      <c r="C800" s="6" t="s">
        <v>1128</v>
      </c>
      <c r="D800" s="6" t="str">
        <f>"吴丽珠"</f>
        <v>吴丽珠</v>
      </c>
      <c r="E800" s="6" t="str">
        <f t="shared" si="28"/>
        <v>女</v>
      </c>
      <c r="F800" s="7" t="s">
        <v>1058</v>
      </c>
    </row>
    <row r="801" spans="1:6" ht="20.100000000000001" customHeight="1" x14ac:dyDescent="0.15">
      <c r="A801" s="5">
        <v>798</v>
      </c>
      <c r="B801" s="6" t="str">
        <f>"30482021060320280487525"</f>
        <v>30482021060320280487525</v>
      </c>
      <c r="C801" s="6" t="s">
        <v>1128</v>
      </c>
      <c r="D801" s="6" t="str">
        <f>"苏吉倩"</f>
        <v>苏吉倩</v>
      </c>
      <c r="E801" s="6" t="str">
        <f t="shared" si="28"/>
        <v>女</v>
      </c>
      <c r="F801" s="7" t="s">
        <v>1288</v>
      </c>
    </row>
    <row r="802" spans="1:6" ht="20.100000000000001" customHeight="1" x14ac:dyDescent="0.15">
      <c r="A802" s="5">
        <v>799</v>
      </c>
      <c r="B802" s="6" t="str">
        <f>"30482021060320303887556"</f>
        <v>30482021060320303887556</v>
      </c>
      <c r="C802" s="6" t="s">
        <v>1128</v>
      </c>
      <c r="D802" s="6" t="str">
        <f>"邓陈杏"</f>
        <v>邓陈杏</v>
      </c>
      <c r="E802" s="6" t="str">
        <f t="shared" si="28"/>
        <v>女</v>
      </c>
      <c r="F802" s="7" t="s">
        <v>450</v>
      </c>
    </row>
    <row r="803" spans="1:6" ht="20.100000000000001" customHeight="1" x14ac:dyDescent="0.15">
      <c r="A803" s="5">
        <v>800</v>
      </c>
      <c r="B803" s="6" t="str">
        <f>"30482021060320353387612"</f>
        <v>30482021060320353387612</v>
      </c>
      <c r="C803" s="6" t="s">
        <v>1128</v>
      </c>
      <c r="D803" s="6" t="str">
        <f>"陈金穗"</f>
        <v>陈金穗</v>
      </c>
      <c r="E803" s="6" t="str">
        <f t="shared" si="28"/>
        <v>女</v>
      </c>
      <c r="F803" s="7" t="s">
        <v>252</v>
      </c>
    </row>
    <row r="804" spans="1:6" ht="20.100000000000001" customHeight="1" x14ac:dyDescent="0.15">
      <c r="A804" s="5">
        <v>801</v>
      </c>
      <c r="B804" s="6" t="str">
        <f>"30482021060320400187662"</f>
        <v>30482021060320400187662</v>
      </c>
      <c r="C804" s="6" t="s">
        <v>1128</v>
      </c>
      <c r="D804" s="6" t="str">
        <f>"张慧冲"</f>
        <v>张慧冲</v>
      </c>
      <c r="E804" s="6" t="str">
        <f t="shared" si="28"/>
        <v>女</v>
      </c>
      <c r="F804" s="7" t="s">
        <v>495</v>
      </c>
    </row>
    <row r="805" spans="1:6" ht="20.100000000000001" customHeight="1" x14ac:dyDescent="0.15">
      <c r="A805" s="5">
        <v>802</v>
      </c>
      <c r="B805" s="6" t="str">
        <f>"30482021060320504787791"</f>
        <v>30482021060320504787791</v>
      </c>
      <c r="C805" s="6" t="s">
        <v>1128</v>
      </c>
      <c r="D805" s="6" t="str">
        <f>"张杰"</f>
        <v>张杰</v>
      </c>
      <c r="E805" s="6" t="str">
        <f t="shared" si="28"/>
        <v>女</v>
      </c>
      <c r="F805" s="7" t="s">
        <v>1428</v>
      </c>
    </row>
    <row r="806" spans="1:6" ht="20.100000000000001" customHeight="1" x14ac:dyDescent="0.15">
      <c r="A806" s="5">
        <v>803</v>
      </c>
      <c r="B806" s="6" t="str">
        <f>"30482021060320515087803"</f>
        <v>30482021060320515087803</v>
      </c>
      <c r="C806" s="6" t="s">
        <v>1128</v>
      </c>
      <c r="D806" s="6" t="str">
        <f>"李秋雨"</f>
        <v>李秋雨</v>
      </c>
      <c r="E806" s="6" t="str">
        <f t="shared" si="28"/>
        <v>女</v>
      </c>
      <c r="F806" s="7" t="s">
        <v>807</v>
      </c>
    </row>
    <row r="807" spans="1:6" ht="20.100000000000001" customHeight="1" x14ac:dyDescent="0.15">
      <c r="A807" s="5">
        <v>804</v>
      </c>
      <c r="B807" s="6" t="str">
        <f>"30482021060320523987814"</f>
        <v>30482021060320523987814</v>
      </c>
      <c r="C807" s="6" t="s">
        <v>1128</v>
      </c>
      <c r="D807" s="6" t="str">
        <f>"张夏鹏"</f>
        <v>张夏鹏</v>
      </c>
      <c r="E807" s="6" t="str">
        <f>"男"</f>
        <v>男</v>
      </c>
      <c r="F807" s="7" t="s">
        <v>1429</v>
      </c>
    </row>
    <row r="808" spans="1:6" ht="20.100000000000001" customHeight="1" x14ac:dyDescent="0.15">
      <c r="A808" s="5">
        <v>805</v>
      </c>
      <c r="B808" s="6" t="str">
        <f>"30482021060320543487833"</f>
        <v>30482021060320543487833</v>
      </c>
      <c r="C808" s="6" t="s">
        <v>1128</v>
      </c>
      <c r="D808" s="6" t="str">
        <f>"张海珠"</f>
        <v>张海珠</v>
      </c>
      <c r="E808" s="6" t="str">
        <f t="shared" ref="E808:E842" si="29">"女"</f>
        <v>女</v>
      </c>
      <c r="F808" s="7" t="s">
        <v>1250</v>
      </c>
    </row>
    <row r="809" spans="1:6" ht="20.100000000000001" customHeight="1" x14ac:dyDescent="0.15">
      <c r="A809" s="5">
        <v>806</v>
      </c>
      <c r="B809" s="6" t="str">
        <f>"30482021060321231988173"</f>
        <v>30482021060321231988173</v>
      </c>
      <c r="C809" s="6" t="s">
        <v>1128</v>
      </c>
      <c r="D809" s="6" t="str">
        <f>"唐程远"</f>
        <v>唐程远</v>
      </c>
      <c r="E809" s="6" t="str">
        <f>"男"</f>
        <v>男</v>
      </c>
      <c r="F809" s="7" t="s">
        <v>1430</v>
      </c>
    </row>
    <row r="810" spans="1:6" ht="20.100000000000001" customHeight="1" x14ac:dyDescent="0.15">
      <c r="A810" s="5">
        <v>807</v>
      </c>
      <c r="B810" s="6" t="str">
        <f>"30482021060321242888179"</f>
        <v>30482021060321242888179</v>
      </c>
      <c r="C810" s="6" t="s">
        <v>1128</v>
      </c>
      <c r="D810" s="6" t="str">
        <f>"韦蕾蕾"</f>
        <v>韦蕾蕾</v>
      </c>
      <c r="E810" s="6" t="str">
        <f t="shared" si="29"/>
        <v>女</v>
      </c>
      <c r="F810" s="7" t="s">
        <v>1431</v>
      </c>
    </row>
    <row r="811" spans="1:6" ht="20.100000000000001" customHeight="1" x14ac:dyDescent="0.15">
      <c r="A811" s="5">
        <v>808</v>
      </c>
      <c r="B811" s="6" t="str">
        <f>"30482021060321262488199"</f>
        <v>30482021060321262488199</v>
      </c>
      <c r="C811" s="6" t="s">
        <v>1128</v>
      </c>
      <c r="D811" s="6" t="str">
        <f>"苏锦霞"</f>
        <v>苏锦霞</v>
      </c>
      <c r="E811" s="6" t="str">
        <f t="shared" si="29"/>
        <v>女</v>
      </c>
      <c r="F811" s="7" t="s">
        <v>36</v>
      </c>
    </row>
    <row r="812" spans="1:6" ht="20.100000000000001" customHeight="1" x14ac:dyDescent="0.15">
      <c r="A812" s="5">
        <v>809</v>
      </c>
      <c r="B812" s="6" t="str">
        <f>"30482021060321285888238"</f>
        <v>30482021060321285888238</v>
      </c>
      <c r="C812" s="6" t="s">
        <v>1128</v>
      </c>
      <c r="D812" s="6" t="str">
        <f>"蒋梅"</f>
        <v>蒋梅</v>
      </c>
      <c r="E812" s="6" t="str">
        <f t="shared" si="29"/>
        <v>女</v>
      </c>
      <c r="F812" s="7" t="s">
        <v>679</v>
      </c>
    </row>
    <row r="813" spans="1:6" ht="20.100000000000001" customHeight="1" x14ac:dyDescent="0.15">
      <c r="A813" s="5">
        <v>810</v>
      </c>
      <c r="B813" s="6" t="str">
        <f>"30482021060321343188301"</f>
        <v>30482021060321343188301</v>
      </c>
      <c r="C813" s="6" t="s">
        <v>1128</v>
      </c>
      <c r="D813" s="6" t="str">
        <f>"周丽娟"</f>
        <v>周丽娟</v>
      </c>
      <c r="E813" s="6" t="str">
        <f t="shared" si="29"/>
        <v>女</v>
      </c>
      <c r="F813" s="7" t="s">
        <v>1432</v>
      </c>
    </row>
    <row r="814" spans="1:6" ht="20.100000000000001" customHeight="1" x14ac:dyDescent="0.15">
      <c r="A814" s="5">
        <v>811</v>
      </c>
      <c r="B814" s="6" t="str">
        <f>"30482021060321382688344"</f>
        <v>30482021060321382688344</v>
      </c>
      <c r="C814" s="6" t="s">
        <v>1128</v>
      </c>
      <c r="D814" s="6" t="str">
        <f>"何海燕"</f>
        <v>何海燕</v>
      </c>
      <c r="E814" s="6" t="str">
        <f t="shared" si="29"/>
        <v>女</v>
      </c>
      <c r="F814" s="7" t="s">
        <v>1433</v>
      </c>
    </row>
    <row r="815" spans="1:6" ht="20.100000000000001" customHeight="1" x14ac:dyDescent="0.15">
      <c r="A815" s="5">
        <v>812</v>
      </c>
      <c r="B815" s="6" t="str">
        <f>"30482021060321423588402"</f>
        <v>30482021060321423588402</v>
      </c>
      <c r="C815" s="6" t="s">
        <v>1128</v>
      </c>
      <c r="D815" s="6" t="str">
        <f>"王晓雯"</f>
        <v>王晓雯</v>
      </c>
      <c r="E815" s="6" t="str">
        <f t="shared" si="29"/>
        <v>女</v>
      </c>
      <c r="F815" s="7" t="s">
        <v>94</v>
      </c>
    </row>
    <row r="816" spans="1:6" ht="20.100000000000001" customHeight="1" x14ac:dyDescent="0.15">
      <c r="A816" s="5">
        <v>813</v>
      </c>
      <c r="B816" s="6" t="str">
        <f>"30482021060321432888410"</f>
        <v>30482021060321432888410</v>
      </c>
      <c r="C816" s="6" t="s">
        <v>1128</v>
      </c>
      <c r="D816" s="6" t="str">
        <f>"曾朝妹"</f>
        <v>曾朝妹</v>
      </c>
      <c r="E816" s="6" t="str">
        <f t="shared" si="29"/>
        <v>女</v>
      </c>
      <c r="F816" s="7" t="s">
        <v>247</v>
      </c>
    </row>
    <row r="817" spans="1:6" ht="20.100000000000001" customHeight="1" x14ac:dyDescent="0.15">
      <c r="A817" s="5">
        <v>814</v>
      </c>
      <c r="B817" s="6" t="str">
        <f>"30482021060321452688437"</f>
        <v>30482021060321452688437</v>
      </c>
      <c r="C817" s="6" t="s">
        <v>1128</v>
      </c>
      <c r="D817" s="6" t="str">
        <f>"陈洁"</f>
        <v>陈洁</v>
      </c>
      <c r="E817" s="6" t="str">
        <f t="shared" si="29"/>
        <v>女</v>
      </c>
      <c r="F817" s="7" t="s">
        <v>1434</v>
      </c>
    </row>
    <row r="818" spans="1:6" ht="20.100000000000001" customHeight="1" x14ac:dyDescent="0.15">
      <c r="A818" s="5">
        <v>815</v>
      </c>
      <c r="B818" s="6" t="str">
        <f>"30482021060321463688448"</f>
        <v>30482021060321463688448</v>
      </c>
      <c r="C818" s="6" t="s">
        <v>1128</v>
      </c>
      <c r="D818" s="6" t="str">
        <f>"王清晴"</f>
        <v>王清晴</v>
      </c>
      <c r="E818" s="6" t="str">
        <f t="shared" si="29"/>
        <v>女</v>
      </c>
      <c r="F818" s="7" t="s">
        <v>43</v>
      </c>
    </row>
    <row r="819" spans="1:6" ht="20.100000000000001" customHeight="1" x14ac:dyDescent="0.15">
      <c r="A819" s="5">
        <v>816</v>
      </c>
      <c r="B819" s="6" t="str">
        <f>"30482021060321503388498"</f>
        <v>30482021060321503388498</v>
      </c>
      <c r="C819" s="6" t="s">
        <v>1128</v>
      </c>
      <c r="D819" s="6" t="str">
        <f>"吴漫婷"</f>
        <v>吴漫婷</v>
      </c>
      <c r="E819" s="6" t="str">
        <f t="shared" si="29"/>
        <v>女</v>
      </c>
      <c r="F819" s="7" t="s">
        <v>1435</v>
      </c>
    </row>
    <row r="820" spans="1:6" ht="20.100000000000001" customHeight="1" x14ac:dyDescent="0.15">
      <c r="A820" s="5">
        <v>817</v>
      </c>
      <c r="B820" s="6" t="str">
        <f>"30482021060321555288548"</f>
        <v>30482021060321555288548</v>
      </c>
      <c r="C820" s="6" t="s">
        <v>1128</v>
      </c>
      <c r="D820" s="6" t="str">
        <f>"张杰翠"</f>
        <v>张杰翠</v>
      </c>
      <c r="E820" s="6" t="str">
        <f t="shared" si="29"/>
        <v>女</v>
      </c>
      <c r="F820" s="7" t="s">
        <v>232</v>
      </c>
    </row>
    <row r="821" spans="1:6" ht="20.100000000000001" customHeight="1" x14ac:dyDescent="0.15">
      <c r="A821" s="5">
        <v>818</v>
      </c>
      <c r="B821" s="6" t="str">
        <f>"30482021060322001288598"</f>
        <v>30482021060322001288598</v>
      </c>
      <c r="C821" s="6" t="s">
        <v>1128</v>
      </c>
      <c r="D821" s="6" t="str">
        <f>"陈秀佳"</f>
        <v>陈秀佳</v>
      </c>
      <c r="E821" s="6" t="str">
        <f t="shared" si="29"/>
        <v>女</v>
      </c>
      <c r="F821" s="7" t="s">
        <v>1436</v>
      </c>
    </row>
    <row r="822" spans="1:6" ht="20.100000000000001" customHeight="1" x14ac:dyDescent="0.15">
      <c r="A822" s="5">
        <v>819</v>
      </c>
      <c r="B822" s="6" t="str">
        <f>"30482021060322044288665"</f>
        <v>30482021060322044288665</v>
      </c>
      <c r="C822" s="6" t="s">
        <v>1128</v>
      </c>
      <c r="D822" s="6" t="str">
        <f>"林俐宏"</f>
        <v>林俐宏</v>
      </c>
      <c r="E822" s="6" t="str">
        <f t="shared" si="29"/>
        <v>女</v>
      </c>
      <c r="F822" s="7" t="s">
        <v>250</v>
      </c>
    </row>
    <row r="823" spans="1:6" ht="20.100000000000001" customHeight="1" x14ac:dyDescent="0.15">
      <c r="A823" s="5">
        <v>820</v>
      </c>
      <c r="B823" s="6" t="str">
        <f>"30482021060322135888760"</f>
        <v>30482021060322135888760</v>
      </c>
      <c r="C823" s="6" t="s">
        <v>1128</v>
      </c>
      <c r="D823" s="6" t="str">
        <f>"王转珠"</f>
        <v>王转珠</v>
      </c>
      <c r="E823" s="6" t="str">
        <f t="shared" si="29"/>
        <v>女</v>
      </c>
      <c r="F823" s="7" t="s">
        <v>1381</v>
      </c>
    </row>
    <row r="824" spans="1:6" ht="20.100000000000001" customHeight="1" x14ac:dyDescent="0.15">
      <c r="A824" s="5">
        <v>821</v>
      </c>
      <c r="B824" s="6" t="str">
        <f>"30482021060322204888847"</f>
        <v>30482021060322204888847</v>
      </c>
      <c r="C824" s="6" t="s">
        <v>1128</v>
      </c>
      <c r="D824" s="6" t="str">
        <f>"董爵玲"</f>
        <v>董爵玲</v>
      </c>
      <c r="E824" s="6" t="str">
        <f t="shared" si="29"/>
        <v>女</v>
      </c>
      <c r="F824" s="7" t="s">
        <v>1212</v>
      </c>
    </row>
    <row r="825" spans="1:6" ht="20.100000000000001" customHeight="1" x14ac:dyDescent="0.15">
      <c r="A825" s="5">
        <v>822</v>
      </c>
      <c r="B825" s="6" t="str">
        <f>"30482021060322224688880"</f>
        <v>30482021060322224688880</v>
      </c>
      <c r="C825" s="6" t="s">
        <v>1128</v>
      </c>
      <c r="D825" s="6" t="str">
        <f>"陈玉妃"</f>
        <v>陈玉妃</v>
      </c>
      <c r="E825" s="6" t="str">
        <f t="shared" si="29"/>
        <v>女</v>
      </c>
      <c r="F825" s="7" t="s">
        <v>37</v>
      </c>
    </row>
    <row r="826" spans="1:6" ht="20.100000000000001" customHeight="1" x14ac:dyDescent="0.15">
      <c r="A826" s="5">
        <v>823</v>
      </c>
      <c r="B826" s="6" t="str">
        <f>"30482021060322260288916"</f>
        <v>30482021060322260288916</v>
      </c>
      <c r="C826" s="6" t="s">
        <v>1128</v>
      </c>
      <c r="D826" s="6" t="str">
        <f>"陈旭"</f>
        <v>陈旭</v>
      </c>
      <c r="E826" s="6" t="str">
        <f t="shared" si="29"/>
        <v>女</v>
      </c>
      <c r="F826" s="7" t="s">
        <v>1069</v>
      </c>
    </row>
    <row r="827" spans="1:6" ht="20.100000000000001" customHeight="1" x14ac:dyDescent="0.15">
      <c r="A827" s="5">
        <v>824</v>
      </c>
      <c r="B827" s="6" t="str">
        <f>"30482021060322353989012"</f>
        <v>30482021060322353989012</v>
      </c>
      <c r="C827" s="6" t="s">
        <v>1128</v>
      </c>
      <c r="D827" s="6" t="str">
        <f>"林淀"</f>
        <v>林淀</v>
      </c>
      <c r="E827" s="6" t="str">
        <f t="shared" si="29"/>
        <v>女</v>
      </c>
      <c r="F827" s="7" t="s">
        <v>197</v>
      </c>
    </row>
    <row r="828" spans="1:6" ht="20.100000000000001" customHeight="1" x14ac:dyDescent="0.15">
      <c r="A828" s="5">
        <v>825</v>
      </c>
      <c r="B828" s="6" t="str">
        <f>"30482021060322470289115"</f>
        <v>30482021060322470289115</v>
      </c>
      <c r="C828" s="6" t="s">
        <v>1128</v>
      </c>
      <c r="D828" s="6" t="str">
        <f>"羊益梅"</f>
        <v>羊益梅</v>
      </c>
      <c r="E828" s="6" t="str">
        <f t="shared" si="29"/>
        <v>女</v>
      </c>
      <c r="F828" s="7" t="s">
        <v>266</v>
      </c>
    </row>
    <row r="829" spans="1:6" ht="20.100000000000001" customHeight="1" x14ac:dyDescent="0.15">
      <c r="A829" s="5">
        <v>826</v>
      </c>
      <c r="B829" s="6" t="str">
        <f>"30482021060323021689267"</f>
        <v>30482021060323021689267</v>
      </c>
      <c r="C829" s="6" t="s">
        <v>1128</v>
      </c>
      <c r="D829" s="6" t="str">
        <f>"陈海霞"</f>
        <v>陈海霞</v>
      </c>
      <c r="E829" s="6" t="str">
        <f t="shared" si="29"/>
        <v>女</v>
      </c>
      <c r="F829" s="7" t="s">
        <v>1437</v>
      </c>
    </row>
    <row r="830" spans="1:6" ht="20.100000000000001" customHeight="1" x14ac:dyDescent="0.15">
      <c r="A830" s="5">
        <v>827</v>
      </c>
      <c r="B830" s="6" t="str">
        <f>"30482021060323034189274"</f>
        <v>30482021060323034189274</v>
      </c>
      <c r="C830" s="6" t="s">
        <v>1128</v>
      </c>
      <c r="D830" s="6" t="str">
        <f>"陈美"</f>
        <v>陈美</v>
      </c>
      <c r="E830" s="6" t="str">
        <f t="shared" si="29"/>
        <v>女</v>
      </c>
      <c r="F830" s="7" t="s">
        <v>56</v>
      </c>
    </row>
    <row r="831" spans="1:6" ht="20.100000000000001" customHeight="1" x14ac:dyDescent="0.15">
      <c r="A831" s="5">
        <v>828</v>
      </c>
      <c r="B831" s="6" t="str">
        <f>"30482021060323034289275"</f>
        <v>30482021060323034289275</v>
      </c>
      <c r="C831" s="6" t="s">
        <v>1128</v>
      </c>
      <c r="D831" s="6" t="str">
        <f>"吴海萍"</f>
        <v>吴海萍</v>
      </c>
      <c r="E831" s="6" t="str">
        <f t="shared" si="29"/>
        <v>女</v>
      </c>
      <c r="F831" s="7" t="s">
        <v>515</v>
      </c>
    </row>
    <row r="832" spans="1:6" ht="20.100000000000001" customHeight="1" x14ac:dyDescent="0.15">
      <c r="A832" s="5">
        <v>829</v>
      </c>
      <c r="B832" s="6" t="str">
        <f>"30482021060323053089296"</f>
        <v>30482021060323053089296</v>
      </c>
      <c r="C832" s="6" t="s">
        <v>1128</v>
      </c>
      <c r="D832" s="6" t="str">
        <f>"王银锚"</f>
        <v>王银锚</v>
      </c>
      <c r="E832" s="6" t="str">
        <f t="shared" si="29"/>
        <v>女</v>
      </c>
      <c r="F832" s="7" t="s">
        <v>31</v>
      </c>
    </row>
    <row r="833" spans="1:6" ht="20.100000000000001" customHeight="1" x14ac:dyDescent="0.15">
      <c r="A833" s="5">
        <v>830</v>
      </c>
      <c r="B833" s="6" t="str">
        <f>"30482021060323102289331"</f>
        <v>30482021060323102289331</v>
      </c>
      <c r="C833" s="6" t="s">
        <v>1128</v>
      </c>
      <c r="D833" s="6" t="str">
        <f>"刘雪娜"</f>
        <v>刘雪娜</v>
      </c>
      <c r="E833" s="6" t="str">
        <f t="shared" si="29"/>
        <v>女</v>
      </c>
      <c r="F833" s="7" t="s">
        <v>1438</v>
      </c>
    </row>
    <row r="834" spans="1:6" ht="20.100000000000001" customHeight="1" x14ac:dyDescent="0.15">
      <c r="A834" s="5">
        <v>831</v>
      </c>
      <c r="B834" s="6" t="str">
        <f>"30482021060323144789370"</f>
        <v>30482021060323144789370</v>
      </c>
      <c r="C834" s="6" t="s">
        <v>1128</v>
      </c>
      <c r="D834" s="6" t="str">
        <f>"李专"</f>
        <v>李专</v>
      </c>
      <c r="E834" s="6" t="str">
        <f t="shared" si="29"/>
        <v>女</v>
      </c>
      <c r="F834" s="7" t="s">
        <v>179</v>
      </c>
    </row>
    <row r="835" spans="1:6" ht="20.100000000000001" customHeight="1" x14ac:dyDescent="0.15">
      <c r="A835" s="5">
        <v>832</v>
      </c>
      <c r="B835" s="6" t="str">
        <f>"30482021060323243289448"</f>
        <v>30482021060323243289448</v>
      </c>
      <c r="C835" s="6" t="s">
        <v>1128</v>
      </c>
      <c r="D835" s="6" t="str">
        <f>"张曼"</f>
        <v>张曼</v>
      </c>
      <c r="E835" s="6" t="str">
        <f t="shared" si="29"/>
        <v>女</v>
      </c>
      <c r="F835" s="7" t="s">
        <v>1390</v>
      </c>
    </row>
    <row r="836" spans="1:6" ht="20.100000000000001" customHeight="1" x14ac:dyDescent="0.15">
      <c r="A836" s="5">
        <v>833</v>
      </c>
      <c r="B836" s="6" t="str">
        <f>"30482021060323261989462"</f>
        <v>30482021060323261989462</v>
      </c>
      <c r="C836" s="6" t="s">
        <v>1128</v>
      </c>
      <c r="D836" s="6" t="str">
        <f>"冯小丹"</f>
        <v>冯小丹</v>
      </c>
      <c r="E836" s="6" t="str">
        <f t="shared" si="29"/>
        <v>女</v>
      </c>
      <c r="F836" s="7" t="s">
        <v>140</v>
      </c>
    </row>
    <row r="837" spans="1:6" ht="20.100000000000001" customHeight="1" x14ac:dyDescent="0.15">
      <c r="A837" s="5">
        <v>834</v>
      </c>
      <c r="B837" s="6" t="str">
        <f>"30482021060323355589514"</f>
        <v>30482021060323355589514</v>
      </c>
      <c r="C837" s="6" t="s">
        <v>1128</v>
      </c>
      <c r="D837" s="6" t="str">
        <f>"苏秋梅"</f>
        <v>苏秋梅</v>
      </c>
      <c r="E837" s="6" t="str">
        <f t="shared" si="29"/>
        <v>女</v>
      </c>
      <c r="F837" s="7" t="s">
        <v>175</v>
      </c>
    </row>
    <row r="838" spans="1:6" ht="20.100000000000001" customHeight="1" x14ac:dyDescent="0.15">
      <c r="A838" s="5">
        <v>835</v>
      </c>
      <c r="B838" s="6" t="str">
        <f>"30482021060323391289532"</f>
        <v>30482021060323391289532</v>
      </c>
      <c r="C838" s="6" t="s">
        <v>1128</v>
      </c>
      <c r="D838" s="6" t="str">
        <f>"黎晓茜"</f>
        <v>黎晓茜</v>
      </c>
      <c r="E838" s="6" t="str">
        <f t="shared" si="29"/>
        <v>女</v>
      </c>
      <c r="F838" s="7" t="s">
        <v>1314</v>
      </c>
    </row>
    <row r="839" spans="1:6" ht="20.100000000000001" customHeight="1" x14ac:dyDescent="0.15">
      <c r="A839" s="5">
        <v>836</v>
      </c>
      <c r="B839" s="6" t="str">
        <f>"30482021060323393089535"</f>
        <v>30482021060323393089535</v>
      </c>
      <c r="C839" s="6" t="s">
        <v>1128</v>
      </c>
      <c r="D839" s="6" t="str">
        <f>"许碧丹"</f>
        <v>许碧丹</v>
      </c>
      <c r="E839" s="6" t="str">
        <f t="shared" si="29"/>
        <v>女</v>
      </c>
      <c r="F839" s="7" t="s">
        <v>1439</v>
      </c>
    </row>
    <row r="840" spans="1:6" ht="20.100000000000001" customHeight="1" x14ac:dyDescent="0.15">
      <c r="A840" s="5">
        <v>837</v>
      </c>
      <c r="B840" s="6" t="str">
        <f>"30482021060323553089633"</f>
        <v>30482021060323553089633</v>
      </c>
      <c r="C840" s="6" t="s">
        <v>1128</v>
      </c>
      <c r="D840" s="6" t="str">
        <f>"冯晓柳"</f>
        <v>冯晓柳</v>
      </c>
      <c r="E840" s="6" t="str">
        <f t="shared" si="29"/>
        <v>女</v>
      </c>
      <c r="F840" s="7" t="s">
        <v>37</v>
      </c>
    </row>
    <row r="841" spans="1:6" ht="20.100000000000001" customHeight="1" x14ac:dyDescent="0.15">
      <c r="A841" s="5">
        <v>838</v>
      </c>
      <c r="B841" s="6" t="str">
        <f>"30482021060400270189757"</f>
        <v>30482021060400270189757</v>
      </c>
      <c r="C841" s="6" t="s">
        <v>1128</v>
      </c>
      <c r="D841" s="6" t="str">
        <f>"苏凤妹"</f>
        <v>苏凤妹</v>
      </c>
      <c r="E841" s="6" t="str">
        <f t="shared" si="29"/>
        <v>女</v>
      </c>
      <c r="F841" s="7" t="s">
        <v>1440</v>
      </c>
    </row>
    <row r="842" spans="1:6" ht="20.100000000000001" customHeight="1" x14ac:dyDescent="0.15">
      <c r="A842" s="5">
        <v>839</v>
      </c>
      <c r="B842" s="6" t="str">
        <f>"30482021060400322189778"</f>
        <v>30482021060400322189778</v>
      </c>
      <c r="C842" s="6" t="s">
        <v>1128</v>
      </c>
      <c r="D842" s="6" t="str">
        <f>"王释莹"</f>
        <v>王释莹</v>
      </c>
      <c r="E842" s="6" t="str">
        <f t="shared" si="29"/>
        <v>女</v>
      </c>
      <c r="F842" s="7" t="s">
        <v>345</v>
      </c>
    </row>
    <row r="843" spans="1:6" ht="20.100000000000001" customHeight="1" x14ac:dyDescent="0.15">
      <c r="A843" s="5">
        <v>840</v>
      </c>
      <c r="B843" s="6" t="str">
        <f>"30482021060400423389802"</f>
        <v>30482021060400423389802</v>
      </c>
      <c r="C843" s="6" t="s">
        <v>1128</v>
      </c>
      <c r="D843" s="6" t="str">
        <f>"邢福宜"</f>
        <v>邢福宜</v>
      </c>
      <c r="E843" s="6" t="str">
        <f>"男"</f>
        <v>男</v>
      </c>
      <c r="F843" s="7" t="s">
        <v>1104</v>
      </c>
    </row>
    <row r="844" spans="1:6" ht="20.100000000000001" customHeight="1" x14ac:dyDescent="0.15">
      <c r="A844" s="5">
        <v>841</v>
      </c>
      <c r="B844" s="6" t="str">
        <f>"30482021060402042589897"</f>
        <v>30482021060402042589897</v>
      </c>
      <c r="C844" s="6" t="s">
        <v>1128</v>
      </c>
      <c r="D844" s="6" t="str">
        <f>"王思懿"</f>
        <v>王思懿</v>
      </c>
      <c r="E844" s="6" t="str">
        <f t="shared" ref="E844:E891" si="30">"女"</f>
        <v>女</v>
      </c>
      <c r="F844" s="7" t="s">
        <v>667</v>
      </c>
    </row>
    <row r="845" spans="1:6" ht="20.100000000000001" customHeight="1" x14ac:dyDescent="0.15">
      <c r="A845" s="5">
        <v>842</v>
      </c>
      <c r="B845" s="6" t="str">
        <f>"30482021060408293590294"</f>
        <v>30482021060408293590294</v>
      </c>
      <c r="C845" s="6" t="s">
        <v>1128</v>
      </c>
      <c r="D845" s="6" t="str">
        <f>"陈新"</f>
        <v>陈新</v>
      </c>
      <c r="E845" s="6" t="str">
        <f t="shared" si="30"/>
        <v>女</v>
      </c>
      <c r="F845" s="7" t="s">
        <v>614</v>
      </c>
    </row>
    <row r="846" spans="1:6" ht="20.100000000000001" customHeight="1" x14ac:dyDescent="0.15">
      <c r="A846" s="5">
        <v>843</v>
      </c>
      <c r="B846" s="6" t="str">
        <f>"30482021060408424690414"</f>
        <v>30482021060408424690414</v>
      </c>
      <c r="C846" s="6" t="s">
        <v>1128</v>
      </c>
      <c r="D846" s="6" t="str">
        <f>"陈颖"</f>
        <v>陈颖</v>
      </c>
      <c r="E846" s="6" t="str">
        <f t="shared" si="30"/>
        <v>女</v>
      </c>
      <c r="F846" s="7" t="s">
        <v>139</v>
      </c>
    </row>
    <row r="847" spans="1:6" ht="20.100000000000001" customHeight="1" x14ac:dyDescent="0.15">
      <c r="A847" s="5">
        <v>844</v>
      </c>
      <c r="B847" s="6" t="str">
        <f>"30482021060408471190463"</f>
        <v>30482021060408471190463</v>
      </c>
      <c r="C847" s="6" t="s">
        <v>1128</v>
      </c>
      <c r="D847" s="6" t="str">
        <f>"李静雯"</f>
        <v>李静雯</v>
      </c>
      <c r="E847" s="6" t="str">
        <f t="shared" si="30"/>
        <v>女</v>
      </c>
      <c r="F847" s="7" t="s">
        <v>160</v>
      </c>
    </row>
    <row r="848" spans="1:6" ht="20.100000000000001" customHeight="1" x14ac:dyDescent="0.15">
      <c r="A848" s="5">
        <v>845</v>
      </c>
      <c r="B848" s="6" t="str">
        <f>"30482021060408523290515"</f>
        <v>30482021060408523290515</v>
      </c>
      <c r="C848" s="6" t="s">
        <v>1128</v>
      </c>
      <c r="D848" s="6" t="str">
        <f>"林方媚"</f>
        <v>林方媚</v>
      </c>
      <c r="E848" s="6" t="str">
        <f t="shared" si="30"/>
        <v>女</v>
      </c>
      <c r="F848" s="7" t="s">
        <v>599</v>
      </c>
    </row>
    <row r="849" spans="1:6" ht="20.100000000000001" customHeight="1" x14ac:dyDescent="0.15">
      <c r="A849" s="5">
        <v>846</v>
      </c>
      <c r="B849" s="6" t="str">
        <f>"30482021060409043590636"</f>
        <v>30482021060409043590636</v>
      </c>
      <c r="C849" s="6" t="s">
        <v>1128</v>
      </c>
      <c r="D849" s="6" t="str">
        <f>"邝少云"</f>
        <v>邝少云</v>
      </c>
      <c r="E849" s="6" t="str">
        <f t="shared" si="30"/>
        <v>女</v>
      </c>
      <c r="F849" s="7" t="s">
        <v>1441</v>
      </c>
    </row>
    <row r="850" spans="1:6" ht="20.100000000000001" customHeight="1" x14ac:dyDescent="0.15">
      <c r="A850" s="5">
        <v>847</v>
      </c>
      <c r="B850" s="6" t="str">
        <f>"30482021060409150790752"</f>
        <v>30482021060409150790752</v>
      </c>
      <c r="C850" s="6" t="s">
        <v>1128</v>
      </c>
      <c r="D850" s="6" t="str">
        <f>"陈妹"</f>
        <v>陈妹</v>
      </c>
      <c r="E850" s="6" t="str">
        <f t="shared" si="30"/>
        <v>女</v>
      </c>
      <c r="F850" s="7" t="s">
        <v>1442</v>
      </c>
    </row>
    <row r="851" spans="1:6" ht="20.100000000000001" customHeight="1" x14ac:dyDescent="0.15">
      <c r="A851" s="5">
        <v>848</v>
      </c>
      <c r="B851" s="6" t="str">
        <f>"30482021060409183290793"</f>
        <v>30482021060409183290793</v>
      </c>
      <c r="C851" s="6" t="s">
        <v>1128</v>
      </c>
      <c r="D851" s="6" t="str">
        <f>"吉训春"</f>
        <v>吉训春</v>
      </c>
      <c r="E851" s="6" t="str">
        <f t="shared" si="30"/>
        <v>女</v>
      </c>
      <c r="F851" s="7" t="s">
        <v>1443</v>
      </c>
    </row>
    <row r="852" spans="1:6" ht="20.100000000000001" customHeight="1" x14ac:dyDescent="0.15">
      <c r="A852" s="5">
        <v>849</v>
      </c>
      <c r="B852" s="6" t="str">
        <f>"30482021060409280890896"</f>
        <v>30482021060409280890896</v>
      </c>
      <c r="C852" s="6" t="s">
        <v>1128</v>
      </c>
      <c r="D852" s="6" t="str">
        <f>"陈容"</f>
        <v>陈容</v>
      </c>
      <c r="E852" s="6" t="str">
        <f t="shared" si="30"/>
        <v>女</v>
      </c>
      <c r="F852" s="7" t="s">
        <v>1444</v>
      </c>
    </row>
    <row r="853" spans="1:6" ht="20.100000000000001" customHeight="1" x14ac:dyDescent="0.15">
      <c r="A853" s="5">
        <v>850</v>
      </c>
      <c r="B853" s="6" t="str">
        <f>"30482021060409285190907"</f>
        <v>30482021060409285190907</v>
      </c>
      <c r="C853" s="6" t="s">
        <v>1128</v>
      </c>
      <c r="D853" s="6" t="str">
        <f>"陈玉娇"</f>
        <v>陈玉娇</v>
      </c>
      <c r="E853" s="6" t="str">
        <f t="shared" si="30"/>
        <v>女</v>
      </c>
      <c r="F853" s="7" t="s">
        <v>1343</v>
      </c>
    </row>
    <row r="854" spans="1:6" ht="20.100000000000001" customHeight="1" x14ac:dyDescent="0.15">
      <c r="A854" s="5">
        <v>851</v>
      </c>
      <c r="B854" s="6" t="str">
        <f>"30482021060409324290948"</f>
        <v>30482021060409324290948</v>
      </c>
      <c r="C854" s="6" t="s">
        <v>1128</v>
      </c>
      <c r="D854" s="6" t="str">
        <f>"文秋"</f>
        <v>文秋</v>
      </c>
      <c r="E854" s="6" t="str">
        <f t="shared" si="30"/>
        <v>女</v>
      </c>
      <c r="F854" s="7" t="s">
        <v>616</v>
      </c>
    </row>
    <row r="855" spans="1:6" ht="20.100000000000001" customHeight="1" x14ac:dyDescent="0.15">
      <c r="A855" s="5">
        <v>852</v>
      </c>
      <c r="B855" s="6" t="str">
        <f>"30482021060409360890981"</f>
        <v>30482021060409360890981</v>
      </c>
      <c r="C855" s="6" t="s">
        <v>1128</v>
      </c>
      <c r="D855" s="6" t="str">
        <f>"徐梦佳"</f>
        <v>徐梦佳</v>
      </c>
      <c r="E855" s="6" t="str">
        <f t="shared" si="30"/>
        <v>女</v>
      </c>
      <c r="F855" s="7" t="s">
        <v>1445</v>
      </c>
    </row>
    <row r="856" spans="1:6" ht="20.100000000000001" customHeight="1" x14ac:dyDescent="0.15">
      <c r="A856" s="5">
        <v>853</v>
      </c>
      <c r="B856" s="6" t="str">
        <f>"30482021060409530091193"</f>
        <v>30482021060409530091193</v>
      </c>
      <c r="C856" s="6" t="s">
        <v>1128</v>
      </c>
      <c r="D856" s="6" t="str">
        <f>"吴素芳"</f>
        <v>吴素芳</v>
      </c>
      <c r="E856" s="6" t="str">
        <f t="shared" si="30"/>
        <v>女</v>
      </c>
      <c r="F856" s="7" t="s">
        <v>236</v>
      </c>
    </row>
    <row r="857" spans="1:6" ht="20.100000000000001" customHeight="1" x14ac:dyDescent="0.15">
      <c r="A857" s="5">
        <v>854</v>
      </c>
      <c r="B857" s="6" t="str">
        <f>"30482021060409571891239"</f>
        <v>30482021060409571891239</v>
      </c>
      <c r="C857" s="6" t="s">
        <v>1128</v>
      </c>
      <c r="D857" s="6" t="str">
        <f>"王玉英"</f>
        <v>王玉英</v>
      </c>
      <c r="E857" s="6" t="str">
        <f t="shared" si="30"/>
        <v>女</v>
      </c>
      <c r="F857" s="7" t="s">
        <v>1446</v>
      </c>
    </row>
    <row r="858" spans="1:6" ht="20.100000000000001" customHeight="1" x14ac:dyDescent="0.15">
      <c r="A858" s="5">
        <v>855</v>
      </c>
      <c r="B858" s="6" t="str">
        <f>"30482021060410045291320"</f>
        <v>30482021060410045291320</v>
      </c>
      <c r="C858" s="6" t="s">
        <v>1128</v>
      </c>
      <c r="D858" s="6" t="str">
        <f>"陈玲"</f>
        <v>陈玲</v>
      </c>
      <c r="E858" s="6" t="str">
        <f t="shared" si="30"/>
        <v>女</v>
      </c>
      <c r="F858" s="7" t="s">
        <v>1447</v>
      </c>
    </row>
    <row r="859" spans="1:6" ht="20.100000000000001" customHeight="1" x14ac:dyDescent="0.15">
      <c r="A859" s="5">
        <v>856</v>
      </c>
      <c r="B859" s="6" t="str">
        <f>"30482021060410052991338"</f>
        <v>30482021060410052991338</v>
      </c>
      <c r="C859" s="6" t="s">
        <v>1128</v>
      </c>
      <c r="D859" s="6" t="str">
        <f>"林嘉颖"</f>
        <v>林嘉颖</v>
      </c>
      <c r="E859" s="6" t="str">
        <f t="shared" si="30"/>
        <v>女</v>
      </c>
      <c r="F859" s="7" t="s">
        <v>637</v>
      </c>
    </row>
    <row r="860" spans="1:6" ht="20.100000000000001" customHeight="1" x14ac:dyDescent="0.15">
      <c r="A860" s="5">
        <v>857</v>
      </c>
      <c r="B860" s="6" t="str">
        <f>"30482021060410084691374"</f>
        <v>30482021060410084691374</v>
      </c>
      <c r="C860" s="6" t="s">
        <v>1128</v>
      </c>
      <c r="D860" s="6" t="str">
        <f>"薛慧珊"</f>
        <v>薛慧珊</v>
      </c>
      <c r="E860" s="6" t="str">
        <f t="shared" si="30"/>
        <v>女</v>
      </c>
      <c r="F860" s="7" t="s">
        <v>780</v>
      </c>
    </row>
    <row r="861" spans="1:6" ht="20.100000000000001" customHeight="1" x14ac:dyDescent="0.15">
      <c r="A861" s="5">
        <v>858</v>
      </c>
      <c r="B861" s="6" t="str">
        <f>"30482021060410090791379"</f>
        <v>30482021060410090791379</v>
      </c>
      <c r="C861" s="6" t="s">
        <v>1128</v>
      </c>
      <c r="D861" s="6" t="str">
        <f>"冯丽娟"</f>
        <v>冯丽娟</v>
      </c>
      <c r="E861" s="6" t="str">
        <f t="shared" si="30"/>
        <v>女</v>
      </c>
      <c r="F861" s="7" t="s">
        <v>1448</v>
      </c>
    </row>
    <row r="862" spans="1:6" ht="20.100000000000001" customHeight="1" x14ac:dyDescent="0.15">
      <c r="A862" s="5">
        <v>859</v>
      </c>
      <c r="B862" s="6" t="str">
        <f>"30482021060410115791427"</f>
        <v>30482021060410115791427</v>
      </c>
      <c r="C862" s="6" t="s">
        <v>1128</v>
      </c>
      <c r="D862" s="6" t="str">
        <f>"吴少媛"</f>
        <v>吴少媛</v>
      </c>
      <c r="E862" s="6" t="str">
        <f t="shared" si="30"/>
        <v>女</v>
      </c>
      <c r="F862" s="7" t="s">
        <v>1097</v>
      </c>
    </row>
    <row r="863" spans="1:6" ht="20.100000000000001" customHeight="1" x14ac:dyDescent="0.15">
      <c r="A863" s="5">
        <v>860</v>
      </c>
      <c r="B863" s="6" t="str">
        <f>"30482021060410122291436"</f>
        <v>30482021060410122291436</v>
      </c>
      <c r="C863" s="6" t="s">
        <v>1128</v>
      </c>
      <c r="D863" s="6" t="str">
        <f>"郭文珍"</f>
        <v>郭文珍</v>
      </c>
      <c r="E863" s="6" t="str">
        <f t="shared" si="30"/>
        <v>女</v>
      </c>
      <c r="F863" s="7" t="s">
        <v>208</v>
      </c>
    </row>
    <row r="864" spans="1:6" ht="20.100000000000001" customHeight="1" x14ac:dyDescent="0.15">
      <c r="A864" s="5">
        <v>861</v>
      </c>
      <c r="B864" s="6" t="str">
        <f>"30482021060410132591449"</f>
        <v>30482021060410132591449</v>
      </c>
      <c r="C864" s="6" t="s">
        <v>1128</v>
      </c>
      <c r="D864" s="6" t="str">
        <f>"吴宇婷"</f>
        <v>吴宇婷</v>
      </c>
      <c r="E864" s="6" t="str">
        <f t="shared" si="30"/>
        <v>女</v>
      </c>
      <c r="F864" s="7" t="s">
        <v>1449</v>
      </c>
    </row>
    <row r="865" spans="1:6" ht="20.100000000000001" customHeight="1" x14ac:dyDescent="0.15">
      <c r="A865" s="5">
        <v>862</v>
      </c>
      <c r="B865" s="6" t="str">
        <f>"30482021060410141291463"</f>
        <v>30482021060410141291463</v>
      </c>
      <c r="C865" s="6" t="s">
        <v>1128</v>
      </c>
      <c r="D865" s="6" t="str">
        <f>"吴丽"</f>
        <v>吴丽</v>
      </c>
      <c r="E865" s="6" t="str">
        <f t="shared" si="30"/>
        <v>女</v>
      </c>
      <c r="F865" s="7" t="s">
        <v>368</v>
      </c>
    </row>
    <row r="866" spans="1:6" ht="20.100000000000001" customHeight="1" x14ac:dyDescent="0.15">
      <c r="A866" s="5">
        <v>863</v>
      </c>
      <c r="B866" s="6" t="str">
        <f>"30482021060410293691691"</f>
        <v>30482021060410293691691</v>
      </c>
      <c r="C866" s="6" t="s">
        <v>1128</v>
      </c>
      <c r="D866" s="6" t="str">
        <f>"林勉"</f>
        <v>林勉</v>
      </c>
      <c r="E866" s="6" t="str">
        <f t="shared" si="30"/>
        <v>女</v>
      </c>
      <c r="F866" s="7" t="s">
        <v>505</v>
      </c>
    </row>
    <row r="867" spans="1:6" ht="20.100000000000001" customHeight="1" x14ac:dyDescent="0.15">
      <c r="A867" s="5">
        <v>864</v>
      </c>
      <c r="B867" s="6" t="str">
        <f>"30482021060410330491740"</f>
        <v>30482021060410330491740</v>
      </c>
      <c r="C867" s="6" t="s">
        <v>1128</v>
      </c>
      <c r="D867" s="6" t="str">
        <f>"曾云"</f>
        <v>曾云</v>
      </c>
      <c r="E867" s="6" t="str">
        <f t="shared" si="30"/>
        <v>女</v>
      </c>
      <c r="F867" s="7" t="s">
        <v>1204</v>
      </c>
    </row>
    <row r="868" spans="1:6" ht="20.100000000000001" customHeight="1" x14ac:dyDescent="0.15">
      <c r="A868" s="5">
        <v>865</v>
      </c>
      <c r="B868" s="6" t="str">
        <f>"30482021060410405591852"</f>
        <v>30482021060410405591852</v>
      </c>
      <c r="C868" s="6" t="s">
        <v>1128</v>
      </c>
      <c r="D868" s="6" t="str">
        <f>"吴丽娜"</f>
        <v>吴丽娜</v>
      </c>
      <c r="E868" s="6" t="str">
        <f t="shared" si="30"/>
        <v>女</v>
      </c>
      <c r="F868" s="7" t="s">
        <v>1389</v>
      </c>
    </row>
    <row r="869" spans="1:6" ht="20.100000000000001" customHeight="1" x14ac:dyDescent="0.15">
      <c r="A869" s="5">
        <v>866</v>
      </c>
      <c r="B869" s="6" t="str">
        <f>"30482021060410470991927"</f>
        <v>30482021060410470991927</v>
      </c>
      <c r="C869" s="6" t="s">
        <v>1128</v>
      </c>
      <c r="D869" s="6" t="str">
        <f>"吴克娥"</f>
        <v>吴克娥</v>
      </c>
      <c r="E869" s="6" t="str">
        <f t="shared" si="30"/>
        <v>女</v>
      </c>
      <c r="F869" s="7" t="s">
        <v>1055</v>
      </c>
    </row>
    <row r="870" spans="1:6" ht="20.100000000000001" customHeight="1" x14ac:dyDescent="0.15">
      <c r="A870" s="5">
        <v>867</v>
      </c>
      <c r="B870" s="6" t="str">
        <f>"30482021060410491791954"</f>
        <v>30482021060410491791954</v>
      </c>
      <c r="C870" s="6" t="s">
        <v>1128</v>
      </c>
      <c r="D870" s="6" t="str">
        <f>"林彩玲"</f>
        <v>林彩玲</v>
      </c>
      <c r="E870" s="6" t="str">
        <f t="shared" si="30"/>
        <v>女</v>
      </c>
      <c r="F870" s="7" t="s">
        <v>846</v>
      </c>
    </row>
    <row r="871" spans="1:6" ht="20.100000000000001" customHeight="1" x14ac:dyDescent="0.15">
      <c r="A871" s="5">
        <v>868</v>
      </c>
      <c r="B871" s="6" t="str">
        <f>"30482021060410555892019"</f>
        <v>30482021060410555892019</v>
      </c>
      <c r="C871" s="6" t="s">
        <v>1128</v>
      </c>
      <c r="D871" s="6" t="str">
        <f>"陈映烨"</f>
        <v>陈映烨</v>
      </c>
      <c r="E871" s="6" t="str">
        <f t="shared" si="30"/>
        <v>女</v>
      </c>
      <c r="F871" s="7" t="s">
        <v>1450</v>
      </c>
    </row>
    <row r="872" spans="1:6" ht="20.100000000000001" customHeight="1" x14ac:dyDescent="0.15">
      <c r="A872" s="5">
        <v>869</v>
      </c>
      <c r="B872" s="6" t="str">
        <f>"30482021060410562992035"</f>
        <v>30482021060410562992035</v>
      </c>
      <c r="C872" s="6" t="s">
        <v>1128</v>
      </c>
      <c r="D872" s="6" t="str">
        <f>"何桂乾"</f>
        <v>何桂乾</v>
      </c>
      <c r="E872" s="6" t="str">
        <f t="shared" si="30"/>
        <v>女</v>
      </c>
      <c r="F872" s="7" t="s">
        <v>1451</v>
      </c>
    </row>
    <row r="873" spans="1:6" ht="20.100000000000001" customHeight="1" x14ac:dyDescent="0.15">
      <c r="A873" s="5">
        <v>870</v>
      </c>
      <c r="B873" s="6" t="str">
        <f>"30482021060410584592333"</f>
        <v>30482021060410584592333</v>
      </c>
      <c r="C873" s="6" t="s">
        <v>1128</v>
      </c>
      <c r="D873" s="6" t="str">
        <f>"王金美"</f>
        <v>王金美</v>
      </c>
      <c r="E873" s="6" t="str">
        <f t="shared" si="30"/>
        <v>女</v>
      </c>
      <c r="F873" s="7" t="s">
        <v>415</v>
      </c>
    </row>
    <row r="874" spans="1:6" ht="20.100000000000001" customHeight="1" x14ac:dyDescent="0.15">
      <c r="A874" s="5">
        <v>871</v>
      </c>
      <c r="B874" s="6" t="str">
        <f>"30482021060411045392754"</f>
        <v>30482021060411045392754</v>
      </c>
      <c r="C874" s="6" t="s">
        <v>1128</v>
      </c>
      <c r="D874" s="6" t="str">
        <f>"赵坤相"</f>
        <v>赵坤相</v>
      </c>
      <c r="E874" s="6" t="str">
        <f t="shared" si="30"/>
        <v>女</v>
      </c>
      <c r="F874" s="7" t="s">
        <v>1452</v>
      </c>
    </row>
    <row r="875" spans="1:6" ht="20.100000000000001" customHeight="1" x14ac:dyDescent="0.15">
      <c r="A875" s="5">
        <v>872</v>
      </c>
      <c r="B875" s="6" t="str">
        <f>"30482021060411051892758"</f>
        <v>30482021060411051892758</v>
      </c>
      <c r="C875" s="6" t="s">
        <v>1128</v>
      </c>
      <c r="D875" s="6" t="str">
        <f>"周大英"</f>
        <v>周大英</v>
      </c>
      <c r="E875" s="6" t="str">
        <f t="shared" si="30"/>
        <v>女</v>
      </c>
      <c r="F875" s="7" t="s">
        <v>411</v>
      </c>
    </row>
    <row r="876" spans="1:6" ht="20.100000000000001" customHeight="1" x14ac:dyDescent="0.15">
      <c r="A876" s="5">
        <v>873</v>
      </c>
      <c r="B876" s="6" t="str">
        <f>"30482021060411052492760"</f>
        <v>30482021060411052492760</v>
      </c>
      <c r="C876" s="6" t="s">
        <v>1128</v>
      </c>
      <c r="D876" s="6" t="str">
        <f>"周慧怡"</f>
        <v>周慧怡</v>
      </c>
      <c r="E876" s="6" t="str">
        <f t="shared" si="30"/>
        <v>女</v>
      </c>
      <c r="F876" s="7" t="s">
        <v>1453</v>
      </c>
    </row>
    <row r="877" spans="1:6" ht="20.100000000000001" customHeight="1" x14ac:dyDescent="0.15">
      <c r="A877" s="5">
        <v>874</v>
      </c>
      <c r="B877" s="6" t="str">
        <f>"30482021060411230892982"</f>
        <v>30482021060411230892982</v>
      </c>
      <c r="C877" s="6" t="s">
        <v>1128</v>
      </c>
      <c r="D877" s="6" t="str">
        <f>"林蕊"</f>
        <v>林蕊</v>
      </c>
      <c r="E877" s="6" t="str">
        <f t="shared" si="30"/>
        <v>女</v>
      </c>
      <c r="F877" s="7" t="s">
        <v>1454</v>
      </c>
    </row>
    <row r="878" spans="1:6" ht="20.100000000000001" customHeight="1" x14ac:dyDescent="0.15">
      <c r="A878" s="5">
        <v>875</v>
      </c>
      <c r="B878" s="6" t="str">
        <f>"30482021060411234692985"</f>
        <v>30482021060411234692985</v>
      </c>
      <c r="C878" s="6" t="s">
        <v>1128</v>
      </c>
      <c r="D878" s="6" t="str">
        <f>"陈妍婷"</f>
        <v>陈妍婷</v>
      </c>
      <c r="E878" s="6" t="str">
        <f t="shared" si="30"/>
        <v>女</v>
      </c>
      <c r="F878" s="7" t="s">
        <v>1159</v>
      </c>
    </row>
    <row r="879" spans="1:6" ht="20.100000000000001" customHeight="1" x14ac:dyDescent="0.15">
      <c r="A879" s="5">
        <v>876</v>
      </c>
      <c r="B879" s="6" t="str">
        <f>"30482021060411235292990"</f>
        <v>30482021060411235292990</v>
      </c>
      <c r="C879" s="6" t="s">
        <v>1128</v>
      </c>
      <c r="D879" s="6" t="str">
        <f>"李君"</f>
        <v>李君</v>
      </c>
      <c r="E879" s="6" t="str">
        <f t="shared" si="30"/>
        <v>女</v>
      </c>
      <c r="F879" s="7" t="s">
        <v>1455</v>
      </c>
    </row>
    <row r="880" spans="1:6" ht="20.100000000000001" customHeight="1" x14ac:dyDescent="0.15">
      <c r="A880" s="5">
        <v>877</v>
      </c>
      <c r="B880" s="6" t="str">
        <f>"30482021060411515593271"</f>
        <v>30482021060411515593271</v>
      </c>
      <c r="C880" s="6" t="s">
        <v>1128</v>
      </c>
      <c r="D880" s="6" t="str">
        <f>"罗嘉"</f>
        <v>罗嘉</v>
      </c>
      <c r="E880" s="6" t="str">
        <f t="shared" si="30"/>
        <v>女</v>
      </c>
      <c r="F880" s="7" t="s">
        <v>1456</v>
      </c>
    </row>
    <row r="881" spans="1:6" ht="20.100000000000001" customHeight="1" x14ac:dyDescent="0.15">
      <c r="A881" s="5">
        <v>878</v>
      </c>
      <c r="B881" s="6" t="str">
        <f>"30482021060412012293352"</f>
        <v>30482021060412012293352</v>
      </c>
      <c r="C881" s="6" t="s">
        <v>1128</v>
      </c>
      <c r="D881" s="6" t="str">
        <f>"郑阿雪"</f>
        <v>郑阿雪</v>
      </c>
      <c r="E881" s="6" t="str">
        <f t="shared" si="30"/>
        <v>女</v>
      </c>
      <c r="F881" s="7" t="s">
        <v>1457</v>
      </c>
    </row>
    <row r="882" spans="1:6" ht="20.100000000000001" customHeight="1" x14ac:dyDescent="0.15">
      <c r="A882" s="5">
        <v>879</v>
      </c>
      <c r="B882" s="6" t="str">
        <f>"30482021060412052493392"</f>
        <v>30482021060412052493392</v>
      </c>
      <c r="C882" s="6" t="s">
        <v>1128</v>
      </c>
      <c r="D882" s="6" t="str">
        <f>"吴延娥"</f>
        <v>吴延娥</v>
      </c>
      <c r="E882" s="6" t="str">
        <f t="shared" si="30"/>
        <v>女</v>
      </c>
      <c r="F882" s="7" t="s">
        <v>1458</v>
      </c>
    </row>
    <row r="883" spans="1:6" ht="20.100000000000001" customHeight="1" x14ac:dyDescent="0.15">
      <c r="A883" s="5">
        <v>880</v>
      </c>
      <c r="B883" s="6" t="str">
        <f>"30482021060412063493400"</f>
        <v>30482021060412063493400</v>
      </c>
      <c r="C883" s="6" t="s">
        <v>1128</v>
      </c>
      <c r="D883" s="6" t="str">
        <f>"杨晨"</f>
        <v>杨晨</v>
      </c>
      <c r="E883" s="6" t="str">
        <f t="shared" si="30"/>
        <v>女</v>
      </c>
      <c r="F883" s="7" t="s">
        <v>1287</v>
      </c>
    </row>
    <row r="884" spans="1:6" ht="20.100000000000001" customHeight="1" x14ac:dyDescent="0.15">
      <c r="A884" s="5">
        <v>881</v>
      </c>
      <c r="B884" s="6" t="str">
        <f>"30482021060412091993429"</f>
        <v>30482021060412091993429</v>
      </c>
      <c r="C884" s="6" t="s">
        <v>1128</v>
      </c>
      <c r="D884" s="6" t="str">
        <f>"曾佳月"</f>
        <v>曾佳月</v>
      </c>
      <c r="E884" s="6" t="str">
        <f t="shared" si="30"/>
        <v>女</v>
      </c>
      <c r="F884" s="7" t="s">
        <v>1459</v>
      </c>
    </row>
    <row r="885" spans="1:6" ht="20.100000000000001" customHeight="1" x14ac:dyDescent="0.15">
      <c r="A885" s="5">
        <v>882</v>
      </c>
      <c r="B885" s="6" t="str">
        <f>"30482021060412133793483"</f>
        <v>30482021060412133793483</v>
      </c>
      <c r="C885" s="6" t="s">
        <v>1128</v>
      </c>
      <c r="D885" s="6" t="str">
        <f>"罗秀香"</f>
        <v>罗秀香</v>
      </c>
      <c r="E885" s="6" t="str">
        <f t="shared" si="30"/>
        <v>女</v>
      </c>
      <c r="F885" s="7" t="s">
        <v>271</v>
      </c>
    </row>
    <row r="886" spans="1:6" ht="20.100000000000001" customHeight="1" x14ac:dyDescent="0.15">
      <c r="A886" s="5">
        <v>883</v>
      </c>
      <c r="B886" s="6" t="str">
        <f>"30482021060412233293601"</f>
        <v>30482021060412233293601</v>
      </c>
      <c r="C886" s="6" t="s">
        <v>1128</v>
      </c>
      <c r="D886" s="6" t="str">
        <f>"谢静敏"</f>
        <v>谢静敏</v>
      </c>
      <c r="E886" s="6" t="str">
        <f t="shared" si="30"/>
        <v>女</v>
      </c>
      <c r="F886" s="7" t="s">
        <v>1460</v>
      </c>
    </row>
    <row r="887" spans="1:6" ht="20.100000000000001" customHeight="1" x14ac:dyDescent="0.15">
      <c r="A887" s="5">
        <v>884</v>
      </c>
      <c r="B887" s="6" t="str">
        <f>"30482021060412315693695"</f>
        <v>30482021060412315693695</v>
      </c>
      <c r="C887" s="6" t="s">
        <v>1128</v>
      </c>
      <c r="D887" s="6" t="str">
        <f>"陈太完"</f>
        <v>陈太完</v>
      </c>
      <c r="E887" s="6" t="str">
        <f t="shared" si="30"/>
        <v>女</v>
      </c>
      <c r="F887" s="7" t="s">
        <v>1268</v>
      </c>
    </row>
    <row r="888" spans="1:6" ht="20.100000000000001" customHeight="1" x14ac:dyDescent="0.15">
      <c r="A888" s="5">
        <v>885</v>
      </c>
      <c r="B888" s="6" t="str">
        <f>"30482021060412360593743"</f>
        <v>30482021060412360593743</v>
      </c>
      <c r="C888" s="6" t="s">
        <v>1128</v>
      </c>
      <c r="D888" s="6" t="str">
        <f>"陈媛菲"</f>
        <v>陈媛菲</v>
      </c>
      <c r="E888" s="6" t="str">
        <f t="shared" si="30"/>
        <v>女</v>
      </c>
      <c r="F888" s="7" t="s">
        <v>798</v>
      </c>
    </row>
    <row r="889" spans="1:6" ht="20.100000000000001" customHeight="1" x14ac:dyDescent="0.15">
      <c r="A889" s="5">
        <v>886</v>
      </c>
      <c r="B889" s="6" t="str">
        <f>"30482021060412364793750"</f>
        <v>30482021060412364793750</v>
      </c>
      <c r="C889" s="6" t="s">
        <v>1128</v>
      </c>
      <c r="D889" s="6" t="str">
        <f>"陈梅平"</f>
        <v>陈梅平</v>
      </c>
      <c r="E889" s="6" t="str">
        <f t="shared" si="30"/>
        <v>女</v>
      </c>
      <c r="F889" s="7" t="s">
        <v>67</v>
      </c>
    </row>
    <row r="890" spans="1:6" ht="20.100000000000001" customHeight="1" x14ac:dyDescent="0.15">
      <c r="A890" s="5">
        <v>887</v>
      </c>
      <c r="B890" s="6" t="str">
        <f>"30482021060412371993757"</f>
        <v>30482021060412371993757</v>
      </c>
      <c r="C890" s="6" t="s">
        <v>1128</v>
      </c>
      <c r="D890" s="6" t="str">
        <f>"林艺"</f>
        <v>林艺</v>
      </c>
      <c r="E890" s="6" t="str">
        <f t="shared" si="30"/>
        <v>女</v>
      </c>
      <c r="F890" s="7" t="s">
        <v>743</v>
      </c>
    </row>
    <row r="891" spans="1:6" ht="20.100000000000001" customHeight="1" x14ac:dyDescent="0.15">
      <c r="A891" s="5">
        <v>888</v>
      </c>
      <c r="B891" s="6" t="str">
        <f>"30482021060412524193923"</f>
        <v>30482021060412524193923</v>
      </c>
      <c r="C891" s="6" t="s">
        <v>1128</v>
      </c>
      <c r="D891" s="6" t="str">
        <f>"文冰"</f>
        <v>文冰</v>
      </c>
      <c r="E891" s="6" t="str">
        <f t="shared" si="30"/>
        <v>女</v>
      </c>
      <c r="F891" s="7" t="s">
        <v>259</v>
      </c>
    </row>
    <row r="892" spans="1:6" ht="20.100000000000001" customHeight="1" x14ac:dyDescent="0.15">
      <c r="A892" s="5">
        <v>889</v>
      </c>
      <c r="B892" s="6" t="str">
        <f>"30482021060412594794011"</f>
        <v>30482021060412594794011</v>
      </c>
      <c r="C892" s="6" t="s">
        <v>1128</v>
      </c>
      <c r="D892" s="6" t="str">
        <f>"周绪伟"</f>
        <v>周绪伟</v>
      </c>
      <c r="E892" s="6" t="str">
        <f>"男"</f>
        <v>男</v>
      </c>
      <c r="F892" s="7" t="s">
        <v>1461</v>
      </c>
    </row>
    <row r="893" spans="1:6" ht="20.100000000000001" customHeight="1" x14ac:dyDescent="0.15">
      <c r="A893" s="5">
        <v>890</v>
      </c>
      <c r="B893" s="6" t="str">
        <f>"30482021060413035994063"</f>
        <v>30482021060413035994063</v>
      </c>
      <c r="C893" s="6" t="s">
        <v>1128</v>
      </c>
      <c r="D893" s="6" t="str">
        <f>"张昌珍"</f>
        <v>张昌珍</v>
      </c>
      <c r="E893" s="6" t="str">
        <f t="shared" ref="E893:E920" si="31">"女"</f>
        <v>女</v>
      </c>
      <c r="F893" s="7" t="s">
        <v>37</v>
      </c>
    </row>
    <row r="894" spans="1:6" ht="20.100000000000001" customHeight="1" x14ac:dyDescent="0.15">
      <c r="A894" s="5">
        <v>891</v>
      </c>
      <c r="B894" s="6" t="str">
        <f>"30482021060413171294197"</f>
        <v>30482021060413171294197</v>
      </c>
      <c r="C894" s="6" t="s">
        <v>1128</v>
      </c>
      <c r="D894" s="6" t="str">
        <f>"林焕柳"</f>
        <v>林焕柳</v>
      </c>
      <c r="E894" s="6" t="str">
        <f t="shared" si="31"/>
        <v>女</v>
      </c>
      <c r="F894" s="7" t="s">
        <v>1462</v>
      </c>
    </row>
    <row r="895" spans="1:6" ht="20.100000000000001" customHeight="1" x14ac:dyDescent="0.15">
      <c r="A895" s="5">
        <v>892</v>
      </c>
      <c r="B895" s="6" t="str">
        <f>"30482021060413595494585"</f>
        <v>30482021060413595494585</v>
      </c>
      <c r="C895" s="6" t="s">
        <v>1128</v>
      </c>
      <c r="D895" s="6" t="str">
        <f>"黄丽萍"</f>
        <v>黄丽萍</v>
      </c>
      <c r="E895" s="6" t="str">
        <f t="shared" si="31"/>
        <v>女</v>
      </c>
      <c r="F895" s="7" t="s">
        <v>391</v>
      </c>
    </row>
    <row r="896" spans="1:6" ht="20.100000000000001" customHeight="1" x14ac:dyDescent="0.15">
      <c r="A896" s="5">
        <v>893</v>
      </c>
      <c r="B896" s="6" t="str">
        <f>"30482021060414123895134"</f>
        <v>30482021060414123895134</v>
      </c>
      <c r="C896" s="6" t="s">
        <v>1128</v>
      </c>
      <c r="D896" s="6" t="str">
        <f>"刘丹"</f>
        <v>刘丹</v>
      </c>
      <c r="E896" s="6" t="str">
        <f t="shared" si="31"/>
        <v>女</v>
      </c>
      <c r="F896" s="7" t="s">
        <v>971</v>
      </c>
    </row>
    <row r="897" spans="1:6" ht="20.100000000000001" customHeight="1" x14ac:dyDescent="0.15">
      <c r="A897" s="5">
        <v>894</v>
      </c>
      <c r="B897" s="6" t="str">
        <f>"30482021060414154695365"</f>
        <v>30482021060414154695365</v>
      </c>
      <c r="C897" s="6" t="s">
        <v>1128</v>
      </c>
      <c r="D897" s="6" t="str">
        <f>"王敏"</f>
        <v>王敏</v>
      </c>
      <c r="E897" s="6" t="str">
        <f t="shared" si="31"/>
        <v>女</v>
      </c>
      <c r="F897" s="7" t="s">
        <v>614</v>
      </c>
    </row>
    <row r="898" spans="1:6" ht="20.100000000000001" customHeight="1" x14ac:dyDescent="0.15">
      <c r="A898" s="5">
        <v>895</v>
      </c>
      <c r="B898" s="6" t="str">
        <f>"30482021060414173995383"</f>
        <v>30482021060414173995383</v>
      </c>
      <c r="C898" s="6" t="s">
        <v>1128</v>
      </c>
      <c r="D898" s="6" t="str">
        <f>"江文珠"</f>
        <v>江文珠</v>
      </c>
      <c r="E898" s="6" t="str">
        <f t="shared" si="31"/>
        <v>女</v>
      </c>
      <c r="F898" s="7" t="s">
        <v>462</v>
      </c>
    </row>
    <row r="899" spans="1:6" ht="20.100000000000001" customHeight="1" x14ac:dyDescent="0.15">
      <c r="A899" s="5">
        <v>896</v>
      </c>
      <c r="B899" s="6" t="str">
        <f>"30482021060414270095464"</f>
        <v>30482021060414270095464</v>
      </c>
      <c r="C899" s="6" t="s">
        <v>1128</v>
      </c>
      <c r="D899" s="6" t="str">
        <f>"陈钜"</f>
        <v>陈钜</v>
      </c>
      <c r="E899" s="6" t="str">
        <f t="shared" si="31"/>
        <v>女</v>
      </c>
      <c r="F899" s="7" t="s">
        <v>140</v>
      </c>
    </row>
    <row r="900" spans="1:6" ht="20.100000000000001" customHeight="1" x14ac:dyDescent="0.15">
      <c r="A900" s="5">
        <v>897</v>
      </c>
      <c r="B900" s="6" t="str">
        <f>"30482021060414512195776"</f>
        <v>30482021060414512195776</v>
      </c>
      <c r="C900" s="6" t="s">
        <v>1128</v>
      </c>
      <c r="D900" s="6" t="str">
        <f>"林紫蔚"</f>
        <v>林紫蔚</v>
      </c>
      <c r="E900" s="6" t="str">
        <f t="shared" si="31"/>
        <v>女</v>
      </c>
      <c r="F900" s="7" t="s">
        <v>679</v>
      </c>
    </row>
    <row r="901" spans="1:6" ht="20.100000000000001" customHeight="1" x14ac:dyDescent="0.15">
      <c r="A901" s="5">
        <v>898</v>
      </c>
      <c r="B901" s="6" t="str">
        <f>"30482021060414533895804"</f>
        <v>30482021060414533895804</v>
      </c>
      <c r="C901" s="6" t="s">
        <v>1128</v>
      </c>
      <c r="D901" s="6" t="str">
        <f>"吴碧丹"</f>
        <v>吴碧丹</v>
      </c>
      <c r="E901" s="6" t="str">
        <f t="shared" si="31"/>
        <v>女</v>
      </c>
      <c r="F901" s="7" t="s">
        <v>665</v>
      </c>
    </row>
    <row r="902" spans="1:6" ht="20.100000000000001" customHeight="1" x14ac:dyDescent="0.15">
      <c r="A902" s="5">
        <v>899</v>
      </c>
      <c r="B902" s="6" t="str">
        <f>"30482021060414575995858"</f>
        <v>30482021060414575995858</v>
      </c>
      <c r="C902" s="6" t="s">
        <v>1128</v>
      </c>
      <c r="D902" s="6" t="str">
        <f>"梅柳晴"</f>
        <v>梅柳晴</v>
      </c>
      <c r="E902" s="6" t="str">
        <f t="shared" si="31"/>
        <v>女</v>
      </c>
      <c r="F902" s="7" t="s">
        <v>1463</v>
      </c>
    </row>
    <row r="903" spans="1:6" ht="20.100000000000001" customHeight="1" x14ac:dyDescent="0.15">
      <c r="A903" s="5">
        <v>900</v>
      </c>
      <c r="B903" s="6" t="str">
        <f>"30482021060414592595886"</f>
        <v>30482021060414592595886</v>
      </c>
      <c r="C903" s="6" t="s">
        <v>1128</v>
      </c>
      <c r="D903" s="6" t="str">
        <f>"邢恋"</f>
        <v>邢恋</v>
      </c>
      <c r="E903" s="6" t="str">
        <f t="shared" si="31"/>
        <v>女</v>
      </c>
      <c r="F903" s="7" t="s">
        <v>1464</v>
      </c>
    </row>
    <row r="904" spans="1:6" ht="20.100000000000001" customHeight="1" x14ac:dyDescent="0.15">
      <c r="A904" s="5">
        <v>901</v>
      </c>
      <c r="B904" s="6" t="str">
        <f>"30482021060415120096069"</f>
        <v>30482021060415120096069</v>
      </c>
      <c r="C904" s="6" t="s">
        <v>1128</v>
      </c>
      <c r="D904" s="6" t="str">
        <f>"王子芊"</f>
        <v>王子芊</v>
      </c>
      <c r="E904" s="6" t="str">
        <f t="shared" si="31"/>
        <v>女</v>
      </c>
      <c r="F904" s="7" t="s">
        <v>456</v>
      </c>
    </row>
    <row r="905" spans="1:6" ht="20.100000000000001" customHeight="1" x14ac:dyDescent="0.15">
      <c r="A905" s="5">
        <v>902</v>
      </c>
      <c r="B905" s="6" t="str">
        <f>"30482021060415235696257"</f>
        <v>30482021060415235696257</v>
      </c>
      <c r="C905" s="6" t="s">
        <v>1128</v>
      </c>
      <c r="D905" s="6" t="str">
        <f>"陈小梦"</f>
        <v>陈小梦</v>
      </c>
      <c r="E905" s="6" t="str">
        <f t="shared" si="31"/>
        <v>女</v>
      </c>
      <c r="F905" s="7" t="s">
        <v>985</v>
      </c>
    </row>
    <row r="906" spans="1:6" ht="20.100000000000001" customHeight="1" x14ac:dyDescent="0.15">
      <c r="A906" s="5">
        <v>903</v>
      </c>
      <c r="B906" s="6" t="str">
        <f>"30482021060415244996263"</f>
        <v>30482021060415244996263</v>
      </c>
      <c r="C906" s="6" t="s">
        <v>1128</v>
      </c>
      <c r="D906" s="6" t="str">
        <f>"王丽"</f>
        <v>王丽</v>
      </c>
      <c r="E906" s="6" t="str">
        <f t="shared" si="31"/>
        <v>女</v>
      </c>
      <c r="F906" s="7" t="s">
        <v>460</v>
      </c>
    </row>
    <row r="907" spans="1:6" ht="20.100000000000001" customHeight="1" x14ac:dyDescent="0.15">
      <c r="A907" s="5">
        <v>904</v>
      </c>
      <c r="B907" s="6" t="str">
        <f>"30482021060415291296318"</f>
        <v>30482021060415291296318</v>
      </c>
      <c r="C907" s="6" t="s">
        <v>1128</v>
      </c>
      <c r="D907" s="6" t="str">
        <f>"卢定婉"</f>
        <v>卢定婉</v>
      </c>
      <c r="E907" s="6" t="str">
        <f t="shared" si="31"/>
        <v>女</v>
      </c>
      <c r="F907" s="7" t="s">
        <v>1385</v>
      </c>
    </row>
    <row r="908" spans="1:6" ht="20.100000000000001" customHeight="1" x14ac:dyDescent="0.15">
      <c r="A908" s="5">
        <v>905</v>
      </c>
      <c r="B908" s="6" t="str">
        <f>"30482021060415315196359"</f>
        <v>30482021060415315196359</v>
      </c>
      <c r="C908" s="6" t="s">
        <v>1128</v>
      </c>
      <c r="D908" s="6" t="str">
        <f>"周莹"</f>
        <v>周莹</v>
      </c>
      <c r="E908" s="6" t="str">
        <f t="shared" si="31"/>
        <v>女</v>
      </c>
      <c r="F908" s="7" t="s">
        <v>332</v>
      </c>
    </row>
    <row r="909" spans="1:6" ht="20.100000000000001" customHeight="1" x14ac:dyDescent="0.15">
      <c r="A909" s="5">
        <v>906</v>
      </c>
      <c r="B909" s="6" t="str">
        <f>"30482021060415455596564"</f>
        <v>30482021060415455596564</v>
      </c>
      <c r="C909" s="6" t="s">
        <v>1128</v>
      </c>
      <c r="D909" s="6" t="str">
        <f>"王冬玲"</f>
        <v>王冬玲</v>
      </c>
      <c r="E909" s="6" t="str">
        <f t="shared" si="31"/>
        <v>女</v>
      </c>
      <c r="F909" s="7" t="s">
        <v>1465</v>
      </c>
    </row>
    <row r="910" spans="1:6" ht="20.100000000000001" customHeight="1" x14ac:dyDescent="0.15">
      <c r="A910" s="5">
        <v>907</v>
      </c>
      <c r="B910" s="6" t="str">
        <f>"30482021060415461296571"</f>
        <v>30482021060415461296571</v>
      </c>
      <c r="C910" s="6" t="s">
        <v>1128</v>
      </c>
      <c r="D910" s="6" t="str">
        <f>"郑文竹"</f>
        <v>郑文竹</v>
      </c>
      <c r="E910" s="6" t="str">
        <f t="shared" si="31"/>
        <v>女</v>
      </c>
      <c r="F910" s="7" t="s">
        <v>1466</v>
      </c>
    </row>
    <row r="911" spans="1:6" ht="20.100000000000001" customHeight="1" x14ac:dyDescent="0.15">
      <c r="A911" s="5">
        <v>908</v>
      </c>
      <c r="B911" s="6" t="str">
        <f>"30482021060415554596681"</f>
        <v>30482021060415554596681</v>
      </c>
      <c r="C911" s="6" t="s">
        <v>1128</v>
      </c>
      <c r="D911" s="6" t="str">
        <f>"曹艳"</f>
        <v>曹艳</v>
      </c>
      <c r="E911" s="6" t="str">
        <f t="shared" si="31"/>
        <v>女</v>
      </c>
      <c r="F911" s="7" t="s">
        <v>561</v>
      </c>
    </row>
    <row r="912" spans="1:6" ht="20.100000000000001" customHeight="1" x14ac:dyDescent="0.15">
      <c r="A912" s="5">
        <v>909</v>
      </c>
      <c r="B912" s="6" t="str">
        <f>"30482021060415562096688"</f>
        <v>30482021060415562096688</v>
      </c>
      <c r="C912" s="6" t="s">
        <v>1128</v>
      </c>
      <c r="D912" s="6" t="str">
        <f>"潘琳丹"</f>
        <v>潘琳丹</v>
      </c>
      <c r="E912" s="6" t="str">
        <f t="shared" si="31"/>
        <v>女</v>
      </c>
      <c r="F912" s="7" t="s">
        <v>876</v>
      </c>
    </row>
    <row r="913" spans="1:6" ht="20.100000000000001" customHeight="1" x14ac:dyDescent="0.15">
      <c r="A913" s="5">
        <v>910</v>
      </c>
      <c r="B913" s="6" t="str">
        <f>"30482021060415574896704"</f>
        <v>30482021060415574896704</v>
      </c>
      <c r="C913" s="6" t="s">
        <v>1128</v>
      </c>
      <c r="D913" s="6" t="str">
        <f>"王海芬"</f>
        <v>王海芬</v>
      </c>
      <c r="E913" s="6" t="str">
        <f t="shared" si="31"/>
        <v>女</v>
      </c>
      <c r="F913" s="7" t="s">
        <v>208</v>
      </c>
    </row>
    <row r="914" spans="1:6" ht="20.100000000000001" customHeight="1" x14ac:dyDescent="0.15">
      <c r="A914" s="5">
        <v>911</v>
      </c>
      <c r="B914" s="6" t="str">
        <f>"30482021060416141696923"</f>
        <v>30482021060416141696923</v>
      </c>
      <c r="C914" s="6" t="s">
        <v>1128</v>
      </c>
      <c r="D914" s="6" t="str">
        <f>"卢少婧"</f>
        <v>卢少婧</v>
      </c>
      <c r="E914" s="6" t="str">
        <f t="shared" si="31"/>
        <v>女</v>
      </c>
      <c r="F914" s="7" t="s">
        <v>256</v>
      </c>
    </row>
    <row r="915" spans="1:6" ht="20.100000000000001" customHeight="1" x14ac:dyDescent="0.15">
      <c r="A915" s="5">
        <v>912</v>
      </c>
      <c r="B915" s="6" t="str">
        <f>"30482021060416173696972"</f>
        <v>30482021060416173696972</v>
      </c>
      <c r="C915" s="6" t="s">
        <v>1128</v>
      </c>
      <c r="D915" s="6" t="str">
        <f>"符小妹"</f>
        <v>符小妹</v>
      </c>
      <c r="E915" s="6" t="str">
        <f t="shared" si="31"/>
        <v>女</v>
      </c>
      <c r="F915" s="7" t="s">
        <v>94</v>
      </c>
    </row>
    <row r="916" spans="1:6" ht="20.100000000000001" customHeight="1" x14ac:dyDescent="0.15">
      <c r="A916" s="5">
        <v>913</v>
      </c>
      <c r="B916" s="6" t="str">
        <f>"30482021060416332797190"</f>
        <v>30482021060416332797190</v>
      </c>
      <c r="C916" s="6" t="s">
        <v>1128</v>
      </c>
      <c r="D916" s="6" t="str">
        <f>"文诒平"</f>
        <v>文诒平</v>
      </c>
      <c r="E916" s="6" t="str">
        <f t="shared" si="31"/>
        <v>女</v>
      </c>
      <c r="F916" s="7" t="s">
        <v>953</v>
      </c>
    </row>
    <row r="917" spans="1:6" ht="20.100000000000001" customHeight="1" x14ac:dyDescent="0.15">
      <c r="A917" s="5">
        <v>914</v>
      </c>
      <c r="B917" s="6" t="str">
        <f>"30482021060416363297237"</f>
        <v>30482021060416363297237</v>
      </c>
      <c r="C917" s="6" t="s">
        <v>1128</v>
      </c>
      <c r="D917" s="6" t="str">
        <f>"陈慧"</f>
        <v>陈慧</v>
      </c>
      <c r="E917" s="6" t="str">
        <f t="shared" si="31"/>
        <v>女</v>
      </c>
      <c r="F917" s="7" t="s">
        <v>1467</v>
      </c>
    </row>
    <row r="918" spans="1:6" ht="20.100000000000001" customHeight="1" x14ac:dyDescent="0.15">
      <c r="A918" s="5">
        <v>915</v>
      </c>
      <c r="B918" s="6" t="str">
        <f>"30482021060416374697255"</f>
        <v>30482021060416374697255</v>
      </c>
      <c r="C918" s="6" t="s">
        <v>1128</v>
      </c>
      <c r="D918" s="6" t="str">
        <f>"吴婷婷"</f>
        <v>吴婷婷</v>
      </c>
      <c r="E918" s="6" t="str">
        <f t="shared" si="31"/>
        <v>女</v>
      </c>
      <c r="F918" s="7" t="s">
        <v>597</v>
      </c>
    </row>
    <row r="919" spans="1:6" ht="20.100000000000001" customHeight="1" x14ac:dyDescent="0.15">
      <c r="A919" s="5">
        <v>916</v>
      </c>
      <c r="B919" s="6" t="str">
        <f>"30482021060416382197262"</f>
        <v>30482021060416382197262</v>
      </c>
      <c r="C919" s="6" t="s">
        <v>1128</v>
      </c>
      <c r="D919" s="6" t="str">
        <f>"陈美焕"</f>
        <v>陈美焕</v>
      </c>
      <c r="E919" s="6" t="str">
        <f t="shared" si="31"/>
        <v>女</v>
      </c>
      <c r="F919" s="7" t="s">
        <v>634</v>
      </c>
    </row>
    <row r="920" spans="1:6" ht="20.100000000000001" customHeight="1" x14ac:dyDescent="0.15">
      <c r="A920" s="5">
        <v>917</v>
      </c>
      <c r="B920" s="6" t="str">
        <f>"30482021060416472497368"</f>
        <v>30482021060416472497368</v>
      </c>
      <c r="C920" s="6" t="s">
        <v>1128</v>
      </c>
      <c r="D920" s="6" t="str">
        <f>"陈尚月"</f>
        <v>陈尚月</v>
      </c>
      <c r="E920" s="6" t="str">
        <f t="shared" si="31"/>
        <v>女</v>
      </c>
      <c r="F920" s="7" t="s">
        <v>43</v>
      </c>
    </row>
    <row r="921" spans="1:6" ht="20.100000000000001" customHeight="1" x14ac:dyDescent="0.15">
      <c r="A921" s="5">
        <v>918</v>
      </c>
      <c r="B921" s="6" t="str">
        <f>"30482021060416565797489"</f>
        <v>30482021060416565797489</v>
      </c>
      <c r="C921" s="6" t="s">
        <v>1128</v>
      </c>
      <c r="D921" s="6" t="str">
        <f>"詹达哲"</f>
        <v>詹达哲</v>
      </c>
      <c r="E921" s="6" t="str">
        <f>"男"</f>
        <v>男</v>
      </c>
      <c r="F921" s="7" t="s">
        <v>1468</v>
      </c>
    </row>
    <row r="922" spans="1:6" ht="20.100000000000001" customHeight="1" x14ac:dyDescent="0.15">
      <c r="A922" s="5">
        <v>919</v>
      </c>
      <c r="B922" s="6" t="str">
        <f>"30482021060416590897515"</f>
        <v>30482021060416590897515</v>
      </c>
      <c r="C922" s="6" t="s">
        <v>1128</v>
      </c>
      <c r="D922" s="6" t="str">
        <f>"王晶"</f>
        <v>王晶</v>
      </c>
      <c r="E922" s="6" t="str">
        <f t="shared" ref="E922:E934" si="32">"女"</f>
        <v>女</v>
      </c>
      <c r="F922" s="7" t="s">
        <v>131</v>
      </c>
    </row>
    <row r="923" spans="1:6" ht="20.100000000000001" customHeight="1" x14ac:dyDescent="0.15">
      <c r="A923" s="5">
        <v>920</v>
      </c>
      <c r="B923" s="6" t="str">
        <f>"30482021060417061897593"</f>
        <v>30482021060417061897593</v>
      </c>
      <c r="C923" s="6" t="s">
        <v>1128</v>
      </c>
      <c r="D923" s="6" t="str">
        <f>"郑婷婷"</f>
        <v>郑婷婷</v>
      </c>
      <c r="E923" s="6" t="str">
        <f t="shared" si="32"/>
        <v>女</v>
      </c>
      <c r="F923" s="7" t="s">
        <v>1469</v>
      </c>
    </row>
    <row r="924" spans="1:6" ht="20.100000000000001" customHeight="1" x14ac:dyDescent="0.15">
      <c r="A924" s="5">
        <v>921</v>
      </c>
      <c r="B924" s="6" t="str">
        <f>"30482021060417065597602"</f>
        <v>30482021060417065597602</v>
      </c>
      <c r="C924" s="6" t="s">
        <v>1128</v>
      </c>
      <c r="D924" s="6" t="str">
        <f>"宋鸿艳"</f>
        <v>宋鸿艳</v>
      </c>
      <c r="E924" s="6" t="str">
        <f t="shared" si="32"/>
        <v>女</v>
      </c>
      <c r="F924" s="7" t="s">
        <v>1470</v>
      </c>
    </row>
    <row r="925" spans="1:6" ht="20.100000000000001" customHeight="1" x14ac:dyDescent="0.15">
      <c r="A925" s="5">
        <v>922</v>
      </c>
      <c r="B925" s="6" t="str">
        <f>"30482021060417281897912"</f>
        <v>30482021060417281897912</v>
      </c>
      <c r="C925" s="6" t="s">
        <v>1128</v>
      </c>
      <c r="D925" s="6" t="str">
        <f>"王丽珍"</f>
        <v>王丽珍</v>
      </c>
      <c r="E925" s="6" t="str">
        <f t="shared" si="32"/>
        <v>女</v>
      </c>
      <c r="F925" s="7" t="s">
        <v>256</v>
      </c>
    </row>
    <row r="926" spans="1:6" ht="20.100000000000001" customHeight="1" x14ac:dyDescent="0.15">
      <c r="A926" s="5">
        <v>923</v>
      </c>
      <c r="B926" s="6" t="str">
        <f>"30482021060417294997932"</f>
        <v>30482021060417294997932</v>
      </c>
      <c r="C926" s="6" t="s">
        <v>1128</v>
      </c>
      <c r="D926" s="6" t="str">
        <f>"何怡"</f>
        <v>何怡</v>
      </c>
      <c r="E926" s="6" t="str">
        <f t="shared" si="32"/>
        <v>女</v>
      </c>
      <c r="F926" s="7" t="s">
        <v>985</v>
      </c>
    </row>
    <row r="927" spans="1:6" ht="20.100000000000001" customHeight="1" x14ac:dyDescent="0.15">
      <c r="A927" s="5">
        <v>924</v>
      </c>
      <c r="B927" s="6" t="str">
        <f>"30482021060417312797956"</f>
        <v>30482021060417312797956</v>
      </c>
      <c r="C927" s="6" t="s">
        <v>1128</v>
      </c>
      <c r="D927" s="6" t="str">
        <f>"游佳露"</f>
        <v>游佳露</v>
      </c>
      <c r="E927" s="6" t="str">
        <f t="shared" si="32"/>
        <v>女</v>
      </c>
      <c r="F927" s="7" t="s">
        <v>637</v>
      </c>
    </row>
    <row r="928" spans="1:6" ht="20.100000000000001" customHeight="1" x14ac:dyDescent="0.15">
      <c r="A928" s="5">
        <v>925</v>
      </c>
      <c r="B928" s="6" t="str">
        <f>"30482021060417333197978"</f>
        <v>30482021060417333197978</v>
      </c>
      <c r="C928" s="6" t="s">
        <v>1128</v>
      </c>
      <c r="D928" s="6" t="str">
        <f>"黄慧坚"</f>
        <v>黄慧坚</v>
      </c>
      <c r="E928" s="6" t="str">
        <f t="shared" si="32"/>
        <v>女</v>
      </c>
      <c r="F928" s="7" t="s">
        <v>647</v>
      </c>
    </row>
    <row r="929" spans="1:6" ht="20.100000000000001" customHeight="1" x14ac:dyDescent="0.15">
      <c r="A929" s="5">
        <v>926</v>
      </c>
      <c r="B929" s="6" t="str">
        <f>"30482021060417335997986"</f>
        <v>30482021060417335997986</v>
      </c>
      <c r="C929" s="6" t="s">
        <v>1128</v>
      </c>
      <c r="D929" s="6" t="str">
        <f>"李德萍"</f>
        <v>李德萍</v>
      </c>
      <c r="E929" s="6" t="str">
        <f t="shared" si="32"/>
        <v>女</v>
      </c>
      <c r="F929" s="7" t="s">
        <v>752</v>
      </c>
    </row>
    <row r="930" spans="1:6" ht="20.100000000000001" customHeight="1" x14ac:dyDescent="0.15">
      <c r="A930" s="5">
        <v>927</v>
      </c>
      <c r="B930" s="6" t="str">
        <f>"30482021060417360598018"</f>
        <v>30482021060417360598018</v>
      </c>
      <c r="C930" s="6" t="s">
        <v>1128</v>
      </c>
      <c r="D930" s="6" t="str">
        <f>"王琼利"</f>
        <v>王琼利</v>
      </c>
      <c r="E930" s="6" t="str">
        <f t="shared" si="32"/>
        <v>女</v>
      </c>
      <c r="F930" s="7" t="s">
        <v>157</v>
      </c>
    </row>
    <row r="931" spans="1:6" ht="20.100000000000001" customHeight="1" x14ac:dyDescent="0.15">
      <c r="A931" s="5">
        <v>928</v>
      </c>
      <c r="B931" s="6" t="str">
        <f>"30482021060417362298022"</f>
        <v>30482021060417362298022</v>
      </c>
      <c r="C931" s="6" t="s">
        <v>1128</v>
      </c>
      <c r="D931" s="6" t="str">
        <f>"蔡雪莹"</f>
        <v>蔡雪莹</v>
      </c>
      <c r="E931" s="6" t="str">
        <f t="shared" si="32"/>
        <v>女</v>
      </c>
      <c r="F931" s="7" t="s">
        <v>672</v>
      </c>
    </row>
    <row r="932" spans="1:6" ht="20.100000000000001" customHeight="1" x14ac:dyDescent="0.15">
      <c r="A932" s="5">
        <v>929</v>
      </c>
      <c r="B932" s="6" t="str">
        <f>"30482021060417375998041"</f>
        <v>30482021060417375998041</v>
      </c>
      <c r="C932" s="6" t="s">
        <v>1128</v>
      </c>
      <c r="D932" s="6" t="str">
        <f>"林羚"</f>
        <v>林羚</v>
      </c>
      <c r="E932" s="6" t="str">
        <f t="shared" si="32"/>
        <v>女</v>
      </c>
      <c r="F932" s="7" t="s">
        <v>1471</v>
      </c>
    </row>
    <row r="933" spans="1:6" ht="20.100000000000001" customHeight="1" x14ac:dyDescent="0.15">
      <c r="A933" s="5">
        <v>930</v>
      </c>
      <c r="B933" s="6" t="str">
        <f>"30482021060418183898361"</f>
        <v>30482021060418183898361</v>
      </c>
      <c r="C933" s="6" t="s">
        <v>1128</v>
      </c>
      <c r="D933" s="6" t="str">
        <f>"林丽云"</f>
        <v>林丽云</v>
      </c>
      <c r="E933" s="6" t="str">
        <f t="shared" si="32"/>
        <v>女</v>
      </c>
      <c r="F933" s="7" t="s">
        <v>167</v>
      </c>
    </row>
    <row r="934" spans="1:6" ht="20.100000000000001" customHeight="1" x14ac:dyDescent="0.15">
      <c r="A934" s="5">
        <v>931</v>
      </c>
      <c r="B934" s="6" t="str">
        <f>"30482021060418292098393"</f>
        <v>30482021060418292098393</v>
      </c>
      <c r="C934" s="6" t="s">
        <v>1128</v>
      </c>
      <c r="D934" s="6" t="str">
        <f>"符秋霞"</f>
        <v>符秋霞</v>
      </c>
      <c r="E934" s="6" t="str">
        <f t="shared" si="32"/>
        <v>女</v>
      </c>
      <c r="F934" s="7" t="s">
        <v>556</v>
      </c>
    </row>
    <row r="935" spans="1:6" ht="20.100000000000001" customHeight="1" x14ac:dyDescent="0.15">
      <c r="A935" s="5">
        <v>932</v>
      </c>
      <c r="B935" s="6" t="str">
        <f>"30482021060418311998400"</f>
        <v>30482021060418311998400</v>
      </c>
      <c r="C935" s="6" t="s">
        <v>1128</v>
      </c>
      <c r="D935" s="6" t="str">
        <f>"陈亮"</f>
        <v>陈亮</v>
      </c>
      <c r="E935" s="6" t="str">
        <f>"男"</f>
        <v>男</v>
      </c>
      <c r="F935" s="7" t="s">
        <v>1472</v>
      </c>
    </row>
    <row r="936" spans="1:6" ht="20.100000000000001" customHeight="1" x14ac:dyDescent="0.15">
      <c r="A936" s="5">
        <v>933</v>
      </c>
      <c r="B936" s="6" t="str">
        <f>"30482021060418365598414"</f>
        <v>30482021060418365598414</v>
      </c>
      <c r="C936" s="6" t="s">
        <v>1128</v>
      </c>
      <c r="D936" s="6" t="str">
        <f>"蔡丽莉"</f>
        <v>蔡丽莉</v>
      </c>
      <c r="E936" s="6" t="str">
        <f t="shared" ref="E936:E999" si="33">"女"</f>
        <v>女</v>
      </c>
      <c r="F936" s="7" t="s">
        <v>1309</v>
      </c>
    </row>
    <row r="937" spans="1:6" ht="20.100000000000001" customHeight="1" x14ac:dyDescent="0.15">
      <c r="A937" s="5">
        <v>934</v>
      </c>
      <c r="B937" s="6" t="str">
        <f>"30482021060418461398440"</f>
        <v>30482021060418461398440</v>
      </c>
      <c r="C937" s="6" t="s">
        <v>1128</v>
      </c>
      <c r="D937" s="6" t="str">
        <f>"黄温文"</f>
        <v>黄温文</v>
      </c>
      <c r="E937" s="6" t="str">
        <f t="shared" si="33"/>
        <v>女</v>
      </c>
      <c r="F937" s="7" t="s">
        <v>167</v>
      </c>
    </row>
    <row r="938" spans="1:6" ht="20.100000000000001" customHeight="1" x14ac:dyDescent="0.15">
      <c r="A938" s="5">
        <v>935</v>
      </c>
      <c r="B938" s="6" t="str">
        <f>"30482021060418492998455"</f>
        <v>30482021060418492998455</v>
      </c>
      <c r="C938" s="6" t="s">
        <v>1128</v>
      </c>
      <c r="D938" s="6" t="str">
        <f>"李金英"</f>
        <v>李金英</v>
      </c>
      <c r="E938" s="6" t="str">
        <f t="shared" si="33"/>
        <v>女</v>
      </c>
      <c r="F938" s="7" t="s">
        <v>77</v>
      </c>
    </row>
    <row r="939" spans="1:6" ht="20.100000000000001" customHeight="1" x14ac:dyDescent="0.15">
      <c r="A939" s="5">
        <v>936</v>
      </c>
      <c r="B939" s="6" t="str">
        <f>"30482021060418543798468"</f>
        <v>30482021060418543798468</v>
      </c>
      <c r="C939" s="6" t="s">
        <v>1128</v>
      </c>
      <c r="D939" s="6" t="str">
        <f>"张秀丽"</f>
        <v>张秀丽</v>
      </c>
      <c r="E939" s="6" t="str">
        <f t="shared" si="33"/>
        <v>女</v>
      </c>
      <c r="F939" s="7" t="s">
        <v>1335</v>
      </c>
    </row>
    <row r="940" spans="1:6" ht="20.100000000000001" customHeight="1" x14ac:dyDescent="0.15">
      <c r="A940" s="5">
        <v>937</v>
      </c>
      <c r="B940" s="6" t="str">
        <f>"30482021060419171299160"</f>
        <v>30482021060419171299160</v>
      </c>
      <c r="C940" s="6" t="s">
        <v>1128</v>
      </c>
      <c r="D940" s="6" t="str">
        <f>"蔡春萍"</f>
        <v>蔡春萍</v>
      </c>
      <c r="E940" s="6" t="str">
        <f t="shared" si="33"/>
        <v>女</v>
      </c>
      <c r="F940" s="7" t="s">
        <v>1473</v>
      </c>
    </row>
    <row r="941" spans="1:6" ht="20.100000000000001" customHeight="1" x14ac:dyDescent="0.15">
      <c r="A941" s="5">
        <v>938</v>
      </c>
      <c r="B941" s="6" t="str">
        <f>"30482021060419310699198"</f>
        <v>30482021060419310699198</v>
      </c>
      <c r="C941" s="6" t="s">
        <v>1128</v>
      </c>
      <c r="D941" s="6" t="str">
        <f>"苗静"</f>
        <v>苗静</v>
      </c>
      <c r="E941" s="6" t="str">
        <f t="shared" si="33"/>
        <v>女</v>
      </c>
      <c r="F941" s="7" t="s">
        <v>1474</v>
      </c>
    </row>
    <row r="942" spans="1:6" ht="20.100000000000001" customHeight="1" x14ac:dyDescent="0.15">
      <c r="A942" s="5">
        <v>939</v>
      </c>
      <c r="B942" s="6" t="str">
        <f>"30482021060419414599240"</f>
        <v>30482021060419414599240</v>
      </c>
      <c r="C942" s="6" t="s">
        <v>1128</v>
      </c>
      <c r="D942" s="6" t="str">
        <f>"李欣欣"</f>
        <v>李欣欣</v>
      </c>
      <c r="E942" s="6" t="str">
        <f t="shared" si="33"/>
        <v>女</v>
      </c>
      <c r="F942" s="7" t="s">
        <v>27</v>
      </c>
    </row>
    <row r="943" spans="1:6" ht="20.100000000000001" customHeight="1" x14ac:dyDescent="0.15">
      <c r="A943" s="5">
        <v>940</v>
      </c>
      <c r="B943" s="6" t="str">
        <f>"30482021060419582199292"</f>
        <v>30482021060419582199292</v>
      </c>
      <c r="C943" s="6" t="s">
        <v>1128</v>
      </c>
      <c r="D943" s="6" t="str">
        <f>"黄圆圆"</f>
        <v>黄圆圆</v>
      </c>
      <c r="E943" s="6" t="str">
        <f t="shared" si="33"/>
        <v>女</v>
      </c>
      <c r="F943" s="7" t="s">
        <v>1293</v>
      </c>
    </row>
    <row r="944" spans="1:6" ht="20.100000000000001" customHeight="1" x14ac:dyDescent="0.15">
      <c r="A944" s="5">
        <v>941</v>
      </c>
      <c r="B944" s="6" t="str">
        <f>"30482021060420031099308"</f>
        <v>30482021060420031099308</v>
      </c>
      <c r="C944" s="6" t="s">
        <v>1128</v>
      </c>
      <c r="D944" s="6" t="str">
        <f>"杨小丹"</f>
        <v>杨小丹</v>
      </c>
      <c r="E944" s="6" t="str">
        <f t="shared" si="33"/>
        <v>女</v>
      </c>
      <c r="F944" s="7" t="s">
        <v>363</v>
      </c>
    </row>
    <row r="945" spans="1:6" ht="20.100000000000001" customHeight="1" x14ac:dyDescent="0.15">
      <c r="A945" s="5">
        <v>942</v>
      </c>
      <c r="B945" s="6" t="str">
        <f>"30482021060420062999316"</f>
        <v>30482021060420062999316</v>
      </c>
      <c r="C945" s="6" t="s">
        <v>1128</v>
      </c>
      <c r="D945" s="6" t="str">
        <f>"陆光秀"</f>
        <v>陆光秀</v>
      </c>
      <c r="E945" s="6" t="str">
        <f t="shared" si="33"/>
        <v>女</v>
      </c>
      <c r="F945" s="7" t="s">
        <v>1179</v>
      </c>
    </row>
    <row r="946" spans="1:6" ht="20.100000000000001" customHeight="1" x14ac:dyDescent="0.15">
      <c r="A946" s="5">
        <v>943</v>
      </c>
      <c r="B946" s="6" t="str">
        <f>"30482021060420153099350"</f>
        <v>30482021060420153099350</v>
      </c>
      <c r="C946" s="6" t="s">
        <v>1128</v>
      </c>
      <c r="D946" s="6" t="str">
        <f>"王艺婷"</f>
        <v>王艺婷</v>
      </c>
      <c r="E946" s="6" t="str">
        <f t="shared" si="33"/>
        <v>女</v>
      </c>
      <c r="F946" s="7" t="s">
        <v>478</v>
      </c>
    </row>
    <row r="947" spans="1:6" ht="20.100000000000001" customHeight="1" x14ac:dyDescent="0.15">
      <c r="A947" s="5">
        <v>944</v>
      </c>
      <c r="B947" s="6" t="str">
        <f>"30482021060420294899392"</f>
        <v>30482021060420294899392</v>
      </c>
      <c r="C947" s="6" t="s">
        <v>1128</v>
      </c>
      <c r="D947" s="6" t="str">
        <f>"苏敏"</f>
        <v>苏敏</v>
      </c>
      <c r="E947" s="6" t="str">
        <f t="shared" si="33"/>
        <v>女</v>
      </c>
      <c r="F947" s="7" t="s">
        <v>1475</v>
      </c>
    </row>
    <row r="948" spans="1:6" ht="20.100000000000001" customHeight="1" x14ac:dyDescent="0.15">
      <c r="A948" s="5">
        <v>945</v>
      </c>
      <c r="B948" s="6" t="str">
        <f>"30482021060420323499402"</f>
        <v>30482021060420323499402</v>
      </c>
      <c r="C948" s="6" t="s">
        <v>1128</v>
      </c>
      <c r="D948" s="6" t="str">
        <f>"魏丽萍"</f>
        <v>魏丽萍</v>
      </c>
      <c r="E948" s="6" t="str">
        <f t="shared" si="33"/>
        <v>女</v>
      </c>
      <c r="F948" s="7" t="s">
        <v>1189</v>
      </c>
    </row>
    <row r="949" spans="1:6" ht="20.100000000000001" customHeight="1" x14ac:dyDescent="0.15">
      <c r="A949" s="5">
        <v>946</v>
      </c>
      <c r="B949" s="6" t="str">
        <f>"30482021060420325099406"</f>
        <v>30482021060420325099406</v>
      </c>
      <c r="C949" s="6" t="s">
        <v>1128</v>
      </c>
      <c r="D949" s="6" t="str">
        <f>"刘晓明"</f>
        <v>刘晓明</v>
      </c>
      <c r="E949" s="6" t="str">
        <f t="shared" si="33"/>
        <v>女</v>
      </c>
      <c r="F949" s="7" t="s">
        <v>1392</v>
      </c>
    </row>
    <row r="950" spans="1:6" ht="20.100000000000001" customHeight="1" x14ac:dyDescent="0.15">
      <c r="A950" s="5">
        <v>947</v>
      </c>
      <c r="B950" s="6" t="str">
        <f>"30482021060420374499421"</f>
        <v>30482021060420374499421</v>
      </c>
      <c r="C950" s="6" t="s">
        <v>1128</v>
      </c>
      <c r="D950" s="6" t="str">
        <f>"李思谕"</f>
        <v>李思谕</v>
      </c>
      <c r="E950" s="6" t="str">
        <f t="shared" si="33"/>
        <v>女</v>
      </c>
      <c r="F950" s="7" t="s">
        <v>1476</v>
      </c>
    </row>
    <row r="951" spans="1:6" ht="20.100000000000001" customHeight="1" x14ac:dyDescent="0.15">
      <c r="A951" s="5">
        <v>948</v>
      </c>
      <c r="B951" s="6" t="str">
        <f>"30482021060420434299448"</f>
        <v>30482021060420434299448</v>
      </c>
      <c r="C951" s="6" t="s">
        <v>1128</v>
      </c>
      <c r="D951" s="6" t="str">
        <f>"陈盛兰"</f>
        <v>陈盛兰</v>
      </c>
      <c r="E951" s="6" t="str">
        <f t="shared" si="33"/>
        <v>女</v>
      </c>
      <c r="F951" s="7" t="s">
        <v>613</v>
      </c>
    </row>
    <row r="952" spans="1:6" ht="20.100000000000001" customHeight="1" x14ac:dyDescent="0.15">
      <c r="A952" s="5">
        <v>949</v>
      </c>
      <c r="B952" s="6" t="str">
        <f>"30482021060421021299506"</f>
        <v>30482021060421021299506</v>
      </c>
      <c r="C952" s="6" t="s">
        <v>1128</v>
      </c>
      <c r="D952" s="6" t="str">
        <f>"周惠婷"</f>
        <v>周惠婷</v>
      </c>
      <c r="E952" s="6" t="str">
        <f t="shared" si="33"/>
        <v>女</v>
      </c>
      <c r="F952" s="7" t="s">
        <v>184</v>
      </c>
    </row>
    <row r="953" spans="1:6" ht="20.100000000000001" customHeight="1" x14ac:dyDescent="0.15">
      <c r="A953" s="5">
        <v>950</v>
      </c>
      <c r="B953" s="6" t="str">
        <f>"30482021060421060399520"</f>
        <v>30482021060421060399520</v>
      </c>
      <c r="C953" s="6" t="s">
        <v>1128</v>
      </c>
      <c r="D953" s="6" t="str">
        <f>"毛冬梅"</f>
        <v>毛冬梅</v>
      </c>
      <c r="E953" s="6" t="str">
        <f t="shared" si="33"/>
        <v>女</v>
      </c>
      <c r="F953" s="7" t="s">
        <v>750</v>
      </c>
    </row>
    <row r="954" spans="1:6" ht="20.100000000000001" customHeight="1" x14ac:dyDescent="0.15">
      <c r="A954" s="5">
        <v>951</v>
      </c>
      <c r="B954" s="6" t="str">
        <f>"30482021060421063899523"</f>
        <v>30482021060421063899523</v>
      </c>
      <c r="C954" s="6" t="s">
        <v>1128</v>
      </c>
      <c r="D954" s="6" t="str">
        <f>"陈泰润"</f>
        <v>陈泰润</v>
      </c>
      <c r="E954" s="6" t="str">
        <f t="shared" si="33"/>
        <v>女</v>
      </c>
      <c r="F954" s="7" t="s">
        <v>1477</v>
      </c>
    </row>
    <row r="955" spans="1:6" ht="20.100000000000001" customHeight="1" x14ac:dyDescent="0.15">
      <c r="A955" s="5">
        <v>952</v>
      </c>
      <c r="B955" s="6" t="str">
        <f>"30482021060421252499579"</f>
        <v>30482021060421252499579</v>
      </c>
      <c r="C955" s="6" t="s">
        <v>1128</v>
      </c>
      <c r="D955" s="6" t="str">
        <f>"黎贞汝"</f>
        <v>黎贞汝</v>
      </c>
      <c r="E955" s="6" t="str">
        <f t="shared" si="33"/>
        <v>女</v>
      </c>
      <c r="F955" s="7" t="s">
        <v>496</v>
      </c>
    </row>
    <row r="956" spans="1:6" ht="20.100000000000001" customHeight="1" x14ac:dyDescent="0.15">
      <c r="A956" s="5">
        <v>953</v>
      </c>
      <c r="B956" s="6" t="str">
        <f>"30482021060421302599595"</f>
        <v>30482021060421302599595</v>
      </c>
      <c r="C956" s="6" t="s">
        <v>1128</v>
      </c>
      <c r="D956" s="6" t="str">
        <f>"曾瑞琳"</f>
        <v>曾瑞琳</v>
      </c>
      <c r="E956" s="6" t="str">
        <f t="shared" si="33"/>
        <v>女</v>
      </c>
      <c r="F956" s="7" t="s">
        <v>155</v>
      </c>
    </row>
    <row r="957" spans="1:6" ht="20.100000000000001" customHeight="1" x14ac:dyDescent="0.15">
      <c r="A957" s="5">
        <v>954</v>
      </c>
      <c r="B957" s="6" t="str">
        <f>"30482021060421343599606"</f>
        <v>30482021060421343599606</v>
      </c>
      <c r="C957" s="6" t="s">
        <v>1128</v>
      </c>
      <c r="D957" s="6" t="str">
        <f>"潘绮雯"</f>
        <v>潘绮雯</v>
      </c>
      <c r="E957" s="6" t="str">
        <f t="shared" si="33"/>
        <v>女</v>
      </c>
      <c r="F957" s="7" t="s">
        <v>1185</v>
      </c>
    </row>
    <row r="958" spans="1:6" ht="20.100000000000001" customHeight="1" x14ac:dyDescent="0.15">
      <c r="A958" s="5">
        <v>955</v>
      </c>
      <c r="B958" s="6" t="str">
        <f>"30482021060421414599625"</f>
        <v>30482021060421414599625</v>
      </c>
      <c r="C958" s="6" t="s">
        <v>1128</v>
      </c>
      <c r="D958" s="6" t="str">
        <f>"符轩荟"</f>
        <v>符轩荟</v>
      </c>
      <c r="E958" s="6" t="str">
        <f t="shared" si="33"/>
        <v>女</v>
      </c>
      <c r="F958" s="7" t="s">
        <v>43</v>
      </c>
    </row>
    <row r="959" spans="1:6" ht="20.100000000000001" customHeight="1" x14ac:dyDescent="0.15">
      <c r="A959" s="5">
        <v>956</v>
      </c>
      <c r="B959" s="6" t="str">
        <f>"30482021060421464399641"</f>
        <v>30482021060421464399641</v>
      </c>
      <c r="C959" s="6" t="s">
        <v>1128</v>
      </c>
      <c r="D959" s="6" t="str">
        <f>"王琼慧"</f>
        <v>王琼慧</v>
      </c>
      <c r="E959" s="6" t="str">
        <f t="shared" si="33"/>
        <v>女</v>
      </c>
      <c r="F959" s="7" t="s">
        <v>208</v>
      </c>
    </row>
    <row r="960" spans="1:6" ht="20.100000000000001" customHeight="1" x14ac:dyDescent="0.15">
      <c r="A960" s="5">
        <v>957</v>
      </c>
      <c r="B960" s="6" t="str">
        <f>"30482021060421485799644"</f>
        <v>30482021060421485799644</v>
      </c>
      <c r="C960" s="6" t="s">
        <v>1128</v>
      </c>
      <c r="D960" s="6" t="str">
        <f>"钟怡斐"</f>
        <v>钟怡斐</v>
      </c>
      <c r="E960" s="6" t="str">
        <f t="shared" si="33"/>
        <v>女</v>
      </c>
      <c r="F960" s="7" t="s">
        <v>584</v>
      </c>
    </row>
    <row r="961" spans="1:6" ht="20.100000000000001" customHeight="1" x14ac:dyDescent="0.15">
      <c r="A961" s="5">
        <v>958</v>
      </c>
      <c r="B961" s="6" t="str">
        <f>"30482021060421500399646"</f>
        <v>30482021060421500399646</v>
      </c>
      <c r="C961" s="6" t="s">
        <v>1128</v>
      </c>
      <c r="D961" s="6" t="str">
        <f>"邓秋霞"</f>
        <v>邓秋霞</v>
      </c>
      <c r="E961" s="6" t="str">
        <f t="shared" si="33"/>
        <v>女</v>
      </c>
      <c r="F961" s="7" t="s">
        <v>421</v>
      </c>
    </row>
    <row r="962" spans="1:6" ht="20.100000000000001" customHeight="1" x14ac:dyDescent="0.15">
      <c r="A962" s="5">
        <v>959</v>
      </c>
      <c r="B962" s="6" t="str">
        <f>"30482021060421591699668"</f>
        <v>30482021060421591699668</v>
      </c>
      <c r="C962" s="6" t="s">
        <v>1128</v>
      </c>
      <c r="D962" s="6" t="str">
        <f>"祁曼玉"</f>
        <v>祁曼玉</v>
      </c>
      <c r="E962" s="6" t="str">
        <f t="shared" si="33"/>
        <v>女</v>
      </c>
      <c r="F962" s="7" t="s">
        <v>200</v>
      </c>
    </row>
    <row r="963" spans="1:6" ht="20.100000000000001" customHeight="1" x14ac:dyDescent="0.15">
      <c r="A963" s="5">
        <v>960</v>
      </c>
      <c r="B963" s="6" t="str">
        <f>"30482021060422005599676"</f>
        <v>30482021060422005599676</v>
      </c>
      <c r="C963" s="6" t="s">
        <v>1128</v>
      </c>
      <c r="D963" s="6" t="str">
        <f>"杨小香"</f>
        <v>杨小香</v>
      </c>
      <c r="E963" s="6" t="str">
        <f t="shared" si="33"/>
        <v>女</v>
      </c>
      <c r="F963" s="7" t="s">
        <v>1478</v>
      </c>
    </row>
    <row r="964" spans="1:6" ht="20.100000000000001" customHeight="1" x14ac:dyDescent="0.15">
      <c r="A964" s="5">
        <v>961</v>
      </c>
      <c r="B964" s="6" t="str">
        <f>"30482021060422272199752"</f>
        <v>30482021060422272199752</v>
      </c>
      <c r="C964" s="6" t="s">
        <v>1128</v>
      </c>
      <c r="D964" s="6" t="str">
        <f>"羊思思"</f>
        <v>羊思思</v>
      </c>
      <c r="E964" s="6" t="str">
        <f t="shared" si="33"/>
        <v>女</v>
      </c>
      <c r="F964" s="7" t="s">
        <v>1328</v>
      </c>
    </row>
    <row r="965" spans="1:6" ht="20.100000000000001" customHeight="1" x14ac:dyDescent="0.15">
      <c r="A965" s="5">
        <v>962</v>
      </c>
      <c r="B965" s="6" t="str">
        <f>"30482021060422332799775"</f>
        <v>30482021060422332799775</v>
      </c>
      <c r="C965" s="6" t="s">
        <v>1128</v>
      </c>
      <c r="D965" s="6" t="str">
        <f>"黎丽娟"</f>
        <v>黎丽娟</v>
      </c>
      <c r="E965" s="6" t="str">
        <f t="shared" si="33"/>
        <v>女</v>
      </c>
      <c r="F965" s="7" t="s">
        <v>80</v>
      </c>
    </row>
    <row r="966" spans="1:6" ht="20.100000000000001" customHeight="1" x14ac:dyDescent="0.15">
      <c r="A966" s="5">
        <v>963</v>
      </c>
      <c r="B966" s="6" t="str">
        <f>"30482021060422434399807"</f>
        <v>30482021060422434399807</v>
      </c>
      <c r="C966" s="6" t="s">
        <v>1128</v>
      </c>
      <c r="D966" s="6" t="str">
        <f>"王小瑛"</f>
        <v>王小瑛</v>
      </c>
      <c r="E966" s="6" t="str">
        <f t="shared" si="33"/>
        <v>女</v>
      </c>
      <c r="F966" s="7" t="s">
        <v>1479</v>
      </c>
    </row>
    <row r="967" spans="1:6" ht="20.100000000000001" customHeight="1" x14ac:dyDescent="0.15">
      <c r="A967" s="5">
        <v>964</v>
      </c>
      <c r="B967" s="6" t="str">
        <f>"30482021060422451899809"</f>
        <v>30482021060422451899809</v>
      </c>
      <c r="C967" s="6" t="s">
        <v>1128</v>
      </c>
      <c r="D967" s="6" t="str">
        <f>"李可莹"</f>
        <v>李可莹</v>
      </c>
      <c r="E967" s="6" t="str">
        <f t="shared" si="33"/>
        <v>女</v>
      </c>
      <c r="F967" s="7" t="s">
        <v>1415</v>
      </c>
    </row>
    <row r="968" spans="1:6" ht="20.100000000000001" customHeight="1" x14ac:dyDescent="0.15">
      <c r="A968" s="5">
        <v>965</v>
      </c>
      <c r="B968" s="6" t="str">
        <f>"30482021060422471599817"</f>
        <v>30482021060422471599817</v>
      </c>
      <c r="C968" s="6" t="s">
        <v>1128</v>
      </c>
      <c r="D968" s="6" t="str">
        <f>"钟小静"</f>
        <v>钟小静</v>
      </c>
      <c r="E968" s="6" t="str">
        <f t="shared" si="33"/>
        <v>女</v>
      </c>
      <c r="F968" s="7" t="s">
        <v>1373</v>
      </c>
    </row>
    <row r="969" spans="1:6" ht="20.100000000000001" customHeight="1" x14ac:dyDescent="0.15">
      <c r="A969" s="5">
        <v>966</v>
      </c>
      <c r="B969" s="6" t="str">
        <f>"30482021060422525299837"</f>
        <v>30482021060422525299837</v>
      </c>
      <c r="C969" s="6" t="s">
        <v>1128</v>
      </c>
      <c r="D969" s="6" t="str">
        <f>"李亚楠"</f>
        <v>李亚楠</v>
      </c>
      <c r="E969" s="6" t="str">
        <f t="shared" si="33"/>
        <v>女</v>
      </c>
      <c r="F969" s="7" t="s">
        <v>1480</v>
      </c>
    </row>
    <row r="970" spans="1:6" ht="20.100000000000001" customHeight="1" x14ac:dyDescent="0.15">
      <c r="A970" s="5">
        <v>967</v>
      </c>
      <c r="B970" s="6" t="str">
        <f>"30482021060422571899851"</f>
        <v>30482021060422571899851</v>
      </c>
      <c r="C970" s="6" t="s">
        <v>1128</v>
      </c>
      <c r="D970" s="6" t="str">
        <f>"符士月"</f>
        <v>符士月</v>
      </c>
      <c r="E970" s="6" t="str">
        <f t="shared" si="33"/>
        <v>女</v>
      </c>
      <c r="F970" s="7" t="s">
        <v>1481</v>
      </c>
    </row>
    <row r="971" spans="1:6" ht="20.100000000000001" customHeight="1" x14ac:dyDescent="0.15">
      <c r="A971" s="5">
        <v>968</v>
      </c>
      <c r="B971" s="6" t="str">
        <f>"30482021060423164299905"</f>
        <v>30482021060423164299905</v>
      </c>
      <c r="C971" s="6" t="s">
        <v>1128</v>
      </c>
      <c r="D971" s="6" t="str">
        <f>"赵秀香"</f>
        <v>赵秀香</v>
      </c>
      <c r="E971" s="6" t="str">
        <f t="shared" si="33"/>
        <v>女</v>
      </c>
      <c r="F971" s="7" t="s">
        <v>1482</v>
      </c>
    </row>
    <row r="972" spans="1:6" ht="20.100000000000001" customHeight="1" x14ac:dyDescent="0.15">
      <c r="A972" s="5">
        <v>969</v>
      </c>
      <c r="B972" s="6" t="str">
        <f>"30482021060423214899913"</f>
        <v>30482021060423214899913</v>
      </c>
      <c r="C972" s="6" t="s">
        <v>1128</v>
      </c>
      <c r="D972" s="6" t="str">
        <f>"黄婕"</f>
        <v>黄婕</v>
      </c>
      <c r="E972" s="6" t="str">
        <f t="shared" si="33"/>
        <v>女</v>
      </c>
      <c r="F972" s="7" t="s">
        <v>326</v>
      </c>
    </row>
    <row r="973" spans="1:6" ht="20.100000000000001" customHeight="1" x14ac:dyDescent="0.15">
      <c r="A973" s="5">
        <v>970</v>
      </c>
      <c r="B973" s="6" t="str">
        <f>"30482021060423343199948"</f>
        <v>30482021060423343199948</v>
      </c>
      <c r="C973" s="6" t="s">
        <v>1128</v>
      </c>
      <c r="D973" s="6" t="str">
        <f>"杨斯焱"</f>
        <v>杨斯焱</v>
      </c>
      <c r="E973" s="6" t="str">
        <f t="shared" si="33"/>
        <v>女</v>
      </c>
      <c r="F973" s="7" t="s">
        <v>402</v>
      </c>
    </row>
    <row r="974" spans="1:6" ht="20.100000000000001" customHeight="1" x14ac:dyDescent="0.15">
      <c r="A974" s="5">
        <v>971</v>
      </c>
      <c r="B974" s="6" t="str">
        <f>"304820210605000939100002"</f>
        <v>304820210605000939100002</v>
      </c>
      <c r="C974" s="6" t="s">
        <v>1128</v>
      </c>
      <c r="D974" s="6" t="str">
        <f>"李雨芊"</f>
        <v>李雨芊</v>
      </c>
      <c r="E974" s="6" t="str">
        <f t="shared" si="33"/>
        <v>女</v>
      </c>
      <c r="F974" s="7" t="s">
        <v>1041</v>
      </c>
    </row>
    <row r="975" spans="1:6" ht="20.100000000000001" customHeight="1" x14ac:dyDescent="0.15">
      <c r="A975" s="5">
        <v>972</v>
      </c>
      <c r="B975" s="6" t="str">
        <f>"304820210605001327100003"</f>
        <v>304820210605001327100003</v>
      </c>
      <c r="C975" s="6" t="s">
        <v>1128</v>
      </c>
      <c r="D975" s="6" t="str">
        <f>"洪晓娜"</f>
        <v>洪晓娜</v>
      </c>
      <c r="E975" s="6" t="str">
        <f t="shared" si="33"/>
        <v>女</v>
      </c>
      <c r="F975" s="7" t="s">
        <v>1352</v>
      </c>
    </row>
    <row r="976" spans="1:6" ht="20.100000000000001" customHeight="1" x14ac:dyDescent="0.15">
      <c r="A976" s="5">
        <v>973</v>
      </c>
      <c r="B976" s="6" t="str">
        <f>"304820210605002538100019"</f>
        <v>304820210605002538100019</v>
      </c>
      <c r="C976" s="6" t="s">
        <v>1128</v>
      </c>
      <c r="D976" s="6" t="str">
        <f>"陈海云"</f>
        <v>陈海云</v>
      </c>
      <c r="E976" s="6" t="str">
        <f t="shared" si="33"/>
        <v>女</v>
      </c>
      <c r="F976" s="7" t="s">
        <v>130</v>
      </c>
    </row>
    <row r="977" spans="1:6" ht="20.100000000000001" customHeight="1" x14ac:dyDescent="0.15">
      <c r="A977" s="5">
        <v>974</v>
      </c>
      <c r="B977" s="6" t="str">
        <f>"304820210605003549100032"</f>
        <v>304820210605003549100032</v>
      </c>
      <c r="C977" s="6" t="s">
        <v>1128</v>
      </c>
      <c r="D977" s="6" t="str">
        <f>"卞燕丽"</f>
        <v>卞燕丽</v>
      </c>
      <c r="E977" s="6" t="str">
        <f t="shared" si="33"/>
        <v>女</v>
      </c>
      <c r="F977" s="7" t="s">
        <v>205</v>
      </c>
    </row>
    <row r="978" spans="1:6" ht="20.100000000000001" customHeight="1" x14ac:dyDescent="0.15">
      <c r="A978" s="5">
        <v>975</v>
      </c>
      <c r="B978" s="6" t="str">
        <f>"304820210605003733100034"</f>
        <v>304820210605003733100034</v>
      </c>
      <c r="C978" s="6" t="s">
        <v>1128</v>
      </c>
      <c r="D978" s="6" t="str">
        <f>"张美玲"</f>
        <v>张美玲</v>
      </c>
      <c r="E978" s="6" t="str">
        <f t="shared" si="33"/>
        <v>女</v>
      </c>
      <c r="F978" s="7" t="s">
        <v>619</v>
      </c>
    </row>
    <row r="979" spans="1:6" ht="20.100000000000001" customHeight="1" x14ac:dyDescent="0.15">
      <c r="A979" s="5">
        <v>976</v>
      </c>
      <c r="B979" s="6" t="str">
        <f>"304820210605011655100050"</f>
        <v>304820210605011655100050</v>
      </c>
      <c r="C979" s="6" t="s">
        <v>1128</v>
      </c>
      <c r="D979" s="6" t="str">
        <f>"杜倩潼"</f>
        <v>杜倩潼</v>
      </c>
      <c r="E979" s="6" t="str">
        <f t="shared" si="33"/>
        <v>女</v>
      </c>
      <c r="F979" s="7" t="s">
        <v>460</v>
      </c>
    </row>
    <row r="980" spans="1:6" ht="20.100000000000001" customHeight="1" x14ac:dyDescent="0.15">
      <c r="A980" s="5">
        <v>977</v>
      </c>
      <c r="B980" s="6" t="str">
        <f>"304820210605012829100058"</f>
        <v>304820210605012829100058</v>
      </c>
      <c r="C980" s="6" t="s">
        <v>1128</v>
      </c>
      <c r="D980" s="6" t="str">
        <f>"周芸睿"</f>
        <v>周芸睿</v>
      </c>
      <c r="E980" s="6" t="str">
        <f t="shared" si="33"/>
        <v>女</v>
      </c>
      <c r="F980" s="7" t="s">
        <v>689</v>
      </c>
    </row>
    <row r="981" spans="1:6" ht="20.100000000000001" customHeight="1" x14ac:dyDescent="0.15">
      <c r="A981" s="5">
        <v>978</v>
      </c>
      <c r="B981" s="6" t="str">
        <f>"304820210605013355100061"</f>
        <v>304820210605013355100061</v>
      </c>
      <c r="C981" s="6" t="s">
        <v>1128</v>
      </c>
      <c r="D981" s="6" t="str">
        <f>"黄金怡"</f>
        <v>黄金怡</v>
      </c>
      <c r="E981" s="6" t="str">
        <f t="shared" si="33"/>
        <v>女</v>
      </c>
      <c r="F981" s="7" t="s">
        <v>37</v>
      </c>
    </row>
    <row r="982" spans="1:6" ht="20.100000000000001" customHeight="1" x14ac:dyDescent="0.15">
      <c r="A982" s="5">
        <v>979</v>
      </c>
      <c r="B982" s="6" t="str">
        <f>"304820210605013727100063"</f>
        <v>304820210605013727100063</v>
      </c>
      <c r="C982" s="6" t="s">
        <v>1128</v>
      </c>
      <c r="D982" s="6" t="str">
        <f>"吴燕芬"</f>
        <v>吴燕芬</v>
      </c>
      <c r="E982" s="6" t="str">
        <f t="shared" si="33"/>
        <v>女</v>
      </c>
      <c r="F982" s="7" t="s">
        <v>35</v>
      </c>
    </row>
    <row r="983" spans="1:6" ht="20.100000000000001" customHeight="1" x14ac:dyDescent="0.15">
      <c r="A983" s="5">
        <v>980</v>
      </c>
      <c r="B983" s="6" t="str">
        <f>"304820210605020207100070"</f>
        <v>304820210605020207100070</v>
      </c>
      <c r="C983" s="6" t="s">
        <v>1128</v>
      </c>
      <c r="D983" s="6" t="str">
        <f>"李雅"</f>
        <v>李雅</v>
      </c>
      <c r="E983" s="6" t="str">
        <f t="shared" si="33"/>
        <v>女</v>
      </c>
      <c r="F983" s="7" t="s">
        <v>1483</v>
      </c>
    </row>
    <row r="984" spans="1:6" ht="20.100000000000001" customHeight="1" x14ac:dyDescent="0.15">
      <c r="A984" s="5">
        <v>981</v>
      </c>
      <c r="B984" s="6" t="str">
        <f>"304820210605022144100074"</f>
        <v>304820210605022144100074</v>
      </c>
      <c r="C984" s="6" t="s">
        <v>1128</v>
      </c>
      <c r="D984" s="6" t="str">
        <f>"朱丽欣"</f>
        <v>朱丽欣</v>
      </c>
      <c r="E984" s="6" t="str">
        <f t="shared" si="33"/>
        <v>女</v>
      </c>
      <c r="F984" s="7" t="s">
        <v>31</v>
      </c>
    </row>
    <row r="985" spans="1:6" ht="20.100000000000001" customHeight="1" x14ac:dyDescent="0.15">
      <c r="A985" s="5">
        <v>982</v>
      </c>
      <c r="B985" s="6" t="str">
        <f>"304820210605022750100076"</f>
        <v>304820210605022750100076</v>
      </c>
      <c r="C985" s="6" t="s">
        <v>1128</v>
      </c>
      <c r="D985" s="6" t="str">
        <f>"温雯雯"</f>
        <v>温雯雯</v>
      </c>
      <c r="E985" s="6" t="str">
        <f t="shared" si="33"/>
        <v>女</v>
      </c>
      <c r="F985" s="7" t="s">
        <v>846</v>
      </c>
    </row>
    <row r="986" spans="1:6" ht="20.100000000000001" customHeight="1" x14ac:dyDescent="0.15">
      <c r="A986" s="5">
        <v>983</v>
      </c>
      <c r="B986" s="6" t="str">
        <f>"304820210605080503100142"</f>
        <v>304820210605080503100142</v>
      </c>
      <c r="C986" s="6" t="s">
        <v>1128</v>
      </c>
      <c r="D986" s="6" t="str">
        <f>"吴少玲"</f>
        <v>吴少玲</v>
      </c>
      <c r="E986" s="6" t="str">
        <f t="shared" si="33"/>
        <v>女</v>
      </c>
      <c r="F986" s="7" t="s">
        <v>1484</v>
      </c>
    </row>
    <row r="987" spans="1:6" ht="20.100000000000001" customHeight="1" x14ac:dyDescent="0.15">
      <c r="A987" s="5">
        <v>984</v>
      </c>
      <c r="B987" s="6" t="str">
        <f>"304820210605083007100169"</f>
        <v>304820210605083007100169</v>
      </c>
      <c r="C987" s="6" t="s">
        <v>1128</v>
      </c>
      <c r="D987" s="6" t="str">
        <f>"陈清雅"</f>
        <v>陈清雅</v>
      </c>
      <c r="E987" s="6" t="str">
        <f t="shared" si="33"/>
        <v>女</v>
      </c>
      <c r="F987" s="7" t="s">
        <v>1485</v>
      </c>
    </row>
    <row r="988" spans="1:6" ht="20.100000000000001" customHeight="1" x14ac:dyDescent="0.15">
      <c r="A988" s="5">
        <v>985</v>
      </c>
      <c r="B988" s="6" t="str">
        <f>"304820210605091457100247"</f>
        <v>304820210605091457100247</v>
      </c>
      <c r="C988" s="6" t="s">
        <v>1128</v>
      </c>
      <c r="D988" s="6" t="str">
        <f>"冯巧溱"</f>
        <v>冯巧溱</v>
      </c>
      <c r="E988" s="6" t="str">
        <f t="shared" si="33"/>
        <v>女</v>
      </c>
      <c r="F988" s="7" t="s">
        <v>1434</v>
      </c>
    </row>
    <row r="989" spans="1:6" ht="20.100000000000001" customHeight="1" x14ac:dyDescent="0.15">
      <c r="A989" s="5">
        <v>986</v>
      </c>
      <c r="B989" s="6" t="str">
        <f>"304820210605091742100253"</f>
        <v>304820210605091742100253</v>
      </c>
      <c r="C989" s="6" t="s">
        <v>1128</v>
      </c>
      <c r="D989" s="6" t="str">
        <f>"吴慧"</f>
        <v>吴慧</v>
      </c>
      <c r="E989" s="6" t="str">
        <f t="shared" si="33"/>
        <v>女</v>
      </c>
      <c r="F989" s="7" t="s">
        <v>1486</v>
      </c>
    </row>
    <row r="990" spans="1:6" ht="20.100000000000001" customHeight="1" x14ac:dyDescent="0.15">
      <c r="A990" s="5">
        <v>987</v>
      </c>
      <c r="B990" s="6" t="str">
        <f>"304820210605093433100286"</f>
        <v>304820210605093433100286</v>
      </c>
      <c r="C990" s="6" t="s">
        <v>1128</v>
      </c>
      <c r="D990" s="6" t="str">
        <f>"陈曼虹"</f>
        <v>陈曼虹</v>
      </c>
      <c r="E990" s="6" t="str">
        <f t="shared" si="33"/>
        <v>女</v>
      </c>
      <c r="F990" s="7" t="s">
        <v>235</v>
      </c>
    </row>
    <row r="991" spans="1:6" ht="20.100000000000001" customHeight="1" x14ac:dyDescent="0.15">
      <c r="A991" s="5">
        <v>988</v>
      </c>
      <c r="B991" s="6" t="str">
        <f>"304820210605093821100291"</f>
        <v>304820210605093821100291</v>
      </c>
      <c r="C991" s="6" t="s">
        <v>1128</v>
      </c>
      <c r="D991" s="6" t="str">
        <f>"韩欣霖"</f>
        <v>韩欣霖</v>
      </c>
      <c r="E991" s="6" t="str">
        <f t="shared" si="33"/>
        <v>女</v>
      </c>
      <c r="F991" s="7" t="s">
        <v>248</v>
      </c>
    </row>
    <row r="992" spans="1:6" ht="20.100000000000001" customHeight="1" x14ac:dyDescent="0.15">
      <c r="A992" s="5">
        <v>989</v>
      </c>
      <c r="B992" s="6" t="str">
        <f>"304820210605094825100319"</f>
        <v>304820210605094825100319</v>
      </c>
      <c r="C992" s="6" t="s">
        <v>1128</v>
      </c>
      <c r="D992" s="6" t="str">
        <f>"董朝孟"</f>
        <v>董朝孟</v>
      </c>
      <c r="E992" s="6" t="str">
        <f t="shared" si="33"/>
        <v>女</v>
      </c>
      <c r="F992" s="7" t="s">
        <v>1487</v>
      </c>
    </row>
    <row r="993" spans="1:6" ht="20.100000000000001" customHeight="1" x14ac:dyDescent="0.15">
      <c r="A993" s="5">
        <v>990</v>
      </c>
      <c r="B993" s="6" t="str">
        <f>"304820210605095509100331"</f>
        <v>304820210605095509100331</v>
      </c>
      <c r="C993" s="6" t="s">
        <v>1128</v>
      </c>
      <c r="D993" s="6" t="str">
        <f>"吴慧友"</f>
        <v>吴慧友</v>
      </c>
      <c r="E993" s="6" t="str">
        <f t="shared" si="33"/>
        <v>女</v>
      </c>
      <c r="F993" s="7" t="s">
        <v>1243</v>
      </c>
    </row>
    <row r="994" spans="1:6" ht="20.100000000000001" customHeight="1" x14ac:dyDescent="0.15">
      <c r="A994" s="5">
        <v>991</v>
      </c>
      <c r="B994" s="6" t="str">
        <f>"304820210605101925100407"</f>
        <v>304820210605101925100407</v>
      </c>
      <c r="C994" s="6" t="s">
        <v>1128</v>
      </c>
      <c r="D994" s="6" t="str">
        <f>"吴泳丽"</f>
        <v>吴泳丽</v>
      </c>
      <c r="E994" s="6" t="str">
        <f t="shared" si="33"/>
        <v>女</v>
      </c>
      <c r="F994" s="7" t="s">
        <v>250</v>
      </c>
    </row>
    <row r="995" spans="1:6" ht="20.100000000000001" customHeight="1" x14ac:dyDescent="0.15">
      <c r="A995" s="5">
        <v>992</v>
      </c>
      <c r="B995" s="6" t="str">
        <f>"304820210605102042100411"</f>
        <v>304820210605102042100411</v>
      </c>
      <c r="C995" s="6" t="s">
        <v>1128</v>
      </c>
      <c r="D995" s="6" t="str">
        <f>"朱美妃"</f>
        <v>朱美妃</v>
      </c>
      <c r="E995" s="6" t="str">
        <f t="shared" si="33"/>
        <v>女</v>
      </c>
      <c r="F995" s="7" t="s">
        <v>1237</v>
      </c>
    </row>
    <row r="996" spans="1:6" ht="20.100000000000001" customHeight="1" x14ac:dyDescent="0.15">
      <c r="A996" s="5">
        <v>993</v>
      </c>
      <c r="B996" s="6" t="str">
        <f>"304820210605104731100493"</f>
        <v>304820210605104731100493</v>
      </c>
      <c r="C996" s="6" t="s">
        <v>1128</v>
      </c>
      <c r="D996" s="6" t="str">
        <f>"许芳园"</f>
        <v>许芳园</v>
      </c>
      <c r="E996" s="6" t="str">
        <f t="shared" si="33"/>
        <v>女</v>
      </c>
      <c r="F996" s="7" t="s">
        <v>1488</v>
      </c>
    </row>
    <row r="997" spans="1:6" ht="20.100000000000001" customHeight="1" x14ac:dyDescent="0.15">
      <c r="A997" s="5">
        <v>994</v>
      </c>
      <c r="B997" s="6" t="str">
        <f>"304820210605105833100530"</f>
        <v>304820210605105833100530</v>
      </c>
      <c r="C997" s="6" t="s">
        <v>1128</v>
      </c>
      <c r="D997" s="6" t="str">
        <f>"王茜"</f>
        <v>王茜</v>
      </c>
      <c r="E997" s="6" t="str">
        <f t="shared" si="33"/>
        <v>女</v>
      </c>
      <c r="F997" s="7" t="s">
        <v>48</v>
      </c>
    </row>
    <row r="998" spans="1:6" ht="20.100000000000001" customHeight="1" x14ac:dyDescent="0.15">
      <c r="A998" s="5">
        <v>995</v>
      </c>
      <c r="B998" s="6" t="str">
        <f>"304820210605112407100615"</f>
        <v>304820210605112407100615</v>
      </c>
      <c r="C998" s="6" t="s">
        <v>1128</v>
      </c>
      <c r="D998" s="6" t="str">
        <f>"黄乐妍"</f>
        <v>黄乐妍</v>
      </c>
      <c r="E998" s="6" t="str">
        <f t="shared" si="33"/>
        <v>女</v>
      </c>
      <c r="F998" s="7" t="s">
        <v>709</v>
      </c>
    </row>
    <row r="999" spans="1:6" ht="20.100000000000001" customHeight="1" x14ac:dyDescent="0.15">
      <c r="A999" s="5">
        <v>996</v>
      </c>
      <c r="B999" s="6" t="str">
        <f>"304820210605113741100658"</f>
        <v>304820210605113741100658</v>
      </c>
      <c r="C999" s="6" t="s">
        <v>1128</v>
      </c>
      <c r="D999" s="6" t="str">
        <f>"黄丽婷"</f>
        <v>黄丽婷</v>
      </c>
      <c r="E999" s="6" t="str">
        <f t="shared" si="33"/>
        <v>女</v>
      </c>
      <c r="F999" s="7" t="s">
        <v>855</v>
      </c>
    </row>
    <row r="1000" spans="1:6" ht="20.100000000000001" customHeight="1" x14ac:dyDescent="0.15">
      <c r="A1000" s="5">
        <v>997</v>
      </c>
      <c r="B1000" s="6" t="str">
        <f>"304820210605121140100749"</f>
        <v>304820210605121140100749</v>
      </c>
      <c r="C1000" s="6" t="s">
        <v>1128</v>
      </c>
      <c r="D1000" s="6" t="str">
        <f>"文真真"</f>
        <v>文真真</v>
      </c>
      <c r="E1000" s="6" t="str">
        <f t="shared" ref="E1000:E1018" si="34">"女"</f>
        <v>女</v>
      </c>
      <c r="F1000" s="7" t="s">
        <v>1489</v>
      </c>
    </row>
    <row r="1001" spans="1:6" ht="20.100000000000001" customHeight="1" x14ac:dyDescent="0.15">
      <c r="A1001" s="5">
        <v>998</v>
      </c>
      <c r="B1001" s="6" t="str">
        <f>"304820210605121749100765"</f>
        <v>304820210605121749100765</v>
      </c>
      <c r="C1001" s="6" t="s">
        <v>1128</v>
      </c>
      <c r="D1001" s="6" t="str">
        <f>"吉才燕"</f>
        <v>吉才燕</v>
      </c>
      <c r="E1001" s="6" t="str">
        <f t="shared" si="34"/>
        <v>女</v>
      </c>
      <c r="F1001" s="7" t="s">
        <v>1212</v>
      </c>
    </row>
    <row r="1002" spans="1:6" ht="20.100000000000001" customHeight="1" x14ac:dyDescent="0.15">
      <c r="A1002" s="5">
        <v>999</v>
      </c>
      <c r="B1002" s="6" t="str">
        <f>"304820210605122704100786"</f>
        <v>304820210605122704100786</v>
      </c>
      <c r="C1002" s="6" t="s">
        <v>1128</v>
      </c>
      <c r="D1002" s="6" t="str">
        <f>"林钰"</f>
        <v>林钰</v>
      </c>
      <c r="E1002" s="6" t="str">
        <f t="shared" si="34"/>
        <v>女</v>
      </c>
      <c r="F1002" s="7" t="s">
        <v>31</v>
      </c>
    </row>
    <row r="1003" spans="1:6" ht="20.100000000000001" customHeight="1" x14ac:dyDescent="0.15">
      <c r="A1003" s="5">
        <v>1000</v>
      </c>
      <c r="B1003" s="6" t="str">
        <f>"304820210605132215100908"</f>
        <v>304820210605132215100908</v>
      </c>
      <c r="C1003" s="6" t="s">
        <v>1128</v>
      </c>
      <c r="D1003" s="6" t="str">
        <f>"郑佳佳"</f>
        <v>郑佳佳</v>
      </c>
      <c r="E1003" s="6" t="str">
        <f t="shared" si="34"/>
        <v>女</v>
      </c>
      <c r="F1003" s="7" t="s">
        <v>462</v>
      </c>
    </row>
    <row r="1004" spans="1:6" ht="20.100000000000001" customHeight="1" x14ac:dyDescent="0.15">
      <c r="A1004" s="5">
        <v>1001</v>
      </c>
      <c r="B1004" s="6" t="str">
        <f>"304820210605132242100909"</f>
        <v>304820210605132242100909</v>
      </c>
      <c r="C1004" s="6" t="s">
        <v>1128</v>
      </c>
      <c r="D1004" s="6" t="str">
        <f>"黄思思"</f>
        <v>黄思思</v>
      </c>
      <c r="E1004" s="6" t="str">
        <f t="shared" si="34"/>
        <v>女</v>
      </c>
      <c r="F1004" s="7" t="s">
        <v>409</v>
      </c>
    </row>
    <row r="1005" spans="1:6" ht="20.100000000000001" customHeight="1" x14ac:dyDescent="0.15">
      <c r="A1005" s="5">
        <v>1002</v>
      </c>
      <c r="B1005" s="6" t="str">
        <f>"304820210605132539100918"</f>
        <v>304820210605132539100918</v>
      </c>
      <c r="C1005" s="6" t="s">
        <v>1128</v>
      </c>
      <c r="D1005" s="6" t="str">
        <f>"余荣琴"</f>
        <v>余荣琴</v>
      </c>
      <c r="E1005" s="6" t="str">
        <f t="shared" si="34"/>
        <v>女</v>
      </c>
      <c r="F1005" s="7" t="s">
        <v>143</v>
      </c>
    </row>
    <row r="1006" spans="1:6" ht="20.100000000000001" customHeight="1" x14ac:dyDescent="0.15">
      <c r="A1006" s="5">
        <v>1003</v>
      </c>
      <c r="B1006" s="6" t="str">
        <f>"304820210605134747100968"</f>
        <v>304820210605134747100968</v>
      </c>
      <c r="C1006" s="6" t="s">
        <v>1128</v>
      </c>
      <c r="D1006" s="6" t="str">
        <f>"周晓红"</f>
        <v>周晓红</v>
      </c>
      <c r="E1006" s="6" t="str">
        <f t="shared" si="34"/>
        <v>女</v>
      </c>
      <c r="F1006" s="7" t="s">
        <v>528</v>
      </c>
    </row>
    <row r="1007" spans="1:6" ht="20.100000000000001" customHeight="1" x14ac:dyDescent="0.15">
      <c r="A1007" s="5">
        <v>1004</v>
      </c>
      <c r="B1007" s="6" t="str">
        <f>"304820210605134844100969"</f>
        <v>304820210605134844100969</v>
      </c>
      <c r="C1007" s="6" t="s">
        <v>1128</v>
      </c>
      <c r="D1007" s="6" t="str">
        <f>"吴桃艳"</f>
        <v>吴桃艳</v>
      </c>
      <c r="E1007" s="6" t="str">
        <f t="shared" si="34"/>
        <v>女</v>
      </c>
      <c r="F1007" s="7" t="s">
        <v>941</v>
      </c>
    </row>
    <row r="1008" spans="1:6" ht="20.100000000000001" customHeight="1" x14ac:dyDescent="0.15">
      <c r="A1008" s="5">
        <v>1005</v>
      </c>
      <c r="B1008" s="6" t="str">
        <f>"304820210605140410101007"</f>
        <v>304820210605140410101007</v>
      </c>
      <c r="C1008" s="6" t="s">
        <v>1128</v>
      </c>
      <c r="D1008" s="6" t="str">
        <f>"方莹"</f>
        <v>方莹</v>
      </c>
      <c r="E1008" s="6" t="str">
        <f t="shared" si="34"/>
        <v>女</v>
      </c>
      <c r="F1008" s="7" t="s">
        <v>1490</v>
      </c>
    </row>
    <row r="1009" spans="1:6" ht="20.100000000000001" customHeight="1" x14ac:dyDescent="0.15">
      <c r="A1009" s="5">
        <v>1006</v>
      </c>
      <c r="B1009" s="6" t="str">
        <f>"304820210605140722101011"</f>
        <v>304820210605140722101011</v>
      </c>
      <c r="C1009" s="6" t="s">
        <v>1128</v>
      </c>
      <c r="D1009" s="6" t="str">
        <f>"邹方"</f>
        <v>邹方</v>
      </c>
      <c r="E1009" s="6" t="str">
        <f t="shared" si="34"/>
        <v>女</v>
      </c>
      <c r="F1009" s="7" t="s">
        <v>31</v>
      </c>
    </row>
    <row r="1010" spans="1:6" ht="20.100000000000001" customHeight="1" x14ac:dyDescent="0.15">
      <c r="A1010" s="5">
        <v>1007</v>
      </c>
      <c r="B1010" s="6" t="str">
        <f>"304820210605140724101012"</f>
        <v>304820210605140724101012</v>
      </c>
      <c r="C1010" s="6" t="s">
        <v>1128</v>
      </c>
      <c r="D1010" s="6" t="str">
        <f>"林蝶"</f>
        <v>林蝶</v>
      </c>
      <c r="E1010" s="6" t="str">
        <f t="shared" si="34"/>
        <v>女</v>
      </c>
      <c r="F1010" s="7" t="s">
        <v>413</v>
      </c>
    </row>
    <row r="1011" spans="1:6" ht="20.100000000000001" customHeight="1" x14ac:dyDescent="0.15">
      <c r="A1011" s="5">
        <v>1008</v>
      </c>
      <c r="B1011" s="6" t="str">
        <f>"304820210605141510101035"</f>
        <v>304820210605141510101035</v>
      </c>
      <c r="C1011" s="6" t="s">
        <v>1128</v>
      </c>
      <c r="D1011" s="6" t="str">
        <f>"莫婉茜"</f>
        <v>莫婉茜</v>
      </c>
      <c r="E1011" s="6" t="str">
        <f t="shared" si="34"/>
        <v>女</v>
      </c>
      <c r="F1011" s="7" t="s">
        <v>1280</v>
      </c>
    </row>
    <row r="1012" spans="1:6" ht="20.100000000000001" customHeight="1" x14ac:dyDescent="0.15">
      <c r="A1012" s="5">
        <v>1009</v>
      </c>
      <c r="B1012" s="6" t="str">
        <f>"304820210605142242101055"</f>
        <v>304820210605142242101055</v>
      </c>
      <c r="C1012" s="6" t="s">
        <v>1128</v>
      </c>
      <c r="D1012" s="6" t="str">
        <f>"王裕銮"</f>
        <v>王裕銮</v>
      </c>
      <c r="E1012" s="6" t="str">
        <f t="shared" si="34"/>
        <v>女</v>
      </c>
      <c r="F1012" s="7" t="s">
        <v>409</v>
      </c>
    </row>
    <row r="1013" spans="1:6" ht="20.100000000000001" customHeight="1" x14ac:dyDescent="0.15">
      <c r="A1013" s="5">
        <v>1010</v>
      </c>
      <c r="B1013" s="6" t="str">
        <f>"304820210605142830101064"</f>
        <v>304820210605142830101064</v>
      </c>
      <c r="C1013" s="6" t="s">
        <v>1128</v>
      </c>
      <c r="D1013" s="6" t="str">
        <f>"张露瑜"</f>
        <v>张露瑜</v>
      </c>
      <c r="E1013" s="6" t="str">
        <f t="shared" si="34"/>
        <v>女</v>
      </c>
      <c r="F1013" s="7" t="s">
        <v>463</v>
      </c>
    </row>
    <row r="1014" spans="1:6" ht="20.100000000000001" customHeight="1" x14ac:dyDescent="0.15">
      <c r="A1014" s="5">
        <v>1011</v>
      </c>
      <c r="B1014" s="6" t="str">
        <f>"304820210605143358101076"</f>
        <v>304820210605143358101076</v>
      </c>
      <c r="C1014" s="6" t="s">
        <v>1128</v>
      </c>
      <c r="D1014" s="6" t="str">
        <f>"周姗姗"</f>
        <v>周姗姗</v>
      </c>
      <c r="E1014" s="6" t="str">
        <f t="shared" si="34"/>
        <v>女</v>
      </c>
      <c r="F1014" s="7" t="s">
        <v>148</v>
      </c>
    </row>
    <row r="1015" spans="1:6" ht="20.100000000000001" customHeight="1" x14ac:dyDescent="0.15">
      <c r="A1015" s="5">
        <v>1012</v>
      </c>
      <c r="B1015" s="6" t="str">
        <f>"304820210605145844101148"</f>
        <v>304820210605145844101148</v>
      </c>
      <c r="C1015" s="6" t="s">
        <v>1128</v>
      </c>
      <c r="D1015" s="6" t="str">
        <f>"陈婆传"</f>
        <v>陈婆传</v>
      </c>
      <c r="E1015" s="6" t="str">
        <f t="shared" si="34"/>
        <v>女</v>
      </c>
      <c r="F1015" s="7" t="s">
        <v>1491</v>
      </c>
    </row>
    <row r="1016" spans="1:6" ht="20.100000000000001" customHeight="1" x14ac:dyDescent="0.15">
      <c r="A1016" s="5">
        <v>1013</v>
      </c>
      <c r="B1016" s="6" t="str">
        <f>"304820210605150601101180"</f>
        <v>304820210605150601101180</v>
      </c>
      <c r="C1016" s="6" t="s">
        <v>1128</v>
      </c>
      <c r="D1016" s="6" t="str">
        <f>"张可芯"</f>
        <v>张可芯</v>
      </c>
      <c r="E1016" s="6" t="str">
        <f t="shared" si="34"/>
        <v>女</v>
      </c>
      <c r="F1016" s="7" t="s">
        <v>42</v>
      </c>
    </row>
    <row r="1017" spans="1:6" ht="20.100000000000001" customHeight="1" x14ac:dyDescent="0.15">
      <c r="A1017" s="5">
        <v>1014</v>
      </c>
      <c r="B1017" s="6" t="str">
        <f>"304820210605151050101193"</f>
        <v>304820210605151050101193</v>
      </c>
      <c r="C1017" s="6" t="s">
        <v>1128</v>
      </c>
      <c r="D1017" s="6" t="str">
        <f>"林雪连"</f>
        <v>林雪连</v>
      </c>
      <c r="E1017" s="6" t="str">
        <f t="shared" si="34"/>
        <v>女</v>
      </c>
      <c r="F1017" s="7" t="s">
        <v>383</v>
      </c>
    </row>
    <row r="1018" spans="1:6" ht="20.100000000000001" customHeight="1" x14ac:dyDescent="0.15">
      <c r="A1018" s="5">
        <v>1015</v>
      </c>
      <c r="B1018" s="6" t="str">
        <f>"304820210605151210101196"</f>
        <v>304820210605151210101196</v>
      </c>
      <c r="C1018" s="6" t="s">
        <v>1128</v>
      </c>
      <c r="D1018" s="6" t="str">
        <f>"魏妍怡"</f>
        <v>魏妍怡</v>
      </c>
      <c r="E1018" s="6" t="str">
        <f t="shared" si="34"/>
        <v>女</v>
      </c>
      <c r="F1018" s="7" t="s">
        <v>1420</v>
      </c>
    </row>
    <row r="1019" spans="1:6" ht="20.100000000000001" customHeight="1" x14ac:dyDescent="0.15">
      <c r="A1019" s="5">
        <v>1016</v>
      </c>
      <c r="B1019" s="6" t="str">
        <f>"304820210605155316101298"</f>
        <v>304820210605155316101298</v>
      </c>
      <c r="C1019" s="6" t="s">
        <v>1128</v>
      </c>
      <c r="D1019" s="6" t="str">
        <f>"符加方"</f>
        <v>符加方</v>
      </c>
      <c r="E1019" s="6" t="str">
        <f>"男"</f>
        <v>男</v>
      </c>
      <c r="F1019" s="7" t="s">
        <v>1492</v>
      </c>
    </row>
    <row r="1020" spans="1:6" ht="20.100000000000001" customHeight="1" x14ac:dyDescent="0.15">
      <c r="A1020" s="5">
        <v>1017</v>
      </c>
      <c r="B1020" s="6" t="str">
        <f>"304820210605160628101333"</f>
        <v>304820210605160628101333</v>
      </c>
      <c r="C1020" s="6" t="s">
        <v>1128</v>
      </c>
      <c r="D1020" s="6" t="str">
        <f>"王秋南"</f>
        <v>王秋南</v>
      </c>
      <c r="E1020" s="6" t="str">
        <f t="shared" ref="E1020:E1023" si="35">"女"</f>
        <v>女</v>
      </c>
      <c r="F1020" s="7" t="s">
        <v>555</v>
      </c>
    </row>
    <row r="1021" spans="1:6" ht="20.100000000000001" customHeight="1" x14ac:dyDescent="0.15">
      <c r="A1021" s="5">
        <v>1018</v>
      </c>
      <c r="B1021" s="6" t="str">
        <f>"304820210605161030101349"</f>
        <v>304820210605161030101349</v>
      </c>
      <c r="C1021" s="6" t="s">
        <v>1128</v>
      </c>
      <c r="D1021" s="6" t="str">
        <f>"羊廷慧"</f>
        <v>羊廷慧</v>
      </c>
      <c r="E1021" s="6" t="str">
        <f t="shared" si="35"/>
        <v>女</v>
      </c>
      <c r="F1021" s="7" t="s">
        <v>1493</v>
      </c>
    </row>
    <row r="1022" spans="1:6" ht="20.100000000000001" customHeight="1" x14ac:dyDescent="0.15">
      <c r="A1022" s="5">
        <v>1019</v>
      </c>
      <c r="B1022" s="6" t="str">
        <f>"304820210605161250101359"</f>
        <v>304820210605161250101359</v>
      </c>
      <c r="C1022" s="6" t="s">
        <v>1128</v>
      </c>
      <c r="D1022" s="6" t="str">
        <f>"吴丽娜"</f>
        <v>吴丽娜</v>
      </c>
      <c r="E1022" s="6" t="str">
        <f t="shared" si="35"/>
        <v>女</v>
      </c>
      <c r="F1022" s="7" t="s">
        <v>460</v>
      </c>
    </row>
    <row r="1023" spans="1:6" ht="20.100000000000001" customHeight="1" x14ac:dyDescent="0.15">
      <c r="A1023" s="5">
        <v>1020</v>
      </c>
      <c r="B1023" s="6" t="str">
        <f>"304820210605162852101408"</f>
        <v>304820210605162852101408</v>
      </c>
      <c r="C1023" s="6" t="s">
        <v>1128</v>
      </c>
      <c r="D1023" s="6" t="str">
        <f>"邢增菊"</f>
        <v>邢增菊</v>
      </c>
      <c r="E1023" s="6" t="str">
        <f t="shared" si="35"/>
        <v>女</v>
      </c>
      <c r="F1023" s="7" t="s">
        <v>1494</v>
      </c>
    </row>
    <row r="1024" spans="1:6" ht="20.100000000000001" customHeight="1" x14ac:dyDescent="0.15">
      <c r="A1024" s="5">
        <v>1021</v>
      </c>
      <c r="B1024" s="6" t="str">
        <f>"304820210605162914101411"</f>
        <v>304820210605162914101411</v>
      </c>
      <c r="C1024" s="6" t="s">
        <v>1128</v>
      </c>
      <c r="D1024" s="6" t="str">
        <f>"张泰涛"</f>
        <v>张泰涛</v>
      </c>
      <c r="E1024" s="6" t="str">
        <f>"男"</f>
        <v>男</v>
      </c>
      <c r="F1024" s="7" t="s">
        <v>1495</v>
      </c>
    </row>
    <row r="1025" spans="1:6" ht="20.100000000000001" customHeight="1" x14ac:dyDescent="0.15">
      <c r="A1025" s="5">
        <v>1022</v>
      </c>
      <c r="B1025" s="6" t="str">
        <f>"304820210605164843101457"</f>
        <v>304820210605164843101457</v>
      </c>
      <c r="C1025" s="6" t="s">
        <v>1128</v>
      </c>
      <c r="D1025" s="6" t="str">
        <f>"王广杨"</f>
        <v>王广杨</v>
      </c>
      <c r="E1025" s="6" t="str">
        <f>"男"</f>
        <v>男</v>
      </c>
      <c r="F1025" s="7" t="s">
        <v>1118</v>
      </c>
    </row>
    <row r="1026" spans="1:6" ht="20.100000000000001" customHeight="1" x14ac:dyDescent="0.15">
      <c r="A1026" s="5">
        <v>1023</v>
      </c>
      <c r="B1026" s="6" t="str">
        <f>"304820210605173732101610"</f>
        <v>304820210605173732101610</v>
      </c>
      <c r="C1026" s="6" t="s">
        <v>1128</v>
      </c>
      <c r="D1026" s="6" t="str">
        <f>"陈晓娟"</f>
        <v>陈晓娟</v>
      </c>
      <c r="E1026" s="6" t="str">
        <f t="shared" ref="E1026:E1056" si="36">"女"</f>
        <v>女</v>
      </c>
      <c r="F1026" s="7" t="s">
        <v>561</v>
      </c>
    </row>
    <row r="1027" spans="1:6" ht="20.100000000000001" customHeight="1" x14ac:dyDescent="0.15">
      <c r="A1027" s="5">
        <v>1024</v>
      </c>
      <c r="B1027" s="6" t="str">
        <f>"304820210605174651101631"</f>
        <v>304820210605174651101631</v>
      </c>
      <c r="C1027" s="6" t="s">
        <v>1128</v>
      </c>
      <c r="D1027" s="6" t="str">
        <f>"黄慧"</f>
        <v>黄慧</v>
      </c>
      <c r="E1027" s="6" t="str">
        <f t="shared" si="36"/>
        <v>女</v>
      </c>
      <c r="F1027" s="7" t="s">
        <v>1496</v>
      </c>
    </row>
    <row r="1028" spans="1:6" ht="20.100000000000001" customHeight="1" x14ac:dyDescent="0.15">
      <c r="A1028" s="5">
        <v>1025</v>
      </c>
      <c r="B1028" s="6" t="str">
        <f>"304820210605175402101652"</f>
        <v>304820210605175402101652</v>
      </c>
      <c r="C1028" s="6" t="s">
        <v>1128</v>
      </c>
      <c r="D1028" s="6" t="str">
        <f>"蔡静"</f>
        <v>蔡静</v>
      </c>
      <c r="E1028" s="6" t="str">
        <f t="shared" si="36"/>
        <v>女</v>
      </c>
      <c r="F1028" s="7" t="s">
        <v>1182</v>
      </c>
    </row>
    <row r="1029" spans="1:6" ht="20.100000000000001" customHeight="1" x14ac:dyDescent="0.15">
      <c r="A1029" s="5">
        <v>1026</v>
      </c>
      <c r="B1029" s="6" t="str">
        <f>"304820210605175945101664"</f>
        <v>304820210605175945101664</v>
      </c>
      <c r="C1029" s="6" t="s">
        <v>1128</v>
      </c>
      <c r="D1029" s="6" t="str">
        <f>"符小云"</f>
        <v>符小云</v>
      </c>
      <c r="E1029" s="6" t="str">
        <f t="shared" si="36"/>
        <v>女</v>
      </c>
      <c r="F1029" s="7" t="s">
        <v>1497</v>
      </c>
    </row>
    <row r="1030" spans="1:6" ht="20.100000000000001" customHeight="1" x14ac:dyDescent="0.15">
      <c r="A1030" s="5">
        <v>1027</v>
      </c>
      <c r="B1030" s="6" t="str">
        <f>"304820210605181033101696"</f>
        <v>304820210605181033101696</v>
      </c>
      <c r="C1030" s="6" t="s">
        <v>1128</v>
      </c>
      <c r="D1030" s="6" t="str">
        <f>"孙莉婵"</f>
        <v>孙莉婵</v>
      </c>
      <c r="E1030" s="6" t="str">
        <f t="shared" si="36"/>
        <v>女</v>
      </c>
      <c r="F1030" s="7" t="s">
        <v>1303</v>
      </c>
    </row>
    <row r="1031" spans="1:6" ht="20.100000000000001" customHeight="1" x14ac:dyDescent="0.15">
      <c r="A1031" s="5">
        <v>1028</v>
      </c>
      <c r="B1031" s="6" t="str">
        <f>"304820210605181637101711"</f>
        <v>304820210605181637101711</v>
      </c>
      <c r="C1031" s="6" t="s">
        <v>1128</v>
      </c>
      <c r="D1031" s="6" t="str">
        <f>"罗思婷"</f>
        <v>罗思婷</v>
      </c>
      <c r="E1031" s="6" t="str">
        <f t="shared" si="36"/>
        <v>女</v>
      </c>
      <c r="F1031" s="7" t="s">
        <v>454</v>
      </c>
    </row>
    <row r="1032" spans="1:6" ht="20.100000000000001" customHeight="1" x14ac:dyDescent="0.15">
      <c r="A1032" s="5">
        <v>1029</v>
      </c>
      <c r="B1032" s="6" t="str">
        <f>"304820210605182034101722"</f>
        <v>304820210605182034101722</v>
      </c>
      <c r="C1032" s="6" t="s">
        <v>1128</v>
      </c>
      <c r="D1032" s="6" t="str">
        <f>"李延坤"</f>
        <v>李延坤</v>
      </c>
      <c r="E1032" s="6" t="str">
        <f t="shared" si="36"/>
        <v>女</v>
      </c>
      <c r="F1032" s="7" t="s">
        <v>807</v>
      </c>
    </row>
    <row r="1033" spans="1:6" ht="20.100000000000001" customHeight="1" x14ac:dyDescent="0.15">
      <c r="A1033" s="5">
        <v>1030</v>
      </c>
      <c r="B1033" s="6" t="str">
        <f>"304820210605183011101741"</f>
        <v>304820210605183011101741</v>
      </c>
      <c r="C1033" s="6" t="s">
        <v>1128</v>
      </c>
      <c r="D1033" s="6" t="str">
        <f>"蔡兰玉"</f>
        <v>蔡兰玉</v>
      </c>
      <c r="E1033" s="6" t="str">
        <f t="shared" si="36"/>
        <v>女</v>
      </c>
      <c r="F1033" s="7" t="s">
        <v>531</v>
      </c>
    </row>
    <row r="1034" spans="1:6" ht="20.100000000000001" customHeight="1" x14ac:dyDescent="0.15">
      <c r="A1034" s="5">
        <v>1031</v>
      </c>
      <c r="B1034" s="6" t="str">
        <f>"304820210605200224101953"</f>
        <v>304820210605200224101953</v>
      </c>
      <c r="C1034" s="6" t="s">
        <v>1128</v>
      </c>
      <c r="D1034" s="6" t="str">
        <f>"倪德莉"</f>
        <v>倪德莉</v>
      </c>
      <c r="E1034" s="6" t="str">
        <f t="shared" si="36"/>
        <v>女</v>
      </c>
      <c r="F1034" s="7" t="s">
        <v>1498</v>
      </c>
    </row>
    <row r="1035" spans="1:6" ht="20.100000000000001" customHeight="1" x14ac:dyDescent="0.15">
      <c r="A1035" s="5">
        <v>1032</v>
      </c>
      <c r="B1035" s="6" t="str">
        <f>"304820210605200434101959"</f>
        <v>304820210605200434101959</v>
      </c>
      <c r="C1035" s="6" t="s">
        <v>1128</v>
      </c>
      <c r="D1035" s="6" t="str">
        <f>"张华丽"</f>
        <v>张华丽</v>
      </c>
      <c r="E1035" s="6" t="str">
        <f t="shared" si="36"/>
        <v>女</v>
      </c>
      <c r="F1035" s="7" t="s">
        <v>332</v>
      </c>
    </row>
    <row r="1036" spans="1:6" ht="20.100000000000001" customHeight="1" x14ac:dyDescent="0.15">
      <c r="A1036" s="5">
        <v>1033</v>
      </c>
      <c r="B1036" s="6" t="str">
        <f>"304820210605201038101978"</f>
        <v>304820210605201038101978</v>
      </c>
      <c r="C1036" s="6" t="s">
        <v>1128</v>
      </c>
      <c r="D1036" s="6" t="str">
        <f>"王倩倩"</f>
        <v>王倩倩</v>
      </c>
      <c r="E1036" s="6" t="str">
        <f t="shared" si="36"/>
        <v>女</v>
      </c>
      <c r="F1036" s="7" t="s">
        <v>1326</v>
      </c>
    </row>
    <row r="1037" spans="1:6" ht="20.100000000000001" customHeight="1" x14ac:dyDescent="0.15">
      <c r="A1037" s="5">
        <v>1034</v>
      </c>
      <c r="B1037" s="6" t="str">
        <f>"304820210605201421101984"</f>
        <v>304820210605201421101984</v>
      </c>
      <c r="C1037" s="6" t="s">
        <v>1128</v>
      </c>
      <c r="D1037" s="6" t="str">
        <f>"王蕾"</f>
        <v>王蕾</v>
      </c>
      <c r="E1037" s="6" t="str">
        <f t="shared" si="36"/>
        <v>女</v>
      </c>
      <c r="F1037" s="7" t="s">
        <v>1499</v>
      </c>
    </row>
    <row r="1038" spans="1:6" ht="20.100000000000001" customHeight="1" x14ac:dyDescent="0.15">
      <c r="A1038" s="5">
        <v>1035</v>
      </c>
      <c r="B1038" s="6" t="str">
        <f>"304820210605202012101991"</f>
        <v>304820210605202012101991</v>
      </c>
      <c r="C1038" s="6" t="s">
        <v>1128</v>
      </c>
      <c r="D1038" s="6" t="str">
        <f>"杭苗心"</f>
        <v>杭苗心</v>
      </c>
      <c r="E1038" s="6" t="str">
        <f t="shared" si="36"/>
        <v>女</v>
      </c>
      <c r="F1038" s="7" t="s">
        <v>1250</v>
      </c>
    </row>
    <row r="1039" spans="1:6" ht="20.100000000000001" customHeight="1" x14ac:dyDescent="0.15">
      <c r="A1039" s="5">
        <v>1036</v>
      </c>
      <c r="B1039" s="6" t="str">
        <f>"304820210605202258102000"</f>
        <v>304820210605202258102000</v>
      </c>
      <c r="C1039" s="6" t="s">
        <v>1128</v>
      </c>
      <c r="D1039" s="6" t="str">
        <f>"陈菊妃"</f>
        <v>陈菊妃</v>
      </c>
      <c r="E1039" s="6" t="str">
        <f t="shared" si="36"/>
        <v>女</v>
      </c>
      <c r="F1039" s="7" t="s">
        <v>440</v>
      </c>
    </row>
    <row r="1040" spans="1:6" ht="20.100000000000001" customHeight="1" x14ac:dyDescent="0.15">
      <c r="A1040" s="5">
        <v>1037</v>
      </c>
      <c r="B1040" s="6" t="str">
        <f>"304820210605203638102030"</f>
        <v>304820210605203638102030</v>
      </c>
      <c r="C1040" s="6" t="s">
        <v>1128</v>
      </c>
      <c r="D1040" s="6" t="str">
        <f>"林萍"</f>
        <v>林萍</v>
      </c>
      <c r="E1040" s="6" t="str">
        <f t="shared" si="36"/>
        <v>女</v>
      </c>
      <c r="F1040" s="7" t="s">
        <v>1500</v>
      </c>
    </row>
    <row r="1041" spans="1:6" ht="20.100000000000001" customHeight="1" x14ac:dyDescent="0.15">
      <c r="A1041" s="5">
        <v>1038</v>
      </c>
      <c r="B1041" s="6" t="str">
        <f>"304820210605205330102081"</f>
        <v>304820210605205330102081</v>
      </c>
      <c r="C1041" s="6" t="s">
        <v>1128</v>
      </c>
      <c r="D1041" s="6" t="str">
        <f>"吴金梅"</f>
        <v>吴金梅</v>
      </c>
      <c r="E1041" s="6" t="str">
        <f t="shared" si="36"/>
        <v>女</v>
      </c>
      <c r="F1041" s="7" t="s">
        <v>1501</v>
      </c>
    </row>
    <row r="1042" spans="1:6" ht="20.100000000000001" customHeight="1" x14ac:dyDescent="0.15">
      <c r="A1042" s="5">
        <v>1039</v>
      </c>
      <c r="B1042" s="6" t="str">
        <f>"304820210605205412102084"</f>
        <v>304820210605205412102084</v>
      </c>
      <c r="C1042" s="6" t="s">
        <v>1128</v>
      </c>
      <c r="D1042" s="6" t="str">
        <f>"蔡惠"</f>
        <v>蔡惠</v>
      </c>
      <c r="E1042" s="6" t="str">
        <f t="shared" si="36"/>
        <v>女</v>
      </c>
      <c r="F1042" s="7" t="s">
        <v>1502</v>
      </c>
    </row>
    <row r="1043" spans="1:6" ht="20.100000000000001" customHeight="1" x14ac:dyDescent="0.15">
      <c r="A1043" s="5">
        <v>1040</v>
      </c>
      <c r="B1043" s="6" t="str">
        <f>"304820210605210152102109"</f>
        <v>304820210605210152102109</v>
      </c>
      <c r="C1043" s="6" t="s">
        <v>1128</v>
      </c>
      <c r="D1043" s="6" t="str">
        <f>"蔡凡"</f>
        <v>蔡凡</v>
      </c>
      <c r="E1043" s="6" t="str">
        <f t="shared" si="36"/>
        <v>女</v>
      </c>
      <c r="F1043" s="7" t="s">
        <v>1503</v>
      </c>
    </row>
    <row r="1044" spans="1:6" ht="20.100000000000001" customHeight="1" x14ac:dyDescent="0.15">
      <c r="A1044" s="5">
        <v>1041</v>
      </c>
      <c r="B1044" s="6" t="str">
        <f>"304820210605210259102110"</f>
        <v>304820210605210259102110</v>
      </c>
      <c r="C1044" s="6" t="s">
        <v>1128</v>
      </c>
      <c r="D1044" s="6" t="str">
        <f>"吉琳静"</f>
        <v>吉琳静</v>
      </c>
      <c r="E1044" s="6" t="str">
        <f t="shared" si="36"/>
        <v>女</v>
      </c>
      <c r="F1044" s="7" t="s">
        <v>1462</v>
      </c>
    </row>
    <row r="1045" spans="1:6" ht="20.100000000000001" customHeight="1" x14ac:dyDescent="0.15">
      <c r="A1045" s="5">
        <v>1042</v>
      </c>
      <c r="B1045" s="6" t="str">
        <f>"304820210605210347102113"</f>
        <v>304820210605210347102113</v>
      </c>
      <c r="C1045" s="6" t="s">
        <v>1128</v>
      </c>
      <c r="D1045" s="6" t="str">
        <f>"雷澜"</f>
        <v>雷澜</v>
      </c>
      <c r="E1045" s="6" t="str">
        <f t="shared" si="36"/>
        <v>女</v>
      </c>
      <c r="F1045" s="7" t="s">
        <v>1504</v>
      </c>
    </row>
    <row r="1046" spans="1:6" ht="20.100000000000001" customHeight="1" x14ac:dyDescent="0.15">
      <c r="A1046" s="5">
        <v>1043</v>
      </c>
      <c r="B1046" s="6" t="str">
        <f>"304820210605211449102149"</f>
        <v>304820210605211449102149</v>
      </c>
      <c r="C1046" s="6" t="s">
        <v>1128</v>
      </c>
      <c r="D1046" s="6" t="str">
        <f>"韦晓玲"</f>
        <v>韦晓玲</v>
      </c>
      <c r="E1046" s="6" t="str">
        <f t="shared" si="36"/>
        <v>女</v>
      </c>
      <c r="F1046" s="7" t="s">
        <v>362</v>
      </c>
    </row>
    <row r="1047" spans="1:6" ht="20.100000000000001" customHeight="1" x14ac:dyDescent="0.15">
      <c r="A1047" s="5">
        <v>1044</v>
      </c>
      <c r="B1047" s="6" t="str">
        <f>"304820210605215735102282"</f>
        <v>304820210605215735102282</v>
      </c>
      <c r="C1047" s="6" t="s">
        <v>1128</v>
      </c>
      <c r="D1047" s="6" t="str">
        <f>"韩迷迷"</f>
        <v>韩迷迷</v>
      </c>
      <c r="E1047" s="6" t="str">
        <f t="shared" si="36"/>
        <v>女</v>
      </c>
      <c r="F1047" s="7" t="s">
        <v>1505</v>
      </c>
    </row>
    <row r="1048" spans="1:6" ht="20.100000000000001" customHeight="1" x14ac:dyDescent="0.15">
      <c r="A1048" s="5">
        <v>1045</v>
      </c>
      <c r="B1048" s="6" t="str">
        <f>"304820210605220056102289"</f>
        <v>304820210605220056102289</v>
      </c>
      <c r="C1048" s="6" t="s">
        <v>1128</v>
      </c>
      <c r="D1048" s="6" t="str">
        <f>"吴飞湖"</f>
        <v>吴飞湖</v>
      </c>
      <c r="E1048" s="6" t="str">
        <f t="shared" si="36"/>
        <v>女</v>
      </c>
      <c r="F1048" s="7" t="s">
        <v>318</v>
      </c>
    </row>
    <row r="1049" spans="1:6" ht="20.100000000000001" customHeight="1" x14ac:dyDescent="0.15">
      <c r="A1049" s="5">
        <v>1046</v>
      </c>
      <c r="B1049" s="6" t="str">
        <f>"304820210605220413102299"</f>
        <v>304820210605220413102299</v>
      </c>
      <c r="C1049" s="6" t="s">
        <v>1128</v>
      </c>
      <c r="D1049" s="6" t="str">
        <f>"王鑫花"</f>
        <v>王鑫花</v>
      </c>
      <c r="E1049" s="6" t="str">
        <f t="shared" si="36"/>
        <v>女</v>
      </c>
      <c r="F1049" s="7" t="s">
        <v>1506</v>
      </c>
    </row>
    <row r="1050" spans="1:6" ht="20.100000000000001" customHeight="1" x14ac:dyDescent="0.15">
      <c r="A1050" s="5">
        <v>1047</v>
      </c>
      <c r="B1050" s="6" t="str">
        <f>"304820210605220950102309"</f>
        <v>304820210605220950102309</v>
      </c>
      <c r="C1050" s="6" t="s">
        <v>1128</v>
      </c>
      <c r="D1050" s="6" t="str">
        <f>"马金玲"</f>
        <v>马金玲</v>
      </c>
      <c r="E1050" s="6" t="str">
        <f t="shared" si="36"/>
        <v>女</v>
      </c>
      <c r="F1050" s="7" t="s">
        <v>1507</v>
      </c>
    </row>
    <row r="1051" spans="1:6" ht="20.100000000000001" customHeight="1" x14ac:dyDescent="0.15">
      <c r="A1051" s="5">
        <v>1048</v>
      </c>
      <c r="B1051" s="6" t="str">
        <f>"304820210605221622102328"</f>
        <v>304820210605221622102328</v>
      </c>
      <c r="C1051" s="6" t="s">
        <v>1128</v>
      </c>
      <c r="D1051" s="6" t="str">
        <f>"林钰"</f>
        <v>林钰</v>
      </c>
      <c r="E1051" s="6" t="str">
        <f t="shared" si="36"/>
        <v>女</v>
      </c>
      <c r="F1051" s="7" t="s">
        <v>298</v>
      </c>
    </row>
    <row r="1052" spans="1:6" ht="20.100000000000001" customHeight="1" x14ac:dyDescent="0.15">
      <c r="A1052" s="5">
        <v>1049</v>
      </c>
      <c r="B1052" s="6" t="str">
        <f>"304820210605222641102370"</f>
        <v>304820210605222641102370</v>
      </c>
      <c r="C1052" s="6" t="s">
        <v>1128</v>
      </c>
      <c r="D1052" s="6" t="str">
        <f>"蒙芳玲"</f>
        <v>蒙芳玲</v>
      </c>
      <c r="E1052" s="6" t="str">
        <f t="shared" si="36"/>
        <v>女</v>
      </c>
      <c r="F1052" s="7" t="s">
        <v>1508</v>
      </c>
    </row>
    <row r="1053" spans="1:6" ht="20.100000000000001" customHeight="1" x14ac:dyDescent="0.15">
      <c r="A1053" s="5">
        <v>1050</v>
      </c>
      <c r="B1053" s="6" t="str">
        <f>"304820210605223036102381"</f>
        <v>304820210605223036102381</v>
      </c>
      <c r="C1053" s="6" t="s">
        <v>1128</v>
      </c>
      <c r="D1053" s="6" t="str">
        <f>"曾月"</f>
        <v>曾月</v>
      </c>
      <c r="E1053" s="6" t="str">
        <f t="shared" si="36"/>
        <v>女</v>
      </c>
      <c r="F1053" s="7" t="s">
        <v>345</v>
      </c>
    </row>
    <row r="1054" spans="1:6" ht="20.100000000000001" customHeight="1" x14ac:dyDescent="0.15">
      <c r="A1054" s="5">
        <v>1051</v>
      </c>
      <c r="B1054" s="6" t="str">
        <f>"304820210605223805102399"</f>
        <v>304820210605223805102399</v>
      </c>
      <c r="C1054" s="6" t="s">
        <v>1128</v>
      </c>
      <c r="D1054" s="6" t="str">
        <f>"陈仕雪"</f>
        <v>陈仕雪</v>
      </c>
      <c r="E1054" s="6" t="str">
        <f t="shared" si="36"/>
        <v>女</v>
      </c>
      <c r="F1054" s="7" t="s">
        <v>797</v>
      </c>
    </row>
    <row r="1055" spans="1:6" ht="20.100000000000001" customHeight="1" x14ac:dyDescent="0.15">
      <c r="A1055" s="5">
        <v>1052</v>
      </c>
      <c r="B1055" s="6" t="str">
        <f>"304820210605224518102421"</f>
        <v>304820210605224518102421</v>
      </c>
      <c r="C1055" s="6" t="s">
        <v>1128</v>
      </c>
      <c r="D1055" s="6" t="str">
        <f>"云春燕"</f>
        <v>云春燕</v>
      </c>
      <c r="E1055" s="6" t="str">
        <f t="shared" si="36"/>
        <v>女</v>
      </c>
      <c r="F1055" s="7" t="s">
        <v>1509</v>
      </c>
    </row>
    <row r="1056" spans="1:6" ht="20.100000000000001" customHeight="1" x14ac:dyDescent="0.15">
      <c r="A1056" s="5">
        <v>1053</v>
      </c>
      <c r="B1056" s="6" t="str">
        <f>"304820210605225542102443"</f>
        <v>304820210605225542102443</v>
      </c>
      <c r="C1056" s="6" t="s">
        <v>1128</v>
      </c>
      <c r="D1056" s="6" t="str">
        <f>"袁文静"</f>
        <v>袁文静</v>
      </c>
      <c r="E1056" s="6" t="str">
        <f t="shared" si="36"/>
        <v>女</v>
      </c>
      <c r="F1056" s="7" t="s">
        <v>1510</v>
      </c>
    </row>
    <row r="1057" spans="1:6" ht="20.100000000000001" customHeight="1" x14ac:dyDescent="0.15">
      <c r="A1057" s="5">
        <v>1054</v>
      </c>
      <c r="B1057" s="6" t="str">
        <f>"304820210605230850102472"</f>
        <v>304820210605230850102472</v>
      </c>
      <c r="C1057" s="6" t="s">
        <v>1128</v>
      </c>
      <c r="D1057" s="6" t="str">
        <f>"王光怀"</f>
        <v>王光怀</v>
      </c>
      <c r="E1057" s="6" t="str">
        <f>"男"</f>
        <v>男</v>
      </c>
      <c r="F1057" s="7" t="s">
        <v>1511</v>
      </c>
    </row>
    <row r="1058" spans="1:6" ht="20.100000000000001" customHeight="1" x14ac:dyDescent="0.15">
      <c r="A1058" s="5">
        <v>1055</v>
      </c>
      <c r="B1058" s="6" t="str">
        <f>"304820210605233331102518"</f>
        <v>304820210605233331102518</v>
      </c>
      <c r="C1058" s="6" t="s">
        <v>1128</v>
      </c>
      <c r="D1058" s="6" t="str">
        <f>"张媛媛"</f>
        <v>张媛媛</v>
      </c>
      <c r="E1058" s="6" t="str">
        <f t="shared" ref="E1058:E1067" si="37">"女"</f>
        <v>女</v>
      </c>
      <c r="F1058" s="7" t="s">
        <v>1512</v>
      </c>
    </row>
    <row r="1059" spans="1:6" ht="20.100000000000001" customHeight="1" x14ac:dyDescent="0.15">
      <c r="A1059" s="5">
        <v>1056</v>
      </c>
      <c r="B1059" s="6" t="str">
        <f>"304820210606000836102574"</f>
        <v>304820210606000836102574</v>
      </c>
      <c r="C1059" s="6" t="s">
        <v>1128</v>
      </c>
      <c r="D1059" s="6" t="str">
        <f>"翁凡茜"</f>
        <v>翁凡茜</v>
      </c>
      <c r="E1059" s="6" t="str">
        <f t="shared" si="37"/>
        <v>女</v>
      </c>
      <c r="F1059" s="7" t="s">
        <v>887</v>
      </c>
    </row>
    <row r="1060" spans="1:6" ht="20.100000000000001" customHeight="1" x14ac:dyDescent="0.15">
      <c r="A1060" s="5">
        <v>1057</v>
      </c>
      <c r="B1060" s="6" t="str">
        <f>"304820210606001856102586"</f>
        <v>304820210606001856102586</v>
      </c>
      <c r="C1060" s="6" t="s">
        <v>1128</v>
      </c>
      <c r="D1060" s="6" t="str">
        <f>"李丹丹"</f>
        <v>李丹丹</v>
      </c>
      <c r="E1060" s="6" t="str">
        <f t="shared" si="37"/>
        <v>女</v>
      </c>
      <c r="F1060" s="7" t="s">
        <v>553</v>
      </c>
    </row>
    <row r="1061" spans="1:6" ht="20.100000000000001" customHeight="1" x14ac:dyDescent="0.15">
      <c r="A1061" s="5">
        <v>1058</v>
      </c>
      <c r="B1061" s="6" t="str">
        <f>"304820210606002454102592"</f>
        <v>304820210606002454102592</v>
      </c>
      <c r="C1061" s="6" t="s">
        <v>1128</v>
      </c>
      <c r="D1061" s="6" t="str">
        <f>"容鸿珊"</f>
        <v>容鸿珊</v>
      </c>
      <c r="E1061" s="6" t="str">
        <f t="shared" si="37"/>
        <v>女</v>
      </c>
      <c r="F1061" s="7" t="s">
        <v>1427</v>
      </c>
    </row>
    <row r="1062" spans="1:6" ht="20.100000000000001" customHeight="1" x14ac:dyDescent="0.15">
      <c r="A1062" s="5">
        <v>1059</v>
      </c>
      <c r="B1062" s="6" t="str">
        <f>"304820210606002716102594"</f>
        <v>304820210606002716102594</v>
      </c>
      <c r="C1062" s="6" t="s">
        <v>1128</v>
      </c>
      <c r="D1062" s="6" t="str">
        <f>"陈姝妍"</f>
        <v>陈姝妍</v>
      </c>
      <c r="E1062" s="6" t="str">
        <f t="shared" si="37"/>
        <v>女</v>
      </c>
      <c r="F1062" s="7" t="s">
        <v>1513</v>
      </c>
    </row>
    <row r="1063" spans="1:6" ht="20.100000000000001" customHeight="1" x14ac:dyDescent="0.15">
      <c r="A1063" s="5">
        <v>1060</v>
      </c>
      <c r="B1063" s="6" t="str">
        <f>"304820210606004114102604"</f>
        <v>304820210606004114102604</v>
      </c>
      <c r="C1063" s="6" t="s">
        <v>1128</v>
      </c>
      <c r="D1063" s="6" t="str">
        <f>"李娟"</f>
        <v>李娟</v>
      </c>
      <c r="E1063" s="6" t="str">
        <f t="shared" si="37"/>
        <v>女</v>
      </c>
      <c r="F1063" s="7" t="s">
        <v>131</v>
      </c>
    </row>
    <row r="1064" spans="1:6" ht="20.100000000000001" customHeight="1" x14ac:dyDescent="0.15">
      <c r="A1064" s="5">
        <v>1061</v>
      </c>
      <c r="B1064" s="6" t="str">
        <f>"304820210606004735102610"</f>
        <v>304820210606004735102610</v>
      </c>
      <c r="C1064" s="6" t="s">
        <v>1128</v>
      </c>
      <c r="D1064" s="6" t="str">
        <f>"陈月美"</f>
        <v>陈月美</v>
      </c>
      <c r="E1064" s="6" t="str">
        <f t="shared" si="37"/>
        <v>女</v>
      </c>
      <c r="F1064" s="7" t="s">
        <v>1514</v>
      </c>
    </row>
    <row r="1065" spans="1:6" ht="20.100000000000001" customHeight="1" x14ac:dyDescent="0.15">
      <c r="A1065" s="5">
        <v>1062</v>
      </c>
      <c r="B1065" s="6" t="str">
        <f>"304820210606005143102612"</f>
        <v>304820210606005143102612</v>
      </c>
      <c r="C1065" s="6" t="s">
        <v>1128</v>
      </c>
      <c r="D1065" s="6" t="str">
        <f>"许婷玉"</f>
        <v>许婷玉</v>
      </c>
      <c r="E1065" s="6" t="str">
        <f t="shared" si="37"/>
        <v>女</v>
      </c>
      <c r="F1065" s="7" t="s">
        <v>668</v>
      </c>
    </row>
    <row r="1066" spans="1:6" ht="20.100000000000001" customHeight="1" x14ac:dyDescent="0.15">
      <c r="A1066" s="5">
        <v>1063</v>
      </c>
      <c r="B1066" s="6" t="str">
        <f>"304820210606074505102680"</f>
        <v>304820210606074505102680</v>
      </c>
      <c r="C1066" s="6" t="s">
        <v>1128</v>
      </c>
      <c r="D1066" s="6" t="str">
        <f>"兰田靖"</f>
        <v>兰田靖</v>
      </c>
      <c r="E1066" s="6" t="str">
        <f t="shared" si="37"/>
        <v>女</v>
      </c>
      <c r="F1066" s="7" t="s">
        <v>514</v>
      </c>
    </row>
    <row r="1067" spans="1:6" ht="20.100000000000001" customHeight="1" x14ac:dyDescent="0.15">
      <c r="A1067" s="5">
        <v>1064</v>
      </c>
      <c r="B1067" s="6" t="str">
        <f>"304820210606075331102691"</f>
        <v>304820210606075331102691</v>
      </c>
      <c r="C1067" s="6" t="s">
        <v>1128</v>
      </c>
      <c r="D1067" s="6" t="str">
        <f>"林妹"</f>
        <v>林妹</v>
      </c>
      <c r="E1067" s="6" t="str">
        <f t="shared" si="37"/>
        <v>女</v>
      </c>
      <c r="F1067" s="7" t="s">
        <v>138</v>
      </c>
    </row>
    <row r="1068" spans="1:6" ht="20.100000000000001" customHeight="1" x14ac:dyDescent="0.15">
      <c r="A1068" s="5">
        <v>1065</v>
      </c>
      <c r="B1068" s="6" t="str">
        <f>"304820210606080914102707"</f>
        <v>304820210606080914102707</v>
      </c>
      <c r="C1068" s="6" t="s">
        <v>1128</v>
      </c>
      <c r="D1068" s="6" t="str">
        <f>"蔡於良"</f>
        <v>蔡於良</v>
      </c>
      <c r="E1068" s="6" t="str">
        <f>"男"</f>
        <v>男</v>
      </c>
      <c r="F1068" s="7" t="s">
        <v>1515</v>
      </c>
    </row>
    <row r="1069" spans="1:6" ht="20.100000000000001" customHeight="1" x14ac:dyDescent="0.15">
      <c r="A1069" s="5">
        <v>1066</v>
      </c>
      <c r="B1069" s="6" t="str">
        <f>"304820210606085934102779"</f>
        <v>304820210606085934102779</v>
      </c>
      <c r="C1069" s="6" t="s">
        <v>1128</v>
      </c>
      <c r="D1069" s="6" t="str">
        <f>"陈玉湲"</f>
        <v>陈玉湲</v>
      </c>
      <c r="E1069" s="6" t="str">
        <f t="shared" ref="E1069:E1076" si="38">"女"</f>
        <v>女</v>
      </c>
      <c r="F1069" s="7" t="s">
        <v>56</v>
      </c>
    </row>
    <row r="1070" spans="1:6" ht="20.100000000000001" customHeight="1" x14ac:dyDescent="0.15">
      <c r="A1070" s="5">
        <v>1067</v>
      </c>
      <c r="B1070" s="6" t="str">
        <f>"304820210606093052102847"</f>
        <v>304820210606093052102847</v>
      </c>
      <c r="C1070" s="6" t="s">
        <v>1128</v>
      </c>
      <c r="D1070" s="6" t="str">
        <f>"卓春玉"</f>
        <v>卓春玉</v>
      </c>
      <c r="E1070" s="6" t="str">
        <f t="shared" si="38"/>
        <v>女</v>
      </c>
      <c r="F1070" s="7" t="s">
        <v>196</v>
      </c>
    </row>
    <row r="1071" spans="1:6" ht="20.100000000000001" customHeight="1" x14ac:dyDescent="0.15">
      <c r="A1071" s="5">
        <v>1068</v>
      </c>
      <c r="B1071" s="6" t="str">
        <f>"304820210606095827102919"</f>
        <v>304820210606095827102919</v>
      </c>
      <c r="C1071" s="6" t="s">
        <v>1128</v>
      </c>
      <c r="D1071" s="6" t="str">
        <f>"吴美萱"</f>
        <v>吴美萱</v>
      </c>
      <c r="E1071" s="6" t="str">
        <f t="shared" si="38"/>
        <v>女</v>
      </c>
      <c r="F1071" s="7" t="s">
        <v>106</v>
      </c>
    </row>
    <row r="1072" spans="1:6" ht="20.100000000000001" customHeight="1" x14ac:dyDescent="0.15">
      <c r="A1072" s="5">
        <v>1069</v>
      </c>
      <c r="B1072" s="6" t="str">
        <f>"304820210606102853103008"</f>
        <v>304820210606102853103008</v>
      </c>
      <c r="C1072" s="6" t="s">
        <v>1128</v>
      </c>
      <c r="D1072" s="6" t="str">
        <f>"李娇君"</f>
        <v>李娇君</v>
      </c>
      <c r="E1072" s="6" t="str">
        <f t="shared" si="38"/>
        <v>女</v>
      </c>
      <c r="F1072" s="7" t="s">
        <v>96</v>
      </c>
    </row>
    <row r="1073" spans="1:6" ht="20.100000000000001" customHeight="1" x14ac:dyDescent="0.15">
      <c r="A1073" s="5">
        <v>1070</v>
      </c>
      <c r="B1073" s="6" t="str">
        <f>"304820210606103106103018"</f>
        <v>304820210606103106103018</v>
      </c>
      <c r="C1073" s="6" t="s">
        <v>1128</v>
      </c>
      <c r="D1073" s="6" t="str">
        <f>"吴清叶"</f>
        <v>吴清叶</v>
      </c>
      <c r="E1073" s="6" t="str">
        <f t="shared" si="38"/>
        <v>女</v>
      </c>
      <c r="F1073" s="7" t="s">
        <v>1516</v>
      </c>
    </row>
    <row r="1074" spans="1:6" ht="20.100000000000001" customHeight="1" x14ac:dyDescent="0.15">
      <c r="A1074" s="5">
        <v>1071</v>
      </c>
      <c r="B1074" s="6" t="str">
        <f>"304820210606103229103023"</f>
        <v>304820210606103229103023</v>
      </c>
      <c r="C1074" s="6" t="s">
        <v>1128</v>
      </c>
      <c r="D1074" s="6" t="str">
        <f>"黄雅"</f>
        <v>黄雅</v>
      </c>
      <c r="E1074" s="6" t="str">
        <f t="shared" si="38"/>
        <v>女</v>
      </c>
      <c r="F1074" s="7" t="s">
        <v>323</v>
      </c>
    </row>
    <row r="1075" spans="1:6" ht="20.100000000000001" customHeight="1" x14ac:dyDescent="0.15">
      <c r="A1075" s="5">
        <v>1072</v>
      </c>
      <c r="B1075" s="6" t="str">
        <f>"304820210606103324103027"</f>
        <v>304820210606103324103027</v>
      </c>
      <c r="C1075" s="6" t="s">
        <v>1128</v>
      </c>
      <c r="D1075" s="6" t="str">
        <f>"谭吕平"</f>
        <v>谭吕平</v>
      </c>
      <c r="E1075" s="6" t="str">
        <f t="shared" si="38"/>
        <v>女</v>
      </c>
      <c r="F1075" s="7" t="s">
        <v>887</v>
      </c>
    </row>
    <row r="1076" spans="1:6" ht="20.100000000000001" customHeight="1" x14ac:dyDescent="0.15">
      <c r="A1076" s="5">
        <v>1073</v>
      </c>
      <c r="B1076" s="6" t="str">
        <f>"304820210606104741103076"</f>
        <v>304820210606104741103076</v>
      </c>
      <c r="C1076" s="6" t="s">
        <v>1128</v>
      </c>
      <c r="D1076" s="6" t="str">
        <f>"李袁晨馨"</f>
        <v>李袁晨馨</v>
      </c>
      <c r="E1076" s="6" t="str">
        <f t="shared" si="38"/>
        <v>女</v>
      </c>
      <c r="F1076" s="7" t="s">
        <v>549</v>
      </c>
    </row>
    <row r="1077" spans="1:6" ht="20.100000000000001" customHeight="1" x14ac:dyDescent="0.15">
      <c r="A1077" s="5">
        <v>1074</v>
      </c>
      <c r="B1077" s="6" t="str">
        <f>"304820210606105217103094"</f>
        <v>304820210606105217103094</v>
      </c>
      <c r="C1077" s="6" t="s">
        <v>1128</v>
      </c>
      <c r="D1077" s="6" t="str">
        <f>"吴克龙"</f>
        <v>吴克龙</v>
      </c>
      <c r="E1077" s="6" t="str">
        <f>"男"</f>
        <v>男</v>
      </c>
      <c r="F1077" s="7" t="s">
        <v>1517</v>
      </c>
    </row>
    <row r="1078" spans="1:6" ht="20.100000000000001" customHeight="1" x14ac:dyDescent="0.15">
      <c r="A1078" s="5">
        <v>1075</v>
      </c>
      <c r="B1078" s="6" t="str">
        <f>"304820210606110427103128"</f>
        <v>304820210606110427103128</v>
      </c>
      <c r="C1078" s="6" t="s">
        <v>1128</v>
      </c>
      <c r="D1078" s="6" t="str">
        <f>"符文丽"</f>
        <v>符文丽</v>
      </c>
      <c r="E1078" s="6" t="str">
        <f t="shared" ref="E1078:E1135" si="39">"女"</f>
        <v>女</v>
      </c>
      <c r="F1078" s="7" t="s">
        <v>118</v>
      </c>
    </row>
    <row r="1079" spans="1:6" ht="20.100000000000001" customHeight="1" x14ac:dyDescent="0.15">
      <c r="A1079" s="5">
        <v>1076</v>
      </c>
      <c r="B1079" s="6" t="str">
        <f>"304820210606111119103151"</f>
        <v>304820210606111119103151</v>
      </c>
      <c r="C1079" s="6" t="s">
        <v>1128</v>
      </c>
      <c r="D1079" s="6" t="str">
        <f>"唐雨"</f>
        <v>唐雨</v>
      </c>
      <c r="E1079" s="6" t="str">
        <f t="shared" si="39"/>
        <v>女</v>
      </c>
      <c r="F1079" s="7" t="s">
        <v>58</v>
      </c>
    </row>
    <row r="1080" spans="1:6" ht="20.100000000000001" customHeight="1" x14ac:dyDescent="0.15">
      <c r="A1080" s="5">
        <v>1077</v>
      </c>
      <c r="B1080" s="6" t="str">
        <f>"304820210606114011103238"</f>
        <v>304820210606114011103238</v>
      </c>
      <c r="C1080" s="6" t="s">
        <v>1128</v>
      </c>
      <c r="D1080" s="6" t="str">
        <f>"吴金选"</f>
        <v>吴金选</v>
      </c>
      <c r="E1080" s="6" t="str">
        <f t="shared" si="39"/>
        <v>女</v>
      </c>
      <c r="F1080" s="7" t="s">
        <v>1518</v>
      </c>
    </row>
    <row r="1081" spans="1:6" ht="20.100000000000001" customHeight="1" x14ac:dyDescent="0.15">
      <c r="A1081" s="5">
        <v>1078</v>
      </c>
      <c r="B1081" s="6" t="str">
        <f>"304820210606115052103274"</f>
        <v>304820210606115052103274</v>
      </c>
      <c r="C1081" s="6" t="s">
        <v>1128</v>
      </c>
      <c r="D1081" s="6" t="str">
        <f>"杨莉坤"</f>
        <v>杨莉坤</v>
      </c>
      <c r="E1081" s="6" t="str">
        <f t="shared" si="39"/>
        <v>女</v>
      </c>
      <c r="F1081" s="7" t="s">
        <v>1519</v>
      </c>
    </row>
    <row r="1082" spans="1:6" ht="20.100000000000001" customHeight="1" x14ac:dyDescent="0.15">
      <c r="A1082" s="5">
        <v>1079</v>
      </c>
      <c r="B1082" s="6" t="str">
        <f>"304820210606115823103298"</f>
        <v>304820210606115823103298</v>
      </c>
      <c r="C1082" s="6" t="s">
        <v>1128</v>
      </c>
      <c r="D1082" s="6" t="str">
        <f>"刘虹杏"</f>
        <v>刘虹杏</v>
      </c>
      <c r="E1082" s="6" t="str">
        <f t="shared" si="39"/>
        <v>女</v>
      </c>
      <c r="F1082" s="7" t="s">
        <v>1520</v>
      </c>
    </row>
    <row r="1083" spans="1:6" ht="20.100000000000001" customHeight="1" x14ac:dyDescent="0.15">
      <c r="A1083" s="5">
        <v>1080</v>
      </c>
      <c r="B1083" s="6" t="str">
        <f>"304820210606120907103338"</f>
        <v>304820210606120907103338</v>
      </c>
      <c r="C1083" s="6" t="s">
        <v>1128</v>
      </c>
      <c r="D1083" s="6" t="str">
        <f>"陈樱"</f>
        <v>陈樱</v>
      </c>
      <c r="E1083" s="6" t="str">
        <f t="shared" si="39"/>
        <v>女</v>
      </c>
      <c r="F1083" s="7" t="s">
        <v>788</v>
      </c>
    </row>
    <row r="1084" spans="1:6" ht="20.100000000000001" customHeight="1" x14ac:dyDescent="0.15">
      <c r="A1084" s="5">
        <v>1081</v>
      </c>
      <c r="B1084" s="6" t="str">
        <f>"304820210606125056103438"</f>
        <v>304820210606125056103438</v>
      </c>
      <c r="C1084" s="6" t="s">
        <v>1128</v>
      </c>
      <c r="D1084" s="6" t="str">
        <f>"王琼变"</f>
        <v>王琼变</v>
      </c>
      <c r="E1084" s="6" t="str">
        <f t="shared" si="39"/>
        <v>女</v>
      </c>
      <c r="F1084" s="7" t="s">
        <v>717</v>
      </c>
    </row>
    <row r="1085" spans="1:6" ht="20.100000000000001" customHeight="1" x14ac:dyDescent="0.15">
      <c r="A1085" s="5">
        <v>1082</v>
      </c>
      <c r="B1085" s="6" t="str">
        <f>"304820210606125941103464"</f>
        <v>304820210606125941103464</v>
      </c>
      <c r="C1085" s="6" t="s">
        <v>1128</v>
      </c>
      <c r="D1085" s="6" t="str">
        <f>"陈妹玉"</f>
        <v>陈妹玉</v>
      </c>
      <c r="E1085" s="6" t="str">
        <f t="shared" si="39"/>
        <v>女</v>
      </c>
      <c r="F1085" s="7" t="s">
        <v>1198</v>
      </c>
    </row>
    <row r="1086" spans="1:6" ht="20.100000000000001" customHeight="1" x14ac:dyDescent="0.15">
      <c r="A1086" s="5">
        <v>1083</v>
      </c>
      <c r="B1086" s="6" t="str">
        <f>"304820210606130326103477"</f>
        <v>304820210606130326103477</v>
      </c>
      <c r="C1086" s="6" t="s">
        <v>1128</v>
      </c>
      <c r="D1086" s="6" t="str">
        <f>"冯晓芬"</f>
        <v>冯晓芬</v>
      </c>
      <c r="E1086" s="6" t="str">
        <f t="shared" si="39"/>
        <v>女</v>
      </c>
      <c r="F1086" s="7" t="s">
        <v>788</v>
      </c>
    </row>
    <row r="1087" spans="1:6" ht="20.100000000000001" customHeight="1" x14ac:dyDescent="0.15">
      <c r="A1087" s="5">
        <v>1084</v>
      </c>
      <c r="B1087" s="6" t="str">
        <f>"304820210606131227103506"</f>
        <v>304820210606131227103506</v>
      </c>
      <c r="C1087" s="6" t="s">
        <v>1128</v>
      </c>
      <c r="D1087" s="6" t="str">
        <f>"张莛"</f>
        <v>张莛</v>
      </c>
      <c r="E1087" s="6" t="str">
        <f t="shared" si="39"/>
        <v>女</v>
      </c>
      <c r="F1087" s="7" t="s">
        <v>663</v>
      </c>
    </row>
    <row r="1088" spans="1:6" ht="20.100000000000001" customHeight="1" x14ac:dyDescent="0.15">
      <c r="A1088" s="5">
        <v>1085</v>
      </c>
      <c r="B1088" s="6" t="str">
        <f>"304820210606131458103516"</f>
        <v>304820210606131458103516</v>
      </c>
      <c r="C1088" s="6" t="s">
        <v>1128</v>
      </c>
      <c r="D1088" s="6" t="str">
        <f>"林小钰"</f>
        <v>林小钰</v>
      </c>
      <c r="E1088" s="6" t="str">
        <f t="shared" si="39"/>
        <v>女</v>
      </c>
      <c r="F1088" s="7" t="s">
        <v>140</v>
      </c>
    </row>
    <row r="1089" spans="1:6" ht="20.100000000000001" customHeight="1" x14ac:dyDescent="0.15">
      <c r="A1089" s="5">
        <v>1086</v>
      </c>
      <c r="B1089" s="6" t="str">
        <f>"304820210606131629103521"</f>
        <v>304820210606131629103521</v>
      </c>
      <c r="C1089" s="6" t="s">
        <v>1128</v>
      </c>
      <c r="D1089" s="6" t="str">
        <f>"余悦"</f>
        <v>余悦</v>
      </c>
      <c r="E1089" s="6" t="str">
        <f t="shared" si="39"/>
        <v>女</v>
      </c>
      <c r="F1089" s="7" t="s">
        <v>152</v>
      </c>
    </row>
    <row r="1090" spans="1:6" ht="20.100000000000001" customHeight="1" x14ac:dyDescent="0.15">
      <c r="A1090" s="5">
        <v>1087</v>
      </c>
      <c r="B1090" s="6" t="str">
        <f>"304820210606132204103534"</f>
        <v>304820210606132204103534</v>
      </c>
      <c r="C1090" s="6" t="s">
        <v>1128</v>
      </c>
      <c r="D1090" s="6" t="str">
        <f>"林洁"</f>
        <v>林洁</v>
      </c>
      <c r="E1090" s="6" t="str">
        <f t="shared" si="39"/>
        <v>女</v>
      </c>
      <c r="F1090" s="7" t="s">
        <v>965</v>
      </c>
    </row>
    <row r="1091" spans="1:6" ht="20.100000000000001" customHeight="1" x14ac:dyDescent="0.15">
      <c r="A1091" s="5">
        <v>1088</v>
      </c>
      <c r="B1091" s="6" t="str">
        <f>"304820210606132929103556"</f>
        <v>304820210606132929103556</v>
      </c>
      <c r="C1091" s="6" t="s">
        <v>1128</v>
      </c>
      <c r="D1091" s="6" t="str">
        <f>"李芬"</f>
        <v>李芬</v>
      </c>
      <c r="E1091" s="6" t="str">
        <f t="shared" si="39"/>
        <v>女</v>
      </c>
      <c r="F1091" s="7" t="s">
        <v>473</v>
      </c>
    </row>
    <row r="1092" spans="1:6" ht="20.100000000000001" customHeight="1" x14ac:dyDescent="0.15">
      <c r="A1092" s="5">
        <v>1089</v>
      </c>
      <c r="B1092" s="6" t="str">
        <f>"304820210606133718103574"</f>
        <v>304820210606133718103574</v>
      </c>
      <c r="C1092" s="6" t="s">
        <v>1128</v>
      </c>
      <c r="D1092" s="6" t="str">
        <f>"羊月芳"</f>
        <v>羊月芳</v>
      </c>
      <c r="E1092" s="6" t="str">
        <f t="shared" si="39"/>
        <v>女</v>
      </c>
      <c r="F1092" s="7" t="s">
        <v>1521</v>
      </c>
    </row>
    <row r="1093" spans="1:6" ht="20.100000000000001" customHeight="1" x14ac:dyDescent="0.15">
      <c r="A1093" s="5">
        <v>1090</v>
      </c>
      <c r="B1093" s="6" t="str">
        <f>"304820210606134347103600"</f>
        <v>304820210606134347103600</v>
      </c>
      <c r="C1093" s="6" t="s">
        <v>1128</v>
      </c>
      <c r="D1093" s="6" t="str">
        <f>"赖彦羽"</f>
        <v>赖彦羽</v>
      </c>
      <c r="E1093" s="6" t="str">
        <f t="shared" si="39"/>
        <v>女</v>
      </c>
      <c r="F1093" s="7" t="s">
        <v>66</v>
      </c>
    </row>
    <row r="1094" spans="1:6" ht="20.100000000000001" customHeight="1" x14ac:dyDescent="0.15">
      <c r="A1094" s="5">
        <v>1091</v>
      </c>
      <c r="B1094" s="6" t="str">
        <f>"304820210606134409103602"</f>
        <v>304820210606134409103602</v>
      </c>
      <c r="C1094" s="6" t="s">
        <v>1128</v>
      </c>
      <c r="D1094" s="6" t="str">
        <f>"李荣英"</f>
        <v>李荣英</v>
      </c>
      <c r="E1094" s="6" t="str">
        <f t="shared" si="39"/>
        <v>女</v>
      </c>
      <c r="F1094" s="7" t="s">
        <v>386</v>
      </c>
    </row>
    <row r="1095" spans="1:6" ht="20.100000000000001" customHeight="1" x14ac:dyDescent="0.15">
      <c r="A1095" s="5">
        <v>1092</v>
      </c>
      <c r="B1095" s="6" t="str">
        <f>"304820210606134851103615"</f>
        <v>304820210606134851103615</v>
      </c>
      <c r="C1095" s="6" t="s">
        <v>1128</v>
      </c>
      <c r="D1095" s="6" t="str">
        <f>"陈琪"</f>
        <v>陈琪</v>
      </c>
      <c r="E1095" s="6" t="str">
        <f t="shared" si="39"/>
        <v>女</v>
      </c>
      <c r="F1095" s="7" t="s">
        <v>258</v>
      </c>
    </row>
    <row r="1096" spans="1:6" ht="20.100000000000001" customHeight="1" x14ac:dyDescent="0.15">
      <c r="A1096" s="5">
        <v>1093</v>
      </c>
      <c r="B1096" s="6" t="str">
        <f>"304820210606135355103626"</f>
        <v>304820210606135355103626</v>
      </c>
      <c r="C1096" s="6" t="s">
        <v>1128</v>
      </c>
      <c r="D1096" s="6" t="str">
        <f>"缪正雁"</f>
        <v>缪正雁</v>
      </c>
      <c r="E1096" s="6" t="str">
        <f t="shared" si="39"/>
        <v>女</v>
      </c>
      <c r="F1096" s="7" t="s">
        <v>29</v>
      </c>
    </row>
    <row r="1097" spans="1:6" ht="20.100000000000001" customHeight="1" x14ac:dyDescent="0.15">
      <c r="A1097" s="5">
        <v>1094</v>
      </c>
      <c r="B1097" s="6" t="str">
        <f>"304820210606141902103702"</f>
        <v>304820210606141902103702</v>
      </c>
      <c r="C1097" s="6" t="s">
        <v>1128</v>
      </c>
      <c r="D1097" s="6" t="str">
        <f>"吴宗汝"</f>
        <v>吴宗汝</v>
      </c>
      <c r="E1097" s="6" t="str">
        <f t="shared" si="39"/>
        <v>女</v>
      </c>
      <c r="F1097" s="7" t="s">
        <v>436</v>
      </c>
    </row>
    <row r="1098" spans="1:6" ht="20.100000000000001" customHeight="1" x14ac:dyDescent="0.15">
      <c r="A1098" s="5">
        <v>1095</v>
      </c>
      <c r="B1098" s="6" t="str">
        <f>"304820210606143945103753"</f>
        <v>304820210606143945103753</v>
      </c>
      <c r="C1098" s="6" t="s">
        <v>1128</v>
      </c>
      <c r="D1098" s="6" t="str">
        <f>"陈婆转"</f>
        <v>陈婆转</v>
      </c>
      <c r="E1098" s="6" t="str">
        <f t="shared" si="39"/>
        <v>女</v>
      </c>
      <c r="F1098" s="7" t="s">
        <v>386</v>
      </c>
    </row>
    <row r="1099" spans="1:6" ht="20.100000000000001" customHeight="1" x14ac:dyDescent="0.15">
      <c r="A1099" s="5">
        <v>1096</v>
      </c>
      <c r="B1099" s="6" t="str">
        <f>"304820210606145942103792"</f>
        <v>304820210606145942103792</v>
      </c>
      <c r="C1099" s="6" t="s">
        <v>1128</v>
      </c>
      <c r="D1099" s="6" t="str">
        <f>"符秋婷"</f>
        <v>符秋婷</v>
      </c>
      <c r="E1099" s="6" t="str">
        <f t="shared" si="39"/>
        <v>女</v>
      </c>
      <c r="F1099" s="7" t="s">
        <v>1522</v>
      </c>
    </row>
    <row r="1100" spans="1:6" ht="20.100000000000001" customHeight="1" x14ac:dyDescent="0.15">
      <c r="A1100" s="5">
        <v>1097</v>
      </c>
      <c r="B1100" s="6" t="str">
        <f>"304820210606152627103862"</f>
        <v>304820210606152627103862</v>
      </c>
      <c r="C1100" s="6" t="s">
        <v>1128</v>
      </c>
      <c r="D1100" s="6" t="str">
        <f>"许红豆"</f>
        <v>许红豆</v>
      </c>
      <c r="E1100" s="6" t="str">
        <f t="shared" si="39"/>
        <v>女</v>
      </c>
      <c r="F1100" s="7" t="s">
        <v>303</v>
      </c>
    </row>
    <row r="1101" spans="1:6" ht="20.100000000000001" customHeight="1" x14ac:dyDescent="0.15">
      <c r="A1101" s="5">
        <v>1098</v>
      </c>
      <c r="B1101" s="6" t="str">
        <f>"304820210606154325103924"</f>
        <v>304820210606154325103924</v>
      </c>
      <c r="C1101" s="6" t="s">
        <v>1128</v>
      </c>
      <c r="D1101" s="6" t="str">
        <f>"周彬彬"</f>
        <v>周彬彬</v>
      </c>
      <c r="E1101" s="6" t="str">
        <f t="shared" si="39"/>
        <v>女</v>
      </c>
      <c r="F1101" s="7" t="s">
        <v>30</v>
      </c>
    </row>
    <row r="1102" spans="1:6" ht="20.100000000000001" customHeight="1" x14ac:dyDescent="0.15">
      <c r="A1102" s="5">
        <v>1099</v>
      </c>
      <c r="B1102" s="6" t="str">
        <f>"304820210606154430103933"</f>
        <v>304820210606154430103933</v>
      </c>
      <c r="C1102" s="6" t="s">
        <v>1128</v>
      </c>
      <c r="D1102" s="6" t="str">
        <f>"陈秋月"</f>
        <v>陈秋月</v>
      </c>
      <c r="E1102" s="6" t="str">
        <f t="shared" si="39"/>
        <v>女</v>
      </c>
      <c r="F1102" s="7" t="s">
        <v>36</v>
      </c>
    </row>
    <row r="1103" spans="1:6" ht="20.100000000000001" customHeight="1" x14ac:dyDescent="0.15">
      <c r="A1103" s="5">
        <v>1100</v>
      </c>
      <c r="B1103" s="6" t="str">
        <f>"304820210606160438103988"</f>
        <v>304820210606160438103988</v>
      </c>
      <c r="C1103" s="6" t="s">
        <v>1128</v>
      </c>
      <c r="D1103" s="6" t="str">
        <f>"王玲兰"</f>
        <v>王玲兰</v>
      </c>
      <c r="E1103" s="6" t="str">
        <f t="shared" si="39"/>
        <v>女</v>
      </c>
      <c r="F1103" s="7" t="s">
        <v>140</v>
      </c>
    </row>
    <row r="1104" spans="1:6" ht="20.100000000000001" customHeight="1" x14ac:dyDescent="0.15">
      <c r="A1104" s="5">
        <v>1101</v>
      </c>
      <c r="B1104" s="6" t="str">
        <f>"304820210606162332104053"</f>
        <v>304820210606162332104053</v>
      </c>
      <c r="C1104" s="6" t="s">
        <v>1128</v>
      </c>
      <c r="D1104" s="6" t="str">
        <f>"陈小妹"</f>
        <v>陈小妹</v>
      </c>
      <c r="E1104" s="6" t="str">
        <f t="shared" si="39"/>
        <v>女</v>
      </c>
      <c r="F1104" s="7" t="s">
        <v>1388</v>
      </c>
    </row>
    <row r="1105" spans="1:6" ht="20.100000000000001" customHeight="1" x14ac:dyDescent="0.15">
      <c r="A1105" s="5">
        <v>1102</v>
      </c>
      <c r="B1105" s="6" t="str">
        <f>"304820210606163150104076"</f>
        <v>304820210606163150104076</v>
      </c>
      <c r="C1105" s="6" t="s">
        <v>1128</v>
      </c>
      <c r="D1105" s="6" t="str">
        <f>"许玲"</f>
        <v>许玲</v>
      </c>
      <c r="E1105" s="6" t="str">
        <f t="shared" si="39"/>
        <v>女</v>
      </c>
      <c r="F1105" s="7" t="s">
        <v>1151</v>
      </c>
    </row>
    <row r="1106" spans="1:6" ht="20.100000000000001" customHeight="1" x14ac:dyDescent="0.15">
      <c r="A1106" s="5">
        <v>1103</v>
      </c>
      <c r="B1106" s="6" t="str">
        <f>"304820210606163615104089"</f>
        <v>304820210606163615104089</v>
      </c>
      <c r="C1106" s="6" t="s">
        <v>1128</v>
      </c>
      <c r="D1106" s="6" t="str">
        <f>"刘小燕"</f>
        <v>刘小燕</v>
      </c>
      <c r="E1106" s="6" t="str">
        <f t="shared" si="39"/>
        <v>女</v>
      </c>
      <c r="F1106" s="7" t="s">
        <v>1523</v>
      </c>
    </row>
    <row r="1107" spans="1:6" ht="20.100000000000001" customHeight="1" x14ac:dyDescent="0.15">
      <c r="A1107" s="5">
        <v>1104</v>
      </c>
      <c r="B1107" s="6" t="str">
        <f>"304820210606164708104136"</f>
        <v>304820210606164708104136</v>
      </c>
      <c r="C1107" s="6" t="s">
        <v>1128</v>
      </c>
      <c r="D1107" s="6" t="str">
        <f>"陈玲妹"</f>
        <v>陈玲妹</v>
      </c>
      <c r="E1107" s="6" t="str">
        <f t="shared" si="39"/>
        <v>女</v>
      </c>
      <c r="F1107" s="7" t="s">
        <v>1524</v>
      </c>
    </row>
    <row r="1108" spans="1:6" ht="20.100000000000001" customHeight="1" x14ac:dyDescent="0.15">
      <c r="A1108" s="5">
        <v>1105</v>
      </c>
      <c r="B1108" s="6" t="str">
        <f>"304820210606165422104168"</f>
        <v>304820210606165422104168</v>
      </c>
      <c r="C1108" s="6" t="s">
        <v>1128</v>
      </c>
      <c r="D1108" s="6" t="str">
        <f>"李叶子"</f>
        <v>李叶子</v>
      </c>
      <c r="E1108" s="6" t="str">
        <f t="shared" si="39"/>
        <v>女</v>
      </c>
      <c r="F1108" s="7" t="s">
        <v>741</v>
      </c>
    </row>
    <row r="1109" spans="1:6" ht="20.100000000000001" customHeight="1" x14ac:dyDescent="0.15">
      <c r="A1109" s="5">
        <v>1106</v>
      </c>
      <c r="B1109" s="6" t="str">
        <f>"304820210606170116104195"</f>
        <v>304820210606170116104195</v>
      </c>
      <c r="C1109" s="6" t="s">
        <v>1128</v>
      </c>
      <c r="D1109" s="6" t="str">
        <f>"吴琳"</f>
        <v>吴琳</v>
      </c>
      <c r="E1109" s="6" t="str">
        <f t="shared" si="39"/>
        <v>女</v>
      </c>
      <c r="F1109" s="7" t="s">
        <v>584</v>
      </c>
    </row>
    <row r="1110" spans="1:6" ht="20.100000000000001" customHeight="1" x14ac:dyDescent="0.15">
      <c r="A1110" s="5">
        <v>1107</v>
      </c>
      <c r="B1110" s="6" t="str">
        <f>"304820210606170306104200"</f>
        <v>304820210606170306104200</v>
      </c>
      <c r="C1110" s="6" t="s">
        <v>1128</v>
      </c>
      <c r="D1110" s="6" t="str">
        <f>"黄燕蕊"</f>
        <v>黄燕蕊</v>
      </c>
      <c r="E1110" s="6" t="str">
        <f t="shared" si="39"/>
        <v>女</v>
      </c>
      <c r="F1110" s="7" t="s">
        <v>332</v>
      </c>
    </row>
    <row r="1111" spans="1:6" ht="20.100000000000001" customHeight="1" x14ac:dyDescent="0.15">
      <c r="A1111" s="5">
        <v>1108</v>
      </c>
      <c r="B1111" s="6" t="str">
        <f>"304820210606170438104205"</f>
        <v>304820210606170438104205</v>
      </c>
      <c r="C1111" s="6" t="s">
        <v>1128</v>
      </c>
      <c r="D1111" s="6" t="str">
        <f>"王重昙"</f>
        <v>王重昙</v>
      </c>
      <c r="E1111" s="6" t="str">
        <f t="shared" si="39"/>
        <v>女</v>
      </c>
      <c r="F1111" s="7" t="s">
        <v>68</v>
      </c>
    </row>
    <row r="1112" spans="1:6" ht="20.100000000000001" customHeight="1" x14ac:dyDescent="0.15">
      <c r="A1112" s="5">
        <v>1109</v>
      </c>
      <c r="B1112" s="6" t="str">
        <f>"304820210606172929104292"</f>
        <v>304820210606172929104292</v>
      </c>
      <c r="C1112" s="6" t="s">
        <v>1128</v>
      </c>
      <c r="D1112" s="6" t="str">
        <f>"李梦茹"</f>
        <v>李梦茹</v>
      </c>
      <c r="E1112" s="6" t="str">
        <f t="shared" si="39"/>
        <v>女</v>
      </c>
      <c r="F1112" s="7" t="s">
        <v>1525</v>
      </c>
    </row>
    <row r="1113" spans="1:6" ht="20.100000000000001" customHeight="1" x14ac:dyDescent="0.15">
      <c r="A1113" s="5">
        <v>1110</v>
      </c>
      <c r="B1113" s="6" t="str">
        <f>"304820210606173612104318"</f>
        <v>304820210606173612104318</v>
      </c>
      <c r="C1113" s="6" t="s">
        <v>1128</v>
      </c>
      <c r="D1113" s="6" t="str">
        <f>"杨洪丽"</f>
        <v>杨洪丽</v>
      </c>
      <c r="E1113" s="6" t="str">
        <f t="shared" si="39"/>
        <v>女</v>
      </c>
      <c r="F1113" s="7" t="s">
        <v>695</v>
      </c>
    </row>
    <row r="1114" spans="1:6" ht="20.100000000000001" customHeight="1" x14ac:dyDescent="0.15">
      <c r="A1114" s="5">
        <v>1111</v>
      </c>
      <c r="B1114" s="6" t="str">
        <f>"304820210606173849104327"</f>
        <v>304820210606173849104327</v>
      </c>
      <c r="C1114" s="6" t="s">
        <v>1128</v>
      </c>
      <c r="D1114" s="6" t="str">
        <f>"云天静"</f>
        <v>云天静</v>
      </c>
      <c r="E1114" s="6" t="str">
        <f t="shared" si="39"/>
        <v>女</v>
      </c>
      <c r="F1114" s="7" t="s">
        <v>149</v>
      </c>
    </row>
    <row r="1115" spans="1:6" ht="20.100000000000001" customHeight="1" x14ac:dyDescent="0.15">
      <c r="A1115" s="5">
        <v>1112</v>
      </c>
      <c r="B1115" s="6" t="str">
        <f>"304820210606174342104342"</f>
        <v>304820210606174342104342</v>
      </c>
      <c r="C1115" s="6" t="s">
        <v>1128</v>
      </c>
      <c r="D1115" s="6" t="str">
        <f>"黄彩彬"</f>
        <v>黄彩彬</v>
      </c>
      <c r="E1115" s="6" t="str">
        <f t="shared" si="39"/>
        <v>女</v>
      </c>
      <c r="F1115" s="7" t="s">
        <v>1526</v>
      </c>
    </row>
    <row r="1116" spans="1:6" ht="20.100000000000001" customHeight="1" x14ac:dyDescent="0.15">
      <c r="A1116" s="5">
        <v>1113</v>
      </c>
      <c r="B1116" s="6" t="str">
        <f>"304820210606175105104356"</f>
        <v>304820210606175105104356</v>
      </c>
      <c r="C1116" s="6" t="s">
        <v>1128</v>
      </c>
      <c r="D1116" s="6" t="str">
        <f>"何菊"</f>
        <v>何菊</v>
      </c>
      <c r="E1116" s="6" t="str">
        <f t="shared" si="39"/>
        <v>女</v>
      </c>
      <c r="F1116" s="7" t="s">
        <v>485</v>
      </c>
    </row>
    <row r="1117" spans="1:6" ht="20.100000000000001" customHeight="1" x14ac:dyDescent="0.15">
      <c r="A1117" s="5">
        <v>1114</v>
      </c>
      <c r="B1117" s="6" t="str">
        <f>"304820210606175128104359"</f>
        <v>304820210606175128104359</v>
      </c>
      <c r="C1117" s="6" t="s">
        <v>1128</v>
      </c>
      <c r="D1117" s="6" t="str">
        <f>"黄有莲"</f>
        <v>黄有莲</v>
      </c>
      <c r="E1117" s="6" t="str">
        <f t="shared" si="39"/>
        <v>女</v>
      </c>
      <c r="F1117" s="7" t="s">
        <v>1277</v>
      </c>
    </row>
    <row r="1118" spans="1:6" ht="20.100000000000001" customHeight="1" x14ac:dyDescent="0.15">
      <c r="A1118" s="5">
        <v>1115</v>
      </c>
      <c r="B1118" s="6" t="str">
        <f>"304820210606175156104361"</f>
        <v>304820210606175156104361</v>
      </c>
      <c r="C1118" s="6" t="s">
        <v>1128</v>
      </c>
      <c r="D1118" s="6" t="str">
        <f>"林娟"</f>
        <v>林娟</v>
      </c>
      <c r="E1118" s="6" t="str">
        <f t="shared" si="39"/>
        <v>女</v>
      </c>
      <c r="F1118" s="7" t="s">
        <v>579</v>
      </c>
    </row>
    <row r="1119" spans="1:6" ht="20.100000000000001" customHeight="1" x14ac:dyDescent="0.15">
      <c r="A1119" s="5">
        <v>1116</v>
      </c>
      <c r="B1119" s="6" t="str">
        <f>"304820210606175345104371"</f>
        <v>304820210606175345104371</v>
      </c>
      <c r="C1119" s="6" t="s">
        <v>1128</v>
      </c>
      <c r="D1119" s="6" t="str">
        <f>"罗敏"</f>
        <v>罗敏</v>
      </c>
      <c r="E1119" s="6" t="str">
        <f t="shared" si="39"/>
        <v>女</v>
      </c>
      <c r="F1119" s="7" t="s">
        <v>1527</v>
      </c>
    </row>
    <row r="1120" spans="1:6" ht="20.100000000000001" customHeight="1" x14ac:dyDescent="0.15">
      <c r="A1120" s="5">
        <v>1117</v>
      </c>
      <c r="B1120" s="6" t="str">
        <f>"304820210606180447104395"</f>
        <v>304820210606180447104395</v>
      </c>
      <c r="C1120" s="6" t="s">
        <v>1128</v>
      </c>
      <c r="D1120" s="6" t="str">
        <f>"麦银芳"</f>
        <v>麦银芳</v>
      </c>
      <c r="E1120" s="6" t="str">
        <f t="shared" si="39"/>
        <v>女</v>
      </c>
      <c r="F1120" s="7" t="s">
        <v>1069</v>
      </c>
    </row>
    <row r="1121" spans="1:6" ht="20.100000000000001" customHeight="1" x14ac:dyDescent="0.15">
      <c r="A1121" s="5">
        <v>1118</v>
      </c>
      <c r="B1121" s="6" t="str">
        <f>"304820210606182731104436"</f>
        <v>304820210606182731104436</v>
      </c>
      <c r="C1121" s="6" t="s">
        <v>1128</v>
      </c>
      <c r="D1121" s="6" t="str">
        <f>"陈雪"</f>
        <v>陈雪</v>
      </c>
      <c r="E1121" s="6" t="str">
        <f t="shared" si="39"/>
        <v>女</v>
      </c>
      <c r="F1121" s="7" t="s">
        <v>1280</v>
      </c>
    </row>
    <row r="1122" spans="1:6" ht="20.100000000000001" customHeight="1" x14ac:dyDescent="0.15">
      <c r="A1122" s="5">
        <v>1119</v>
      </c>
      <c r="B1122" s="6" t="str">
        <f>"304820210606184413104459"</f>
        <v>304820210606184413104459</v>
      </c>
      <c r="C1122" s="6" t="s">
        <v>1128</v>
      </c>
      <c r="D1122" s="6" t="str">
        <f>"王曼玲"</f>
        <v>王曼玲</v>
      </c>
      <c r="E1122" s="6" t="str">
        <f t="shared" si="39"/>
        <v>女</v>
      </c>
      <c r="F1122" s="7" t="s">
        <v>1317</v>
      </c>
    </row>
    <row r="1123" spans="1:6" ht="20.100000000000001" customHeight="1" x14ac:dyDescent="0.15">
      <c r="A1123" s="5">
        <v>1120</v>
      </c>
      <c r="B1123" s="6" t="str">
        <f>"304820210606185443104476"</f>
        <v>304820210606185443104476</v>
      </c>
      <c r="C1123" s="6" t="s">
        <v>1128</v>
      </c>
      <c r="D1123" s="6" t="str">
        <f>"冯芯怡"</f>
        <v>冯芯怡</v>
      </c>
      <c r="E1123" s="6" t="str">
        <f t="shared" si="39"/>
        <v>女</v>
      </c>
      <c r="F1123" s="7" t="s">
        <v>1071</v>
      </c>
    </row>
    <row r="1124" spans="1:6" ht="20.100000000000001" customHeight="1" x14ac:dyDescent="0.15">
      <c r="A1124" s="5">
        <v>1121</v>
      </c>
      <c r="B1124" s="6" t="str">
        <f>"304820210606191409104509"</f>
        <v>304820210606191409104509</v>
      </c>
      <c r="C1124" s="6" t="s">
        <v>1128</v>
      </c>
      <c r="D1124" s="6" t="str">
        <f>"王业林"</f>
        <v>王业林</v>
      </c>
      <c r="E1124" s="6" t="str">
        <f t="shared" si="39"/>
        <v>女</v>
      </c>
      <c r="F1124" s="7" t="s">
        <v>332</v>
      </c>
    </row>
    <row r="1125" spans="1:6" ht="20.100000000000001" customHeight="1" x14ac:dyDescent="0.15">
      <c r="A1125" s="5">
        <v>1122</v>
      </c>
      <c r="B1125" s="6" t="str">
        <f>"304820210606193945104558"</f>
        <v>304820210606193945104558</v>
      </c>
      <c r="C1125" s="6" t="s">
        <v>1128</v>
      </c>
      <c r="D1125" s="6" t="str">
        <f>"张沁慧"</f>
        <v>张沁慧</v>
      </c>
      <c r="E1125" s="6" t="str">
        <f t="shared" si="39"/>
        <v>女</v>
      </c>
      <c r="F1125" s="7" t="s">
        <v>1528</v>
      </c>
    </row>
    <row r="1126" spans="1:6" ht="20.100000000000001" customHeight="1" x14ac:dyDescent="0.15">
      <c r="A1126" s="5">
        <v>1123</v>
      </c>
      <c r="B1126" s="6" t="str">
        <f>"304820210606194827104568"</f>
        <v>304820210606194827104568</v>
      </c>
      <c r="C1126" s="6" t="s">
        <v>1128</v>
      </c>
      <c r="D1126" s="6" t="str">
        <f>"任碧琴"</f>
        <v>任碧琴</v>
      </c>
      <c r="E1126" s="6" t="str">
        <f t="shared" si="39"/>
        <v>女</v>
      </c>
      <c r="F1126" s="7" t="s">
        <v>613</v>
      </c>
    </row>
    <row r="1127" spans="1:6" ht="20.100000000000001" customHeight="1" x14ac:dyDescent="0.15">
      <c r="A1127" s="5">
        <v>1124</v>
      </c>
      <c r="B1127" s="6" t="str">
        <f>"304820210606201025104602"</f>
        <v>304820210606201025104602</v>
      </c>
      <c r="C1127" s="6" t="s">
        <v>1128</v>
      </c>
      <c r="D1127" s="6" t="str">
        <f>"王宝银"</f>
        <v>王宝银</v>
      </c>
      <c r="E1127" s="6" t="str">
        <f t="shared" si="39"/>
        <v>女</v>
      </c>
      <c r="F1127" s="7" t="s">
        <v>1529</v>
      </c>
    </row>
    <row r="1128" spans="1:6" ht="20.100000000000001" customHeight="1" x14ac:dyDescent="0.15">
      <c r="A1128" s="5">
        <v>1125</v>
      </c>
      <c r="B1128" s="6" t="str">
        <f>"304820210606202437104628"</f>
        <v>304820210606202437104628</v>
      </c>
      <c r="C1128" s="6" t="s">
        <v>1128</v>
      </c>
      <c r="D1128" s="6" t="str">
        <f>"陈静"</f>
        <v>陈静</v>
      </c>
      <c r="E1128" s="6" t="str">
        <f t="shared" si="39"/>
        <v>女</v>
      </c>
      <c r="F1128" s="7" t="s">
        <v>1530</v>
      </c>
    </row>
    <row r="1129" spans="1:6" ht="20.100000000000001" customHeight="1" x14ac:dyDescent="0.15">
      <c r="A1129" s="5">
        <v>1126</v>
      </c>
      <c r="B1129" s="6" t="str">
        <f>"304820210606202553104629"</f>
        <v>304820210606202553104629</v>
      </c>
      <c r="C1129" s="6" t="s">
        <v>1128</v>
      </c>
      <c r="D1129" s="6" t="str">
        <f>"潘菲"</f>
        <v>潘菲</v>
      </c>
      <c r="E1129" s="6" t="str">
        <f t="shared" si="39"/>
        <v>女</v>
      </c>
      <c r="F1129" s="7" t="s">
        <v>450</v>
      </c>
    </row>
    <row r="1130" spans="1:6" ht="20.100000000000001" customHeight="1" x14ac:dyDescent="0.15">
      <c r="A1130" s="5">
        <v>1127</v>
      </c>
      <c r="B1130" s="6" t="str">
        <f>"304820210606202917104638"</f>
        <v>304820210606202917104638</v>
      </c>
      <c r="C1130" s="6" t="s">
        <v>1128</v>
      </c>
      <c r="D1130" s="6" t="str">
        <f>"黄清雨"</f>
        <v>黄清雨</v>
      </c>
      <c r="E1130" s="6" t="str">
        <f t="shared" si="39"/>
        <v>女</v>
      </c>
      <c r="F1130" s="7" t="s">
        <v>1271</v>
      </c>
    </row>
    <row r="1131" spans="1:6" ht="20.100000000000001" customHeight="1" x14ac:dyDescent="0.15">
      <c r="A1131" s="5">
        <v>1128</v>
      </c>
      <c r="B1131" s="6" t="str">
        <f>"304820210606203634104665"</f>
        <v>304820210606203634104665</v>
      </c>
      <c r="C1131" s="6" t="s">
        <v>1128</v>
      </c>
      <c r="D1131" s="6" t="str">
        <f>"张晔"</f>
        <v>张晔</v>
      </c>
      <c r="E1131" s="6" t="str">
        <f t="shared" si="39"/>
        <v>女</v>
      </c>
      <c r="F1131" s="7" t="s">
        <v>302</v>
      </c>
    </row>
    <row r="1132" spans="1:6" ht="20.100000000000001" customHeight="1" x14ac:dyDescent="0.15">
      <c r="A1132" s="5">
        <v>1129</v>
      </c>
      <c r="B1132" s="6" t="str">
        <f>"304820210606204236104677"</f>
        <v>304820210606204236104677</v>
      </c>
      <c r="C1132" s="6" t="s">
        <v>1128</v>
      </c>
      <c r="D1132" s="6" t="str">
        <f>"陈红菱"</f>
        <v>陈红菱</v>
      </c>
      <c r="E1132" s="6" t="str">
        <f t="shared" si="39"/>
        <v>女</v>
      </c>
      <c r="F1132" s="7" t="s">
        <v>1531</v>
      </c>
    </row>
    <row r="1133" spans="1:6" ht="20.100000000000001" customHeight="1" x14ac:dyDescent="0.15">
      <c r="A1133" s="5">
        <v>1130</v>
      </c>
      <c r="B1133" s="6" t="str">
        <f>"304820210606204734104686"</f>
        <v>304820210606204734104686</v>
      </c>
      <c r="C1133" s="6" t="s">
        <v>1128</v>
      </c>
      <c r="D1133" s="6" t="str">
        <f>"李祥梦"</f>
        <v>李祥梦</v>
      </c>
      <c r="E1133" s="6" t="str">
        <f t="shared" si="39"/>
        <v>女</v>
      </c>
      <c r="F1133" s="7" t="s">
        <v>1194</v>
      </c>
    </row>
    <row r="1134" spans="1:6" ht="20.100000000000001" customHeight="1" x14ac:dyDescent="0.15">
      <c r="A1134" s="5">
        <v>1131</v>
      </c>
      <c r="B1134" s="6" t="str">
        <f>"304820210606205323104708"</f>
        <v>304820210606205323104708</v>
      </c>
      <c r="C1134" s="6" t="s">
        <v>1128</v>
      </c>
      <c r="D1134" s="6" t="str">
        <f>"张楠"</f>
        <v>张楠</v>
      </c>
      <c r="E1134" s="6" t="str">
        <f t="shared" si="39"/>
        <v>女</v>
      </c>
      <c r="F1134" s="7" t="s">
        <v>1532</v>
      </c>
    </row>
    <row r="1135" spans="1:6" ht="20.100000000000001" customHeight="1" x14ac:dyDescent="0.15">
      <c r="A1135" s="5">
        <v>1132</v>
      </c>
      <c r="B1135" s="6" t="str">
        <f>"304820210606205604104720"</f>
        <v>304820210606205604104720</v>
      </c>
      <c r="C1135" s="6" t="s">
        <v>1128</v>
      </c>
      <c r="D1135" s="6" t="str">
        <f>"梁颖"</f>
        <v>梁颖</v>
      </c>
      <c r="E1135" s="6" t="str">
        <f t="shared" si="39"/>
        <v>女</v>
      </c>
      <c r="F1135" s="7" t="s">
        <v>1533</v>
      </c>
    </row>
    <row r="1136" spans="1:6" ht="20.100000000000001" customHeight="1" x14ac:dyDescent="0.15">
      <c r="A1136" s="5">
        <v>1133</v>
      </c>
      <c r="B1136" s="6" t="str">
        <f>"304820210606210106104736"</f>
        <v>304820210606210106104736</v>
      </c>
      <c r="C1136" s="6" t="s">
        <v>1128</v>
      </c>
      <c r="D1136" s="6" t="str">
        <f>"王世国"</f>
        <v>王世国</v>
      </c>
      <c r="E1136" s="6" t="str">
        <f>"男"</f>
        <v>男</v>
      </c>
      <c r="F1136" s="7" t="s">
        <v>1534</v>
      </c>
    </row>
    <row r="1137" spans="1:6" ht="20.100000000000001" customHeight="1" x14ac:dyDescent="0.15">
      <c r="A1137" s="5">
        <v>1134</v>
      </c>
      <c r="B1137" s="6" t="str">
        <f>"304820210606210404104749"</f>
        <v>304820210606210404104749</v>
      </c>
      <c r="C1137" s="6" t="s">
        <v>1128</v>
      </c>
      <c r="D1137" s="6" t="str">
        <f>"陈明诗"</f>
        <v>陈明诗</v>
      </c>
      <c r="E1137" s="6" t="str">
        <f t="shared" ref="E1137:E1186" si="40">"女"</f>
        <v>女</v>
      </c>
      <c r="F1137" s="7" t="s">
        <v>1535</v>
      </c>
    </row>
    <row r="1138" spans="1:6" ht="20.100000000000001" customHeight="1" x14ac:dyDescent="0.15">
      <c r="A1138" s="5">
        <v>1135</v>
      </c>
      <c r="B1138" s="6" t="str">
        <f>"304820210606211159104763"</f>
        <v>304820210606211159104763</v>
      </c>
      <c r="C1138" s="6" t="s">
        <v>1128</v>
      </c>
      <c r="D1138" s="6" t="str">
        <f>"何影"</f>
        <v>何影</v>
      </c>
      <c r="E1138" s="6" t="str">
        <f t="shared" si="40"/>
        <v>女</v>
      </c>
      <c r="F1138" s="7" t="s">
        <v>1307</v>
      </c>
    </row>
    <row r="1139" spans="1:6" ht="20.100000000000001" customHeight="1" x14ac:dyDescent="0.15">
      <c r="A1139" s="5">
        <v>1136</v>
      </c>
      <c r="B1139" s="6" t="str">
        <f>"304820210606211841104781"</f>
        <v>304820210606211841104781</v>
      </c>
      <c r="C1139" s="6" t="s">
        <v>1128</v>
      </c>
      <c r="D1139" s="6" t="str">
        <f>"杨雪"</f>
        <v>杨雪</v>
      </c>
      <c r="E1139" s="6" t="str">
        <f t="shared" si="40"/>
        <v>女</v>
      </c>
      <c r="F1139" s="7" t="s">
        <v>1536</v>
      </c>
    </row>
    <row r="1140" spans="1:6" ht="20.100000000000001" customHeight="1" x14ac:dyDescent="0.15">
      <c r="A1140" s="5">
        <v>1137</v>
      </c>
      <c r="B1140" s="6" t="str">
        <f>"304820210606211956104785"</f>
        <v>304820210606211956104785</v>
      </c>
      <c r="C1140" s="6" t="s">
        <v>1128</v>
      </c>
      <c r="D1140" s="6" t="str">
        <f>"吴珍莲"</f>
        <v>吴珍莲</v>
      </c>
      <c r="E1140" s="6" t="str">
        <f t="shared" si="40"/>
        <v>女</v>
      </c>
      <c r="F1140" s="7" t="s">
        <v>669</v>
      </c>
    </row>
    <row r="1141" spans="1:6" ht="20.100000000000001" customHeight="1" x14ac:dyDescent="0.15">
      <c r="A1141" s="5">
        <v>1138</v>
      </c>
      <c r="B1141" s="6" t="str">
        <f>"304820210606212219104792"</f>
        <v>304820210606212219104792</v>
      </c>
      <c r="C1141" s="6" t="s">
        <v>1128</v>
      </c>
      <c r="D1141" s="6" t="str">
        <f>"曾蔚玲"</f>
        <v>曾蔚玲</v>
      </c>
      <c r="E1141" s="6" t="str">
        <f t="shared" si="40"/>
        <v>女</v>
      </c>
      <c r="F1141" s="7" t="s">
        <v>989</v>
      </c>
    </row>
    <row r="1142" spans="1:6" ht="20.100000000000001" customHeight="1" x14ac:dyDescent="0.15">
      <c r="A1142" s="5">
        <v>1139</v>
      </c>
      <c r="B1142" s="6" t="str">
        <f>"304820210606212834104809"</f>
        <v>304820210606212834104809</v>
      </c>
      <c r="C1142" s="6" t="s">
        <v>1128</v>
      </c>
      <c r="D1142" s="6" t="str">
        <f>"郑淞丹"</f>
        <v>郑淞丹</v>
      </c>
      <c r="E1142" s="6" t="str">
        <f t="shared" si="40"/>
        <v>女</v>
      </c>
      <c r="F1142" s="7" t="s">
        <v>442</v>
      </c>
    </row>
    <row r="1143" spans="1:6" ht="20.100000000000001" customHeight="1" x14ac:dyDescent="0.15">
      <c r="A1143" s="5">
        <v>1140</v>
      </c>
      <c r="B1143" s="6" t="str">
        <f>"304820210606214530104860"</f>
        <v>304820210606214530104860</v>
      </c>
      <c r="C1143" s="6" t="s">
        <v>1128</v>
      </c>
      <c r="D1143" s="6" t="str">
        <f>"陈英"</f>
        <v>陈英</v>
      </c>
      <c r="E1143" s="6" t="str">
        <f t="shared" si="40"/>
        <v>女</v>
      </c>
      <c r="F1143" s="7" t="s">
        <v>1537</v>
      </c>
    </row>
    <row r="1144" spans="1:6" ht="20.100000000000001" customHeight="1" x14ac:dyDescent="0.15">
      <c r="A1144" s="5">
        <v>1141</v>
      </c>
      <c r="B1144" s="6" t="str">
        <f>"304820210606215341104881"</f>
        <v>304820210606215341104881</v>
      </c>
      <c r="C1144" s="6" t="s">
        <v>1128</v>
      </c>
      <c r="D1144" s="6" t="str">
        <f>"符月婷"</f>
        <v>符月婷</v>
      </c>
      <c r="E1144" s="6" t="str">
        <f t="shared" si="40"/>
        <v>女</v>
      </c>
      <c r="F1144" s="7" t="s">
        <v>1538</v>
      </c>
    </row>
    <row r="1145" spans="1:6" ht="20.100000000000001" customHeight="1" x14ac:dyDescent="0.15">
      <c r="A1145" s="5">
        <v>1142</v>
      </c>
      <c r="B1145" s="6" t="str">
        <f>"304820210606215818104895"</f>
        <v>304820210606215818104895</v>
      </c>
      <c r="C1145" s="6" t="s">
        <v>1128</v>
      </c>
      <c r="D1145" s="6" t="str">
        <f>"万兴柳"</f>
        <v>万兴柳</v>
      </c>
      <c r="E1145" s="6" t="str">
        <f t="shared" si="40"/>
        <v>女</v>
      </c>
      <c r="F1145" s="7" t="s">
        <v>453</v>
      </c>
    </row>
    <row r="1146" spans="1:6" ht="20.100000000000001" customHeight="1" x14ac:dyDescent="0.15">
      <c r="A1146" s="5">
        <v>1143</v>
      </c>
      <c r="B1146" s="6" t="str">
        <f>"304820210606220820104926"</f>
        <v>304820210606220820104926</v>
      </c>
      <c r="C1146" s="6" t="s">
        <v>1128</v>
      </c>
      <c r="D1146" s="6" t="str">
        <f>"李若贤"</f>
        <v>李若贤</v>
      </c>
      <c r="E1146" s="6" t="str">
        <f t="shared" si="40"/>
        <v>女</v>
      </c>
      <c r="F1146" s="7" t="s">
        <v>30</v>
      </c>
    </row>
    <row r="1147" spans="1:6" ht="20.100000000000001" customHeight="1" x14ac:dyDescent="0.15">
      <c r="A1147" s="5">
        <v>1144</v>
      </c>
      <c r="B1147" s="6" t="str">
        <f>"304820210606221550104959"</f>
        <v>304820210606221550104959</v>
      </c>
      <c r="C1147" s="6" t="s">
        <v>1128</v>
      </c>
      <c r="D1147" s="6" t="str">
        <f>"郭美翠"</f>
        <v>郭美翠</v>
      </c>
      <c r="E1147" s="6" t="str">
        <f t="shared" si="40"/>
        <v>女</v>
      </c>
      <c r="F1147" s="7" t="s">
        <v>522</v>
      </c>
    </row>
    <row r="1148" spans="1:6" ht="20.100000000000001" customHeight="1" x14ac:dyDescent="0.15">
      <c r="A1148" s="5">
        <v>1145</v>
      </c>
      <c r="B1148" s="6" t="str">
        <f>"304820210606221758104970"</f>
        <v>304820210606221758104970</v>
      </c>
      <c r="C1148" s="6" t="s">
        <v>1128</v>
      </c>
      <c r="D1148" s="6" t="str">
        <f>"羊花彦"</f>
        <v>羊花彦</v>
      </c>
      <c r="E1148" s="6" t="str">
        <f t="shared" si="40"/>
        <v>女</v>
      </c>
      <c r="F1148" s="7" t="s">
        <v>923</v>
      </c>
    </row>
    <row r="1149" spans="1:6" ht="20.100000000000001" customHeight="1" x14ac:dyDescent="0.15">
      <c r="A1149" s="5">
        <v>1146</v>
      </c>
      <c r="B1149" s="6" t="str">
        <f>"304820210606222417104986"</f>
        <v>304820210606222417104986</v>
      </c>
      <c r="C1149" s="6" t="s">
        <v>1128</v>
      </c>
      <c r="D1149" s="6" t="str">
        <f>"伍虹霖"</f>
        <v>伍虹霖</v>
      </c>
      <c r="E1149" s="6" t="str">
        <f t="shared" si="40"/>
        <v>女</v>
      </c>
      <c r="F1149" s="7" t="s">
        <v>37</v>
      </c>
    </row>
    <row r="1150" spans="1:6" ht="20.100000000000001" customHeight="1" x14ac:dyDescent="0.15">
      <c r="A1150" s="5">
        <v>1147</v>
      </c>
      <c r="B1150" s="6" t="str">
        <f>"304820210606225331105064"</f>
        <v>304820210606225331105064</v>
      </c>
      <c r="C1150" s="6" t="s">
        <v>1128</v>
      </c>
      <c r="D1150" s="6" t="str">
        <f>"徐彩晶"</f>
        <v>徐彩晶</v>
      </c>
      <c r="E1150" s="6" t="str">
        <f t="shared" si="40"/>
        <v>女</v>
      </c>
      <c r="F1150" s="7" t="s">
        <v>456</v>
      </c>
    </row>
    <row r="1151" spans="1:6" ht="20.100000000000001" customHeight="1" x14ac:dyDescent="0.15">
      <c r="A1151" s="5">
        <v>1148</v>
      </c>
      <c r="B1151" s="6" t="str">
        <f>"304820210606225524105068"</f>
        <v>304820210606225524105068</v>
      </c>
      <c r="C1151" s="6" t="s">
        <v>1128</v>
      </c>
      <c r="D1151" s="6" t="str">
        <f>"王钰"</f>
        <v>王钰</v>
      </c>
      <c r="E1151" s="6" t="str">
        <f t="shared" si="40"/>
        <v>女</v>
      </c>
      <c r="F1151" s="7" t="s">
        <v>160</v>
      </c>
    </row>
    <row r="1152" spans="1:6" ht="20.100000000000001" customHeight="1" x14ac:dyDescent="0.15">
      <c r="A1152" s="5">
        <v>1149</v>
      </c>
      <c r="B1152" s="6" t="str">
        <f>"304820210606230415105091"</f>
        <v>304820210606230415105091</v>
      </c>
      <c r="C1152" s="6" t="s">
        <v>1128</v>
      </c>
      <c r="D1152" s="6" t="str">
        <f>"钟清容"</f>
        <v>钟清容</v>
      </c>
      <c r="E1152" s="6" t="str">
        <f t="shared" si="40"/>
        <v>女</v>
      </c>
      <c r="F1152" s="7" t="s">
        <v>1539</v>
      </c>
    </row>
    <row r="1153" spans="1:6" ht="20.100000000000001" customHeight="1" x14ac:dyDescent="0.15">
      <c r="A1153" s="5">
        <v>1150</v>
      </c>
      <c r="B1153" s="6" t="str">
        <f>"304820210606230610105097"</f>
        <v>304820210606230610105097</v>
      </c>
      <c r="C1153" s="6" t="s">
        <v>1128</v>
      </c>
      <c r="D1153" s="6" t="str">
        <f>"刘诗雅"</f>
        <v>刘诗雅</v>
      </c>
      <c r="E1153" s="6" t="str">
        <f t="shared" si="40"/>
        <v>女</v>
      </c>
      <c r="F1153" s="7" t="s">
        <v>1540</v>
      </c>
    </row>
    <row r="1154" spans="1:6" ht="20.100000000000001" customHeight="1" x14ac:dyDescent="0.15">
      <c r="A1154" s="5">
        <v>1151</v>
      </c>
      <c r="B1154" s="6" t="str">
        <f>"304820210606230743105103"</f>
        <v>304820210606230743105103</v>
      </c>
      <c r="C1154" s="6" t="s">
        <v>1128</v>
      </c>
      <c r="D1154" s="6" t="str">
        <f>"严秀东"</f>
        <v>严秀东</v>
      </c>
      <c r="E1154" s="6" t="str">
        <f t="shared" si="40"/>
        <v>女</v>
      </c>
      <c r="F1154" s="7" t="s">
        <v>36</v>
      </c>
    </row>
    <row r="1155" spans="1:6" ht="20.100000000000001" customHeight="1" x14ac:dyDescent="0.15">
      <c r="A1155" s="5">
        <v>1152</v>
      </c>
      <c r="B1155" s="6" t="str">
        <f>"304820210606230811105104"</f>
        <v>304820210606230811105104</v>
      </c>
      <c r="C1155" s="6" t="s">
        <v>1128</v>
      </c>
      <c r="D1155" s="6" t="str">
        <f>"丁君慧"</f>
        <v>丁君慧</v>
      </c>
      <c r="E1155" s="6" t="str">
        <f t="shared" si="40"/>
        <v>女</v>
      </c>
      <c r="F1155" s="7" t="s">
        <v>147</v>
      </c>
    </row>
    <row r="1156" spans="1:6" ht="20.100000000000001" customHeight="1" x14ac:dyDescent="0.15">
      <c r="A1156" s="5">
        <v>1153</v>
      </c>
      <c r="B1156" s="6" t="str">
        <f>"304820210606231900105139"</f>
        <v>304820210606231900105139</v>
      </c>
      <c r="C1156" s="6" t="s">
        <v>1128</v>
      </c>
      <c r="D1156" s="6" t="str">
        <f>"郑淑萍"</f>
        <v>郑淑萍</v>
      </c>
      <c r="E1156" s="6" t="str">
        <f t="shared" si="40"/>
        <v>女</v>
      </c>
      <c r="F1156" s="7" t="s">
        <v>1541</v>
      </c>
    </row>
    <row r="1157" spans="1:6" ht="20.100000000000001" customHeight="1" x14ac:dyDescent="0.15">
      <c r="A1157" s="5">
        <v>1154</v>
      </c>
      <c r="B1157" s="6" t="str">
        <f>"304820210606232131105143"</f>
        <v>304820210606232131105143</v>
      </c>
      <c r="C1157" s="6" t="s">
        <v>1128</v>
      </c>
      <c r="D1157" s="6" t="str">
        <f>"符丽选"</f>
        <v>符丽选</v>
      </c>
      <c r="E1157" s="6" t="str">
        <f t="shared" si="40"/>
        <v>女</v>
      </c>
      <c r="F1157" s="7" t="s">
        <v>219</v>
      </c>
    </row>
    <row r="1158" spans="1:6" ht="20.100000000000001" customHeight="1" x14ac:dyDescent="0.15">
      <c r="A1158" s="5">
        <v>1155</v>
      </c>
      <c r="B1158" s="6" t="str">
        <f>"304820210606232558105157"</f>
        <v>304820210606232558105157</v>
      </c>
      <c r="C1158" s="6" t="s">
        <v>1128</v>
      </c>
      <c r="D1158" s="6" t="str">
        <f>"杨青"</f>
        <v>杨青</v>
      </c>
      <c r="E1158" s="6" t="str">
        <f t="shared" si="40"/>
        <v>女</v>
      </c>
      <c r="F1158" s="7" t="s">
        <v>1542</v>
      </c>
    </row>
    <row r="1159" spans="1:6" ht="20.100000000000001" customHeight="1" x14ac:dyDescent="0.15">
      <c r="A1159" s="5">
        <v>1156</v>
      </c>
      <c r="B1159" s="6" t="str">
        <f>"304820210606233334105176"</f>
        <v>304820210606233334105176</v>
      </c>
      <c r="C1159" s="6" t="s">
        <v>1128</v>
      </c>
      <c r="D1159" s="6" t="str">
        <f>"黄小芳"</f>
        <v>黄小芳</v>
      </c>
      <c r="E1159" s="6" t="str">
        <f t="shared" si="40"/>
        <v>女</v>
      </c>
      <c r="F1159" s="7" t="s">
        <v>123</v>
      </c>
    </row>
    <row r="1160" spans="1:6" ht="20.100000000000001" customHeight="1" x14ac:dyDescent="0.15">
      <c r="A1160" s="5">
        <v>1157</v>
      </c>
      <c r="B1160" s="6" t="str">
        <f>"304820210607001210105237"</f>
        <v>304820210607001210105237</v>
      </c>
      <c r="C1160" s="6" t="s">
        <v>1128</v>
      </c>
      <c r="D1160" s="6" t="str">
        <f>"杨冬菊"</f>
        <v>杨冬菊</v>
      </c>
      <c r="E1160" s="6" t="str">
        <f t="shared" si="40"/>
        <v>女</v>
      </c>
      <c r="F1160" s="7" t="s">
        <v>1543</v>
      </c>
    </row>
    <row r="1161" spans="1:6" ht="20.100000000000001" customHeight="1" x14ac:dyDescent="0.15">
      <c r="A1161" s="5">
        <v>1158</v>
      </c>
      <c r="B1161" s="6" t="str">
        <f>"304820210607001441105238"</f>
        <v>304820210607001441105238</v>
      </c>
      <c r="C1161" s="6" t="s">
        <v>1128</v>
      </c>
      <c r="D1161" s="6" t="str">
        <f>"王秀娜"</f>
        <v>王秀娜</v>
      </c>
      <c r="E1161" s="6" t="str">
        <f t="shared" si="40"/>
        <v>女</v>
      </c>
      <c r="F1161" s="7" t="s">
        <v>807</v>
      </c>
    </row>
    <row r="1162" spans="1:6" ht="20.100000000000001" customHeight="1" x14ac:dyDescent="0.15">
      <c r="A1162" s="5">
        <v>1159</v>
      </c>
      <c r="B1162" s="6" t="str">
        <f>"304820210607002043105245"</f>
        <v>304820210607002043105245</v>
      </c>
      <c r="C1162" s="6" t="s">
        <v>1128</v>
      </c>
      <c r="D1162" s="6" t="str">
        <f>"李亚兰"</f>
        <v>李亚兰</v>
      </c>
      <c r="E1162" s="6" t="str">
        <f t="shared" si="40"/>
        <v>女</v>
      </c>
      <c r="F1162" s="7" t="s">
        <v>763</v>
      </c>
    </row>
    <row r="1163" spans="1:6" ht="20.100000000000001" customHeight="1" x14ac:dyDescent="0.15">
      <c r="A1163" s="5">
        <v>1160</v>
      </c>
      <c r="B1163" s="6" t="str">
        <f>"304820210607002050105247"</f>
        <v>304820210607002050105247</v>
      </c>
      <c r="C1163" s="6" t="s">
        <v>1128</v>
      </c>
      <c r="D1163" s="6" t="str">
        <f>"陈昱卉"</f>
        <v>陈昱卉</v>
      </c>
      <c r="E1163" s="6" t="str">
        <f t="shared" si="40"/>
        <v>女</v>
      </c>
      <c r="F1163" s="7" t="s">
        <v>1544</v>
      </c>
    </row>
    <row r="1164" spans="1:6" ht="20.100000000000001" customHeight="1" x14ac:dyDescent="0.15">
      <c r="A1164" s="5">
        <v>1161</v>
      </c>
      <c r="B1164" s="6" t="str">
        <f>"304820210607003024105268"</f>
        <v>304820210607003024105268</v>
      </c>
      <c r="C1164" s="6" t="s">
        <v>1128</v>
      </c>
      <c r="D1164" s="6" t="str">
        <f>"马金凤"</f>
        <v>马金凤</v>
      </c>
      <c r="E1164" s="6" t="str">
        <f t="shared" si="40"/>
        <v>女</v>
      </c>
      <c r="F1164" s="7" t="s">
        <v>593</v>
      </c>
    </row>
    <row r="1165" spans="1:6" ht="20.100000000000001" customHeight="1" x14ac:dyDescent="0.15">
      <c r="A1165" s="5">
        <v>1162</v>
      </c>
      <c r="B1165" s="6" t="str">
        <f>"304820210607003147105269"</f>
        <v>304820210607003147105269</v>
      </c>
      <c r="C1165" s="6" t="s">
        <v>1128</v>
      </c>
      <c r="D1165" s="6" t="str">
        <f>"符玲花"</f>
        <v>符玲花</v>
      </c>
      <c r="E1165" s="6" t="str">
        <f t="shared" si="40"/>
        <v>女</v>
      </c>
      <c r="F1165" s="7" t="s">
        <v>489</v>
      </c>
    </row>
    <row r="1166" spans="1:6" ht="20.100000000000001" customHeight="1" x14ac:dyDescent="0.15">
      <c r="A1166" s="5">
        <v>1163</v>
      </c>
      <c r="B1166" s="6" t="str">
        <f>"304820210607003150105270"</f>
        <v>304820210607003150105270</v>
      </c>
      <c r="C1166" s="6" t="s">
        <v>1128</v>
      </c>
      <c r="D1166" s="6" t="str">
        <f>"符祝瑜"</f>
        <v>符祝瑜</v>
      </c>
      <c r="E1166" s="6" t="str">
        <f t="shared" si="40"/>
        <v>女</v>
      </c>
      <c r="F1166" s="7" t="s">
        <v>81</v>
      </c>
    </row>
    <row r="1167" spans="1:6" ht="20.100000000000001" customHeight="1" x14ac:dyDescent="0.15">
      <c r="A1167" s="5">
        <v>1164</v>
      </c>
      <c r="B1167" s="6" t="str">
        <f>"304820210607003249105274"</f>
        <v>304820210607003249105274</v>
      </c>
      <c r="C1167" s="6" t="s">
        <v>1128</v>
      </c>
      <c r="D1167" s="6" t="str">
        <f>"单思维"</f>
        <v>单思维</v>
      </c>
      <c r="E1167" s="6" t="str">
        <f t="shared" si="40"/>
        <v>女</v>
      </c>
      <c r="F1167" s="7" t="s">
        <v>31</v>
      </c>
    </row>
    <row r="1168" spans="1:6" ht="20.100000000000001" customHeight="1" x14ac:dyDescent="0.15">
      <c r="A1168" s="5">
        <v>1165</v>
      </c>
      <c r="B1168" s="6" t="str">
        <f>"304820210607004616105289"</f>
        <v>304820210607004616105289</v>
      </c>
      <c r="C1168" s="6" t="s">
        <v>1128</v>
      </c>
      <c r="D1168" s="6" t="str">
        <f>"戴一鸣"</f>
        <v>戴一鸣</v>
      </c>
      <c r="E1168" s="6" t="str">
        <f t="shared" si="40"/>
        <v>女</v>
      </c>
      <c r="F1168" s="7" t="s">
        <v>44</v>
      </c>
    </row>
    <row r="1169" spans="1:6" ht="20.100000000000001" customHeight="1" x14ac:dyDescent="0.15">
      <c r="A1169" s="5">
        <v>1166</v>
      </c>
      <c r="B1169" s="6" t="str">
        <f>"304820210607044410105350"</f>
        <v>304820210607044410105350</v>
      </c>
      <c r="C1169" s="6" t="s">
        <v>1128</v>
      </c>
      <c r="D1169" s="6" t="str">
        <f>"韩宝琪"</f>
        <v>韩宝琪</v>
      </c>
      <c r="E1169" s="6" t="str">
        <f t="shared" si="40"/>
        <v>女</v>
      </c>
      <c r="F1169" s="7" t="s">
        <v>910</v>
      </c>
    </row>
    <row r="1170" spans="1:6" ht="20.100000000000001" customHeight="1" x14ac:dyDescent="0.15">
      <c r="A1170" s="5">
        <v>1167</v>
      </c>
      <c r="B1170" s="6" t="str">
        <f>"304820210607081457105396"</f>
        <v>304820210607081457105396</v>
      </c>
      <c r="C1170" s="6" t="s">
        <v>1128</v>
      </c>
      <c r="D1170" s="6" t="str">
        <f>"黄楚茵"</f>
        <v>黄楚茵</v>
      </c>
      <c r="E1170" s="6" t="str">
        <f t="shared" si="40"/>
        <v>女</v>
      </c>
      <c r="F1170" s="7" t="s">
        <v>758</v>
      </c>
    </row>
    <row r="1171" spans="1:6" ht="20.100000000000001" customHeight="1" x14ac:dyDescent="0.15">
      <c r="A1171" s="5">
        <v>1168</v>
      </c>
      <c r="B1171" s="6" t="str">
        <f>"304820210607082626105413"</f>
        <v>304820210607082626105413</v>
      </c>
      <c r="C1171" s="6" t="s">
        <v>1128</v>
      </c>
      <c r="D1171" s="6" t="str">
        <f>"唐莹"</f>
        <v>唐莹</v>
      </c>
      <c r="E1171" s="6" t="str">
        <f t="shared" si="40"/>
        <v>女</v>
      </c>
      <c r="F1171" s="7" t="s">
        <v>1545</v>
      </c>
    </row>
    <row r="1172" spans="1:6" ht="20.100000000000001" customHeight="1" x14ac:dyDescent="0.15">
      <c r="A1172" s="5">
        <v>1169</v>
      </c>
      <c r="B1172" s="6" t="str">
        <f>"304820210607083153105424"</f>
        <v>304820210607083153105424</v>
      </c>
      <c r="C1172" s="6" t="s">
        <v>1128</v>
      </c>
      <c r="D1172" s="6" t="str">
        <f>"周琳 "</f>
        <v xml:space="preserve">周琳 </v>
      </c>
      <c r="E1172" s="6" t="str">
        <f t="shared" si="40"/>
        <v>女</v>
      </c>
      <c r="F1172" s="7" t="s">
        <v>1546</v>
      </c>
    </row>
    <row r="1173" spans="1:6" ht="20.100000000000001" customHeight="1" x14ac:dyDescent="0.15">
      <c r="A1173" s="5">
        <v>1170</v>
      </c>
      <c r="B1173" s="6" t="str">
        <f>"304820210607084330105455"</f>
        <v>304820210607084330105455</v>
      </c>
      <c r="C1173" s="6" t="s">
        <v>1128</v>
      </c>
      <c r="D1173" s="6" t="str">
        <f>"王苗"</f>
        <v>王苗</v>
      </c>
      <c r="E1173" s="6" t="str">
        <f t="shared" si="40"/>
        <v>女</v>
      </c>
      <c r="F1173" s="7" t="s">
        <v>407</v>
      </c>
    </row>
    <row r="1174" spans="1:6" ht="20.100000000000001" customHeight="1" x14ac:dyDescent="0.15">
      <c r="A1174" s="5">
        <v>1171</v>
      </c>
      <c r="B1174" s="6" t="str">
        <f>"304820210607090027105489"</f>
        <v>304820210607090027105489</v>
      </c>
      <c r="C1174" s="6" t="s">
        <v>1128</v>
      </c>
      <c r="D1174" s="6" t="str">
        <f>"张琪静"</f>
        <v>张琪静</v>
      </c>
      <c r="E1174" s="6" t="str">
        <f t="shared" si="40"/>
        <v>女</v>
      </c>
      <c r="F1174" s="7" t="s">
        <v>603</v>
      </c>
    </row>
    <row r="1175" spans="1:6" ht="20.100000000000001" customHeight="1" x14ac:dyDescent="0.15">
      <c r="A1175" s="5">
        <v>1172</v>
      </c>
      <c r="B1175" s="6" t="str">
        <f>"304820210607090551105552"</f>
        <v>304820210607090551105552</v>
      </c>
      <c r="C1175" s="6" t="s">
        <v>1128</v>
      </c>
      <c r="D1175" s="6" t="str">
        <f>"贺祺祺"</f>
        <v>贺祺祺</v>
      </c>
      <c r="E1175" s="6" t="str">
        <f t="shared" si="40"/>
        <v>女</v>
      </c>
      <c r="F1175" s="7" t="s">
        <v>1547</v>
      </c>
    </row>
    <row r="1176" spans="1:6" ht="20.100000000000001" customHeight="1" x14ac:dyDescent="0.15">
      <c r="A1176" s="5">
        <v>1173</v>
      </c>
      <c r="B1176" s="6" t="str">
        <f>"304820210607090603105555"</f>
        <v>304820210607090603105555</v>
      </c>
      <c r="C1176" s="6" t="s">
        <v>1128</v>
      </c>
      <c r="D1176" s="6" t="str">
        <f>"何生月"</f>
        <v>何生月</v>
      </c>
      <c r="E1176" s="6" t="str">
        <f t="shared" si="40"/>
        <v>女</v>
      </c>
      <c r="F1176" s="7" t="s">
        <v>1548</v>
      </c>
    </row>
    <row r="1177" spans="1:6" ht="20.100000000000001" customHeight="1" x14ac:dyDescent="0.15">
      <c r="A1177" s="5">
        <v>1174</v>
      </c>
      <c r="B1177" s="6" t="str">
        <f>"304820210607090756105569"</f>
        <v>304820210607090756105569</v>
      </c>
      <c r="C1177" s="6" t="s">
        <v>1128</v>
      </c>
      <c r="D1177" s="6" t="str">
        <f>"方雅婷"</f>
        <v>方雅婷</v>
      </c>
      <c r="E1177" s="6" t="str">
        <f t="shared" si="40"/>
        <v>女</v>
      </c>
      <c r="F1177" s="7" t="s">
        <v>1434</v>
      </c>
    </row>
    <row r="1178" spans="1:6" ht="20.100000000000001" customHeight="1" x14ac:dyDescent="0.15">
      <c r="A1178" s="5">
        <v>1175</v>
      </c>
      <c r="B1178" s="6" t="str">
        <f>"304820210607092329105654"</f>
        <v>304820210607092329105654</v>
      </c>
      <c r="C1178" s="6" t="s">
        <v>1128</v>
      </c>
      <c r="D1178" s="6" t="str">
        <f>"黄媛媛"</f>
        <v>黄媛媛</v>
      </c>
      <c r="E1178" s="6" t="str">
        <f t="shared" si="40"/>
        <v>女</v>
      </c>
      <c r="F1178" s="7" t="s">
        <v>1119</v>
      </c>
    </row>
    <row r="1179" spans="1:6" ht="20.100000000000001" customHeight="1" x14ac:dyDescent="0.15">
      <c r="A1179" s="5">
        <v>1176</v>
      </c>
      <c r="B1179" s="6" t="str">
        <f>"304820210607093042105705"</f>
        <v>304820210607093042105705</v>
      </c>
      <c r="C1179" s="6" t="s">
        <v>1128</v>
      </c>
      <c r="D1179" s="6" t="str">
        <f>"吴亚英"</f>
        <v>吴亚英</v>
      </c>
      <c r="E1179" s="6" t="str">
        <f t="shared" si="40"/>
        <v>女</v>
      </c>
      <c r="F1179" s="7" t="s">
        <v>302</v>
      </c>
    </row>
    <row r="1180" spans="1:6" ht="20.100000000000001" customHeight="1" x14ac:dyDescent="0.15">
      <c r="A1180" s="5">
        <v>1177</v>
      </c>
      <c r="B1180" s="6" t="str">
        <f>"304820210607093744105740"</f>
        <v>304820210607093744105740</v>
      </c>
      <c r="C1180" s="6" t="s">
        <v>1128</v>
      </c>
      <c r="D1180" s="6" t="str">
        <f>"邢高雅"</f>
        <v>邢高雅</v>
      </c>
      <c r="E1180" s="6" t="str">
        <f t="shared" si="40"/>
        <v>女</v>
      </c>
      <c r="F1180" s="7" t="s">
        <v>1549</v>
      </c>
    </row>
    <row r="1181" spans="1:6" ht="20.100000000000001" customHeight="1" x14ac:dyDescent="0.15">
      <c r="A1181" s="5">
        <v>1178</v>
      </c>
      <c r="B1181" s="6" t="str">
        <f>"304820210607093810105741"</f>
        <v>304820210607093810105741</v>
      </c>
      <c r="C1181" s="6" t="s">
        <v>1128</v>
      </c>
      <c r="D1181" s="6" t="str">
        <f>"何海珊"</f>
        <v>何海珊</v>
      </c>
      <c r="E1181" s="6" t="str">
        <f t="shared" si="40"/>
        <v>女</v>
      </c>
      <c r="F1181" s="7" t="s">
        <v>723</v>
      </c>
    </row>
    <row r="1182" spans="1:6" ht="20.100000000000001" customHeight="1" x14ac:dyDescent="0.15">
      <c r="A1182" s="5">
        <v>1179</v>
      </c>
      <c r="B1182" s="6" t="str">
        <f>"304820210607094124105770"</f>
        <v>304820210607094124105770</v>
      </c>
      <c r="C1182" s="6" t="s">
        <v>1128</v>
      </c>
      <c r="D1182" s="6" t="str">
        <f>"符芳瑜"</f>
        <v>符芳瑜</v>
      </c>
      <c r="E1182" s="6" t="str">
        <f t="shared" si="40"/>
        <v>女</v>
      </c>
      <c r="F1182" s="7" t="s">
        <v>1297</v>
      </c>
    </row>
    <row r="1183" spans="1:6" ht="20.100000000000001" customHeight="1" x14ac:dyDescent="0.15">
      <c r="A1183" s="5">
        <v>1180</v>
      </c>
      <c r="B1183" s="6" t="str">
        <f>"304820210607094316105783"</f>
        <v>304820210607094316105783</v>
      </c>
      <c r="C1183" s="6" t="s">
        <v>1128</v>
      </c>
      <c r="D1183" s="6" t="str">
        <f>"唐俊苑"</f>
        <v>唐俊苑</v>
      </c>
      <c r="E1183" s="6" t="str">
        <f t="shared" si="40"/>
        <v>女</v>
      </c>
      <c r="F1183" s="7" t="s">
        <v>1069</v>
      </c>
    </row>
    <row r="1184" spans="1:6" ht="20.100000000000001" customHeight="1" x14ac:dyDescent="0.15">
      <c r="A1184" s="5">
        <v>1181</v>
      </c>
      <c r="B1184" s="6" t="str">
        <f>"304820210607094428105791"</f>
        <v>304820210607094428105791</v>
      </c>
      <c r="C1184" s="6" t="s">
        <v>1128</v>
      </c>
      <c r="D1184" s="6" t="str">
        <f>"符蓓苗"</f>
        <v>符蓓苗</v>
      </c>
      <c r="E1184" s="6" t="str">
        <f t="shared" si="40"/>
        <v>女</v>
      </c>
      <c r="F1184" s="7" t="s">
        <v>35</v>
      </c>
    </row>
    <row r="1185" spans="1:6" ht="20.100000000000001" customHeight="1" x14ac:dyDescent="0.15">
      <c r="A1185" s="5">
        <v>1182</v>
      </c>
      <c r="B1185" s="6" t="str">
        <f>"304820210607094453105795"</f>
        <v>304820210607094453105795</v>
      </c>
      <c r="C1185" s="6" t="s">
        <v>1128</v>
      </c>
      <c r="D1185" s="6" t="str">
        <f>"陈春教"</f>
        <v>陈春教</v>
      </c>
      <c r="E1185" s="6" t="str">
        <f t="shared" si="40"/>
        <v>女</v>
      </c>
      <c r="F1185" s="7" t="s">
        <v>1550</v>
      </c>
    </row>
    <row r="1186" spans="1:6" ht="20.100000000000001" customHeight="1" x14ac:dyDescent="0.15">
      <c r="A1186" s="5">
        <v>1183</v>
      </c>
      <c r="B1186" s="6" t="str">
        <f>"304820210607100317105908"</f>
        <v>304820210607100317105908</v>
      </c>
      <c r="C1186" s="6" t="s">
        <v>1128</v>
      </c>
      <c r="D1186" s="6" t="str">
        <f>"苏佳佳"</f>
        <v>苏佳佳</v>
      </c>
      <c r="E1186" s="6" t="str">
        <f t="shared" si="40"/>
        <v>女</v>
      </c>
      <c r="F1186" s="7" t="s">
        <v>1551</v>
      </c>
    </row>
    <row r="1187" spans="1:6" ht="20.100000000000001" customHeight="1" x14ac:dyDescent="0.15">
      <c r="A1187" s="5">
        <v>1184</v>
      </c>
      <c r="B1187" s="6" t="str">
        <f>"304820210607100710105930"</f>
        <v>304820210607100710105930</v>
      </c>
      <c r="C1187" s="6" t="s">
        <v>1128</v>
      </c>
      <c r="D1187" s="6" t="str">
        <f>"兰王"</f>
        <v>兰王</v>
      </c>
      <c r="E1187" s="6" t="str">
        <f>"男"</f>
        <v>男</v>
      </c>
      <c r="F1187" s="7" t="s">
        <v>1552</v>
      </c>
    </row>
    <row r="1188" spans="1:6" ht="20.100000000000001" customHeight="1" x14ac:dyDescent="0.15">
      <c r="A1188" s="5">
        <v>1185</v>
      </c>
      <c r="B1188" s="6" t="str">
        <f>"304820210607101054105957"</f>
        <v>304820210607101054105957</v>
      </c>
      <c r="C1188" s="6" t="s">
        <v>1128</v>
      </c>
      <c r="D1188" s="6" t="str">
        <f>"王燕娥"</f>
        <v>王燕娥</v>
      </c>
      <c r="E1188" s="6" t="str">
        <f t="shared" ref="E1188:E1195" si="41">"女"</f>
        <v>女</v>
      </c>
      <c r="F1188" s="7" t="s">
        <v>225</v>
      </c>
    </row>
    <row r="1189" spans="1:6" ht="20.100000000000001" customHeight="1" x14ac:dyDescent="0.15">
      <c r="A1189" s="5">
        <v>1186</v>
      </c>
      <c r="B1189" s="6" t="str">
        <f>"304820210607101952106016"</f>
        <v>304820210607101952106016</v>
      </c>
      <c r="C1189" s="6" t="s">
        <v>1128</v>
      </c>
      <c r="D1189" s="6" t="str">
        <f>"陈水云"</f>
        <v>陈水云</v>
      </c>
      <c r="E1189" s="6" t="str">
        <f t="shared" si="41"/>
        <v>女</v>
      </c>
      <c r="F1189" s="7" t="s">
        <v>1553</v>
      </c>
    </row>
    <row r="1190" spans="1:6" ht="20.100000000000001" customHeight="1" x14ac:dyDescent="0.15">
      <c r="A1190" s="5">
        <v>1187</v>
      </c>
      <c r="B1190" s="6" t="str">
        <f>"304820210607102111106028"</f>
        <v>304820210607102111106028</v>
      </c>
      <c r="C1190" s="6" t="s">
        <v>1128</v>
      </c>
      <c r="D1190" s="6" t="str">
        <f>"郑丽丽"</f>
        <v>郑丽丽</v>
      </c>
      <c r="E1190" s="6" t="str">
        <f t="shared" si="41"/>
        <v>女</v>
      </c>
      <c r="F1190" s="7" t="s">
        <v>1554</v>
      </c>
    </row>
    <row r="1191" spans="1:6" ht="20.100000000000001" customHeight="1" x14ac:dyDescent="0.15">
      <c r="A1191" s="5">
        <v>1188</v>
      </c>
      <c r="B1191" s="6" t="str">
        <f>"304820210607102744106064"</f>
        <v>304820210607102744106064</v>
      </c>
      <c r="C1191" s="6" t="s">
        <v>1128</v>
      </c>
      <c r="D1191" s="6" t="str">
        <f>"吴若"</f>
        <v>吴若</v>
      </c>
      <c r="E1191" s="6" t="str">
        <f t="shared" si="41"/>
        <v>女</v>
      </c>
      <c r="F1191" s="7" t="s">
        <v>140</v>
      </c>
    </row>
    <row r="1192" spans="1:6" ht="20.100000000000001" customHeight="1" x14ac:dyDescent="0.15">
      <c r="A1192" s="5">
        <v>1189</v>
      </c>
      <c r="B1192" s="6" t="str">
        <f>"304820210607102952106079"</f>
        <v>304820210607102952106079</v>
      </c>
      <c r="C1192" s="6" t="s">
        <v>1128</v>
      </c>
      <c r="D1192" s="6" t="str">
        <f>"王少葵"</f>
        <v>王少葵</v>
      </c>
      <c r="E1192" s="6" t="str">
        <f t="shared" si="41"/>
        <v>女</v>
      </c>
      <c r="F1192" s="7" t="s">
        <v>1555</v>
      </c>
    </row>
    <row r="1193" spans="1:6" ht="20.100000000000001" customHeight="1" x14ac:dyDescent="0.15">
      <c r="A1193" s="5">
        <v>1190</v>
      </c>
      <c r="B1193" s="6" t="str">
        <f>"304820210607103408106103"</f>
        <v>304820210607103408106103</v>
      </c>
      <c r="C1193" s="6" t="s">
        <v>1128</v>
      </c>
      <c r="D1193" s="6" t="str">
        <f>"王敏敏"</f>
        <v>王敏敏</v>
      </c>
      <c r="E1193" s="6" t="str">
        <f t="shared" si="41"/>
        <v>女</v>
      </c>
      <c r="F1193" s="7" t="s">
        <v>223</v>
      </c>
    </row>
    <row r="1194" spans="1:6" ht="20.100000000000001" customHeight="1" x14ac:dyDescent="0.15">
      <c r="A1194" s="5">
        <v>1191</v>
      </c>
      <c r="B1194" s="6" t="str">
        <f>"304820210607103934106138"</f>
        <v>304820210607103934106138</v>
      </c>
      <c r="C1194" s="6" t="s">
        <v>1128</v>
      </c>
      <c r="D1194" s="6" t="str">
        <f>"吴丽娟"</f>
        <v>吴丽娟</v>
      </c>
      <c r="E1194" s="6" t="str">
        <f t="shared" si="41"/>
        <v>女</v>
      </c>
      <c r="F1194" s="7" t="s">
        <v>48</v>
      </c>
    </row>
    <row r="1195" spans="1:6" ht="20.100000000000001" customHeight="1" x14ac:dyDescent="0.15">
      <c r="A1195" s="5">
        <v>1192</v>
      </c>
      <c r="B1195" s="6" t="str">
        <f>"304820210607104029106143"</f>
        <v>304820210607104029106143</v>
      </c>
      <c r="C1195" s="6" t="s">
        <v>1128</v>
      </c>
      <c r="D1195" s="6" t="str">
        <f>"司徒慧敏"</f>
        <v>司徒慧敏</v>
      </c>
      <c r="E1195" s="6" t="str">
        <f t="shared" si="41"/>
        <v>女</v>
      </c>
      <c r="F1195" s="7" t="s">
        <v>1556</v>
      </c>
    </row>
    <row r="1196" spans="1:6" ht="20.100000000000001" customHeight="1" x14ac:dyDescent="0.15">
      <c r="A1196" s="5">
        <v>1193</v>
      </c>
      <c r="B1196" s="6" t="str">
        <f>"304820210607104317106156"</f>
        <v>304820210607104317106156</v>
      </c>
      <c r="C1196" s="6" t="s">
        <v>1128</v>
      </c>
      <c r="D1196" s="6" t="str">
        <f>"李茂运"</f>
        <v>李茂运</v>
      </c>
      <c r="E1196" s="6" t="str">
        <f>"男"</f>
        <v>男</v>
      </c>
      <c r="F1196" s="7" t="s">
        <v>1557</v>
      </c>
    </row>
    <row r="1197" spans="1:6" ht="20.100000000000001" customHeight="1" x14ac:dyDescent="0.15">
      <c r="A1197" s="5">
        <v>1194</v>
      </c>
      <c r="B1197" s="6" t="str">
        <f>"304820210607104500106168"</f>
        <v>304820210607104500106168</v>
      </c>
      <c r="C1197" s="6" t="s">
        <v>1128</v>
      </c>
      <c r="D1197" s="6" t="str">
        <f>"冯丽芳"</f>
        <v>冯丽芳</v>
      </c>
      <c r="E1197" s="6" t="str">
        <f t="shared" ref="E1197:E1207" si="42">"女"</f>
        <v>女</v>
      </c>
      <c r="F1197" s="7" t="s">
        <v>1558</v>
      </c>
    </row>
    <row r="1198" spans="1:6" ht="20.100000000000001" customHeight="1" x14ac:dyDescent="0.15">
      <c r="A1198" s="5">
        <v>1195</v>
      </c>
      <c r="B1198" s="6" t="str">
        <f>"304820210607111032106296"</f>
        <v>304820210607111032106296</v>
      </c>
      <c r="C1198" s="6" t="s">
        <v>1128</v>
      </c>
      <c r="D1198" s="6" t="str">
        <f>"曾雪芳"</f>
        <v>曾雪芳</v>
      </c>
      <c r="E1198" s="6" t="str">
        <f t="shared" si="42"/>
        <v>女</v>
      </c>
      <c r="F1198" s="7" t="s">
        <v>484</v>
      </c>
    </row>
    <row r="1199" spans="1:6" ht="20.100000000000001" customHeight="1" x14ac:dyDescent="0.15">
      <c r="A1199" s="5">
        <v>1196</v>
      </c>
      <c r="B1199" s="6" t="str">
        <f>"304820210607111315106314"</f>
        <v>304820210607111315106314</v>
      </c>
      <c r="C1199" s="6" t="s">
        <v>1128</v>
      </c>
      <c r="D1199" s="6" t="str">
        <f>"王芳秀"</f>
        <v>王芳秀</v>
      </c>
      <c r="E1199" s="6" t="str">
        <f t="shared" si="42"/>
        <v>女</v>
      </c>
      <c r="F1199" s="7" t="s">
        <v>1559</v>
      </c>
    </row>
    <row r="1200" spans="1:6" ht="20.100000000000001" customHeight="1" x14ac:dyDescent="0.15">
      <c r="A1200" s="5">
        <v>1197</v>
      </c>
      <c r="B1200" s="6" t="str">
        <f>"304820210607111423106320"</f>
        <v>304820210607111423106320</v>
      </c>
      <c r="C1200" s="6" t="s">
        <v>1128</v>
      </c>
      <c r="D1200" s="6" t="str">
        <f>"吴丽敏"</f>
        <v>吴丽敏</v>
      </c>
      <c r="E1200" s="6" t="str">
        <f t="shared" si="42"/>
        <v>女</v>
      </c>
      <c r="F1200" s="7" t="s">
        <v>1467</v>
      </c>
    </row>
    <row r="1201" spans="1:6" ht="20.100000000000001" customHeight="1" x14ac:dyDescent="0.15">
      <c r="A1201" s="5">
        <v>1198</v>
      </c>
      <c r="B1201" s="6" t="str">
        <f>"304820210607111452106322"</f>
        <v>304820210607111452106322</v>
      </c>
      <c r="C1201" s="6" t="s">
        <v>1128</v>
      </c>
      <c r="D1201" s="6" t="str">
        <f>"翁琼霞"</f>
        <v>翁琼霞</v>
      </c>
      <c r="E1201" s="6" t="str">
        <f t="shared" si="42"/>
        <v>女</v>
      </c>
      <c r="F1201" s="7" t="s">
        <v>1560</v>
      </c>
    </row>
    <row r="1202" spans="1:6" ht="20.100000000000001" customHeight="1" x14ac:dyDescent="0.15">
      <c r="A1202" s="5">
        <v>1199</v>
      </c>
      <c r="B1202" s="6" t="str">
        <f>"304820210607111526106325"</f>
        <v>304820210607111526106325</v>
      </c>
      <c r="C1202" s="6" t="s">
        <v>1128</v>
      </c>
      <c r="D1202" s="6" t="str">
        <f>"翟宏柳"</f>
        <v>翟宏柳</v>
      </c>
      <c r="E1202" s="6" t="str">
        <f t="shared" si="42"/>
        <v>女</v>
      </c>
      <c r="F1202" s="7" t="s">
        <v>144</v>
      </c>
    </row>
    <row r="1203" spans="1:6" ht="20.100000000000001" customHeight="1" x14ac:dyDescent="0.15">
      <c r="A1203" s="5">
        <v>1200</v>
      </c>
      <c r="B1203" s="6" t="str">
        <f>"304820210607111940106348"</f>
        <v>304820210607111940106348</v>
      </c>
      <c r="C1203" s="6" t="s">
        <v>1128</v>
      </c>
      <c r="D1203" s="6" t="str">
        <f>"黄赛惋"</f>
        <v>黄赛惋</v>
      </c>
      <c r="E1203" s="6" t="str">
        <f t="shared" si="42"/>
        <v>女</v>
      </c>
      <c r="F1203" s="7" t="s">
        <v>1561</v>
      </c>
    </row>
    <row r="1204" spans="1:6" ht="20.100000000000001" customHeight="1" x14ac:dyDescent="0.15">
      <c r="A1204" s="5">
        <v>1201</v>
      </c>
      <c r="B1204" s="6" t="str">
        <f>"304820210607112953106394"</f>
        <v>304820210607112953106394</v>
      </c>
      <c r="C1204" s="6" t="s">
        <v>1128</v>
      </c>
      <c r="D1204" s="6" t="str">
        <f>" 王汉春"</f>
        <v xml:space="preserve"> 王汉春</v>
      </c>
      <c r="E1204" s="6" t="str">
        <f t="shared" si="42"/>
        <v>女</v>
      </c>
      <c r="F1204" s="7" t="s">
        <v>574</v>
      </c>
    </row>
    <row r="1205" spans="1:6" ht="20.100000000000001" customHeight="1" x14ac:dyDescent="0.15">
      <c r="A1205" s="5">
        <v>1202</v>
      </c>
      <c r="B1205" s="6" t="str">
        <f>"304820210607113043106400"</f>
        <v>304820210607113043106400</v>
      </c>
      <c r="C1205" s="6" t="s">
        <v>1128</v>
      </c>
      <c r="D1205" s="6" t="str">
        <f>"肖佳佳"</f>
        <v>肖佳佳</v>
      </c>
      <c r="E1205" s="6" t="str">
        <f t="shared" si="42"/>
        <v>女</v>
      </c>
      <c r="F1205" s="7" t="s">
        <v>1562</v>
      </c>
    </row>
    <row r="1206" spans="1:6" ht="20.100000000000001" customHeight="1" x14ac:dyDescent="0.15">
      <c r="A1206" s="5">
        <v>1203</v>
      </c>
      <c r="B1206" s="6" t="str">
        <f>"304820210607114149106452"</f>
        <v>304820210607114149106452</v>
      </c>
      <c r="C1206" s="6" t="s">
        <v>1128</v>
      </c>
      <c r="D1206" s="6" t="str">
        <f>"林珏谷"</f>
        <v>林珏谷</v>
      </c>
      <c r="E1206" s="6" t="str">
        <f t="shared" si="42"/>
        <v>女</v>
      </c>
      <c r="F1206" s="7" t="s">
        <v>1149</v>
      </c>
    </row>
    <row r="1207" spans="1:6" ht="20.100000000000001" customHeight="1" x14ac:dyDescent="0.15">
      <c r="A1207" s="5">
        <v>1204</v>
      </c>
      <c r="B1207" s="6" t="str">
        <f>"304820210607114204106454"</f>
        <v>304820210607114204106454</v>
      </c>
      <c r="C1207" s="6" t="s">
        <v>1128</v>
      </c>
      <c r="D1207" s="6" t="str">
        <f>"杨蕾"</f>
        <v>杨蕾</v>
      </c>
      <c r="E1207" s="6" t="str">
        <f t="shared" si="42"/>
        <v>女</v>
      </c>
      <c r="F1207" s="7" t="s">
        <v>147</v>
      </c>
    </row>
    <row r="1208" spans="1:6" ht="20.100000000000001" customHeight="1" x14ac:dyDescent="0.15">
      <c r="A1208" s="5">
        <v>1205</v>
      </c>
      <c r="B1208" s="6" t="str">
        <f>"304820210607114738106476"</f>
        <v>304820210607114738106476</v>
      </c>
      <c r="C1208" s="6" t="s">
        <v>1128</v>
      </c>
      <c r="D1208" s="6" t="str">
        <f>"颜业畅"</f>
        <v>颜业畅</v>
      </c>
      <c r="E1208" s="6" t="str">
        <f>"男"</f>
        <v>男</v>
      </c>
      <c r="F1208" s="7" t="s">
        <v>1563</v>
      </c>
    </row>
    <row r="1209" spans="1:6" ht="20.100000000000001" customHeight="1" x14ac:dyDescent="0.15">
      <c r="A1209" s="5">
        <v>1206</v>
      </c>
      <c r="B1209" s="6" t="str">
        <f>"304820210607114907106484"</f>
        <v>304820210607114907106484</v>
      </c>
      <c r="C1209" s="6" t="s">
        <v>1128</v>
      </c>
      <c r="D1209" s="6" t="str">
        <f>"王丹"</f>
        <v>王丹</v>
      </c>
      <c r="E1209" s="6" t="str">
        <f>"女"</f>
        <v>女</v>
      </c>
      <c r="F1209" s="7" t="s">
        <v>1564</v>
      </c>
    </row>
    <row r="1210" spans="1:6" ht="20.100000000000001" customHeight="1" x14ac:dyDescent="0.15">
      <c r="A1210" s="5">
        <v>1207</v>
      </c>
      <c r="B1210" s="6" t="str">
        <f>"304820210607115647106523"</f>
        <v>304820210607115647106523</v>
      </c>
      <c r="C1210" s="6" t="s">
        <v>1128</v>
      </c>
      <c r="D1210" s="6" t="str">
        <f>"廖正莉"</f>
        <v>廖正莉</v>
      </c>
      <c r="E1210" s="6" t="str">
        <f>"女"</f>
        <v>女</v>
      </c>
      <c r="F1210" s="7" t="s">
        <v>1565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K8" sqref="K8"/>
    </sheetView>
  </sheetViews>
  <sheetFormatPr defaultColWidth="9" defaultRowHeight="20.100000000000001" customHeight="1" x14ac:dyDescent="0.15"/>
  <cols>
    <col min="1" max="1" width="6.75" style="1" customWidth="1"/>
    <col min="2" max="2" width="24.625" style="1" customWidth="1"/>
    <col min="3" max="3" width="15.375" style="1" customWidth="1"/>
    <col min="4" max="4" width="10.375" style="1" customWidth="1"/>
    <col min="5" max="5" width="8.75" style="1" customWidth="1"/>
    <col min="6" max="6" width="1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"30482021060114440063911"</f>
        <v>30482021060114440063911</v>
      </c>
      <c r="C4" s="6" t="s">
        <v>1566</v>
      </c>
      <c r="D4" s="6" t="str">
        <f>"祝如"</f>
        <v>祝如</v>
      </c>
      <c r="E4" s="6" t="str">
        <f t="shared" ref="E4:E13" si="0">"女"</f>
        <v>女</v>
      </c>
      <c r="F4" s="7" t="s">
        <v>250</v>
      </c>
    </row>
    <row r="5" spans="1:6" ht="20.100000000000001" customHeight="1" x14ac:dyDescent="0.15">
      <c r="A5" s="5">
        <v>2</v>
      </c>
      <c r="B5" s="6" t="str">
        <f>"30482021060114543664057"</f>
        <v>30482021060114543664057</v>
      </c>
      <c r="C5" s="6" t="s">
        <v>1566</v>
      </c>
      <c r="D5" s="6" t="str">
        <f>"潘翼"</f>
        <v>潘翼</v>
      </c>
      <c r="E5" s="6" t="str">
        <f t="shared" si="0"/>
        <v>女</v>
      </c>
      <c r="F5" s="7" t="s">
        <v>1542</v>
      </c>
    </row>
    <row r="6" spans="1:6" ht="20.100000000000001" customHeight="1" x14ac:dyDescent="0.15">
      <c r="A6" s="5">
        <v>3</v>
      </c>
      <c r="B6" s="6" t="str">
        <f>"30482021060115023664164"</f>
        <v>30482021060115023664164</v>
      </c>
      <c r="C6" s="6" t="s">
        <v>1566</v>
      </c>
      <c r="D6" s="6" t="str">
        <f>"王秋燕"</f>
        <v>王秋燕</v>
      </c>
      <c r="E6" s="6" t="str">
        <f t="shared" si="0"/>
        <v>女</v>
      </c>
      <c r="F6" s="7" t="s">
        <v>123</v>
      </c>
    </row>
    <row r="7" spans="1:6" ht="20.100000000000001" customHeight="1" x14ac:dyDescent="0.15">
      <c r="A7" s="5">
        <v>4</v>
      </c>
      <c r="B7" s="6" t="str">
        <f>"30482021060115122364300"</f>
        <v>30482021060115122364300</v>
      </c>
      <c r="C7" s="6" t="s">
        <v>1566</v>
      </c>
      <c r="D7" s="6" t="str">
        <f>"谢美玉"</f>
        <v>谢美玉</v>
      </c>
      <c r="E7" s="6" t="str">
        <f t="shared" si="0"/>
        <v>女</v>
      </c>
      <c r="F7" s="7" t="s">
        <v>1307</v>
      </c>
    </row>
    <row r="8" spans="1:6" ht="20.100000000000001" customHeight="1" x14ac:dyDescent="0.15">
      <c r="A8" s="5">
        <v>5</v>
      </c>
      <c r="B8" s="6" t="str">
        <f>"30482021060116100565006"</f>
        <v>30482021060116100565006</v>
      </c>
      <c r="C8" s="6" t="s">
        <v>1566</v>
      </c>
      <c r="D8" s="6" t="str">
        <f>"梁玉叶"</f>
        <v>梁玉叶</v>
      </c>
      <c r="E8" s="6" t="str">
        <f t="shared" si="0"/>
        <v>女</v>
      </c>
      <c r="F8" s="7" t="s">
        <v>1544</v>
      </c>
    </row>
    <row r="9" spans="1:6" ht="20.100000000000001" customHeight="1" x14ac:dyDescent="0.15">
      <c r="A9" s="5">
        <v>6</v>
      </c>
      <c r="B9" s="6" t="str">
        <f>"30482021060116163065096"</f>
        <v>30482021060116163065096</v>
      </c>
      <c r="C9" s="6" t="s">
        <v>1566</v>
      </c>
      <c r="D9" s="6" t="str">
        <f>"冯春秋"</f>
        <v>冯春秋</v>
      </c>
      <c r="E9" s="6" t="str">
        <f t="shared" si="0"/>
        <v>女</v>
      </c>
      <c r="F9" s="7" t="s">
        <v>1114</v>
      </c>
    </row>
    <row r="10" spans="1:6" ht="20.100000000000001" customHeight="1" x14ac:dyDescent="0.15">
      <c r="A10" s="5">
        <v>7</v>
      </c>
      <c r="B10" s="6" t="str">
        <f>"30482021060116271065253"</f>
        <v>30482021060116271065253</v>
      </c>
      <c r="C10" s="6" t="s">
        <v>1566</v>
      </c>
      <c r="D10" s="6" t="str">
        <f>"陈雅雯"</f>
        <v>陈雅雯</v>
      </c>
      <c r="E10" s="6" t="str">
        <f t="shared" si="0"/>
        <v>女</v>
      </c>
      <c r="F10" s="7" t="s">
        <v>1567</v>
      </c>
    </row>
    <row r="11" spans="1:6" ht="20.100000000000001" customHeight="1" x14ac:dyDescent="0.15">
      <c r="A11" s="5">
        <v>8</v>
      </c>
      <c r="B11" s="6" t="str">
        <f>"30482021060116463365509"</f>
        <v>30482021060116463365509</v>
      </c>
      <c r="C11" s="6" t="s">
        <v>1566</v>
      </c>
      <c r="D11" s="6" t="str">
        <f>"林丽薇"</f>
        <v>林丽薇</v>
      </c>
      <c r="E11" s="6" t="str">
        <f t="shared" si="0"/>
        <v>女</v>
      </c>
      <c r="F11" s="7" t="s">
        <v>1568</v>
      </c>
    </row>
    <row r="12" spans="1:6" ht="20.100000000000001" customHeight="1" x14ac:dyDescent="0.15">
      <c r="A12" s="5">
        <v>9</v>
      </c>
      <c r="B12" s="6" t="str">
        <f>"30482021060116483765541"</f>
        <v>30482021060116483765541</v>
      </c>
      <c r="C12" s="6" t="s">
        <v>1566</v>
      </c>
      <c r="D12" s="6" t="str">
        <f>"陈美仿"</f>
        <v>陈美仿</v>
      </c>
      <c r="E12" s="6" t="str">
        <f t="shared" si="0"/>
        <v>女</v>
      </c>
      <c r="F12" s="7" t="s">
        <v>1569</v>
      </c>
    </row>
    <row r="13" spans="1:6" ht="20.100000000000001" customHeight="1" x14ac:dyDescent="0.15">
      <c r="A13" s="5">
        <v>10</v>
      </c>
      <c r="B13" s="6" t="str">
        <f>"30482021060119424667121"</f>
        <v>30482021060119424667121</v>
      </c>
      <c r="C13" s="6" t="s">
        <v>1566</v>
      </c>
      <c r="D13" s="6" t="str">
        <f>"王翎好"</f>
        <v>王翎好</v>
      </c>
      <c r="E13" s="6" t="str">
        <f t="shared" si="0"/>
        <v>女</v>
      </c>
      <c r="F13" s="7" t="s">
        <v>285</v>
      </c>
    </row>
    <row r="14" spans="1:6" ht="20.100000000000001" customHeight="1" x14ac:dyDescent="0.15">
      <c r="A14" s="5">
        <v>11</v>
      </c>
      <c r="B14" s="6" t="str">
        <f>"30482021060119523867735"</f>
        <v>30482021060119523867735</v>
      </c>
      <c r="C14" s="6" t="s">
        <v>1566</v>
      </c>
      <c r="D14" s="6" t="str">
        <f>"蔡剑平"</f>
        <v>蔡剑平</v>
      </c>
      <c r="E14" s="6" t="str">
        <f>"男"</f>
        <v>男</v>
      </c>
      <c r="F14" s="7" t="s">
        <v>878</v>
      </c>
    </row>
    <row r="15" spans="1:6" ht="20.100000000000001" customHeight="1" x14ac:dyDescent="0.15">
      <c r="A15" s="5">
        <v>12</v>
      </c>
      <c r="B15" s="6" t="str">
        <f>"30482021060121261568648"</f>
        <v>30482021060121261568648</v>
      </c>
      <c r="C15" s="6" t="s">
        <v>1566</v>
      </c>
      <c r="D15" s="6" t="str">
        <f>"张钰"</f>
        <v>张钰</v>
      </c>
      <c r="E15" s="6" t="str">
        <f t="shared" ref="E15:E22" si="1">"女"</f>
        <v>女</v>
      </c>
      <c r="F15" s="7" t="s">
        <v>147</v>
      </c>
    </row>
    <row r="16" spans="1:6" ht="20.100000000000001" customHeight="1" x14ac:dyDescent="0.15">
      <c r="A16" s="5">
        <v>13</v>
      </c>
      <c r="B16" s="6" t="str">
        <f>"30482021060123075970155"</f>
        <v>30482021060123075970155</v>
      </c>
      <c r="C16" s="6" t="s">
        <v>1566</v>
      </c>
      <c r="D16" s="6" t="str">
        <f>"周春燕"</f>
        <v>周春燕</v>
      </c>
      <c r="E16" s="6" t="str">
        <f t="shared" si="1"/>
        <v>女</v>
      </c>
      <c r="F16" s="7" t="s">
        <v>1570</v>
      </c>
    </row>
    <row r="17" spans="1:6" ht="20.100000000000001" customHeight="1" x14ac:dyDescent="0.15">
      <c r="A17" s="5">
        <v>14</v>
      </c>
      <c r="B17" s="6" t="str">
        <f>"30482021060123453770331"</f>
        <v>30482021060123453770331</v>
      </c>
      <c r="C17" s="6" t="s">
        <v>1566</v>
      </c>
      <c r="D17" s="6" t="str">
        <f>"詹美清"</f>
        <v>詹美清</v>
      </c>
      <c r="E17" s="6" t="str">
        <f t="shared" si="1"/>
        <v>女</v>
      </c>
      <c r="F17" s="7" t="s">
        <v>11</v>
      </c>
    </row>
    <row r="18" spans="1:6" ht="20.100000000000001" customHeight="1" x14ac:dyDescent="0.15">
      <c r="A18" s="5">
        <v>15</v>
      </c>
      <c r="B18" s="6" t="str">
        <f>"30482021060208032070679"</f>
        <v>30482021060208032070679</v>
      </c>
      <c r="C18" s="6" t="s">
        <v>1566</v>
      </c>
      <c r="D18" s="6" t="str">
        <f>"黄仍"</f>
        <v>黄仍</v>
      </c>
      <c r="E18" s="6" t="str">
        <f t="shared" si="1"/>
        <v>女</v>
      </c>
      <c r="F18" s="7" t="s">
        <v>1114</v>
      </c>
    </row>
    <row r="19" spans="1:6" ht="20.100000000000001" customHeight="1" x14ac:dyDescent="0.15">
      <c r="A19" s="5">
        <v>16</v>
      </c>
      <c r="B19" s="6" t="str">
        <f>"30482021060209360871530"</f>
        <v>30482021060209360871530</v>
      </c>
      <c r="C19" s="6" t="s">
        <v>1566</v>
      </c>
      <c r="D19" s="6" t="str">
        <f>"蔡晓葵"</f>
        <v>蔡晓葵</v>
      </c>
      <c r="E19" s="6" t="str">
        <f t="shared" si="1"/>
        <v>女</v>
      </c>
      <c r="F19" s="7" t="s">
        <v>570</v>
      </c>
    </row>
    <row r="20" spans="1:6" ht="20.100000000000001" customHeight="1" x14ac:dyDescent="0.15">
      <c r="A20" s="5">
        <v>17</v>
      </c>
      <c r="B20" s="6" t="str">
        <f>"30482021060209523571771"</f>
        <v>30482021060209523571771</v>
      </c>
      <c r="C20" s="6" t="s">
        <v>1566</v>
      </c>
      <c r="D20" s="6" t="str">
        <f>"潘晓虹"</f>
        <v>潘晓虹</v>
      </c>
      <c r="E20" s="6" t="str">
        <f t="shared" si="1"/>
        <v>女</v>
      </c>
      <c r="F20" s="7" t="s">
        <v>345</v>
      </c>
    </row>
    <row r="21" spans="1:6" ht="20.100000000000001" customHeight="1" x14ac:dyDescent="0.15">
      <c r="A21" s="5">
        <v>18</v>
      </c>
      <c r="B21" s="6" t="str">
        <f>"30482021060210122872016"</f>
        <v>30482021060210122872016</v>
      </c>
      <c r="C21" s="6" t="s">
        <v>1566</v>
      </c>
      <c r="D21" s="6" t="str">
        <f>"韩懿"</f>
        <v>韩懿</v>
      </c>
      <c r="E21" s="6" t="str">
        <f t="shared" si="1"/>
        <v>女</v>
      </c>
      <c r="F21" s="7" t="s">
        <v>1399</v>
      </c>
    </row>
    <row r="22" spans="1:6" ht="20.100000000000001" customHeight="1" x14ac:dyDescent="0.15">
      <c r="A22" s="5">
        <v>19</v>
      </c>
      <c r="B22" s="6" t="str">
        <f>"30482021060210241672185"</f>
        <v>30482021060210241672185</v>
      </c>
      <c r="C22" s="6" t="s">
        <v>1566</v>
      </c>
      <c r="D22" s="6" t="str">
        <f>"王小慧"</f>
        <v>王小慧</v>
      </c>
      <c r="E22" s="6" t="str">
        <f t="shared" si="1"/>
        <v>女</v>
      </c>
      <c r="F22" s="7" t="s">
        <v>1571</v>
      </c>
    </row>
    <row r="23" spans="1:6" ht="20.100000000000001" customHeight="1" x14ac:dyDescent="0.15">
      <c r="A23" s="5">
        <v>20</v>
      </c>
      <c r="B23" s="6" t="str">
        <f>"30482021060211200872907"</f>
        <v>30482021060211200872907</v>
      </c>
      <c r="C23" s="6" t="s">
        <v>1566</v>
      </c>
      <c r="D23" s="6" t="str">
        <f>"吴勰勰"</f>
        <v>吴勰勰</v>
      </c>
      <c r="E23" s="6" t="str">
        <f>"男"</f>
        <v>男</v>
      </c>
      <c r="F23" s="7" t="s">
        <v>1572</v>
      </c>
    </row>
    <row r="24" spans="1:6" ht="20.100000000000001" customHeight="1" x14ac:dyDescent="0.15">
      <c r="A24" s="5">
        <v>21</v>
      </c>
      <c r="B24" s="6" t="str">
        <f>"30482021060211573673260"</f>
        <v>30482021060211573673260</v>
      </c>
      <c r="C24" s="6" t="s">
        <v>1566</v>
      </c>
      <c r="D24" s="6" t="str">
        <f>"严滢"</f>
        <v>严滢</v>
      </c>
      <c r="E24" s="6" t="str">
        <f t="shared" ref="E24:E48" si="2">"女"</f>
        <v>女</v>
      </c>
      <c r="F24" s="7" t="s">
        <v>93</v>
      </c>
    </row>
    <row r="25" spans="1:6" ht="20.100000000000001" customHeight="1" x14ac:dyDescent="0.15">
      <c r="A25" s="5">
        <v>22</v>
      </c>
      <c r="B25" s="6" t="str">
        <f>"30482021060212092473342"</f>
        <v>30482021060212092473342</v>
      </c>
      <c r="C25" s="6" t="s">
        <v>1566</v>
      </c>
      <c r="D25" s="6" t="str">
        <f>"韩春雨"</f>
        <v>韩春雨</v>
      </c>
      <c r="E25" s="6" t="str">
        <f t="shared" si="2"/>
        <v>女</v>
      </c>
      <c r="F25" s="7" t="s">
        <v>157</v>
      </c>
    </row>
    <row r="26" spans="1:6" ht="20.100000000000001" customHeight="1" x14ac:dyDescent="0.15">
      <c r="A26" s="5">
        <v>23</v>
      </c>
      <c r="B26" s="6" t="str">
        <f>"30482021060212344773571"</f>
        <v>30482021060212344773571</v>
      </c>
      <c r="C26" s="6" t="s">
        <v>1566</v>
      </c>
      <c r="D26" s="6" t="str">
        <f>"沈秀银"</f>
        <v>沈秀银</v>
      </c>
      <c r="E26" s="6" t="str">
        <f t="shared" si="2"/>
        <v>女</v>
      </c>
      <c r="F26" s="7" t="s">
        <v>152</v>
      </c>
    </row>
    <row r="27" spans="1:6" ht="20.100000000000001" customHeight="1" x14ac:dyDescent="0.15">
      <c r="A27" s="5">
        <v>24</v>
      </c>
      <c r="B27" s="6" t="str">
        <f>"30482021060214503174484"</f>
        <v>30482021060214503174484</v>
      </c>
      <c r="C27" s="6" t="s">
        <v>1566</v>
      </c>
      <c r="D27" s="6" t="str">
        <f>"秦青"</f>
        <v>秦青</v>
      </c>
      <c r="E27" s="6" t="str">
        <f t="shared" si="2"/>
        <v>女</v>
      </c>
      <c r="F27" s="7" t="s">
        <v>891</v>
      </c>
    </row>
    <row r="28" spans="1:6" ht="20.100000000000001" customHeight="1" x14ac:dyDescent="0.15">
      <c r="A28" s="5">
        <v>25</v>
      </c>
      <c r="B28" s="6" t="str">
        <f>"30482021060217331176127"</f>
        <v>30482021060217331176127</v>
      </c>
      <c r="C28" s="6" t="s">
        <v>1566</v>
      </c>
      <c r="D28" s="6" t="str">
        <f>"吴静红"</f>
        <v>吴静红</v>
      </c>
      <c r="E28" s="6" t="str">
        <f t="shared" si="2"/>
        <v>女</v>
      </c>
      <c r="F28" s="7" t="s">
        <v>30</v>
      </c>
    </row>
    <row r="29" spans="1:6" ht="20.100000000000001" customHeight="1" x14ac:dyDescent="0.15">
      <c r="A29" s="5">
        <v>26</v>
      </c>
      <c r="B29" s="6" t="str">
        <f>"30482021060218031676359"</f>
        <v>30482021060218031676359</v>
      </c>
      <c r="C29" s="6" t="s">
        <v>1566</v>
      </c>
      <c r="D29" s="6" t="str">
        <f>"莫玉敏"</f>
        <v>莫玉敏</v>
      </c>
      <c r="E29" s="6" t="str">
        <f t="shared" si="2"/>
        <v>女</v>
      </c>
      <c r="F29" s="7" t="s">
        <v>219</v>
      </c>
    </row>
    <row r="30" spans="1:6" ht="20.100000000000001" customHeight="1" x14ac:dyDescent="0.15">
      <c r="A30" s="5">
        <v>27</v>
      </c>
      <c r="B30" s="6" t="str">
        <f>"30482021060218451176638"</f>
        <v>30482021060218451176638</v>
      </c>
      <c r="C30" s="6" t="s">
        <v>1566</v>
      </c>
      <c r="D30" s="6" t="str">
        <f>"龙露"</f>
        <v>龙露</v>
      </c>
      <c r="E30" s="6" t="str">
        <f t="shared" si="2"/>
        <v>女</v>
      </c>
      <c r="F30" s="7" t="s">
        <v>219</v>
      </c>
    </row>
    <row r="31" spans="1:6" ht="20.100000000000001" customHeight="1" x14ac:dyDescent="0.15">
      <c r="A31" s="5">
        <v>28</v>
      </c>
      <c r="B31" s="6" t="str">
        <f>"30482021060220580177698"</f>
        <v>30482021060220580177698</v>
      </c>
      <c r="C31" s="6" t="s">
        <v>1566</v>
      </c>
      <c r="D31" s="6" t="str">
        <f>"符小青"</f>
        <v>符小青</v>
      </c>
      <c r="E31" s="6" t="str">
        <f t="shared" si="2"/>
        <v>女</v>
      </c>
      <c r="F31" s="7" t="s">
        <v>669</v>
      </c>
    </row>
    <row r="32" spans="1:6" ht="20.100000000000001" customHeight="1" x14ac:dyDescent="0.15">
      <c r="A32" s="5">
        <v>29</v>
      </c>
      <c r="B32" s="6" t="str">
        <f>"30482021060221142877818"</f>
        <v>30482021060221142877818</v>
      </c>
      <c r="C32" s="6" t="s">
        <v>1566</v>
      </c>
      <c r="D32" s="6" t="str">
        <f>"牛文静"</f>
        <v>牛文静</v>
      </c>
      <c r="E32" s="6" t="str">
        <f t="shared" si="2"/>
        <v>女</v>
      </c>
      <c r="F32" s="7" t="s">
        <v>1573</v>
      </c>
    </row>
    <row r="33" spans="1:6" ht="20.100000000000001" customHeight="1" x14ac:dyDescent="0.15">
      <c r="A33" s="5">
        <v>30</v>
      </c>
      <c r="B33" s="6" t="str">
        <f>"30482021060222472078557"</f>
        <v>30482021060222472078557</v>
      </c>
      <c r="C33" s="6" t="s">
        <v>1566</v>
      </c>
      <c r="D33" s="6" t="str">
        <f>"符林敏"</f>
        <v>符林敏</v>
      </c>
      <c r="E33" s="6" t="str">
        <f t="shared" si="2"/>
        <v>女</v>
      </c>
      <c r="F33" s="7" t="s">
        <v>157</v>
      </c>
    </row>
    <row r="34" spans="1:6" ht="20.100000000000001" customHeight="1" x14ac:dyDescent="0.15">
      <c r="A34" s="5">
        <v>31</v>
      </c>
      <c r="B34" s="6" t="str">
        <f>"30482021060310422381363"</f>
        <v>30482021060310422381363</v>
      </c>
      <c r="C34" s="6" t="s">
        <v>1566</v>
      </c>
      <c r="D34" s="6" t="str">
        <f>"杨少玲"</f>
        <v>杨少玲</v>
      </c>
      <c r="E34" s="6" t="str">
        <f t="shared" si="2"/>
        <v>女</v>
      </c>
      <c r="F34" s="7" t="s">
        <v>1373</v>
      </c>
    </row>
    <row r="35" spans="1:6" ht="20.100000000000001" customHeight="1" x14ac:dyDescent="0.15">
      <c r="A35" s="5">
        <v>32</v>
      </c>
      <c r="B35" s="6" t="str">
        <f>"30482021060313460483374"</f>
        <v>30482021060313460483374</v>
      </c>
      <c r="C35" s="6" t="s">
        <v>1566</v>
      </c>
      <c r="D35" s="6" t="str">
        <f>"周春瑜"</f>
        <v>周春瑜</v>
      </c>
      <c r="E35" s="6" t="str">
        <f t="shared" si="2"/>
        <v>女</v>
      </c>
      <c r="F35" s="7" t="s">
        <v>828</v>
      </c>
    </row>
    <row r="36" spans="1:6" ht="20.100000000000001" customHeight="1" x14ac:dyDescent="0.15">
      <c r="A36" s="5">
        <v>33</v>
      </c>
      <c r="B36" s="6" t="str">
        <f>"30482021060317003285595"</f>
        <v>30482021060317003285595</v>
      </c>
      <c r="C36" s="6" t="s">
        <v>1566</v>
      </c>
      <c r="D36" s="6" t="str">
        <f>"林莉"</f>
        <v>林莉</v>
      </c>
      <c r="E36" s="6" t="str">
        <f t="shared" si="2"/>
        <v>女</v>
      </c>
      <c r="F36" s="7" t="s">
        <v>664</v>
      </c>
    </row>
    <row r="37" spans="1:6" ht="20.100000000000001" customHeight="1" x14ac:dyDescent="0.15">
      <c r="A37" s="5">
        <v>34</v>
      </c>
      <c r="B37" s="6" t="str">
        <f>"30482021060317064985667"</f>
        <v>30482021060317064985667</v>
      </c>
      <c r="C37" s="6" t="s">
        <v>1566</v>
      </c>
      <c r="D37" s="6" t="str">
        <f>"符望"</f>
        <v>符望</v>
      </c>
      <c r="E37" s="6" t="str">
        <f t="shared" si="2"/>
        <v>女</v>
      </c>
      <c r="F37" s="7" t="s">
        <v>384</v>
      </c>
    </row>
    <row r="38" spans="1:6" ht="20.100000000000001" customHeight="1" x14ac:dyDescent="0.15">
      <c r="A38" s="5">
        <v>35</v>
      </c>
      <c r="B38" s="6" t="str">
        <f>"30482021060318121786288"</f>
        <v>30482021060318121786288</v>
      </c>
      <c r="C38" s="6" t="s">
        <v>1566</v>
      </c>
      <c r="D38" s="6" t="str">
        <f>"欧彩虹"</f>
        <v>欧彩虹</v>
      </c>
      <c r="E38" s="6" t="str">
        <f t="shared" si="2"/>
        <v>女</v>
      </c>
      <c r="F38" s="7" t="s">
        <v>496</v>
      </c>
    </row>
    <row r="39" spans="1:6" ht="20.100000000000001" customHeight="1" x14ac:dyDescent="0.15">
      <c r="A39" s="5">
        <v>36</v>
      </c>
      <c r="B39" s="6" t="str">
        <f>"30482021060322215588865"</f>
        <v>30482021060322215588865</v>
      </c>
      <c r="C39" s="6" t="s">
        <v>1566</v>
      </c>
      <c r="D39" s="6" t="str">
        <f>"王翠茹"</f>
        <v>王翠茹</v>
      </c>
      <c r="E39" s="6" t="str">
        <f t="shared" si="2"/>
        <v>女</v>
      </c>
      <c r="F39" s="7" t="s">
        <v>653</v>
      </c>
    </row>
    <row r="40" spans="1:6" ht="20.100000000000001" customHeight="1" x14ac:dyDescent="0.15">
      <c r="A40" s="5">
        <v>37</v>
      </c>
      <c r="B40" s="6" t="str">
        <f>"30482021060407451990095"</f>
        <v>30482021060407451990095</v>
      </c>
      <c r="C40" s="6" t="s">
        <v>1566</v>
      </c>
      <c r="D40" s="6" t="str">
        <f>"张清怡"</f>
        <v>张清怡</v>
      </c>
      <c r="E40" s="6" t="str">
        <f t="shared" si="2"/>
        <v>女</v>
      </c>
      <c r="F40" s="7" t="s">
        <v>396</v>
      </c>
    </row>
    <row r="41" spans="1:6" ht="20.100000000000001" customHeight="1" x14ac:dyDescent="0.15">
      <c r="A41" s="5">
        <v>38</v>
      </c>
      <c r="B41" s="6" t="str">
        <f>"30482021060409180490789"</f>
        <v>30482021060409180490789</v>
      </c>
      <c r="C41" s="6" t="s">
        <v>1566</v>
      </c>
      <c r="D41" s="6" t="str">
        <f>"郑瑶"</f>
        <v>郑瑶</v>
      </c>
      <c r="E41" s="6" t="str">
        <f t="shared" si="2"/>
        <v>女</v>
      </c>
      <c r="F41" s="7" t="s">
        <v>1435</v>
      </c>
    </row>
    <row r="42" spans="1:6" ht="20.100000000000001" customHeight="1" x14ac:dyDescent="0.15">
      <c r="A42" s="5">
        <v>39</v>
      </c>
      <c r="B42" s="6" t="str">
        <f>"30482021060409263690883"</f>
        <v>30482021060409263690883</v>
      </c>
      <c r="C42" s="6" t="s">
        <v>1566</v>
      </c>
      <c r="D42" s="6" t="str">
        <f>"孟庆玫"</f>
        <v>孟庆玫</v>
      </c>
      <c r="E42" s="6" t="str">
        <f t="shared" si="2"/>
        <v>女</v>
      </c>
      <c r="F42" s="7" t="s">
        <v>123</v>
      </c>
    </row>
    <row r="43" spans="1:6" ht="20.100000000000001" customHeight="1" x14ac:dyDescent="0.15">
      <c r="A43" s="5">
        <v>40</v>
      </c>
      <c r="B43" s="6" t="str">
        <f>"30482021060409432791066"</f>
        <v>30482021060409432791066</v>
      </c>
      <c r="C43" s="6" t="s">
        <v>1566</v>
      </c>
      <c r="D43" s="6" t="str">
        <f>"云霖霖"</f>
        <v>云霖霖</v>
      </c>
      <c r="E43" s="6" t="str">
        <f t="shared" si="2"/>
        <v>女</v>
      </c>
      <c r="F43" s="7" t="s">
        <v>790</v>
      </c>
    </row>
    <row r="44" spans="1:6" ht="20.100000000000001" customHeight="1" x14ac:dyDescent="0.15">
      <c r="A44" s="5">
        <v>41</v>
      </c>
      <c r="B44" s="6" t="str">
        <f>"30482021060412202193568"</f>
        <v>30482021060412202193568</v>
      </c>
      <c r="C44" s="6" t="s">
        <v>1566</v>
      </c>
      <c r="D44" s="6" t="str">
        <f>"高冰"</f>
        <v>高冰</v>
      </c>
      <c r="E44" s="6" t="str">
        <f t="shared" si="2"/>
        <v>女</v>
      </c>
      <c r="F44" s="7" t="s">
        <v>1065</v>
      </c>
    </row>
    <row r="45" spans="1:6" ht="20.100000000000001" customHeight="1" x14ac:dyDescent="0.15">
      <c r="A45" s="5">
        <v>42</v>
      </c>
      <c r="B45" s="6" t="str">
        <f>"30482021060416572997495"</f>
        <v>30482021060416572997495</v>
      </c>
      <c r="C45" s="6" t="s">
        <v>1566</v>
      </c>
      <c r="D45" s="6" t="str">
        <f>"林小雪"</f>
        <v>林小雪</v>
      </c>
      <c r="E45" s="6" t="str">
        <f t="shared" si="2"/>
        <v>女</v>
      </c>
      <c r="F45" s="7" t="s">
        <v>350</v>
      </c>
    </row>
    <row r="46" spans="1:6" ht="20.100000000000001" customHeight="1" x14ac:dyDescent="0.15">
      <c r="A46" s="5">
        <v>43</v>
      </c>
      <c r="B46" s="6" t="str">
        <f>"304820210605105431100518"</f>
        <v>304820210605105431100518</v>
      </c>
      <c r="C46" s="6" t="s">
        <v>1566</v>
      </c>
      <c r="D46" s="6" t="str">
        <f>"裴登静"</f>
        <v>裴登静</v>
      </c>
      <c r="E46" s="6" t="str">
        <f t="shared" si="2"/>
        <v>女</v>
      </c>
      <c r="F46" s="7" t="s">
        <v>1574</v>
      </c>
    </row>
    <row r="47" spans="1:6" ht="20.100000000000001" customHeight="1" x14ac:dyDescent="0.15">
      <c r="A47" s="5">
        <v>44</v>
      </c>
      <c r="B47" s="6" t="str">
        <f>"304820210606225202105056"</f>
        <v>304820210606225202105056</v>
      </c>
      <c r="C47" s="6" t="s">
        <v>1566</v>
      </c>
      <c r="D47" s="6" t="str">
        <f>"史贤慧"</f>
        <v>史贤慧</v>
      </c>
      <c r="E47" s="6" t="str">
        <f t="shared" si="2"/>
        <v>女</v>
      </c>
      <c r="F47" s="7" t="s">
        <v>38</v>
      </c>
    </row>
    <row r="48" spans="1:6" ht="20.100000000000001" customHeight="1" x14ac:dyDescent="0.15">
      <c r="A48" s="5">
        <v>45</v>
      </c>
      <c r="B48" s="6" t="str">
        <f>"304820210607092545105670"</f>
        <v>304820210607092545105670</v>
      </c>
      <c r="C48" s="6" t="s">
        <v>1566</v>
      </c>
      <c r="D48" s="6" t="str">
        <f>"黄丹丹"</f>
        <v>黄丹丹</v>
      </c>
      <c r="E48" s="6" t="str">
        <f t="shared" si="2"/>
        <v>女</v>
      </c>
      <c r="F48" s="7" t="s">
        <v>1575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workbookViewId="0">
      <selection activeCell="L6" sqref="L6"/>
    </sheetView>
  </sheetViews>
  <sheetFormatPr defaultColWidth="9" defaultRowHeight="20.100000000000001" customHeight="1" x14ac:dyDescent="0.15"/>
  <cols>
    <col min="1" max="1" width="6.375" style="1" customWidth="1"/>
    <col min="2" max="2" width="24.625" style="1" customWidth="1"/>
    <col min="3" max="3" width="15.25" style="1" customWidth="1"/>
    <col min="4" max="4" width="10.125" style="1" customWidth="1"/>
    <col min="5" max="5" width="6.75" style="1" customWidth="1"/>
    <col min="6" max="6" width="16.6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"30482021060114004463440"</f>
        <v>30482021060114004463440</v>
      </c>
      <c r="C4" s="6" t="s">
        <v>1576</v>
      </c>
      <c r="D4" s="6" t="str">
        <f>"叶丹丹"</f>
        <v>叶丹丹</v>
      </c>
      <c r="E4" s="6" t="str">
        <f t="shared" ref="E4:E9" si="0">"女"</f>
        <v>女</v>
      </c>
      <c r="F4" s="7" t="s">
        <v>31</v>
      </c>
    </row>
    <row r="5" spans="1:6" ht="20.100000000000001" customHeight="1" x14ac:dyDescent="0.15">
      <c r="A5" s="5">
        <v>2</v>
      </c>
      <c r="B5" s="6" t="str">
        <f>"30482021060114011863449"</f>
        <v>30482021060114011863449</v>
      </c>
      <c r="C5" s="6" t="s">
        <v>1576</v>
      </c>
      <c r="D5" s="6" t="str">
        <f>"卢艾妃"</f>
        <v>卢艾妃</v>
      </c>
      <c r="E5" s="6" t="str">
        <f t="shared" si="0"/>
        <v>女</v>
      </c>
      <c r="F5" s="7" t="s">
        <v>1577</v>
      </c>
    </row>
    <row r="6" spans="1:6" ht="20.100000000000001" customHeight="1" x14ac:dyDescent="0.15">
      <c r="A6" s="5">
        <v>3</v>
      </c>
      <c r="B6" s="6" t="str">
        <f>"30482021060114021663459"</f>
        <v>30482021060114021663459</v>
      </c>
      <c r="C6" s="6" t="s">
        <v>1576</v>
      </c>
      <c r="D6" s="6" t="str">
        <f>"符进成"</f>
        <v>符进成</v>
      </c>
      <c r="E6" s="6" t="str">
        <f>"男"</f>
        <v>男</v>
      </c>
      <c r="F6" s="7" t="s">
        <v>1578</v>
      </c>
    </row>
    <row r="7" spans="1:6" ht="20.100000000000001" customHeight="1" x14ac:dyDescent="0.15">
      <c r="A7" s="5">
        <v>4</v>
      </c>
      <c r="B7" s="6" t="str">
        <f>"30482021060114031563469"</f>
        <v>30482021060114031563469</v>
      </c>
      <c r="C7" s="6" t="s">
        <v>1576</v>
      </c>
      <c r="D7" s="6" t="str">
        <f>"李伊果"</f>
        <v>李伊果</v>
      </c>
      <c r="E7" s="6" t="str">
        <f t="shared" si="0"/>
        <v>女</v>
      </c>
      <c r="F7" s="7" t="s">
        <v>1532</v>
      </c>
    </row>
    <row r="8" spans="1:6" ht="20.100000000000001" customHeight="1" x14ac:dyDescent="0.15">
      <c r="A8" s="5">
        <v>5</v>
      </c>
      <c r="B8" s="6" t="str">
        <f>"30482021060114035563477"</f>
        <v>30482021060114035563477</v>
      </c>
      <c r="C8" s="6" t="s">
        <v>1576</v>
      </c>
      <c r="D8" s="6" t="str">
        <f>"李再"</f>
        <v>李再</v>
      </c>
      <c r="E8" s="6" t="str">
        <f t="shared" si="0"/>
        <v>女</v>
      </c>
      <c r="F8" s="7" t="s">
        <v>1291</v>
      </c>
    </row>
    <row r="9" spans="1:6" ht="20.100000000000001" customHeight="1" x14ac:dyDescent="0.15">
      <c r="A9" s="5">
        <v>6</v>
      </c>
      <c r="B9" s="6" t="str">
        <f>"30482021060114045763491"</f>
        <v>30482021060114045763491</v>
      </c>
      <c r="C9" s="6" t="s">
        <v>1576</v>
      </c>
      <c r="D9" s="6" t="str">
        <f>"王春媛"</f>
        <v>王春媛</v>
      </c>
      <c r="E9" s="6" t="str">
        <f t="shared" si="0"/>
        <v>女</v>
      </c>
      <c r="F9" s="7" t="s">
        <v>1294</v>
      </c>
    </row>
    <row r="10" spans="1:6" ht="20.100000000000001" customHeight="1" x14ac:dyDescent="0.15">
      <c r="A10" s="5">
        <v>7</v>
      </c>
      <c r="B10" s="6" t="str">
        <f>"30482021060114054963501"</f>
        <v>30482021060114054963501</v>
      </c>
      <c r="C10" s="6" t="s">
        <v>1576</v>
      </c>
      <c r="D10" s="6" t="str">
        <f>"曾健杰"</f>
        <v>曾健杰</v>
      </c>
      <c r="E10" s="6" t="str">
        <f>"男"</f>
        <v>男</v>
      </c>
      <c r="F10" s="7" t="s">
        <v>126</v>
      </c>
    </row>
    <row r="11" spans="1:6" ht="20.100000000000001" customHeight="1" x14ac:dyDescent="0.15">
      <c r="A11" s="5">
        <v>8</v>
      </c>
      <c r="B11" s="6" t="str">
        <f>"30482021060114060863508"</f>
        <v>30482021060114060863508</v>
      </c>
      <c r="C11" s="6" t="s">
        <v>1576</v>
      </c>
      <c r="D11" s="6" t="str">
        <f>"黄燕玲"</f>
        <v>黄燕玲</v>
      </c>
      <c r="E11" s="6" t="str">
        <f t="shared" ref="E11:E18" si="1">"女"</f>
        <v>女</v>
      </c>
      <c r="F11" s="7" t="s">
        <v>1579</v>
      </c>
    </row>
    <row r="12" spans="1:6" ht="20.100000000000001" customHeight="1" x14ac:dyDescent="0.15">
      <c r="A12" s="5">
        <v>9</v>
      </c>
      <c r="B12" s="6" t="str">
        <f>"30482021060114064563517"</f>
        <v>30482021060114064563517</v>
      </c>
      <c r="C12" s="6" t="s">
        <v>1576</v>
      </c>
      <c r="D12" s="6" t="str">
        <f>"李海英"</f>
        <v>李海英</v>
      </c>
      <c r="E12" s="6" t="str">
        <f t="shared" si="1"/>
        <v>女</v>
      </c>
      <c r="F12" s="7" t="s">
        <v>1119</v>
      </c>
    </row>
    <row r="13" spans="1:6" ht="20.100000000000001" customHeight="1" x14ac:dyDescent="0.15">
      <c r="A13" s="5">
        <v>10</v>
      </c>
      <c r="B13" s="6" t="str">
        <f>"30482021060114070263520"</f>
        <v>30482021060114070263520</v>
      </c>
      <c r="C13" s="6" t="s">
        <v>1576</v>
      </c>
      <c r="D13" s="6" t="str">
        <f>"吴琼淑"</f>
        <v>吴琼淑</v>
      </c>
      <c r="E13" s="6" t="str">
        <f t="shared" si="1"/>
        <v>女</v>
      </c>
      <c r="F13" s="7" t="s">
        <v>12</v>
      </c>
    </row>
    <row r="14" spans="1:6" ht="20.100000000000001" customHeight="1" x14ac:dyDescent="0.15">
      <c r="A14" s="5">
        <v>11</v>
      </c>
      <c r="B14" s="6" t="str">
        <f>"30482021060114084763535"</f>
        <v>30482021060114084763535</v>
      </c>
      <c r="C14" s="6" t="s">
        <v>1576</v>
      </c>
      <c r="D14" s="6" t="str">
        <f>"王月燕"</f>
        <v>王月燕</v>
      </c>
      <c r="E14" s="6" t="str">
        <f t="shared" si="1"/>
        <v>女</v>
      </c>
      <c r="F14" s="7" t="s">
        <v>592</v>
      </c>
    </row>
    <row r="15" spans="1:6" ht="20.100000000000001" customHeight="1" x14ac:dyDescent="0.15">
      <c r="A15" s="5">
        <v>12</v>
      </c>
      <c r="B15" s="6" t="str">
        <f>"30482021060114085863537"</f>
        <v>30482021060114085863537</v>
      </c>
      <c r="C15" s="6" t="s">
        <v>1576</v>
      </c>
      <c r="D15" s="6" t="str">
        <f>"黄心瑜"</f>
        <v>黄心瑜</v>
      </c>
      <c r="E15" s="6" t="str">
        <f t="shared" si="1"/>
        <v>女</v>
      </c>
      <c r="F15" s="7" t="s">
        <v>1332</v>
      </c>
    </row>
    <row r="16" spans="1:6" ht="20.100000000000001" customHeight="1" x14ac:dyDescent="0.15">
      <c r="A16" s="5">
        <v>13</v>
      </c>
      <c r="B16" s="6" t="str">
        <f>"30482021060114102963545"</f>
        <v>30482021060114102963545</v>
      </c>
      <c r="C16" s="6" t="s">
        <v>1576</v>
      </c>
      <c r="D16" s="6" t="str">
        <f>"李燕"</f>
        <v>李燕</v>
      </c>
      <c r="E16" s="6" t="str">
        <f t="shared" si="1"/>
        <v>女</v>
      </c>
      <c r="F16" s="7" t="s">
        <v>1580</v>
      </c>
    </row>
    <row r="17" spans="1:6" ht="20.100000000000001" customHeight="1" x14ac:dyDescent="0.15">
      <c r="A17" s="5">
        <v>14</v>
      </c>
      <c r="B17" s="6" t="str">
        <f>"30482021060114113563555"</f>
        <v>30482021060114113563555</v>
      </c>
      <c r="C17" s="6" t="s">
        <v>1576</v>
      </c>
      <c r="D17" s="6" t="str">
        <f>"周焕妹"</f>
        <v>周焕妹</v>
      </c>
      <c r="E17" s="6" t="str">
        <f t="shared" si="1"/>
        <v>女</v>
      </c>
      <c r="F17" s="7" t="s">
        <v>244</v>
      </c>
    </row>
    <row r="18" spans="1:6" ht="20.100000000000001" customHeight="1" x14ac:dyDescent="0.15">
      <c r="A18" s="5">
        <v>15</v>
      </c>
      <c r="B18" s="6" t="str">
        <f>"30482021060114131363577"</f>
        <v>30482021060114131363577</v>
      </c>
      <c r="C18" s="6" t="s">
        <v>1576</v>
      </c>
      <c r="D18" s="6" t="str">
        <f>"符艳丽"</f>
        <v>符艳丽</v>
      </c>
      <c r="E18" s="6" t="str">
        <f t="shared" si="1"/>
        <v>女</v>
      </c>
      <c r="F18" s="7" t="s">
        <v>665</v>
      </c>
    </row>
    <row r="19" spans="1:6" ht="20.100000000000001" customHeight="1" x14ac:dyDescent="0.15">
      <c r="A19" s="5">
        <v>16</v>
      </c>
      <c r="B19" s="6" t="str">
        <f>"30482021060114151963595"</f>
        <v>30482021060114151963595</v>
      </c>
      <c r="C19" s="6" t="s">
        <v>1576</v>
      </c>
      <c r="D19" s="6" t="str">
        <f>"周忠喜"</f>
        <v>周忠喜</v>
      </c>
      <c r="E19" s="6" t="str">
        <f>"男"</f>
        <v>男</v>
      </c>
      <c r="F19" s="7" t="s">
        <v>1581</v>
      </c>
    </row>
    <row r="20" spans="1:6" ht="20.100000000000001" customHeight="1" x14ac:dyDescent="0.15">
      <c r="A20" s="5">
        <v>17</v>
      </c>
      <c r="B20" s="6" t="str">
        <f>"30482021060114161563606"</f>
        <v>30482021060114161563606</v>
      </c>
      <c r="C20" s="6" t="s">
        <v>1576</v>
      </c>
      <c r="D20" s="6" t="str">
        <f>"冯群"</f>
        <v>冯群</v>
      </c>
      <c r="E20" s="6" t="str">
        <f t="shared" ref="E20:E26" si="2">"女"</f>
        <v>女</v>
      </c>
      <c r="F20" s="7" t="s">
        <v>1335</v>
      </c>
    </row>
    <row r="21" spans="1:6" ht="20.100000000000001" customHeight="1" x14ac:dyDescent="0.15">
      <c r="A21" s="5">
        <v>18</v>
      </c>
      <c r="B21" s="6" t="str">
        <f>"30482021060114163663610"</f>
        <v>30482021060114163663610</v>
      </c>
      <c r="C21" s="6" t="s">
        <v>1576</v>
      </c>
      <c r="D21" s="6" t="str">
        <f>"李紫莲"</f>
        <v>李紫莲</v>
      </c>
      <c r="E21" s="6" t="str">
        <f t="shared" si="2"/>
        <v>女</v>
      </c>
      <c r="F21" s="7" t="s">
        <v>1582</v>
      </c>
    </row>
    <row r="22" spans="1:6" ht="20.100000000000001" customHeight="1" x14ac:dyDescent="0.15">
      <c r="A22" s="5">
        <v>19</v>
      </c>
      <c r="B22" s="6" t="str">
        <f>"30482021060114184663629"</f>
        <v>30482021060114184663629</v>
      </c>
      <c r="C22" s="6" t="s">
        <v>1576</v>
      </c>
      <c r="D22" s="6" t="str">
        <f>"陈川海"</f>
        <v>陈川海</v>
      </c>
      <c r="E22" s="6" t="str">
        <f>"男"</f>
        <v>男</v>
      </c>
      <c r="F22" s="7" t="s">
        <v>1583</v>
      </c>
    </row>
    <row r="23" spans="1:6" ht="20.100000000000001" customHeight="1" x14ac:dyDescent="0.15">
      <c r="A23" s="5">
        <v>20</v>
      </c>
      <c r="B23" s="6" t="str">
        <f>"30482021060114193763638"</f>
        <v>30482021060114193763638</v>
      </c>
      <c r="C23" s="6" t="s">
        <v>1576</v>
      </c>
      <c r="D23" s="6" t="str">
        <f>"李小梦"</f>
        <v>李小梦</v>
      </c>
      <c r="E23" s="6" t="str">
        <f t="shared" si="2"/>
        <v>女</v>
      </c>
      <c r="F23" s="7" t="s">
        <v>566</v>
      </c>
    </row>
    <row r="24" spans="1:6" ht="20.100000000000001" customHeight="1" x14ac:dyDescent="0.15">
      <c r="A24" s="5">
        <v>21</v>
      </c>
      <c r="B24" s="6" t="str">
        <f>"30482021060114205763651"</f>
        <v>30482021060114205763651</v>
      </c>
      <c r="C24" s="6" t="s">
        <v>1576</v>
      </c>
      <c r="D24" s="6" t="str">
        <f>"陈送玲"</f>
        <v>陈送玲</v>
      </c>
      <c r="E24" s="6" t="str">
        <f t="shared" si="2"/>
        <v>女</v>
      </c>
      <c r="F24" s="7" t="s">
        <v>1584</v>
      </c>
    </row>
    <row r="25" spans="1:6" ht="20.100000000000001" customHeight="1" x14ac:dyDescent="0.15">
      <c r="A25" s="5">
        <v>22</v>
      </c>
      <c r="B25" s="6" t="str">
        <f>"30482021060114211463656"</f>
        <v>30482021060114211463656</v>
      </c>
      <c r="C25" s="6" t="s">
        <v>1576</v>
      </c>
      <c r="D25" s="6" t="str">
        <f>"林丽娜"</f>
        <v>林丽娜</v>
      </c>
      <c r="E25" s="6" t="str">
        <f t="shared" si="2"/>
        <v>女</v>
      </c>
      <c r="F25" s="7" t="s">
        <v>948</v>
      </c>
    </row>
    <row r="26" spans="1:6" ht="20.100000000000001" customHeight="1" x14ac:dyDescent="0.15">
      <c r="A26" s="5">
        <v>23</v>
      </c>
      <c r="B26" s="6" t="str">
        <f>"30482021060114225063675"</f>
        <v>30482021060114225063675</v>
      </c>
      <c r="C26" s="6" t="s">
        <v>1576</v>
      </c>
      <c r="D26" s="6" t="str">
        <f>"黄小月"</f>
        <v>黄小月</v>
      </c>
      <c r="E26" s="6" t="str">
        <f t="shared" si="2"/>
        <v>女</v>
      </c>
      <c r="F26" s="7" t="s">
        <v>400</v>
      </c>
    </row>
    <row r="27" spans="1:6" ht="20.100000000000001" customHeight="1" x14ac:dyDescent="0.15">
      <c r="A27" s="5">
        <v>24</v>
      </c>
      <c r="B27" s="6" t="str">
        <f>"30482021060114231563679"</f>
        <v>30482021060114231563679</v>
      </c>
      <c r="C27" s="6" t="s">
        <v>1576</v>
      </c>
      <c r="D27" s="6" t="str">
        <f>"杨兴"</f>
        <v>杨兴</v>
      </c>
      <c r="E27" s="6" t="str">
        <f t="shared" ref="E27:E31" si="3">"男"</f>
        <v>男</v>
      </c>
      <c r="F27" s="7" t="s">
        <v>702</v>
      </c>
    </row>
    <row r="28" spans="1:6" ht="20.100000000000001" customHeight="1" x14ac:dyDescent="0.15">
      <c r="A28" s="5">
        <v>25</v>
      </c>
      <c r="B28" s="6" t="str">
        <f>"30482021060114240463683"</f>
        <v>30482021060114240463683</v>
      </c>
      <c r="C28" s="6" t="s">
        <v>1576</v>
      </c>
      <c r="D28" s="6" t="str">
        <f>"夏治勇"</f>
        <v>夏治勇</v>
      </c>
      <c r="E28" s="6" t="str">
        <f t="shared" si="3"/>
        <v>男</v>
      </c>
      <c r="F28" s="7" t="s">
        <v>1585</v>
      </c>
    </row>
    <row r="29" spans="1:6" ht="20.100000000000001" customHeight="1" x14ac:dyDescent="0.15">
      <c r="A29" s="5">
        <v>26</v>
      </c>
      <c r="B29" s="6" t="str">
        <f>"30482021060114263463712"</f>
        <v>30482021060114263463712</v>
      </c>
      <c r="C29" s="6" t="s">
        <v>1576</v>
      </c>
      <c r="D29" s="6" t="str">
        <f>"黄婉秋"</f>
        <v>黄婉秋</v>
      </c>
      <c r="E29" s="6" t="str">
        <f t="shared" ref="E29:E37" si="4">"女"</f>
        <v>女</v>
      </c>
      <c r="F29" s="7" t="s">
        <v>455</v>
      </c>
    </row>
    <row r="30" spans="1:6" ht="20.100000000000001" customHeight="1" x14ac:dyDescent="0.15">
      <c r="A30" s="5">
        <v>27</v>
      </c>
      <c r="B30" s="6" t="str">
        <f>"30482021060114264063715"</f>
        <v>30482021060114264063715</v>
      </c>
      <c r="C30" s="6" t="s">
        <v>1576</v>
      </c>
      <c r="D30" s="6" t="str">
        <f>"王瑜"</f>
        <v>王瑜</v>
      </c>
      <c r="E30" s="6" t="str">
        <f t="shared" si="4"/>
        <v>女</v>
      </c>
      <c r="F30" s="7" t="s">
        <v>152</v>
      </c>
    </row>
    <row r="31" spans="1:6" ht="20.100000000000001" customHeight="1" x14ac:dyDescent="0.15">
      <c r="A31" s="5">
        <v>28</v>
      </c>
      <c r="B31" s="6" t="str">
        <f>"30482021060114270863723"</f>
        <v>30482021060114270863723</v>
      </c>
      <c r="C31" s="6" t="s">
        <v>1576</v>
      </c>
      <c r="D31" s="6" t="str">
        <f>"曾德杰"</f>
        <v>曾德杰</v>
      </c>
      <c r="E31" s="6" t="str">
        <f t="shared" si="3"/>
        <v>男</v>
      </c>
      <c r="F31" s="7" t="s">
        <v>1586</v>
      </c>
    </row>
    <row r="32" spans="1:6" ht="20.100000000000001" customHeight="1" x14ac:dyDescent="0.15">
      <c r="A32" s="5">
        <v>29</v>
      </c>
      <c r="B32" s="6" t="str">
        <f>"30482021060114292663748"</f>
        <v>30482021060114292663748</v>
      </c>
      <c r="C32" s="6" t="s">
        <v>1576</v>
      </c>
      <c r="D32" s="6" t="str">
        <f>"黄梅"</f>
        <v>黄梅</v>
      </c>
      <c r="E32" s="6" t="str">
        <f t="shared" si="4"/>
        <v>女</v>
      </c>
      <c r="F32" s="7" t="s">
        <v>1587</v>
      </c>
    </row>
    <row r="33" spans="1:6" ht="20.100000000000001" customHeight="1" x14ac:dyDescent="0.15">
      <c r="A33" s="5">
        <v>30</v>
      </c>
      <c r="B33" s="6" t="str">
        <f>"30482021060114295963751"</f>
        <v>30482021060114295963751</v>
      </c>
      <c r="C33" s="6" t="s">
        <v>1576</v>
      </c>
      <c r="D33" s="6" t="str">
        <f>"陈碧莲"</f>
        <v>陈碧莲</v>
      </c>
      <c r="E33" s="6" t="str">
        <f t="shared" si="4"/>
        <v>女</v>
      </c>
      <c r="F33" s="7" t="s">
        <v>965</v>
      </c>
    </row>
    <row r="34" spans="1:6" ht="20.100000000000001" customHeight="1" x14ac:dyDescent="0.15">
      <c r="A34" s="5">
        <v>31</v>
      </c>
      <c r="B34" s="6" t="str">
        <f>"30482021060114300363752"</f>
        <v>30482021060114300363752</v>
      </c>
      <c r="C34" s="6" t="s">
        <v>1576</v>
      </c>
      <c r="D34" s="6" t="str">
        <f>"羊有秋"</f>
        <v>羊有秋</v>
      </c>
      <c r="E34" s="6" t="str">
        <f t="shared" si="4"/>
        <v>女</v>
      </c>
      <c r="F34" s="7" t="s">
        <v>1394</v>
      </c>
    </row>
    <row r="35" spans="1:6" ht="20.100000000000001" customHeight="1" x14ac:dyDescent="0.15">
      <c r="A35" s="5">
        <v>32</v>
      </c>
      <c r="B35" s="6" t="str">
        <f>"30482021060114300463753"</f>
        <v>30482021060114300463753</v>
      </c>
      <c r="C35" s="6" t="s">
        <v>1576</v>
      </c>
      <c r="D35" s="6" t="str">
        <f>"钟静玉"</f>
        <v>钟静玉</v>
      </c>
      <c r="E35" s="6" t="str">
        <f t="shared" si="4"/>
        <v>女</v>
      </c>
      <c r="F35" s="7" t="s">
        <v>872</v>
      </c>
    </row>
    <row r="36" spans="1:6" ht="20.100000000000001" customHeight="1" x14ac:dyDescent="0.15">
      <c r="A36" s="5">
        <v>33</v>
      </c>
      <c r="B36" s="6" t="str">
        <f>"30482021060114314963771"</f>
        <v>30482021060114314963771</v>
      </c>
      <c r="C36" s="6" t="s">
        <v>1576</v>
      </c>
      <c r="D36" s="6" t="str">
        <f>"陈春桂"</f>
        <v>陈春桂</v>
      </c>
      <c r="E36" s="6" t="str">
        <f t="shared" si="4"/>
        <v>女</v>
      </c>
      <c r="F36" s="7" t="s">
        <v>481</v>
      </c>
    </row>
    <row r="37" spans="1:6" ht="20.100000000000001" customHeight="1" x14ac:dyDescent="0.15">
      <c r="A37" s="5">
        <v>34</v>
      </c>
      <c r="B37" s="6" t="str">
        <f>"30482021060114322163776"</f>
        <v>30482021060114322163776</v>
      </c>
      <c r="C37" s="6" t="s">
        <v>1576</v>
      </c>
      <c r="D37" s="6" t="str">
        <f>"冯家欣"</f>
        <v>冯家欣</v>
      </c>
      <c r="E37" s="6" t="str">
        <f t="shared" si="4"/>
        <v>女</v>
      </c>
      <c r="F37" s="7" t="s">
        <v>341</v>
      </c>
    </row>
    <row r="38" spans="1:6" ht="20.100000000000001" customHeight="1" x14ac:dyDescent="0.15">
      <c r="A38" s="5">
        <v>35</v>
      </c>
      <c r="B38" s="6" t="str">
        <f>"30482021060114344063799"</f>
        <v>30482021060114344063799</v>
      </c>
      <c r="C38" s="6" t="s">
        <v>1576</v>
      </c>
      <c r="D38" s="6" t="str">
        <f>"文成磊"</f>
        <v>文成磊</v>
      </c>
      <c r="E38" s="6" t="str">
        <f>"男"</f>
        <v>男</v>
      </c>
      <c r="F38" s="7" t="s">
        <v>1025</v>
      </c>
    </row>
    <row r="39" spans="1:6" ht="20.100000000000001" customHeight="1" x14ac:dyDescent="0.15">
      <c r="A39" s="5">
        <v>36</v>
      </c>
      <c r="B39" s="6" t="str">
        <f>"30482021060114382063844"</f>
        <v>30482021060114382063844</v>
      </c>
      <c r="C39" s="6" t="s">
        <v>1576</v>
      </c>
      <c r="D39" s="6" t="str">
        <f>"符芳源"</f>
        <v>符芳源</v>
      </c>
      <c r="E39" s="6" t="str">
        <f t="shared" ref="E39:E42" si="5">"女"</f>
        <v>女</v>
      </c>
      <c r="F39" s="7" t="s">
        <v>1588</v>
      </c>
    </row>
    <row r="40" spans="1:6" ht="20.100000000000001" customHeight="1" x14ac:dyDescent="0.15">
      <c r="A40" s="5">
        <v>37</v>
      </c>
      <c r="B40" s="6" t="str">
        <f>"30482021060114384663851"</f>
        <v>30482021060114384663851</v>
      </c>
      <c r="C40" s="6" t="s">
        <v>1576</v>
      </c>
      <c r="D40" s="6" t="str">
        <f>"王丽贝"</f>
        <v>王丽贝</v>
      </c>
      <c r="E40" s="6" t="str">
        <f t="shared" si="5"/>
        <v>女</v>
      </c>
      <c r="F40" s="7" t="s">
        <v>1589</v>
      </c>
    </row>
    <row r="41" spans="1:6" ht="20.100000000000001" customHeight="1" x14ac:dyDescent="0.15">
      <c r="A41" s="5">
        <v>38</v>
      </c>
      <c r="B41" s="6" t="str">
        <f>"30482021060114390363860"</f>
        <v>30482021060114390363860</v>
      </c>
      <c r="C41" s="6" t="s">
        <v>1576</v>
      </c>
      <c r="D41" s="6" t="str">
        <f>"高栋"</f>
        <v>高栋</v>
      </c>
      <c r="E41" s="6" t="str">
        <f t="shared" si="5"/>
        <v>女</v>
      </c>
      <c r="F41" s="7" t="s">
        <v>139</v>
      </c>
    </row>
    <row r="42" spans="1:6" ht="20.100000000000001" customHeight="1" x14ac:dyDescent="0.15">
      <c r="A42" s="5">
        <v>39</v>
      </c>
      <c r="B42" s="6" t="str">
        <f>"30482021060114391263864"</f>
        <v>30482021060114391263864</v>
      </c>
      <c r="C42" s="6" t="s">
        <v>1576</v>
      </c>
      <c r="D42" s="6" t="str">
        <f>"陈艳"</f>
        <v>陈艳</v>
      </c>
      <c r="E42" s="6" t="str">
        <f t="shared" si="5"/>
        <v>女</v>
      </c>
      <c r="F42" s="7" t="s">
        <v>258</v>
      </c>
    </row>
    <row r="43" spans="1:6" ht="20.100000000000001" customHeight="1" x14ac:dyDescent="0.15">
      <c r="A43" s="5">
        <v>40</v>
      </c>
      <c r="B43" s="6" t="str">
        <f>"30482021060114403563881"</f>
        <v>30482021060114403563881</v>
      </c>
      <c r="C43" s="6" t="s">
        <v>1576</v>
      </c>
      <c r="D43" s="6" t="str">
        <f>"曾雷"</f>
        <v>曾雷</v>
      </c>
      <c r="E43" s="6" t="str">
        <f>"男"</f>
        <v>男</v>
      </c>
      <c r="F43" s="7" t="s">
        <v>1590</v>
      </c>
    </row>
    <row r="44" spans="1:6" ht="20.100000000000001" customHeight="1" x14ac:dyDescent="0.15">
      <c r="A44" s="5">
        <v>41</v>
      </c>
      <c r="B44" s="6" t="str">
        <f>"30482021060114420763893"</f>
        <v>30482021060114420763893</v>
      </c>
      <c r="C44" s="6" t="s">
        <v>1576</v>
      </c>
      <c r="D44" s="6" t="str">
        <f>"黎宏霞"</f>
        <v>黎宏霞</v>
      </c>
      <c r="E44" s="6" t="str">
        <f t="shared" ref="E44:E52" si="6">"女"</f>
        <v>女</v>
      </c>
      <c r="F44" s="7" t="s">
        <v>511</v>
      </c>
    </row>
    <row r="45" spans="1:6" ht="20.100000000000001" customHeight="1" x14ac:dyDescent="0.15">
      <c r="A45" s="5">
        <v>42</v>
      </c>
      <c r="B45" s="6" t="str">
        <f>"30482021060114420963894"</f>
        <v>30482021060114420963894</v>
      </c>
      <c r="C45" s="6" t="s">
        <v>1576</v>
      </c>
      <c r="D45" s="6" t="str">
        <f>"吴琼"</f>
        <v>吴琼</v>
      </c>
      <c r="E45" s="6" t="str">
        <f t="shared" si="6"/>
        <v>女</v>
      </c>
      <c r="F45" s="7" t="s">
        <v>818</v>
      </c>
    </row>
    <row r="46" spans="1:6" ht="20.100000000000001" customHeight="1" x14ac:dyDescent="0.15">
      <c r="A46" s="5">
        <v>43</v>
      </c>
      <c r="B46" s="6" t="str">
        <f>"30482021060114440063912"</f>
        <v>30482021060114440063912</v>
      </c>
      <c r="C46" s="6" t="s">
        <v>1576</v>
      </c>
      <c r="D46" s="6" t="str">
        <f>"张宁睿"</f>
        <v>张宁睿</v>
      </c>
      <c r="E46" s="6" t="str">
        <f t="shared" si="6"/>
        <v>女</v>
      </c>
      <c r="F46" s="7" t="s">
        <v>1591</v>
      </c>
    </row>
    <row r="47" spans="1:6" ht="20.100000000000001" customHeight="1" x14ac:dyDescent="0.15">
      <c r="A47" s="5">
        <v>44</v>
      </c>
      <c r="B47" s="6" t="str">
        <f>"30482021060114441063916"</f>
        <v>30482021060114441063916</v>
      </c>
      <c r="C47" s="6" t="s">
        <v>1576</v>
      </c>
      <c r="D47" s="6" t="str">
        <f>"王彩云"</f>
        <v>王彩云</v>
      </c>
      <c r="E47" s="6" t="str">
        <f t="shared" si="6"/>
        <v>女</v>
      </c>
      <c r="F47" s="7" t="s">
        <v>50</v>
      </c>
    </row>
    <row r="48" spans="1:6" ht="20.100000000000001" customHeight="1" x14ac:dyDescent="0.15">
      <c r="A48" s="5">
        <v>45</v>
      </c>
      <c r="B48" s="6" t="str">
        <f>"30482021060114442263919"</f>
        <v>30482021060114442263919</v>
      </c>
      <c r="C48" s="6" t="s">
        <v>1576</v>
      </c>
      <c r="D48" s="6" t="str">
        <f>"张露梅"</f>
        <v>张露梅</v>
      </c>
      <c r="E48" s="6" t="str">
        <f t="shared" si="6"/>
        <v>女</v>
      </c>
      <c r="F48" s="7" t="s">
        <v>23</v>
      </c>
    </row>
    <row r="49" spans="1:6" ht="20.100000000000001" customHeight="1" x14ac:dyDescent="0.15">
      <c r="A49" s="5">
        <v>46</v>
      </c>
      <c r="B49" s="6" t="str">
        <f>"30482021060114460063939"</f>
        <v>30482021060114460063939</v>
      </c>
      <c r="C49" s="6" t="s">
        <v>1576</v>
      </c>
      <c r="D49" s="6" t="str">
        <f>"林雪莉"</f>
        <v>林雪莉</v>
      </c>
      <c r="E49" s="6" t="str">
        <f t="shared" si="6"/>
        <v>女</v>
      </c>
      <c r="F49" s="7" t="s">
        <v>11</v>
      </c>
    </row>
    <row r="50" spans="1:6" ht="20.100000000000001" customHeight="1" x14ac:dyDescent="0.15">
      <c r="A50" s="5">
        <v>47</v>
      </c>
      <c r="B50" s="6" t="str">
        <f>"30482021060114461463941"</f>
        <v>30482021060114461463941</v>
      </c>
      <c r="C50" s="6" t="s">
        <v>1576</v>
      </c>
      <c r="D50" s="6" t="str">
        <f>"王娟"</f>
        <v>王娟</v>
      </c>
      <c r="E50" s="6" t="str">
        <f t="shared" si="6"/>
        <v>女</v>
      </c>
      <c r="F50" s="7" t="s">
        <v>1592</v>
      </c>
    </row>
    <row r="51" spans="1:6" ht="20.100000000000001" customHeight="1" x14ac:dyDescent="0.15">
      <c r="A51" s="5">
        <v>48</v>
      </c>
      <c r="B51" s="6" t="str">
        <f>"30482021060114465163947"</f>
        <v>30482021060114465163947</v>
      </c>
      <c r="C51" s="6" t="s">
        <v>1576</v>
      </c>
      <c r="D51" s="6" t="str">
        <f>"刘娜英"</f>
        <v>刘娜英</v>
      </c>
      <c r="E51" s="6" t="str">
        <f t="shared" si="6"/>
        <v>女</v>
      </c>
      <c r="F51" s="7" t="s">
        <v>1593</v>
      </c>
    </row>
    <row r="52" spans="1:6" ht="20.100000000000001" customHeight="1" x14ac:dyDescent="0.15">
      <c r="A52" s="5">
        <v>49</v>
      </c>
      <c r="B52" s="6" t="str">
        <f>"30482021060114471363953"</f>
        <v>30482021060114471363953</v>
      </c>
      <c r="C52" s="6" t="s">
        <v>1576</v>
      </c>
      <c r="D52" s="6" t="str">
        <f>"吴小芳"</f>
        <v>吴小芳</v>
      </c>
      <c r="E52" s="6" t="str">
        <f t="shared" si="6"/>
        <v>女</v>
      </c>
      <c r="F52" s="7" t="s">
        <v>851</v>
      </c>
    </row>
    <row r="53" spans="1:6" ht="20.100000000000001" customHeight="1" x14ac:dyDescent="0.15">
      <c r="A53" s="5">
        <v>50</v>
      </c>
      <c r="B53" s="6" t="str">
        <f>"30482021060114492563981"</f>
        <v>30482021060114492563981</v>
      </c>
      <c r="C53" s="6" t="s">
        <v>1576</v>
      </c>
      <c r="D53" s="6" t="str">
        <f>"符赓"</f>
        <v>符赓</v>
      </c>
      <c r="E53" s="6" t="str">
        <f>"男"</f>
        <v>男</v>
      </c>
      <c r="F53" s="7" t="s">
        <v>947</v>
      </c>
    </row>
    <row r="54" spans="1:6" ht="20.100000000000001" customHeight="1" x14ac:dyDescent="0.15">
      <c r="A54" s="5">
        <v>51</v>
      </c>
      <c r="B54" s="6" t="str">
        <f>"30482021060114503163992"</f>
        <v>30482021060114503163992</v>
      </c>
      <c r="C54" s="6" t="s">
        <v>1576</v>
      </c>
      <c r="D54" s="6" t="str">
        <f>"林金凤"</f>
        <v>林金凤</v>
      </c>
      <c r="E54" s="6" t="str">
        <f t="shared" ref="E54:E75" si="7">"女"</f>
        <v>女</v>
      </c>
      <c r="F54" s="7" t="s">
        <v>249</v>
      </c>
    </row>
    <row r="55" spans="1:6" ht="20.100000000000001" customHeight="1" x14ac:dyDescent="0.15">
      <c r="A55" s="5">
        <v>52</v>
      </c>
      <c r="B55" s="6" t="str">
        <f>"30482021060114512764001"</f>
        <v>30482021060114512764001</v>
      </c>
      <c r="C55" s="6" t="s">
        <v>1576</v>
      </c>
      <c r="D55" s="6" t="str">
        <f>"吴小莉"</f>
        <v>吴小莉</v>
      </c>
      <c r="E55" s="6" t="str">
        <f t="shared" si="7"/>
        <v>女</v>
      </c>
      <c r="F55" s="7" t="s">
        <v>498</v>
      </c>
    </row>
    <row r="56" spans="1:6" ht="20.100000000000001" customHeight="1" x14ac:dyDescent="0.15">
      <c r="A56" s="5">
        <v>53</v>
      </c>
      <c r="B56" s="6" t="str">
        <f>"30482021060114524764024"</f>
        <v>30482021060114524764024</v>
      </c>
      <c r="C56" s="6" t="s">
        <v>1576</v>
      </c>
      <c r="D56" s="6" t="str">
        <f>"王娜二"</f>
        <v>王娜二</v>
      </c>
      <c r="E56" s="6" t="str">
        <f t="shared" si="7"/>
        <v>女</v>
      </c>
      <c r="F56" s="7" t="s">
        <v>200</v>
      </c>
    </row>
    <row r="57" spans="1:6" ht="20.100000000000001" customHeight="1" x14ac:dyDescent="0.15">
      <c r="A57" s="5">
        <v>54</v>
      </c>
      <c r="B57" s="6" t="str">
        <f>"30482021060114525964025"</f>
        <v>30482021060114525964025</v>
      </c>
      <c r="C57" s="6" t="s">
        <v>1576</v>
      </c>
      <c r="D57" s="6" t="str">
        <f>"王声佩"</f>
        <v>王声佩</v>
      </c>
      <c r="E57" s="6" t="str">
        <f t="shared" si="7"/>
        <v>女</v>
      </c>
      <c r="F57" s="7" t="s">
        <v>139</v>
      </c>
    </row>
    <row r="58" spans="1:6" ht="20.100000000000001" customHeight="1" x14ac:dyDescent="0.15">
      <c r="A58" s="5">
        <v>55</v>
      </c>
      <c r="B58" s="6" t="str">
        <f>"30482021060114541764049"</f>
        <v>30482021060114541764049</v>
      </c>
      <c r="C58" s="6" t="s">
        <v>1576</v>
      </c>
      <c r="D58" s="6" t="str">
        <f>"王柳燕"</f>
        <v>王柳燕</v>
      </c>
      <c r="E58" s="6" t="str">
        <f t="shared" si="7"/>
        <v>女</v>
      </c>
      <c r="F58" s="7" t="s">
        <v>157</v>
      </c>
    </row>
    <row r="59" spans="1:6" ht="20.100000000000001" customHeight="1" x14ac:dyDescent="0.15">
      <c r="A59" s="5">
        <v>56</v>
      </c>
      <c r="B59" s="6" t="str">
        <f>"30482021060114552664071"</f>
        <v>30482021060114552664071</v>
      </c>
      <c r="C59" s="6" t="s">
        <v>1576</v>
      </c>
      <c r="D59" s="6" t="str">
        <f>"齐云凌"</f>
        <v>齐云凌</v>
      </c>
      <c r="E59" s="6" t="str">
        <f t="shared" si="7"/>
        <v>女</v>
      </c>
      <c r="F59" s="7" t="s">
        <v>1594</v>
      </c>
    </row>
    <row r="60" spans="1:6" ht="20.100000000000001" customHeight="1" x14ac:dyDescent="0.15">
      <c r="A60" s="5">
        <v>57</v>
      </c>
      <c r="B60" s="6" t="str">
        <f>"30482021060114565764090"</f>
        <v>30482021060114565764090</v>
      </c>
      <c r="C60" s="6" t="s">
        <v>1576</v>
      </c>
      <c r="D60" s="6" t="str">
        <f>"林小娟"</f>
        <v>林小娟</v>
      </c>
      <c r="E60" s="6" t="str">
        <f t="shared" si="7"/>
        <v>女</v>
      </c>
      <c r="F60" s="7" t="s">
        <v>356</v>
      </c>
    </row>
    <row r="61" spans="1:6" ht="20.100000000000001" customHeight="1" x14ac:dyDescent="0.15">
      <c r="A61" s="5">
        <v>58</v>
      </c>
      <c r="B61" s="6" t="str">
        <f>"30482021060114570664096"</f>
        <v>30482021060114570664096</v>
      </c>
      <c r="C61" s="6" t="s">
        <v>1576</v>
      </c>
      <c r="D61" s="6" t="str">
        <f>"陈凤娟"</f>
        <v>陈凤娟</v>
      </c>
      <c r="E61" s="6" t="str">
        <f t="shared" si="7"/>
        <v>女</v>
      </c>
      <c r="F61" s="7" t="s">
        <v>665</v>
      </c>
    </row>
    <row r="62" spans="1:6" ht="20.100000000000001" customHeight="1" x14ac:dyDescent="0.15">
      <c r="A62" s="5">
        <v>59</v>
      </c>
      <c r="B62" s="6" t="str">
        <f>"30482021060114585264114"</f>
        <v>30482021060114585264114</v>
      </c>
      <c r="C62" s="6" t="s">
        <v>1576</v>
      </c>
      <c r="D62" s="6" t="str">
        <f>"王书美"</f>
        <v>王书美</v>
      </c>
      <c r="E62" s="6" t="str">
        <f t="shared" si="7"/>
        <v>女</v>
      </c>
      <c r="F62" s="7" t="s">
        <v>613</v>
      </c>
    </row>
    <row r="63" spans="1:6" ht="20.100000000000001" customHeight="1" x14ac:dyDescent="0.15">
      <c r="A63" s="5">
        <v>60</v>
      </c>
      <c r="B63" s="6" t="str">
        <f>"30482021060114590064115"</f>
        <v>30482021060114590064115</v>
      </c>
      <c r="C63" s="6" t="s">
        <v>1576</v>
      </c>
      <c r="D63" s="6" t="str">
        <f>"莫位珠"</f>
        <v>莫位珠</v>
      </c>
      <c r="E63" s="6" t="str">
        <f t="shared" si="7"/>
        <v>女</v>
      </c>
      <c r="F63" s="7" t="s">
        <v>490</v>
      </c>
    </row>
    <row r="64" spans="1:6" ht="20.100000000000001" customHeight="1" x14ac:dyDescent="0.15">
      <c r="A64" s="5">
        <v>61</v>
      </c>
      <c r="B64" s="6" t="str">
        <f>"30482021060115015664151"</f>
        <v>30482021060115015664151</v>
      </c>
      <c r="C64" s="6" t="s">
        <v>1576</v>
      </c>
      <c r="D64" s="6" t="str">
        <f>"郑月敏"</f>
        <v>郑月敏</v>
      </c>
      <c r="E64" s="6" t="str">
        <f t="shared" si="7"/>
        <v>女</v>
      </c>
      <c r="F64" s="7" t="s">
        <v>349</v>
      </c>
    </row>
    <row r="65" spans="1:6" ht="20.100000000000001" customHeight="1" x14ac:dyDescent="0.15">
      <c r="A65" s="5">
        <v>62</v>
      </c>
      <c r="B65" s="6" t="str">
        <f>"30482021060115045664189"</f>
        <v>30482021060115045664189</v>
      </c>
      <c r="C65" s="6" t="s">
        <v>1576</v>
      </c>
      <c r="D65" s="6" t="str">
        <f>"王小玲"</f>
        <v>王小玲</v>
      </c>
      <c r="E65" s="6" t="str">
        <f t="shared" si="7"/>
        <v>女</v>
      </c>
      <c r="F65" s="7" t="s">
        <v>111</v>
      </c>
    </row>
    <row r="66" spans="1:6" ht="20.100000000000001" customHeight="1" x14ac:dyDescent="0.15">
      <c r="A66" s="5">
        <v>63</v>
      </c>
      <c r="B66" s="6" t="str">
        <f>"30482021060115052164192"</f>
        <v>30482021060115052164192</v>
      </c>
      <c r="C66" s="6" t="s">
        <v>1576</v>
      </c>
      <c r="D66" s="6" t="str">
        <f>"陈秋妹"</f>
        <v>陈秋妹</v>
      </c>
      <c r="E66" s="6" t="str">
        <f t="shared" si="7"/>
        <v>女</v>
      </c>
      <c r="F66" s="7" t="s">
        <v>463</v>
      </c>
    </row>
    <row r="67" spans="1:6" ht="20.100000000000001" customHeight="1" x14ac:dyDescent="0.15">
      <c r="A67" s="5">
        <v>64</v>
      </c>
      <c r="B67" s="6" t="str">
        <f>"30482021060115062664209"</f>
        <v>30482021060115062664209</v>
      </c>
      <c r="C67" s="6" t="s">
        <v>1576</v>
      </c>
      <c r="D67" s="6" t="str">
        <f>"张海韵"</f>
        <v>张海韵</v>
      </c>
      <c r="E67" s="6" t="str">
        <f t="shared" si="7"/>
        <v>女</v>
      </c>
      <c r="F67" s="7" t="s">
        <v>563</v>
      </c>
    </row>
    <row r="68" spans="1:6" ht="20.100000000000001" customHeight="1" x14ac:dyDescent="0.15">
      <c r="A68" s="5">
        <v>65</v>
      </c>
      <c r="B68" s="6" t="str">
        <f>"30482021060115065664219"</f>
        <v>30482021060115065664219</v>
      </c>
      <c r="C68" s="6" t="s">
        <v>1576</v>
      </c>
      <c r="D68" s="6" t="str">
        <f>"王思文"</f>
        <v>王思文</v>
      </c>
      <c r="E68" s="6" t="str">
        <f t="shared" si="7"/>
        <v>女</v>
      </c>
      <c r="F68" s="7" t="s">
        <v>462</v>
      </c>
    </row>
    <row r="69" spans="1:6" ht="20.100000000000001" customHeight="1" x14ac:dyDescent="0.15">
      <c r="A69" s="5">
        <v>66</v>
      </c>
      <c r="B69" s="6" t="str">
        <f>"30482021060115075464235"</f>
        <v>30482021060115075464235</v>
      </c>
      <c r="C69" s="6" t="s">
        <v>1576</v>
      </c>
      <c r="D69" s="6" t="str">
        <f>"吴婕灵"</f>
        <v>吴婕灵</v>
      </c>
      <c r="E69" s="6" t="str">
        <f t="shared" si="7"/>
        <v>女</v>
      </c>
      <c r="F69" s="7" t="s">
        <v>1595</v>
      </c>
    </row>
    <row r="70" spans="1:6" ht="20.100000000000001" customHeight="1" x14ac:dyDescent="0.15">
      <c r="A70" s="5">
        <v>67</v>
      </c>
      <c r="B70" s="6" t="str">
        <f>"30482021060115094264266"</f>
        <v>30482021060115094264266</v>
      </c>
      <c r="C70" s="6" t="s">
        <v>1576</v>
      </c>
      <c r="D70" s="6" t="str">
        <f>"黄俊妹"</f>
        <v>黄俊妹</v>
      </c>
      <c r="E70" s="6" t="str">
        <f t="shared" si="7"/>
        <v>女</v>
      </c>
      <c r="F70" s="7" t="s">
        <v>1596</v>
      </c>
    </row>
    <row r="71" spans="1:6" ht="20.100000000000001" customHeight="1" x14ac:dyDescent="0.15">
      <c r="A71" s="5">
        <v>68</v>
      </c>
      <c r="B71" s="6" t="str">
        <f>"30482021060115110764282"</f>
        <v>30482021060115110764282</v>
      </c>
      <c r="C71" s="6" t="s">
        <v>1576</v>
      </c>
      <c r="D71" s="6" t="str">
        <f>"赵凤君"</f>
        <v>赵凤君</v>
      </c>
      <c r="E71" s="6" t="str">
        <f t="shared" si="7"/>
        <v>女</v>
      </c>
      <c r="F71" s="7" t="s">
        <v>464</v>
      </c>
    </row>
    <row r="72" spans="1:6" ht="20.100000000000001" customHeight="1" x14ac:dyDescent="0.15">
      <c r="A72" s="5">
        <v>69</v>
      </c>
      <c r="B72" s="6" t="str">
        <f>"30482021060115113964289"</f>
        <v>30482021060115113964289</v>
      </c>
      <c r="C72" s="6" t="s">
        <v>1576</v>
      </c>
      <c r="D72" s="6" t="str">
        <f>"吴晓颜"</f>
        <v>吴晓颜</v>
      </c>
      <c r="E72" s="6" t="str">
        <f t="shared" si="7"/>
        <v>女</v>
      </c>
      <c r="F72" s="7" t="s">
        <v>30</v>
      </c>
    </row>
    <row r="73" spans="1:6" ht="20.100000000000001" customHeight="1" x14ac:dyDescent="0.15">
      <c r="A73" s="5">
        <v>70</v>
      </c>
      <c r="B73" s="6" t="str">
        <f>"30482021060115143864332"</f>
        <v>30482021060115143864332</v>
      </c>
      <c r="C73" s="6" t="s">
        <v>1576</v>
      </c>
      <c r="D73" s="6" t="str">
        <f>"冯小云"</f>
        <v>冯小云</v>
      </c>
      <c r="E73" s="6" t="str">
        <f t="shared" si="7"/>
        <v>女</v>
      </c>
      <c r="F73" s="7" t="s">
        <v>955</v>
      </c>
    </row>
    <row r="74" spans="1:6" ht="20.100000000000001" customHeight="1" x14ac:dyDescent="0.15">
      <c r="A74" s="5">
        <v>71</v>
      </c>
      <c r="B74" s="6" t="str">
        <f>"30482021060115165164359"</f>
        <v>30482021060115165164359</v>
      </c>
      <c r="C74" s="6" t="s">
        <v>1576</v>
      </c>
      <c r="D74" s="6" t="str">
        <f>"胡丹妮"</f>
        <v>胡丹妮</v>
      </c>
      <c r="E74" s="6" t="str">
        <f t="shared" si="7"/>
        <v>女</v>
      </c>
      <c r="F74" s="7" t="s">
        <v>1597</v>
      </c>
    </row>
    <row r="75" spans="1:6" ht="20.100000000000001" customHeight="1" x14ac:dyDescent="0.15">
      <c r="A75" s="5">
        <v>72</v>
      </c>
      <c r="B75" s="6" t="str">
        <f>"30482021060115175764373"</f>
        <v>30482021060115175764373</v>
      </c>
      <c r="C75" s="6" t="s">
        <v>1576</v>
      </c>
      <c r="D75" s="6" t="str">
        <f>"王炎炎"</f>
        <v>王炎炎</v>
      </c>
      <c r="E75" s="6" t="str">
        <f t="shared" si="7"/>
        <v>女</v>
      </c>
      <c r="F75" s="7" t="s">
        <v>292</v>
      </c>
    </row>
    <row r="76" spans="1:6" ht="20.100000000000001" customHeight="1" x14ac:dyDescent="0.15">
      <c r="A76" s="5">
        <v>73</v>
      </c>
      <c r="B76" s="6" t="str">
        <f>"30482021060115182064375"</f>
        <v>30482021060115182064375</v>
      </c>
      <c r="C76" s="6" t="s">
        <v>1576</v>
      </c>
      <c r="D76" s="6" t="str">
        <f>"刘俊泽"</f>
        <v>刘俊泽</v>
      </c>
      <c r="E76" s="6" t="str">
        <f>"男"</f>
        <v>男</v>
      </c>
      <c r="F76" s="7" t="s">
        <v>1598</v>
      </c>
    </row>
    <row r="77" spans="1:6" ht="20.100000000000001" customHeight="1" x14ac:dyDescent="0.15">
      <c r="A77" s="5">
        <v>74</v>
      </c>
      <c r="B77" s="6" t="str">
        <f>"30482021060115193664391"</f>
        <v>30482021060115193664391</v>
      </c>
      <c r="C77" s="6" t="s">
        <v>1576</v>
      </c>
      <c r="D77" s="6" t="str">
        <f>"谢沐萍"</f>
        <v>谢沐萍</v>
      </c>
      <c r="E77" s="6" t="str">
        <f t="shared" ref="E77:E80" si="8">"女"</f>
        <v>女</v>
      </c>
      <c r="F77" s="7" t="s">
        <v>1206</v>
      </c>
    </row>
    <row r="78" spans="1:6" ht="20.100000000000001" customHeight="1" x14ac:dyDescent="0.15">
      <c r="A78" s="5">
        <v>75</v>
      </c>
      <c r="B78" s="6" t="str">
        <f>"30482021060115205264406"</f>
        <v>30482021060115205264406</v>
      </c>
      <c r="C78" s="6" t="s">
        <v>1576</v>
      </c>
      <c r="D78" s="6" t="str">
        <f>"黄小怀"</f>
        <v>黄小怀</v>
      </c>
      <c r="E78" s="6" t="str">
        <f t="shared" si="8"/>
        <v>女</v>
      </c>
      <c r="F78" s="7" t="s">
        <v>1599</v>
      </c>
    </row>
    <row r="79" spans="1:6" ht="20.100000000000001" customHeight="1" x14ac:dyDescent="0.15">
      <c r="A79" s="5">
        <v>76</v>
      </c>
      <c r="B79" s="6" t="str">
        <f>"30482021060115215464417"</f>
        <v>30482021060115215464417</v>
      </c>
      <c r="C79" s="6" t="s">
        <v>1576</v>
      </c>
      <c r="D79" s="6" t="str">
        <f>"陈秀香"</f>
        <v>陈秀香</v>
      </c>
      <c r="E79" s="6" t="str">
        <f t="shared" si="8"/>
        <v>女</v>
      </c>
      <c r="F79" s="7" t="s">
        <v>167</v>
      </c>
    </row>
    <row r="80" spans="1:6" ht="20.100000000000001" customHeight="1" x14ac:dyDescent="0.15">
      <c r="A80" s="5">
        <v>77</v>
      </c>
      <c r="B80" s="6" t="str">
        <f>"30482021060115240264440"</f>
        <v>30482021060115240264440</v>
      </c>
      <c r="C80" s="6" t="s">
        <v>1576</v>
      </c>
      <c r="D80" s="6" t="str">
        <f>"丁珊珊"</f>
        <v>丁珊珊</v>
      </c>
      <c r="E80" s="6" t="str">
        <f t="shared" si="8"/>
        <v>女</v>
      </c>
      <c r="F80" s="7" t="s">
        <v>679</v>
      </c>
    </row>
    <row r="81" spans="1:6" ht="20.100000000000001" customHeight="1" x14ac:dyDescent="0.15">
      <c r="A81" s="5">
        <v>78</v>
      </c>
      <c r="B81" s="6" t="str">
        <f>"30482021060115242564449"</f>
        <v>30482021060115242564449</v>
      </c>
      <c r="C81" s="6" t="s">
        <v>1576</v>
      </c>
      <c r="D81" s="6" t="str">
        <f>"李为日"</f>
        <v>李为日</v>
      </c>
      <c r="E81" s="6" t="str">
        <f>"男"</f>
        <v>男</v>
      </c>
      <c r="F81" s="7" t="s">
        <v>1600</v>
      </c>
    </row>
    <row r="82" spans="1:6" ht="20.100000000000001" customHeight="1" x14ac:dyDescent="0.15">
      <c r="A82" s="5">
        <v>79</v>
      </c>
      <c r="B82" s="6" t="str">
        <f>"30482021060115251064455"</f>
        <v>30482021060115251064455</v>
      </c>
      <c r="C82" s="6" t="s">
        <v>1576</v>
      </c>
      <c r="D82" s="6" t="str">
        <f>"黄冰"</f>
        <v>黄冰</v>
      </c>
      <c r="E82" s="6" t="str">
        <f t="shared" ref="E82:E90" si="9">"女"</f>
        <v>女</v>
      </c>
      <c r="F82" s="7" t="s">
        <v>1601</v>
      </c>
    </row>
    <row r="83" spans="1:6" ht="20.100000000000001" customHeight="1" x14ac:dyDescent="0.15">
      <c r="A83" s="5">
        <v>80</v>
      </c>
      <c r="B83" s="6" t="str">
        <f>"30482021060115264064480"</f>
        <v>30482021060115264064480</v>
      </c>
      <c r="C83" s="6" t="s">
        <v>1576</v>
      </c>
      <c r="D83" s="6" t="str">
        <f>"梁晓晨"</f>
        <v>梁晓晨</v>
      </c>
      <c r="E83" s="6" t="str">
        <f t="shared" si="9"/>
        <v>女</v>
      </c>
      <c r="F83" s="7" t="s">
        <v>1271</v>
      </c>
    </row>
    <row r="84" spans="1:6" ht="20.100000000000001" customHeight="1" x14ac:dyDescent="0.15">
      <c r="A84" s="5">
        <v>81</v>
      </c>
      <c r="B84" s="6" t="str">
        <f>"30482021060115264664484"</f>
        <v>30482021060115264664484</v>
      </c>
      <c r="C84" s="6" t="s">
        <v>1576</v>
      </c>
      <c r="D84" s="6" t="str">
        <f>"王治群"</f>
        <v>王治群</v>
      </c>
      <c r="E84" s="6" t="str">
        <f t="shared" si="9"/>
        <v>女</v>
      </c>
      <c r="F84" s="7" t="s">
        <v>1237</v>
      </c>
    </row>
    <row r="85" spans="1:6" ht="20.100000000000001" customHeight="1" x14ac:dyDescent="0.15">
      <c r="A85" s="5">
        <v>82</v>
      </c>
      <c r="B85" s="6" t="str">
        <f>"30482021060115284864505"</f>
        <v>30482021060115284864505</v>
      </c>
      <c r="C85" s="6" t="s">
        <v>1576</v>
      </c>
      <c r="D85" s="6" t="str">
        <f>"丁海波"</f>
        <v>丁海波</v>
      </c>
      <c r="E85" s="6" t="str">
        <f t="shared" si="9"/>
        <v>女</v>
      </c>
      <c r="F85" s="7" t="s">
        <v>579</v>
      </c>
    </row>
    <row r="86" spans="1:6" ht="20.100000000000001" customHeight="1" x14ac:dyDescent="0.15">
      <c r="A86" s="5">
        <v>83</v>
      </c>
      <c r="B86" s="6" t="str">
        <f>"30482021060115302364525"</f>
        <v>30482021060115302364525</v>
      </c>
      <c r="C86" s="6" t="s">
        <v>1576</v>
      </c>
      <c r="D86" s="6" t="str">
        <f>"吴婷静"</f>
        <v>吴婷静</v>
      </c>
      <c r="E86" s="6" t="str">
        <f t="shared" si="9"/>
        <v>女</v>
      </c>
      <c r="F86" s="7" t="s">
        <v>1494</v>
      </c>
    </row>
    <row r="87" spans="1:6" ht="20.100000000000001" customHeight="1" x14ac:dyDescent="0.15">
      <c r="A87" s="5">
        <v>84</v>
      </c>
      <c r="B87" s="6" t="str">
        <f>"30482021060115303064527"</f>
        <v>30482021060115303064527</v>
      </c>
      <c r="C87" s="6" t="s">
        <v>1576</v>
      </c>
      <c r="D87" s="6" t="str">
        <f>"全思遥"</f>
        <v>全思遥</v>
      </c>
      <c r="E87" s="6" t="str">
        <f t="shared" si="9"/>
        <v>女</v>
      </c>
      <c r="F87" s="7" t="s">
        <v>58</v>
      </c>
    </row>
    <row r="88" spans="1:6" ht="20.100000000000001" customHeight="1" x14ac:dyDescent="0.15">
      <c r="A88" s="5">
        <v>85</v>
      </c>
      <c r="B88" s="6" t="str">
        <f>"30482021060115313664539"</f>
        <v>30482021060115313664539</v>
      </c>
      <c r="C88" s="6" t="s">
        <v>1576</v>
      </c>
      <c r="D88" s="6" t="str">
        <f>"张茹"</f>
        <v>张茹</v>
      </c>
      <c r="E88" s="6" t="str">
        <f t="shared" si="9"/>
        <v>女</v>
      </c>
      <c r="F88" s="7" t="s">
        <v>253</v>
      </c>
    </row>
    <row r="89" spans="1:6" ht="20.100000000000001" customHeight="1" x14ac:dyDescent="0.15">
      <c r="A89" s="5">
        <v>86</v>
      </c>
      <c r="B89" s="6" t="str">
        <f>"30482021060115350764589"</f>
        <v>30482021060115350764589</v>
      </c>
      <c r="C89" s="6" t="s">
        <v>1576</v>
      </c>
      <c r="D89" s="6" t="str">
        <f>"王丽娇"</f>
        <v>王丽娇</v>
      </c>
      <c r="E89" s="6" t="str">
        <f t="shared" si="9"/>
        <v>女</v>
      </c>
      <c r="F89" s="7" t="s">
        <v>571</v>
      </c>
    </row>
    <row r="90" spans="1:6" ht="20.100000000000001" customHeight="1" x14ac:dyDescent="0.15">
      <c r="A90" s="5">
        <v>87</v>
      </c>
      <c r="B90" s="6" t="str">
        <f>"30482021060115381264617"</f>
        <v>30482021060115381264617</v>
      </c>
      <c r="C90" s="6" t="s">
        <v>1576</v>
      </c>
      <c r="D90" s="6" t="str">
        <f>"陈贤池"</f>
        <v>陈贤池</v>
      </c>
      <c r="E90" s="6" t="str">
        <f t="shared" si="9"/>
        <v>女</v>
      </c>
      <c r="F90" s="7" t="s">
        <v>1008</v>
      </c>
    </row>
    <row r="91" spans="1:6" ht="20.100000000000001" customHeight="1" x14ac:dyDescent="0.15">
      <c r="A91" s="5">
        <v>88</v>
      </c>
      <c r="B91" s="6" t="str">
        <f>"30482021060115393664632"</f>
        <v>30482021060115393664632</v>
      </c>
      <c r="C91" s="6" t="s">
        <v>1576</v>
      </c>
      <c r="D91" s="6" t="str">
        <f>"莫明伟"</f>
        <v>莫明伟</v>
      </c>
      <c r="E91" s="6" t="str">
        <f>"男"</f>
        <v>男</v>
      </c>
      <c r="F91" s="7" t="s">
        <v>342</v>
      </c>
    </row>
    <row r="92" spans="1:6" ht="20.100000000000001" customHeight="1" x14ac:dyDescent="0.15">
      <c r="A92" s="5">
        <v>89</v>
      </c>
      <c r="B92" s="6" t="str">
        <f>"30482021060115394164634"</f>
        <v>30482021060115394164634</v>
      </c>
      <c r="C92" s="6" t="s">
        <v>1576</v>
      </c>
      <c r="D92" s="6" t="str">
        <f>"黄朝萍"</f>
        <v>黄朝萍</v>
      </c>
      <c r="E92" s="6" t="str">
        <f t="shared" ref="E92:E98" si="10">"女"</f>
        <v>女</v>
      </c>
      <c r="F92" s="7" t="s">
        <v>665</v>
      </c>
    </row>
    <row r="93" spans="1:6" ht="20.100000000000001" customHeight="1" x14ac:dyDescent="0.15">
      <c r="A93" s="5">
        <v>90</v>
      </c>
      <c r="B93" s="6" t="str">
        <f>"30482021060115431364681"</f>
        <v>30482021060115431364681</v>
      </c>
      <c r="C93" s="6" t="s">
        <v>1576</v>
      </c>
      <c r="D93" s="6" t="str">
        <f>"李效妮"</f>
        <v>李效妮</v>
      </c>
      <c r="E93" s="6" t="str">
        <f t="shared" si="10"/>
        <v>女</v>
      </c>
      <c r="F93" s="7" t="s">
        <v>217</v>
      </c>
    </row>
    <row r="94" spans="1:6" ht="20.100000000000001" customHeight="1" x14ac:dyDescent="0.15">
      <c r="A94" s="5">
        <v>91</v>
      </c>
      <c r="B94" s="6" t="str">
        <f>"30482021060115431964682"</f>
        <v>30482021060115431964682</v>
      </c>
      <c r="C94" s="6" t="s">
        <v>1576</v>
      </c>
      <c r="D94" s="6" t="str">
        <f>"李启栋"</f>
        <v>李启栋</v>
      </c>
      <c r="E94" s="6" t="str">
        <f>"男"</f>
        <v>男</v>
      </c>
      <c r="F94" s="7" t="s">
        <v>170</v>
      </c>
    </row>
    <row r="95" spans="1:6" ht="20.100000000000001" customHeight="1" x14ac:dyDescent="0.15">
      <c r="A95" s="5">
        <v>92</v>
      </c>
      <c r="B95" s="6" t="str">
        <f>"30482021060115442164702"</f>
        <v>30482021060115442164702</v>
      </c>
      <c r="C95" s="6" t="s">
        <v>1576</v>
      </c>
      <c r="D95" s="6" t="str">
        <f>"陈晓雯"</f>
        <v>陈晓雯</v>
      </c>
      <c r="E95" s="6" t="str">
        <f t="shared" si="10"/>
        <v>女</v>
      </c>
      <c r="F95" s="7" t="s">
        <v>406</v>
      </c>
    </row>
    <row r="96" spans="1:6" ht="20.100000000000001" customHeight="1" x14ac:dyDescent="0.15">
      <c r="A96" s="5">
        <v>93</v>
      </c>
      <c r="B96" s="6" t="str">
        <f>"30482021060115464564737"</f>
        <v>30482021060115464564737</v>
      </c>
      <c r="C96" s="6" t="s">
        <v>1576</v>
      </c>
      <c r="D96" s="6" t="str">
        <f>"薛桃花"</f>
        <v>薛桃花</v>
      </c>
      <c r="E96" s="6" t="str">
        <f t="shared" si="10"/>
        <v>女</v>
      </c>
      <c r="F96" s="7" t="s">
        <v>81</v>
      </c>
    </row>
    <row r="97" spans="1:6" ht="20.100000000000001" customHeight="1" x14ac:dyDescent="0.15">
      <c r="A97" s="5">
        <v>94</v>
      </c>
      <c r="B97" s="6" t="str">
        <f>"30482021060115465164739"</f>
        <v>30482021060115465164739</v>
      </c>
      <c r="C97" s="6" t="s">
        <v>1576</v>
      </c>
      <c r="D97" s="6" t="str">
        <f>"邱艳婷"</f>
        <v>邱艳婷</v>
      </c>
      <c r="E97" s="6" t="str">
        <f t="shared" si="10"/>
        <v>女</v>
      </c>
      <c r="F97" s="7" t="s">
        <v>298</v>
      </c>
    </row>
    <row r="98" spans="1:6" ht="20.100000000000001" customHeight="1" x14ac:dyDescent="0.15">
      <c r="A98" s="5">
        <v>95</v>
      </c>
      <c r="B98" s="6" t="str">
        <f>"30482021060115474864754"</f>
        <v>30482021060115474864754</v>
      </c>
      <c r="C98" s="6" t="s">
        <v>1576</v>
      </c>
      <c r="D98" s="6" t="str">
        <f>"王昭宇"</f>
        <v>王昭宇</v>
      </c>
      <c r="E98" s="6" t="str">
        <f t="shared" si="10"/>
        <v>女</v>
      </c>
      <c r="F98" s="7" t="s">
        <v>250</v>
      </c>
    </row>
    <row r="99" spans="1:6" ht="20.100000000000001" customHeight="1" x14ac:dyDescent="0.15">
      <c r="A99" s="5">
        <v>96</v>
      </c>
      <c r="B99" s="6" t="str">
        <f>"30482021060115502564786"</f>
        <v>30482021060115502564786</v>
      </c>
      <c r="C99" s="6" t="s">
        <v>1576</v>
      </c>
      <c r="D99" s="6" t="str">
        <f>"王青青"</f>
        <v>王青青</v>
      </c>
      <c r="E99" s="6" t="str">
        <f>"男"</f>
        <v>男</v>
      </c>
      <c r="F99" s="7" t="s">
        <v>1602</v>
      </c>
    </row>
    <row r="100" spans="1:6" ht="20.100000000000001" customHeight="1" x14ac:dyDescent="0.15">
      <c r="A100" s="5">
        <v>97</v>
      </c>
      <c r="B100" s="6" t="str">
        <f>"30482021060115535464834"</f>
        <v>30482021060115535464834</v>
      </c>
      <c r="C100" s="6" t="s">
        <v>1576</v>
      </c>
      <c r="D100" s="6" t="str">
        <f>"滕欣宇"</f>
        <v>滕欣宇</v>
      </c>
      <c r="E100" s="6" t="str">
        <f t="shared" ref="E100:E104" si="11">"女"</f>
        <v>女</v>
      </c>
      <c r="F100" s="7" t="s">
        <v>1603</v>
      </c>
    </row>
    <row r="101" spans="1:6" ht="20.100000000000001" customHeight="1" x14ac:dyDescent="0.15">
      <c r="A101" s="5">
        <v>98</v>
      </c>
      <c r="B101" s="6" t="str">
        <f>"30482021060115560964846"</f>
        <v>30482021060115560964846</v>
      </c>
      <c r="C101" s="6" t="s">
        <v>1576</v>
      </c>
      <c r="D101" s="6" t="str">
        <f>"黄吉秋"</f>
        <v>黄吉秋</v>
      </c>
      <c r="E101" s="6" t="str">
        <f t="shared" si="11"/>
        <v>女</v>
      </c>
      <c r="F101" s="7" t="s">
        <v>1173</v>
      </c>
    </row>
    <row r="102" spans="1:6" ht="20.100000000000001" customHeight="1" x14ac:dyDescent="0.15">
      <c r="A102" s="5">
        <v>99</v>
      </c>
      <c r="B102" s="6" t="str">
        <f>"30482021060115581664868"</f>
        <v>30482021060115581664868</v>
      </c>
      <c r="C102" s="6" t="s">
        <v>1576</v>
      </c>
      <c r="D102" s="6" t="str">
        <f>"李娇玉"</f>
        <v>李娇玉</v>
      </c>
      <c r="E102" s="6" t="str">
        <f t="shared" si="11"/>
        <v>女</v>
      </c>
      <c r="F102" s="7" t="s">
        <v>1604</v>
      </c>
    </row>
    <row r="103" spans="1:6" ht="20.100000000000001" customHeight="1" x14ac:dyDescent="0.15">
      <c r="A103" s="5">
        <v>100</v>
      </c>
      <c r="B103" s="6" t="str">
        <f>"30482021060116003264897"</f>
        <v>30482021060116003264897</v>
      </c>
      <c r="C103" s="6" t="s">
        <v>1576</v>
      </c>
      <c r="D103" s="6" t="str">
        <f>"林梦婷"</f>
        <v>林梦婷</v>
      </c>
      <c r="E103" s="6" t="str">
        <f t="shared" si="11"/>
        <v>女</v>
      </c>
      <c r="F103" s="7" t="s">
        <v>1093</v>
      </c>
    </row>
    <row r="104" spans="1:6" ht="20.100000000000001" customHeight="1" x14ac:dyDescent="0.15">
      <c r="A104" s="5">
        <v>101</v>
      </c>
      <c r="B104" s="6" t="str">
        <f>"30482021060116012064902"</f>
        <v>30482021060116012064902</v>
      </c>
      <c r="C104" s="6" t="s">
        <v>1576</v>
      </c>
      <c r="D104" s="6" t="str">
        <f>"梁丽云"</f>
        <v>梁丽云</v>
      </c>
      <c r="E104" s="6" t="str">
        <f t="shared" si="11"/>
        <v>女</v>
      </c>
      <c r="F104" s="7" t="s">
        <v>955</v>
      </c>
    </row>
    <row r="105" spans="1:6" ht="20.100000000000001" customHeight="1" x14ac:dyDescent="0.15">
      <c r="A105" s="5">
        <v>102</v>
      </c>
      <c r="B105" s="6" t="str">
        <f>"30482021060116035364932"</f>
        <v>30482021060116035364932</v>
      </c>
      <c r="C105" s="6" t="s">
        <v>1576</v>
      </c>
      <c r="D105" s="6" t="str">
        <f>"王中"</f>
        <v>王中</v>
      </c>
      <c r="E105" s="6" t="str">
        <f>"男"</f>
        <v>男</v>
      </c>
      <c r="F105" s="7" t="s">
        <v>1605</v>
      </c>
    </row>
    <row r="106" spans="1:6" ht="20.100000000000001" customHeight="1" x14ac:dyDescent="0.15">
      <c r="A106" s="5">
        <v>103</v>
      </c>
      <c r="B106" s="6" t="str">
        <f>"30482021060116040964938"</f>
        <v>30482021060116040964938</v>
      </c>
      <c r="C106" s="6" t="s">
        <v>1576</v>
      </c>
      <c r="D106" s="6" t="str">
        <f>"邓丽君"</f>
        <v>邓丽君</v>
      </c>
      <c r="E106" s="6" t="str">
        <f t="shared" ref="E106:E116" si="12">"女"</f>
        <v>女</v>
      </c>
      <c r="F106" s="7" t="s">
        <v>481</v>
      </c>
    </row>
    <row r="107" spans="1:6" ht="20.100000000000001" customHeight="1" x14ac:dyDescent="0.15">
      <c r="A107" s="5">
        <v>104</v>
      </c>
      <c r="B107" s="6" t="str">
        <f>"30482021060116042964942"</f>
        <v>30482021060116042964942</v>
      </c>
      <c r="C107" s="6" t="s">
        <v>1576</v>
      </c>
      <c r="D107" s="6" t="str">
        <f>"孙显新"</f>
        <v>孙显新</v>
      </c>
      <c r="E107" s="6" t="str">
        <f t="shared" si="12"/>
        <v>女</v>
      </c>
      <c r="F107" s="7" t="s">
        <v>199</v>
      </c>
    </row>
    <row r="108" spans="1:6" ht="20.100000000000001" customHeight="1" x14ac:dyDescent="0.15">
      <c r="A108" s="5">
        <v>105</v>
      </c>
      <c r="B108" s="6" t="str">
        <f>"30482021060116050464946"</f>
        <v>30482021060116050464946</v>
      </c>
      <c r="C108" s="6" t="s">
        <v>1576</v>
      </c>
      <c r="D108" s="6" t="str">
        <f>"云茹"</f>
        <v>云茹</v>
      </c>
      <c r="E108" s="6" t="str">
        <f t="shared" si="12"/>
        <v>女</v>
      </c>
      <c r="F108" s="7" t="s">
        <v>1544</v>
      </c>
    </row>
    <row r="109" spans="1:6" ht="20.100000000000001" customHeight="1" x14ac:dyDescent="0.15">
      <c r="A109" s="5">
        <v>106</v>
      </c>
      <c r="B109" s="6" t="str">
        <f>"30482021060116050764948"</f>
        <v>30482021060116050764948</v>
      </c>
      <c r="C109" s="6" t="s">
        <v>1576</v>
      </c>
      <c r="D109" s="6" t="str">
        <f>"符式曼"</f>
        <v>符式曼</v>
      </c>
      <c r="E109" s="6" t="str">
        <f t="shared" si="12"/>
        <v>女</v>
      </c>
      <c r="F109" s="7" t="s">
        <v>1606</v>
      </c>
    </row>
    <row r="110" spans="1:6" ht="20.100000000000001" customHeight="1" x14ac:dyDescent="0.15">
      <c r="A110" s="5">
        <v>107</v>
      </c>
      <c r="B110" s="6" t="str">
        <f>"30482021060116062964965"</f>
        <v>30482021060116062964965</v>
      </c>
      <c r="C110" s="6" t="s">
        <v>1576</v>
      </c>
      <c r="D110" s="6" t="str">
        <f>"唐菊"</f>
        <v>唐菊</v>
      </c>
      <c r="E110" s="6" t="str">
        <f t="shared" si="12"/>
        <v>女</v>
      </c>
      <c r="F110" s="7" t="s">
        <v>1607</v>
      </c>
    </row>
    <row r="111" spans="1:6" ht="20.100000000000001" customHeight="1" x14ac:dyDescent="0.15">
      <c r="A111" s="5">
        <v>108</v>
      </c>
      <c r="B111" s="6" t="str">
        <f>"30482021060116063664966"</f>
        <v>30482021060116063664966</v>
      </c>
      <c r="C111" s="6" t="s">
        <v>1576</v>
      </c>
      <c r="D111" s="6" t="str">
        <f>"王昭惠"</f>
        <v>王昭惠</v>
      </c>
      <c r="E111" s="6" t="str">
        <f t="shared" si="12"/>
        <v>女</v>
      </c>
      <c r="F111" s="7" t="s">
        <v>1137</v>
      </c>
    </row>
    <row r="112" spans="1:6" ht="20.100000000000001" customHeight="1" x14ac:dyDescent="0.15">
      <c r="A112" s="5">
        <v>109</v>
      </c>
      <c r="B112" s="6" t="str">
        <f>"30482021060116085564996"</f>
        <v>30482021060116085564996</v>
      </c>
      <c r="C112" s="6" t="s">
        <v>1576</v>
      </c>
      <c r="D112" s="6" t="str">
        <f>"邓莉莉"</f>
        <v>邓莉莉</v>
      </c>
      <c r="E112" s="6" t="str">
        <f t="shared" si="12"/>
        <v>女</v>
      </c>
      <c r="F112" s="7" t="s">
        <v>44</v>
      </c>
    </row>
    <row r="113" spans="1:6" ht="20.100000000000001" customHeight="1" x14ac:dyDescent="0.15">
      <c r="A113" s="5">
        <v>110</v>
      </c>
      <c r="B113" s="6" t="str">
        <f>"30482021060116102565013"</f>
        <v>30482021060116102565013</v>
      </c>
      <c r="C113" s="6" t="s">
        <v>1576</v>
      </c>
      <c r="D113" s="6" t="str">
        <f>"高学寒"</f>
        <v>高学寒</v>
      </c>
      <c r="E113" s="6" t="str">
        <f t="shared" si="12"/>
        <v>女</v>
      </c>
      <c r="F113" s="7" t="s">
        <v>1608</v>
      </c>
    </row>
    <row r="114" spans="1:6" ht="20.100000000000001" customHeight="1" x14ac:dyDescent="0.15">
      <c r="A114" s="5">
        <v>111</v>
      </c>
      <c r="B114" s="6" t="str">
        <f>"30482021060116134665048"</f>
        <v>30482021060116134665048</v>
      </c>
      <c r="C114" s="6" t="s">
        <v>1576</v>
      </c>
      <c r="D114" s="6" t="str">
        <f>"吴丽婷"</f>
        <v>吴丽婷</v>
      </c>
      <c r="E114" s="6" t="str">
        <f t="shared" si="12"/>
        <v>女</v>
      </c>
      <c r="F114" s="7" t="s">
        <v>1411</v>
      </c>
    </row>
    <row r="115" spans="1:6" ht="20.100000000000001" customHeight="1" x14ac:dyDescent="0.15">
      <c r="A115" s="5">
        <v>112</v>
      </c>
      <c r="B115" s="6" t="str">
        <f>"30482021060116140365052"</f>
        <v>30482021060116140365052</v>
      </c>
      <c r="C115" s="6" t="s">
        <v>1576</v>
      </c>
      <c r="D115" s="6" t="str">
        <f>"李清敏"</f>
        <v>李清敏</v>
      </c>
      <c r="E115" s="6" t="str">
        <f t="shared" si="12"/>
        <v>女</v>
      </c>
      <c r="F115" s="7" t="s">
        <v>158</v>
      </c>
    </row>
    <row r="116" spans="1:6" ht="20.100000000000001" customHeight="1" x14ac:dyDescent="0.15">
      <c r="A116" s="5">
        <v>113</v>
      </c>
      <c r="B116" s="6" t="str">
        <f>"30482021060116152465076"</f>
        <v>30482021060116152465076</v>
      </c>
      <c r="C116" s="6" t="s">
        <v>1576</v>
      </c>
      <c r="D116" s="6" t="str">
        <f>"朱萍"</f>
        <v>朱萍</v>
      </c>
      <c r="E116" s="6" t="str">
        <f t="shared" si="12"/>
        <v>女</v>
      </c>
      <c r="F116" s="7" t="s">
        <v>634</v>
      </c>
    </row>
    <row r="117" spans="1:6" ht="20.100000000000001" customHeight="1" x14ac:dyDescent="0.15">
      <c r="A117" s="5">
        <v>114</v>
      </c>
      <c r="B117" s="6" t="str">
        <f>"30482021060116160365084"</f>
        <v>30482021060116160365084</v>
      </c>
      <c r="C117" s="6" t="s">
        <v>1576</v>
      </c>
      <c r="D117" s="6" t="str">
        <f>"高德发"</f>
        <v>高德发</v>
      </c>
      <c r="E117" s="6" t="str">
        <f>"男"</f>
        <v>男</v>
      </c>
      <c r="F117" s="7" t="s">
        <v>1609</v>
      </c>
    </row>
    <row r="118" spans="1:6" ht="20.100000000000001" customHeight="1" x14ac:dyDescent="0.15">
      <c r="A118" s="5">
        <v>115</v>
      </c>
      <c r="B118" s="6" t="str">
        <f>"30482021060116165965102"</f>
        <v>30482021060116165965102</v>
      </c>
      <c r="C118" s="6" t="s">
        <v>1576</v>
      </c>
      <c r="D118" s="6" t="str">
        <f>"覃金莹"</f>
        <v>覃金莹</v>
      </c>
      <c r="E118" s="6" t="str">
        <f t="shared" ref="E118:E130" si="13">"女"</f>
        <v>女</v>
      </c>
      <c r="F118" s="7" t="s">
        <v>782</v>
      </c>
    </row>
    <row r="119" spans="1:6" ht="20.100000000000001" customHeight="1" x14ac:dyDescent="0.15">
      <c r="A119" s="5">
        <v>116</v>
      </c>
      <c r="B119" s="6" t="str">
        <f>"30482021060116173365106"</f>
        <v>30482021060116173365106</v>
      </c>
      <c r="C119" s="6" t="s">
        <v>1576</v>
      </c>
      <c r="D119" s="6" t="str">
        <f>"王彩霞"</f>
        <v>王彩霞</v>
      </c>
      <c r="E119" s="6" t="str">
        <f t="shared" si="13"/>
        <v>女</v>
      </c>
      <c r="F119" s="7" t="s">
        <v>1610</v>
      </c>
    </row>
    <row r="120" spans="1:6" ht="20.100000000000001" customHeight="1" x14ac:dyDescent="0.15">
      <c r="A120" s="5">
        <v>117</v>
      </c>
      <c r="B120" s="6" t="str">
        <f>"30482021060116220565160"</f>
        <v>30482021060116220565160</v>
      </c>
      <c r="C120" s="6" t="s">
        <v>1576</v>
      </c>
      <c r="D120" s="6" t="str">
        <f>"陈川卉"</f>
        <v>陈川卉</v>
      </c>
      <c r="E120" s="6" t="str">
        <f t="shared" si="13"/>
        <v>女</v>
      </c>
      <c r="F120" s="7" t="s">
        <v>1150</v>
      </c>
    </row>
    <row r="121" spans="1:6" ht="20.100000000000001" customHeight="1" x14ac:dyDescent="0.15">
      <c r="A121" s="5">
        <v>118</v>
      </c>
      <c r="B121" s="6" t="str">
        <f>"30482021060116222065168"</f>
        <v>30482021060116222065168</v>
      </c>
      <c r="C121" s="6" t="s">
        <v>1576</v>
      </c>
      <c r="D121" s="6" t="str">
        <f>"张悦"</f>
        <v>张悦</v>
      </c>
      <c r="E121" s="6" t="str">
        <f t="shared" si="13"/>
        <v>女</v>
      </c>
      <c r="F121" s="7" t="s">
        <v>614</v>
      </c>
    </row>
    <row r="122" spans="1:6" ht="20.100000000000001" customHeight="1" x14ac:dyDescent="0.15">
      <c r="A122" s="5">
        <v>119</v>
      </c>
      <c r="B122" s="6" t="str">
        <f>"30482021060116224765179"</f>
        <v>30482021060116224765179</v>
      </c>
      <c r="C122" s="6" t="s">
        <v>1576</v>
      </c>
      <c r="D122" s="6" t="str">
        <f>"孟丹丹"</f>
        <v>孟丹丹</v>
      </c>
      <c r="E122" s="6" t="str">
        <f t="shared" si="13"/>
        <v>女</v>
      </c>
      <c r="F122" s="7" t="s">
        <v>1230</v>
      </c>
    </row>
    <row r="123" spans="1:6" ht="20.100000000000001" customHeight="1" x14ac:dyDescent="0.15">
      <c r="A123" s="5">
        <v>120</v>
      </c>
      <c r="B123" s="6" t="str">
        <f>"30482021060116232065186"</f>
        <v>30482021060116232065186</v>
      </c>
      <c r="C123" s="6" t="s">
        <v>1576</v>
      </c>
      <c r="D123" s="6" t="str">
        <f>"黄萃苑"</f>
        <v>黄萃苑</v>
      </c>
      <c r="E123" s="6" t="str">
        <f t="shared" si="13"/>
        <v>女</v>
      </c>
      <c r="F123" s="7" t="s">
        <v>31</v>
      </c>
    </row>
    <row r="124" spans="1:6" ht="20.100000000000001" customHeight="1" x14ac:dyDescent="0.15">
      <c r="A124" s="5">
        <v>121</v>
      </c>
      <c r="B124" s="6" t="str">
        <f>"30482021060116235465196"</f>
        <v>30482021060116235465196</v>
      </c>
      <c r="C124" s="6" t="s">
        <v>1576</v>
      </c>
      <c r="D124" s="6" t="str">
        <f>"陆琼丽"</f>
        <v>陆琼丽</v>
      </c>
      <c r="E124" s="6" t="str">
        <f t="shared" si="13"/>
        <v>女</v>
      </c>
      <c r="F124" s="7" t="s">
        <v>64</v>
      </c>
    </row>
    <row r="125" spans="1:6" ht="20.100000000000001" customHeight="1" x14ac:dyDescent="0.15">
      <c r="A125" s="5">
        <v>122</v>
      </c>
      <c r="B125" s="6" t="str">
        <f>"30482021060116241065204"</f>
        <v>30482021060116241065204</v>
      </c>
      <c r="C125" s="6" t="s">
        <v>1576</v>
      </c>
      <c r="D125" s="6" t="str">
        <f>"林春妮"</f>
        <v>林春妮</v>
      </c>
      <c r="E125" s="6" t="str">
        <f t="shared" si="13"/>
        <v>女</v>
      </c>
      <c r="F125" s="7" t="s">
        <v>1591</v>
      </c>
    </row>
    <row r="126" spans="1:6" ht="20.100000000000001" customHeight="1" x14ac:dyDescent="0.15">
      <c r="A126" s="5">
        <v>123</v>
      </c>
      <c r="B126" s="6" t="str">
        <f>"30482021060116241365207"</f>
        <v>30482021060116241365207</v>
      </c>
      <c r="C126" s="6" t="s">
        <v>1576</v>
      </c>
      <c r="D126" s="6" t="str">
        <f>"赵香翠"</f>
        <v>赵香翠</v>
      </c>
      <c r="E126" s="6" t="str">
        <f t="shared" si="13"/>
        <v>女</v>
      </c>
      <c r="F126" s="7" t="s">
        <v>1611</v>
      </c>
    </row>
    <row r="127" spans="1:6" ht="20.100000000000001" customHeight="1" x14ac:dyDescent="0.15">
      <c r="A127" s="5">
        <v>124</v>
      </c>
      <c r="B127" s="6" t="str">
        <f>"30482021060116253765225"</f>
        <v>30482021060116253765225</v>
      </c>
      <c r="C127" s="6" t="s">
        <v>1576</v>
      </c>
      <c r="D127" s="6" t="str">
        <f>"谭春月"</f>
        <v>谭春月</v>
      </c>
      <c r="E127" s="6" t="str">
        <f t="shared" si="13"/>
        <v>女</v>
      </c>
      <c r="F127" s="7" t="s">
        <v>1612</v>
      </c>
    </row>
    <row r="128" spans="1:6" ht="20.100000000000001" customHeight="1" x14ac:dyDescent="0.15">
      <c r="A128" s="5">
        <v>125</v>
      </c>
      <c r="B128" s="6" t="str">
        <f>"30482021060116262465241"</f>
        <v>30482021060116262465241</v>
      </c>
      <c r="C128" s="6" t="s">
        <v>1576</v>
      </c>
      <c r="D128" s="6" t="str">
        <f>"符春欢"</f>
        <v>符春欢</v>
      </c>
      <c r="E128" s="6" t="str">
        <f t="shared" si="13"/>
        <v>女</v>
      </c>
      <c r="F128" s="7" t="s">
        <v>165</v>
      </c>
    </row>
    <row r="129" spans="1:6" ht="20.100000000000001" customHeight="1" x14ac:dyDescent="0.15">
      <c r="A129" s="5">
        <v>126</v>
      </c>
      <c r="B129" s="6" t="str">
        <f>"30482021060116263265243"</f>
        <v>30482021060116263265243</v>
      </c>
      <c r="C129" s="6" t="s">
        <v>1576</v>
      </c>
      <c r="D129" s="6" t="str">
        <f>"冯海平"</f>
        <v>冯海平</v>
      </c>
      <c r="E129" s="6" t="str">
        <f t="shared" si="13"/>
        <v>女</v>
      </c>
      <c r="F129" s="7" t="s">
        <v>166</v>
      </c>
    </row>
    <row r="130" spans="1:6" ht="20.100000000000001" customHeight="1" x14ac:dyDescent="0.15">
      <c r="A130" s="5">
        <v>127</v>
      </c>
      <c r="B130" s="6" t="str">
        <f>"30482021060116274165259"</f>
        <v>30482021060116274165259</v>
      </c>
      <c r="C130" s="6" t="s">
        <v>1576</v>
      </c>
      <c r="D130" s="6" t="str">
        <f>"邢金媚"</f>
        <v>邢金媚</v>
      </c>
      <c r="E130" s="6" t="str">
        <f t="shared" si="13"/>
        <v>女</v>
      </c>
      <c r="F130" s="7" t="s">
        <v>463</v>
      </c>
    </row>
    <row r="131" spans="1:6" ht="20.100000000000001" customHeight="1" x14ac:dyDescent="0.15">
      <c r="A131" s="5">
        <v>128</v>
      </c>
      <c r="B131" s="6" t="str">
        <f>"30482021060116294665287"</f>
        <v>30482021060116294665287</v>
      </c>
      <c r="C131" s="6" t="s">
        <v>1576</v>
      </c>
      <c r="D131" s="6" t="str">
        <f>"周世仕"</f>
        <v>周世仕</v>
      </c>
      <c r="E131" s="6" t="str">
        <f t="shared" ref="E131:E136" si="14">"男"</f>
        <v>男</v>
      </c>
      <c r="F131" s="7" t="s">
        <v>1613</v>
      </c>
    </row>
    <row r="132" spans="1:6" ht="20.100000000000001" customHeight="1" x14ac:dyDescent="0.15">
      <c r="A132" s="5">
        <v>129</v>
      </c>
      <c r="B132" s="6" t="str">
        <f>"30482021060116302965301"</f>
        <v>30482021060116302965301</v>
      </c>
      <c r="C132" s="6" t="s">
        <v>1576</v>
      </c>
      <c r="D132" s="6" t="str">
        <f>"崔优雅"</f>
        <v>崔优雅</v>
      </c>
      <c r="E132" s="6" t="str">
        <f t="shared" ref="E132:E135" si="15">"女"</f>
        <v>女</v>
      </c>
      <c r="F132" s="7" t="s">
        <v>638</v>
      </c>
    </row>
    <row r="133" spans="1:6" ht="20.100000000000001" customHeight="1" x14ac:dyDescent="0.15">
      <c r="A133" s="5">
        <v>130</v>
      </c>
      <c r="B133" s="6" t="str">
        <f>"30482021060116303965304"</f>
        <v>30482021060116303965304</v>
      </c>
      <c r="C133" s="6" t="s">
        <v>1576</v>
      </c>
      <c r="D133" s="6" t="str">
        <f>"李银铃"</f>
        <v>李银铃</v>
      </c>
      <c r="E133" s="6" t="str">
        <f t="shared" si="15"/>
        <v>女</v>
      </c>
      <c r="F133" s="7" t="s">
        <v>1493</v>
      </c>
    </row>
    <row r="134" spans="1:6" ht="20.100000000000001" customHeight="1" x14ac:dyDescent="0.15">
      <c r="A134" s="5">
        <v>131</v>
      </c>
      <c r="B134" s="6" t="str">
        <f>"30482021060116312565314"</f>
        <v>30482021060116312565314</v>
      </c>
      <c r="C134" s="6" t="s">
        <v>1576</v>
      </c>
      <c r="D134" s="6" t="str">
        <f>"吴培君"</f>
        <v>吴培君</v>
      </c>
      <c r="E134" s="6" t="str">
        <f t="shared" si="14"/>
        <v>男</v>
      </c>
      <c r="F134" s="7" t="s">
        <v>1614</v>
      </c>
    </row>
    <row r="135" spans="1:6" ht="20.100000000000001" customHeight="1" x14ac:dyDescent="0.15">
      <c r="A135" s="5">
        <v>132</v>
      </c>
      <c r="B135" s="6" t="str">
        <f>"30482021060116334065345"</f>
        <v>30482021060116334065345</v>
      </c>
      <c r="C135" s="6" t="s">
        <v>1576</v>
      </c>
      <c r="D135" s="6" t="str">
        <f>"李江静"</f>
        <v>李江静</v>
      </c>
      <c r="E135" s="6" t="str">
        <f t="shared" si="15"/>
        <v>女</v>
      </c>
      <c r="F135" s="7" t="s">
        <v>1615</v>
      </c>
    </row>
    <row r="136" spans="1:6" ht="20.100000000000001" customHeight="1" x14ac:dyDescent="0.15">
      <c r="A136" s="5">
        <v>133</v>
      </c>
      <c r="B136" s="6" t="str">
        <f>"30482021060116341665354"</f>
        <v>30482021060116341665354</v>
      </c>
      <c r="C136" s="6" t="s">
        <v>1576</v>
      </c>
      <c r="D136" s="6" t="str">
        <f>"许环岛"</f>
        <v>许环岛</v>
      </c>
      <c r="E136" s="6" t="str">
        <f t="shared" si="14"/>
        <v>男</v>
      </c>
      <c r="F136" s="7" t="s">
        <v>445</v>
      </c>
    </row>
    <row r="137" spans="1:6" ht="20.100000000000001" customHeight="1" x14ac:dyDescent="0.15">
      <c r="A137" s="5">
        <v>134</v>
      </c>
      <c r="B137" s="6" t="str">
        <f>"30482021060116374765400"</f>
        <v>30482021060116374765400</v>
      </c>
      <c r="C137" s="6" t="s">
        <v>1576</v>
      </c>
      <c r="D137" s="6" t="str">
        <f>"邵青青"</f>
        <v>邵青青</v>
      </c>
      <c r="E137" s="6" t="str">
        <f t="shared" ref="E137:E171" si="16">"女"</f>
        <v>女</v>
      </c>
      <c r="F137" s="7" t="s">
        <v>666</v>
      </c>
    </row>
    <row r="138" spans="1:6" ht="20.100000000000001" customHeight="1" x14ac:dyDescent="0.15">
      <c r="A138" s="5">
        <v>135</v>
      </c>
      <c r="B138" s="6" t="str">
        <f>"30482021060116383365408"</f>
        <v>30482021060116383365408</v>
      </c>
      <c r="C138" s="6" t="s">
        <v>1576</v>
      </c>
      <c r="D138" s="6" t="str">
        <f>"李小芳"</f>
        <v>李小芳</v>
      </c>
      <c r="E138" s="6" t="str">
        <f t="shared" si="16"/>
        <v>女</v>
      </c>
      <c r="F138" s="7" t="s">
        <v>1616</v>
      </c>
    </row>
    <row r="139" spans="1:6" ht="20.100000000000001" customHeight="1" x14ac:dyDescent="0.15">
      <c r="A139" s="5">
        <v>136</v>
      </c>
      <c r="B139" s="6" t="str">
        <f>"30482021060116383965410"</f>
        <v>30482021060116383965410</v>
      </c>
      <c r="C139" s="6" t="s">
        <v>1576</v>
      </c>
      <c r="D139" s="6" t="str">
        <f>"陈丽莲"</f>
        <v>陈丽莲</v>
      </c>
      <c r="E139" s="6" t="str">
        <f t="shared" si="16"/>
        <v>女</v>
      </c>
      <c r="F139" s="7" t="s">
        <v>889</v>
      </c>
    </row>
    <row r="140" spans="1:6" ht="20.100000000000001" customHeight="1" x14ac:dyDescent="0.15">
      <c r="A140" s="5">
        <v>137</v>
      </c>
      <c r="B140" s="6" t="str">
        <f>"30482021060116392165418"</f>
        <v>30482021060116392165418</v>
      </c>
      <c r="C140" s="6" t="s">
        <v>1576</v>
      </c>
      <c r="D140" s="6" t="str">
        <f>"蒙春雨"</f>
        <v>蒙春雨</v>
      </c>
      <c r="E140" s="6" t="str">
        <f t="shared" si="16"/>
        <v>女</v>
      </c>
      <c r="F140" s="7" t="s">
        <v>1617</v>
      </c>
    </row>
    <row r="141" spans="1:6" ht="20.100000000000001" customHeight="1" x14ac:dyDescent="0.15">
      <c r="A141" s="5">
        <v>138</v>
      </c>
      <c r="B141" s="6" t="str">
        <f>"30482021060116392365419"</f>
        <v>30482021060116392365419</v>
      </c>
      <c r="C141" s="6" t="s">
        <v>1576</v>
      </c>
      <c r="D141" s="6" t="str">
        <f>"彭翎"</f>
        <v>彭翎</v>
      </c>
      <c r="E141" s="6" t="str">
        <f t="shared" si="16"/>
        <v>女</v>
      </c>
      <c r="F141" s="7" t="s">
        <v>1230</v>
      </c>
    </row>
    <row r="142" spans="1:6" ht="20.100000000000001" customHeight="1" x14ac:dyDescent="0.15">
      <c r="A142" s="5">
        <v>139</v>
      </c>
      <c r="B142" s="6" t="str">
        <f>"30482021060116421265455"</f>
        <v>30482021060116421265455</v>
      </c>
      <c r="C142" s="6" t="s">
        <v>1576</v>
      </c>
      <c r="D142" s="6" t="str">
        <f>"黎雪梅"</f>
        <v>黎雪梅</v>
      </c>
      <c r="E142" s="6" t="str">
        <f t="shared" si="16"/>
        <v>女</v>
      </c>
      <c r="F142" s="7" t="s">
        <v>637</v>
      </c>
    </row>
    <row r="143" spans="1:6" ht="20.100000000000001" customHeight="1" x14ac:dyDescent="0.15">
      <c r="A143" s="5">
        <v>140</v>
      </c>
      <c r="B143" s="6" t="str">
        <f>"30482021060116425765463"</f>
        <v>30482021060116425765463</v>
      </c>
      <c r="C143" s="6" t="s">
        <v>1576</v>
      </c>
      <c r="D143" s="6" t="str">
        <f>"符秀妃"</f>
        <v>符秀妃</v>
      </c>
      <c r="E143" s="6" t="str">
        <f t="shared" si="16"/>
        <v>女</v>
      </c>
      <c r="F143" s="7" t="s">
        <v>735</v>
      </c>
    </row>
    <row r="144" spans="1:6" ht="20.100000000000001" customHeight="1" x14ac:dyDescent="0.15">
      <c r="A144" s="5">
        <v>141</v>
      </c>
      <c r="B144" s="6" t="str">
        <f>"30482021060116434865474"</f>
        <v>30482021060116434865474</v>
      </c>
      <c r="C144" s="6" t="s">
        <v>1576</v>
      </c>
      <c r="D144" s="6" t="str">
        <f>"符彩玲"</f>
        <v>符彩玲</v>
      </c>
      <c r="E144" s="6" t="str">
        <f t="shared" si="16"/>
        <v>女</v>
      </c>
      <c r="F144" s="7" t="s">
        <v>815</v>
      </c>
    </row>
    <row r="145" spans="1:6" ht="20.100000000000001" customHeight="1" x14ac:dyDescent="0.15">
      <c r="A145" s="5">
        <v>142</v>
      </c>
      <c r="B145" s="6" t="str">
        <f>"30482021060116442065482"</f>
        <v>30482021060116442065482</v>
      </c>
      <c r="C145" s="6" t="s">
        <v>1576</v>
      </c>
      <c r="D145" s="6" t="str">
        <f>"陈南燕"</f>
        <v>陈南燕</v>
      </c>
      <c r="E145" s="6" t="str">
        <f t="shared" si="16"/>
        <v>女</v>
      </c>
      <c r="F145" s="7" t="s">
        <v>1093</v>
      </c>
    </row>
    <row r="146" spans="1:6" ht="20.100000000000001" customHeight="1" x14ac:dyDescent="0.15">
      <c r="A146" s="5">
        <v>143</v>
      </c>
      <c r="B146" s="6" t="str">
        <f>"30482021060116444465484"</f>
        <v>30482021060116444465484</v>
      </c>
      <c r="C146" s="6" t="s">
        <v>1576</v>
      </c>
      <c r="D146" s="6" t="str">
        <f>"伍玉映"</f>
        <v>伍玉映</v>
      </c>
      <c r="E146" s="6" t="str">
        <f t="shared" si="16"/>
        <v>女</v>
      </c>
      <c r="F146" s="7" t="s">
        <v>1071</v>
      </c>
    </row>
    <row r="147" spans="1:6" ht="20.100000000000001" customHeight="1" x14ac:dyDescent="0.15">
      <c r="A147" s="5">
        <v>144</v>
      </c>
      <c r="B147" s="6" t="str">
        <f>"30482021060116454865500"</f>
        <v>30482021060116454865500</v>
      </c>
      <c r="C147" s="6" t="s">
        <v>1576</v>
      </c>
      <c r="D147" s="6" t="str">
        <f>"韩燕梅"</f>
        <v>韩燕梅</v>
      </c>
      <c r="E147" s="6" t="str">
        <f t="shared" si="16"/>
        <v>女</v>
      </c>
      <c r="F147" s="7" t="s">
        <v>1618</v>
      </c>
    </row>
    <row r="148" spans="1:6" ht="20.100000000000001" customHeight="1" x14ac:dyDescent="0.15">
      <c r="A148" s="5">
        <v>145</v>
      </c>
      <c r="B148" s="6" t="str">
        <f>"30482021060116455265501"</f>
        <v>30482021060116455265501</v>
      </c>
      <c r="C148" s="6" t="s">
        <v>1576</v>
      </c>
      <c r="D148" s="6" t="str">
        <f>"朱秀梅"</f>
        <v>朱秀梅</v>
      </c>
      <c r="E148" s="6" t="str">
        <f t="shared" si="16"/>
        <v>女</v>
      </c>
      <c r="F148" s="7" t="s">
        <v>1619</v>
      </c>
    </row>
    <row r="149" spans="1:6" ht="20.100000000000001" customHeight="1" x14ac:dyDescent="0.15">
      <c r="A149" s="5">
        <v>146</v>
      </c>
      <c r="B149" s="6" t="str">
        <f>"30482021060116490665545"</f>
        <v>30482021060116490665545</v>
      </c>
      <c r="C149" s="6" t="s">
        <v>1576</v>
      </c>
      <c r="D149" s="6" t="str">
        <f>"吴蕊"</f>
        <v>吴蕊</v>
      </c>
      <c r="E149" s="6" t="str">
        <f t="shared" si="16"/>
        <v>女</v>
      </c>
      <c r="F149" s="7" t="s">
        <v>597</v>
      </c>
    </row>
    <row r="150" spans="1:6" ht="20.100000000000001" customHeight="1" x14ac:dyDescent="0.15">
      <c r="A150" s="5">
        <v>147</v>
      </c>
      <c r="B150" s="6" t="str">
        <f>"30482021060116502265566"</f>
        <v>30482021060116502265566</v>
      </c>
      <c r="C150" s="6" t="s">
        <v>1576</v>
      </c>
      <c r="D150" s="6" t="str">
        <f>"韩钰桂"</f>
        <v>韩钰桂</v>
      </c>
      <c r="E150" s="6" t="str">
        <f t="shared" si="16"/>
        <v>女</v>
      </c>
      <c r="F150" s="7" t="s">
        <v>700</v>
      </c>
    </row>
    <row r="151" spans="1:6" ht="20.100000000000001" customHeight="1" x14ac:dyDescent="0.15">
      <c r="A151" s="5">
        <v>148</v>
      </c>
      <c r="B151" s="6" t="str">
        <f>"30482021060116510565576"</f>
        <v>30482021060116510565576</v>
      </c>
      <c r="C151" s="6" t="s">
        <v>1576</v>
      </c>
      <c r="D151" s="6" t="str">
        <f>"  符风春"</f>
        <v xml:space="preserve">  符风春</v>
      </c>
      <c r="E151" s="6" t="str">
        <f t="shared" si="16"/>
        <v>女</v>
      </c>
      <c r="F151" s="7" t="s">
        <v>641</v>
      </c>
    </row>
    <row r="152" spans="1:6" ht="20.100000000000001" customHeight="1" x14ac:dyDescent="0.15">
      <c r="A152" s="5">
        <v>149</v>
      </c>
      <c r="B152" s="6" t="str">
        <f>"30482021060116522865590"</f>
        <v>30482021060116522865590</v>
      </c>
      <c r="C152" s="6" t="s">
        <v>1576</v>
      </c>
      <c r="D152" s="6" t="str">
        <f>"陈菲菲"</f>
        <v>陈菲菲</v>
      </c>
      <c r="E152" s="6" t="str">
        <f t="shared" si="16"/>
        <v>女</v>
      </c>
      <c r="F152" s="7" t="s">
        <v>439</v>
      </c>
    </row>
    <row r="153" spans="1:6" ht="20.100000000000001" customHeight="1" x14ac:dyDescent="0.15">
      <c r="A153" s="5">
        <v>150</v>
      </c>
      <c r="B153" s="6" t="str">
        <f>"30482021060116530465599"</f>
        <v>30482021060116530465599</v>
      </c>
      <c r="C153" s="6" t="s">
        <v>1576</v>
      </c>
      <c r="D153" s="6" t="str">
        <f>"黄晶"</f>
        <v>黄晶</v>
      </c>
      <c r="E153" s="6" t="str">
        <f t="shared" si="16"/>
        <v>女</v>
      </c>
      <c r="F153" s="7" t="s">
        <v>1381</v>
      </c>
    </row>
    <row r="154" spans="1:6" ht="20.100000000000001" customHeight="1" x14ac:dyDescent="0.15">
      <c r="A154" s="5">
        <v>151</v>
      </c>
      <c r="B154" s="6" t="str">
        <f>"30482021060116533565603"</f>
        <v>30482021060116533565603</v>
      </c>
      <c r="C154" s="6" t="s">
        <v>1576</v>
      </c>
      <c r="D154" s="6" t="str">
        <f>"苏梦"</f>
        <v>苏梦</v>
      </c>
      <c r="E154" s="6" t="str">
        <f t="shared" si="16"/>
        <v>女</v>
      </c>
      <c r="F154" s="7" t="s">
        <v>486</v>
      </c>
    </row>
    <row r="155" spans="1:6" ht="20.100000000000001" customHeight="1" x14ac:dyDescent="0.15">
      <c r="A155" s="5">
        <v>152</v>
      </c>
      <c r="B155" s="6" t="str">
        <f>"30482021060116544965623"</f>
        <v>30482021060116544965623</v>
      </c>
      <c r="C155" s="6" t="s">
        <v>1576</v>
      </c>
      <c r="D155" s="6" t="str">
        <f>"廖思思"</f>
        <v>廖思思</v>
      </c>
      <c r="E155" s="6" t="str">
        <f t="shared" si="16"/>
        <v>女</v>
      </c>
      <c r="F155" s="7" t="s">
        <v>807</v>
      </c>
    </row>
    <row r="156" spans="1:6" ht="20.100000000000001" customHeight="1" x14ac:dyDescent="0.15">
      <c r="A156" s="5">
        <v>153</v>
      </c>
      <c r="B156" s="6" t="str">
        <f>"30482021060116553965635"</f>
        <v>30482021060116553965635</v>
      </c>
      <c r="C156" s="6" t="s">
        <v>1576</v>
      </c>
      <c r="D156" s="6" t="str">
        <f>"梁海燕"</f>
        <v>梁海燕</v>
      </c>
      <c r="E156" s="6" t="str">
        <f t="shared" si="16"/>
        <v>女</v>
      </c>
      <c r="F156" s="7" t="s">
        <v>32</v>
      </c>
    </row>
    <row r="157" spans="1:6" ht="20.100000000000001" customHeight="1" x14ac:dyDescent="0.15">
      <c r="A157" s="5">
        <v>154</v>
      </c>
      <c r="B157" s="6" t="str">
        <f>"30482021060116562265643"</f>
        <v>30482021060116562265643</v>
      </c>
      <c r="C157" s="6" t="s">
        <v>1576</v>
      </c>
      <c r="D157" s="6" t="str">
        <f>"李小儒"</f>
        <v>李小儒</v>
      </c>
      <c r="E157" s="6" t="str">
        <f t="shared" si="16"/>
        <v>女</v>
      </c>
      <c r="F157" s="7" t="s">
        <v>1289</v>
      </c>
    </row>
    <row r="158" spans="1:6" ht="20.100000000000001" customHeight="1" x14ac:dyDescent="0.15">
      <c r="A158" s="5">
        <v>155</v>
      </c>
      <c r="B158" s="6" t="str">
        <f>"30482021060116570965653"</f>
        <v>30482021060116570965653</v>
      </c>
      <c r="C158" s="6" t="s">
        <v>1576</v>
      </c>
      <c r="D158" s="6" t="str">
        <f>"郑丽凡"</f>
        <v>郑丽凡</v>
      </c>
      <c r="E158" s="6" t="str">
        <f t="shared" si="16"/>
        <v>女</v>
      </c>
      <c r="F158" s="7" t="s">
        <v>77</v>
      </c>
    </row>
    <row r="159" spans="1:6" ht="20.100000000000001" customHeight="1" x14ac:dyDescent="0.15">
      <c r="A159" s="5">
        <v>156</v>
      </c>
      <c r="B159" s="6" t="str">
        <f>"30482021060116572865657"</f>
        <v>30482021060116572865657</v>
      </c>
      <c r="C159" s="6" t="s">
        <v>1576</v>
      </c>
      <c r="D159" s="6" t="str">
        <f>"李霞"</f>
        <v>李霞</v>
      </c>
      <c r="E159" s="6" t="str">
        <f t="shared" si="16"/>
        <v>女</v>
      </c>
      <c r="F159" s="7" t="s">
        <v>1620</v>
      </c>
    </row>
    <row r="160" spans="1:6" ht="20.100000000000001" customHeight="1" x14ac:dyDescent="0.15">
      <c r="A160" s="5">
        <v>157</v>
      </c>
      <c r="B160" s="6" t="str">
        <f>"30482021060117004165686"</f>
        <v>30482021060117004165686</v>
      </c>
      <c r="C160" s="6" t="s">
        <v>1576</v>
      </c>
      <c r="D160" s="6" t="str">
        <f>"符锡垦"</f>
        <v>符锡垦</v>
      </c>
      <c r="E160" s="6" t="str">
        <f t="shared" si="16"/>
        <v>女</v>
      </c>
      <c r="F160" s="7" t="s">
        <v>657</v>
      </c>
    </row>
    <row r="161" spans="1:6" ht="20.100000000000001" customHeight="1" x14ac:dyDescent="0.15">
      <c r="A161" s="5">
        <v>158</v>
      </c>
      <c r="B161" s="6" t="str">
        <f>"30482021060117030965719"</f>
        <v>30482021060117030965719</v>
      </c>
      <c r="C161" s="6" t="s">
        <v>1576</v>
      </c>
      <c r="D161" s="6" t="str">
        <f>"羊秀熊"</f>
        <v>羊秀熊</v>
      </c>
      <c r="E161" s="6" t="str">
        <f t="shared" si="16"/>
        <v>女</v>
      </c>
      <c r="F161" s="7" t="s">
        <v>338</v>
      </c>
    </row>
    <row r="162" spans="1:6" ht="20.100000000000001" customHeight="1" x14ac:dyDescent="0.15">
      <c r="A162" s="5">
        <v>159</v>
      </c>
      <c r="B162" s="6" t="str">
        <f>"30482021060117031165721"</f>
        <v>30482021060117031165721</v>
      </c>
      <c r="C162" s="6" t="s">
        <v>1576</v>
      </c>
      <c r="D162" s="6" t="str">
        <f>"汪春纹"</f>
        <v>汪春纹</v>
      </c>
      <c r="E162" s="6" t="str">
        <f t="shared" si="16"/>
        <v>女</v>
      </c>
      <c r="F162" s="7" t="s">
        <v>1621</v>
      </c>
    </row>
    <row r="163" spans="1:6" ht="20.100000000000001" customHeight="1" x14ac:dyDescent="0.15">
      <c r="A163" s="5">
        <v>160</v>
      </c>
      <c r="B163" s="6" t="str">
        <f>"30482021060117053165752"</f>
        <v>30482021060117053165752</v>
      </c>
      <c r="C163" s="6" t="s">
        <v>1576</v>
      </c>
      <c r="D163" s="6" t="str">
        <f>"卢吉燕"</f>
        <v>卢吉燕</v>
      </c>
      <c r="E163" s="6" t="str">
        <f t="shared" si="16"/>
        <v>女</v>
      </c>
      <c r="F163" s="7" t="s">
        <v>1622</v>
      </c>
    </row>
    <row r="164" spans="1:6" ht="20.100000000000001" customHeight="1" x14ac:dyDescent="0.15">
      <c r="A164" s="5">
        <v>161</v>
      </c>
      <c r="B164" s="6" t="str">
        <f>"30482021060117073365779"</f>
        <v>30482021060117073365779</v>
      </c>
      <c r="C164" s="6" t="s">
        <v>1576</v>
      </c>
      <c r="D164" s="6" t="str">
        <f>"麦喜映"</f>
        <v>麦喜映</v>
      </c>
      <c r="E164" s="6" t="str">
        <f t="shared" si="16"/>
        <v>女</v>
      </c>
      <c r="F164" s="7" t="s">
        <v>1623</v>
      </c>
    </row>
    <row r="165" spans="1:6" ht="20.100000000000001" customHeight="1" x14ac:dyDescent="0.15">
      <c r="A165" s="5">
        <v>162</v>
      </c>
      <c r="B165" s="6" t="str">
        <f>"30482021060117103165816"</f>
        <v>30482021060117103165816</v>
      </c>
      <c r="C165" s="6" t="s">
        <v>1576</v>
      </c>
      <c r="D165" s="6" t="str">
        <f>"黄丽"</f>
        <v>黄丽</v>
      </c>
      <c r="E165" s="6" t="str">
        <f t="shared" si="16"/>
        <v>女</v>
      </c>
      <c r="F165" s="7" t="s">
        <v>1624</v>
      </c>
    </row>
    <row r="166" spans="1:6" ht="20.100000000000001" customHeight="1" x14ac:dyDescent="0.15">
      <c r="A166" s="5">
        <v>163</v>
      </c>
      <c r="B166" s="6" t="str">
        <f>"30482021060117105365820"</f>
        <v>30482021060117105365820</v>
      </c>
      <c r="C166" s="6" t="s">
        <v>1576</v>
      </c>
      <c r="D166" s="6" t="str">
        <f>"张宝月"</f>
        <v>张宝月</v>
      </c>
      <c r="E166" s="6" t="str">
        <f t="shared" si="16"/>
        <v>女</v>
      </c>
      <c r="F166" s="7" t="s">
        <v>1242</v>
      </c>
    </row>
    <row r="167" spans="1:6" ht="20.100000000000001" customHeight="1" x14ac:dyDescent="0.15">
      <c r="A167" s="5">
        <v>164</v>
      </c>
      <c r="B167" s="6" t="str">
        <f>"30482021060117113165831"</f>
        <v>30482021060117113165831</v>
      </c>
      <c r="C167" s="6" t="s">
        <v>1576</v>
      </c>
      <c r="D167" s="6" t="str">
        <f>"韩悦"</f>
        <v>韩悦</v>
      </c>
      <c r="E167" s="6" t="str">
        <f t="shared" si="16"/>
        <v>女</v>
      </c>
      <c r="F167" s="7" t="s">
        <v>1625</v>
      </c>
    </row>
    <row r="168" spans="1:6" ht="20.100000000000001" customHeight="1" x14ac:dyDescent="0.15">
      <c r="A168" s="5">
        <v>165</v>
      </c>
      <c r="B168" s="6" t="str">
        <f>"30482021060117120765841"</f>
        <v>30482021060117120765841</v>
      </c>
      <c r="C168" s="6" t="s">
        <v>1576</v>
      </c>
      <c r="D168" s="6" t="str">
        <f>"余守暖"</f>
        <v>余守暖</v>
      </c>
      <c r="E168" s="6" t="str">
        <f t="shared" si="16"/>
        <v>女</v>
      </c>
      <c r="F168" s="7" t="s">
        <v>22</v>
      </c>
    </row>
    <row r="169" spans="1:6" ht="20.100000000000001" customHeight="1" x14ac:dyDescent="0.15">
      <c r="A169" s="5">
        <v>166</v>
      </c>
      <c r="B169" s="6" t="str">
        <f>"30482021060117150265867"</f>
        <v>30482021060117150265867</v>
      </c>
      <c r="C169" s="6" t="s">
        <v>1576</v>
      </c>
      <c r="D169" s="6" t="str">
        <f>"赵金梅"</f>
        <v>赵金梅</v>
      </c>
      <c r="E169" s="6" t="str">
        <f t="shared" si="16"/>
        <v>女</v>
      </c>
      <c r="F169" s="7" t="s">
        <v>1119</v>
      </c>
    </row>
    <row r="170" spans="1:6" ht="20.100000000000001" customHeight="1" x14ac:dyDescent="0.15">
      <c r="A170" s="5">
        <v>167</v>
      </c>
      <c r="B170" s="6" t="str">
        <f>"30482021060117185965914"</f>
        <v>30482021060117185965914</v>
      </c>
      <c r="C170" s="6" t="s">
        <v>1576</v>
      </c>
      <c r="D170" s="6" t="str">
        <f>"林盈盈"</f>
        <v>林盈盈</v>
      </c>
      <c r="E170" s="6" t="str">
        <f t="shared" si="16"/>
        <v>女</v>
      </c>
      <c r="F170" s="7" t="s">
        <v>400</v>
      </c>
    </row>
    <row r="171" spans="1:6" ht="20.100000000000001" customHeight="1" x14ac:dyDescent="0.15">
      <c r="A171" s="5">
        <v>168</v>
      </c>
      <c r="B171" s="6" t="str">
        <f>"30482021060117191465918"</f>
        <v>30482021060117191465918</v>
      </c>
      <c r="C171" s="6" t="s">
        <v>1576</v>
      </c>
      <c r="D171" s="6" t="str">
        <f>"徐婉卿"</f>
        <v>徐婉卿</v>
      </c>
      <c r="E171" s="6" t="str">
        <f t="shared" si="16"/>
        <v>女</v>
      </c>
      <c r="F171" s="7" t="s">
        <v>1389</v>
      </c>
    </row>
    <row r="172" spans="1:6" ht="20.100000000000001" customHeight="1" x14ac:dyDescent="0.15">
      <c r="A172" s="5">
        <v>169</v>
      </c>
      <c r="B172" s="6" t="str">
        <f>"30482021060117233165965"</f>
        <v>30482021060117233165965</v>
      </c>
      <c r="C172" s="6" t="s">
        <v>1576</v>
      </c>
      <c r="D172" s="6" t="str">
        <f>"朱乃正"</f>
        <v>朱乃正</v>
      </c>
      <c r="E172" s="6" t="str">
        <f>"男"</f>
        <v>男</v>
      </c>
      <c r="F172" s="7" t="s">
        <v>993</v>
      </c>
    </row>
    <row r="173" spans="1:6" ht="20.100000000000001" customHeight="1" x14ac:dyDescent="0.15">
      <c r="A173" s="5">
        <v>170</v>
      </c>
      <c r="B173" s="6" t="str">
        <f>"30482021060117273466003"</f>
        <v>30482021060117273466003</v>
      </c>
      <c r="C173" s="6" t="s">
        <v>1576</v>
      </c>
      <c r="D173" s="6" t="str">
        <f>"陈婷婷"</f>
        <v>陈婷婷</v>
      </c>
      <c r="E173" s="6" t="str">
        <f t="shared" ref="E173:E180" si="17">"女"</f>
        <v>女</v>
      </c>
      <c r="F173" s="7" t="s">
        <v>1132</v>
      </c>
    </row>
    <row r="174" spans="1:6" ht="20.100000000000001" customHeight="1" x14ac:dyDescent="0.15">
      <c r="A174" s="5">
        <v>171</v>
      </c>
      <c r="B174" s="6" t="str">
        <f>"30482021060117280866011"</f>
        <v>30482021060117280866011</v>
      </c>
      <c r="C174" s="6" t="s">
        <v>1576</v>
      </c>
      <c r="D174" s="6" t="str">
        <f>"苏肖月"</f>
        <v>苏肖月</v>
      </c>
      <c r="E174" s="6" t="str">
        <f t="shared" si="17"/>
        <v>女</v>
      </c>
      <c r="F174" s="7" t="s">
        <v>421</v>
      </c>
    </row>
    <row r="175" spans="1:6" ht="20.100000000000001" customHeight="1" x14ac:dyDescent="0.15">
      <c r="A175" s="5">
        <v>172</v>
      </c>
      <c r="B175" s="6" t="str">
        <f>"30482021060117283166014"</f>
        <v>30482021060117283166014</v>
      </c>
      <c r="C175" s="6" t="s">
        <v>1576</v>
      </c>
      <c r="D175" s="6" t="str">
        <f>"肖念"</f>
        <v>肖念</v>
      </c>
      <c r="E175" s="6" t="str">
        <f t="shared" si="17"/>
        <v>女</v>
      </c>
      <c r="F175" s="7" t="s">
        <v>1626</v>
      </c>
    </row>
    <row r="176" spans="1:6" ht="20.100000000000001" customHeight="1" x14ac:dyDescent="0.15">
      <c r="A176" s="5">
        <v>173</v>
      </c>
      <c r="B176" s="6" t="str">
        <f>"30482021060117290366021"</f>
        <v>30482021060117290366021</v>
      </c>
      <c r="C176" s="6" t="s">
        <v>1576</v>
      </c>
      <c r="D176" s="6" t="str">
        <f>"邓春妹"</f>
        <v>邓春妹</v>
      </c>
      <c r="E176" s="6" t="str">
        <f t="shared" si="17"/>
        <v>女</v>
      </c>
      <c r="F176" s="7" t="s">
        <v>1627</v>
      </c>
    </row>
    <row r="177" spans="1:6" ht="20.100000000000001" customHeight="1" x14ac:dyDescent="0.15">
      <c r="A177" s="5">
        <v>174</v>
      </c>
      <c r="B177" s="6" t="str">
        <f>"30482021060117311666043"</f>
        <v>30482021060117311666043</v>
      </c>
      <c r="C177" s="6" t="s">
        <v>1576</v>
      </c>
      <c r="D177" s="6" t="str">
        <f>"羊玉秀"</f>
        <v>羊玉秀</v>
      </c>
      <c r="E177" s="6" t="str">
        <f t="shared" si="17"/>
        <v>女</v>
      </c>
      <c r="F177" s="7" t="s">
        <v>1628</v>
      </c>
    </row>
    <row r="178" spans="1:6" ht="20.100000000000001" customHeight="1" x14ac:dyDescent="0.15">
      <c r="A178" s="5">
        <v>175</v>
      </c>
      <c r="B178" s="6" t="str">
        <f>"30482021060117322366056"</f>
        <v>30482021060117322366056</v>
      </c>
      <c r="C178" s="6" t="s">
        <v>1576</v>
      </c>
      <c r="D178" s="6" t="str">
        <f>"王雪米"</f>
        <v>王雪米</v>
      </c>
      <c r="E178" s="6" t="str">
        <f t="shared" si="17"/>
        <v>女</v>
      </c>
      <c r="F178" s="7" t="s">
        <v>454</v>
      </c>
    </row>
    <row r="179" spans="1:6" ht="20.100000000000001" customHeight="1" x14ac:dyDescent="0.15">
      <c r="A179" s="5">
        <v>176</v>
      </c>
      <c r="B179" s="6" t="str">
        <f>"30482021060117343466086"</f>
        <v>30482021060117343466086</v>
      </c>
      <c r="C179" s="6" t="s">
        <v>1576</v>
      </c>
      <c r="D179" s="6" t="str">
        <f>"翁先仙"</f>
        <v>翁先仙</v>
      </c>
      <c r="E179" s="6" t="str">
        <f t="shared" si="17"/>
        <v>女</v>
      </c>
      <c r="F179" s="7" t="s">
        <v>1629</v>
      </c>
    </row>
    <row r="180" spans="1:6" ht="20.100000000000001" customHeight="1" x14ac:dyDescent="0.15">
      <c r="A180" s="5">
        <v>177</v>
      </c>
      <c r="B180" s="6" t="str">
        <f>"30482021060117344866089"</f>
        <v>30482021060117344866089</v>
      </c>
      <c r="C180" s="6" t="s">
        <v>1576</v>
      </c>
      <c r="D180" s="6" t="str">
        <f>"钟海菊"</f>
        <v>钟海菊</v>
      </c>
      <c r="E180" s="6" t="str">
        <f t="shared" si="17"/>
        <v>女</v>
      </c>
      <c r="F180" s="7" t="s">
        <v>582</v>
      </c>
    </row>
    <row r="181" spans="1:6" ht="20.100000000000001" customHeight="1" x14ac:dyDescent="0.15">
      <c r="A181" s="5">
        <v>178</v>
      </c>
      <c r="B181" s="6" t="str">
        <f>"30482021060117354566100"</f>
        <v>30482021060117354566100</v>
      </c>
      <c r="C181" s="6" t="s">
        <v>1576</v>
      </c>
      <c r="D181" s="6" t="str">
        <f>"傅佑康"</f>
        <v>傅佑康</v>
      </c>
      <c r="E181" s="6" t="str">
        <f>"男"</f>
        <v>男</v>
      </c>
      <c r="F181" s="7" t="s">
        <v>1630</v>
      </c>
    </row>
    <row r="182" spans="1:6" ht="20.100000000000001" customHeight="1" x14ac:dyDescent="0.15">
      <c r="A182" s="5">
        <v>179</v>
      </c>
      <c r="B182" s="6" t="str">
        <f>"30482021060117372366118"</f>
        <v>30482021060117372366118</v>
      </c>
      <c r="C182" s="6" t="s">
        <v>1576</v>
      </c>
      <c r="D182" s="6" t="str">
        <f>"曾小晶"</f>
        <v>曾小晶</v>
      </c>
      <c r="E182" s="6" t="str">
        <f t="shared" ref="E182:E193" si="18">"女"</f>
        <v>女</v>
      </c>
      <c r="F182" s="7" t="s">
        <v>793</v>
      </c>
    </row>
    <row r="183" spans="1:6" ht="20.100000000000001" customHeight="1" x14ac:dyDescent="0.15">
      <c r="A183" s="5">
        <v>180</v>
      </c>
      <c r="B183" s="6" t="str">
        <f>"30482021060117372466120"</f>
        <v>30482021060117372466120</v>
      </c>
      <c r="C183" s="6" t="s">
        <v>1576</v>
      </c>
      <c r="D183" s="6" t="str">
        <f>"冼妹端"</f>
        <v>冼妹端</v>
      </c>
      <c r="E183" s="6" t="str">
        <f t="shared" si="18"/>
        <v>女</v>
      </c>
      <c r="F183" s="7" t="s">
        <v>926</v>
      </c>
    </row>
    <row r="184" spans="1:6" ht="20.100000000000001" customHeight="1" x14ac:dyDescent="0.15">
      <c r="A184" s="5">
        <v>181</v>
      </c>
      <c r="B184" s="6" t="str">
        <f>"30482021060117393266132"</f>
        <v>30482021060117393266132</v>
      </c>
      <c r="C184" s="6" t="s">
        <v>1576</v>
      </c>
      <c r="D184" s="6" t="str">
        <f>"苏美玲"</f>
        <v>苏美玲</v>
      </c>
      <c r="E184" s="6" t="str">
        <f t="shared" si="18"/>
        <v>女</v>
      </c>
      <c r="F184" s="7" t="s">
        <v>734</v>
      </c>
    </row>
    <row r="185" spans="1:6" ht="20.100000000000001" customHeight="1" x14ac:dyDescent="0.15">
      <c r="A185" s="5">
        <v>182</v>
      </c>
      <c r="B185" s="6" t="str">
        <f>"30482021060117394266134"</f>
        <v>30482021060117394266134</v>
      </c>
      <c r="C185" s="6" t="s">
        <v>1576</v>
      </c>
      <c r="D185" s="6" t="str">
        <f>"吴燕"</f>
        <v>吴燕</v>
      </c>
      <c r="E185" s="6" t="str">
        <f t="shared" si="18"/>
        <v>女</v>
      </c>
      <c r="F185" s="7" t="s">
        <v>1631</v>
      </c>
    </row>
    <row r="186" spans="1:6" ht="20.100000000000001" customHeight="1" x14ac:dyDescent="0.15">
      <c r="A186" s="5">
        <v>183</v>
      </c>
      <c r="B186" s="6" t="str">
        <f>"30482021060117415666158"</f>
        <v>30482021060117415666158</v>
      </c>
      <c r="C186" s="6" t="s">
        <v>1576</v>
      </c>
      <c r="D186" s="6" t="str">
        <f>"吴奕莹"</f>
        <v>吴奕莹</v>
      </c>
      <c r="E186" s="6" t="str">
        <f t="shared" si="18"/>
        <v>女</v>
      </c>
      <c r="F186" s="7" t="s">
        <v>686</v>
      </c>
    </row>
    <row r="187" spans="1:6" ht="20.100000000000001" customHeight="1" x14ac:dyDescent="0.15">
      <c r="A187" s="5">
        <v>184</v>
      </c>
      <c r="B187" s="6" t="str">
        <f>"30482021060117484366218"</f>
        <v>30482021060117484366218</v>
      </c>
      <c r="C187" s="6" t="s">
        <v>1576</v>
      </c>
      <c r="D187" s="6" t="str">
        <f>"冯晓敏"</f>
        <v>冯晓敏</v>
      </c>
      <c r="E187" s="6" t="str">
        <f t="shared" si="18"/>
        <v>女</v>
      </c>
      <c r="F187" s="7" t="s">
        <v>929</v>
      </c>
    </row>
    <row r="188" spans="1:6" ht="20.100000000000001" customHeight="1" x14ac:dyDescent="0.15">
      <c r="A188" s="5">
        <v>185</v>
      </c>
      <c r="B188" s="6" t="str">
        <f>"30482021060117521166253"</f>
        <v>30482021060117521166253</v>
      </c>
      <c r="C188" s="6" t="s">
        <v>1576</v>
      </c>
      <c r="D188" s="6" t="str">
        <f>"赵颖"</f>
        <v>赵颖</v>
      </c>
      <c r="E188" s="6" t="str">
        <f t="shared" si="18"/>
        <v>女</v>
      </c>
      <c r="F188" s="7" t="s">
        <v>327</v>
      </c>
    </row>
    <row r="189" spans="1:6" ht="20.100000000000001" customHeight="1" x14ac:dyDescent="0.15">
      <c r="A189" s="5">
        <v>186</v>
      </c>
      <c r="B189" s="6" t="str">
        <f>"30482021060117530766264"</f>
        <v>30482021060117530766264</v>
      </c>
      <c r="C189" s="6" t="s">
        <v>1576</v>
      </c>
      <c r="D189" s="6" t="str">
        <f>"陈锦丽"</f>
        <v>陈锦丽</v>
      </c>
      <c r="E189" s="6" t="str">
        <f t="shared" si="18"/>
        <v>女</v>
      </c>
      <c r="F189" s="7" t="s">
        <v>1367</v>
      </c>
    </row>
    <row r="190" spans="1:6" ht="20.100000000000001" customHeight="1" x14ac:dyDescent="0.15">
      <c r="A190" s="5">
        <v>187</v>
      </c>
      <c r="B190" s="6" t="str">
        <f>"30482021060117594866319"</f>
        <v>30482021060117594866319</v>
      </c>
      <c r="C190" s="6" t="s">
        <v>1576</v>
      </c>
      <c r="D190" s="6" t="str">
        <f>"何芳"</f>
        <v>何芳</v>
      </c>
      <c r="E190" s="6" t="str">
        <f t="shared" si="18"/>
        <v>女</v>
      </c>
      <c r="F190" s="7" t="s">
        <v>1228</v>
      </c>
    </row>
    <row r="191" spans="1:6" ht="20.100000000000001" customHeight="1" x14ac:dyDescent="0.15">
      <c r="A191" s="5">
        <v>188</v>
      </c>
      <c r="B191" s="6" t="str">
        <f>"30482021060118004966330"</f>
        <v>30482021060118004966330</v>
      </c>
      <c r="C191" s="6" t="s">
        <v>1576</v>
      </c>
      <c r="D191" s="6" t="str">
        <f>"孙宜英"</f>
        <v>孙宜英</v>
      </c>
      <c r="E191" s="6" t="str">
        <f t="shared" si="18"/>
        <v>女</v>
      </c>
      <c r="F191" s="7" t="s">
        <v>1095</v>
      </c>
    </row>
    <row r="192" spans="1:6" ht="20.100000000000001" customHeight="1" x14ac:dyDescent="0.15">
      <c r="A192" s="5">
        <v>189</v>
      </c>
      <c r="B192" s="6" t="str">
        <f>"30482021060118054866371"</f>
        <v>30482021060118054866371</v>
      </c>
      <c r="C192" s="6" t="s">
        <v>1576</v>
      </c>
      <c r="D192" s="6" t="str">
        <f>"吴茹"</f>
        <v>吴茹</v>
      </c>
      <c r="E192" s="6" t="str">
        <f t="shared" si="18"/>
        <v>女</v>
      </c>
      <c r="F192" s="7" t="s">
        <v>1632</v>
      </c>
    </row>
    <row r="193" spans="1:6" ht="20.100000000000001" customHeight="1" x14ac:dyDescent="0.15">
      <c r="A193" s="5">
        <v>190</v>
      </c>
      <c r="B193" s="6" t="str">
        <f>"30482021060118061166373"</f>
        <v>30482021060118061166373</v>
      </c>
      <c r="C193" s="6" t="s">
        <v>1576</v>
      </c>
      <c r="D193" s="6" t="str">
        <f>"岑文静"</f>
        <v>岑文静</v>
      </c>
      <c r="E193" s="6" t="str">
        <f t="shared" si="18"/>
        <v>女</v>
      </c>
      <c r="F193" s="7" t="s">
        <v>1166</v>
      </c>
    </row>
    <row r="194" spans="1:6" ht="20.100000000000001" customHeight="1" x14ac:dyDescent="0.15">
      <c r="A194" s="5">
        <v>191</v>
      </c>
      <c r="B194" s="6" t="str">
        <f>"30482021060118074366388"</f>
        <v>30482021060118074366388</v>
      </c>
      <c r="C194" s="6" t="s">
        <v>1576</v>
      </c>
      <c r="D194" s="6" t="str">
        <f>"吴育经"</f>
        <v>吴育经</v>
      </c>
      <c r="E194" s="6" t="str">
        <f>"男"</f>
        <v>男</v>
      </c>
      <c r="F194" s="7" t="s">
        <v>862</v>
      </c>
    </row>
    <row r="195" spans="1:6" ht="20.100000000000001" customHeight="1" x14ac:dyDescent="0.15">
      <c r="A195" s="5">
        <v>192</v>
      </c>
      <c r="B195" s="6" t="str">
        <f>"30482021060118083366395"</f>
        <v>30482021060118083366395</v>
      </c>
      <c r="C195" s="6" t="s">
        <v>1576</v>
      </c>
      <c r="D195" s="6" t="str">
        <f>"符色燕"</f>
        <v>符色燕</v>
      </c>
      <c r="E195" s="6" t="str">
        <f t="shared" ref="E195:E205" si="19">"女"</f>
        <v>女</v>
      </c>
      <c r="F195" s="7" t="s">
        <v>672</v>
      </c>
    </row>
    <row r="196" spans="1:6" ht="20.100000000000001" customHeight="1" x14ac:dyDescent="0.15">
      <c r="A196" s="5">
        <v>193</v>
      </c>
      <c r="B196" s="6" t="str">
        <f>"30482021060118121166422"</f>
        <v>30482021060118121166422</v>
      </c>
      <c r="C196" s="6" t="s">
        <v>1576</v>
      </c>
      <c r="D196" s="6" t="str">
        <f>"陈聪慧"</f>
        <v>陈聪慧</v>
      </c>
      <c r="E196" s="6" t="str">
        <f t="shared" si="19"/>
        <v>女</v>
      </c>
      <c r="F196" s="7" t="s">
        <v>406</v>
      </c>
    </row>
    <row r="197" spans="1:6" ht="20.100000000000001" customHeight="1" x14ac:dyDescent="0.15">
      <c r="A197" s="5">
        <v>194</v>
      </c>
      <c r="B197" s="6" t="str">
        <f>"30482021060118123866426"</f>
        <v>30482021060118123866426</v>
      </c>
      <c r="C197" s="6" t="s">
        <v>1576</v>
      </c>
      <c r="D197" s="6" t="str">
        <f>"林姑"</f>
        <v>林姑</v>
      </c>
      <c r="E197" s="6" t="str">
        <f t="shared" si="19"/>
        <v>女</v>
      </c>
      <c r="F197" s="7" t="s">
        <v>1633</v>
      </c>
    </row>
    <row r="198" spans="1:6" ht="20.100000000000001" customHeight="1" x14ac:dyDescent="0.15">
      <c r="A198" s="5">
        <v>195</v>
      </c>
      <c r="B198" s="6" t="str">
        <f>"30482021060118142366442"</f>
        <v>30482021060118142366442</v>
      </c>
      <c r="C198" s="6" t="s">
        <v>1576</v>
      </c>
      <c r="D198" s="6" t="str">
        <f>"杨春妮"</f>
        <v>杨春妮</v>
      </c>
      <c r="E198" s="6" t="str">
        <f t="shared" si="19"/>
        <v>女</v>
      </c>
      <c r="F198" s="7" t="s">
        <v>1634</v>
      </c>
    </row>
    <row r="199" spans="1:6" ht="20.100000000000001" customHeight="1" x14ac:dyDescent="0.15">
      <c r="A199" s="5">
        <v>196</v>
      </c>
      <c r="B199" s="6" t="str">
        <f>"30482021060118171466463"</f>
        <v>30482021060118171466463</v>
      </c>
      <c r="C199" s="6" t="s">
        <v>1576</v>
      </c>
      <c r="D199" s="6" t="str">
        <f>"王露薇"</f>
        <v>王露薇</v>
      </c>
      <c r="E199" s="6" t="str">
        <f t="shared" si="19"/>
        <v>女</v>
      </c>
      <c r="F199" s="7" t="s">
        <v>455</v>
      </c>
    </row>
    <row r="200" spans="1:6" ht="20.100000000000001" customHeight="1" x14ac:dyDescent="0.15">
      <c r="A200" s="5">
        <v>197</v>
      </c>
      <c r="B200" s="6" t="str">
        <f>"30482021060118224466515"</f>
        <v>30482021060118224466515</v>
      </c>
      <c r="C200" s="6" t="s">
        <v>1576</v>
      </c>
      <c r="D200" s="6" t="str">
        <f>"孙水莲"</f>
        <v>孙水莲</v>
      </c>
      <c r="E200" s="6" t="str">
        <f t="shared" si="19"/>
        <v>女</v>
      </c>
      <c r="F200" s="7" t="s">
        <v>1494</v>
      </c>
    </row>
    <row r="201" spans="1:6" ht="20.100000000000001" customHeight="1" x14ac:dyDescent="0.15">
      <c r="A201" s="5">
        <v>198</v>
      </c>
      <c r="B201" s="6" t="str">
        <f>"30482021060118274166554"</f>
        <v>30482021060118274166554</v>
      </c>
      <c r="C201" s="6" t="s">
        <v>1576</v>
      </c>
      <c r="D201" s="6" t="str">
        <f>"韦晓春"</f>
        <v>韦晓春</v>
      </c>
      <c r="E201" s="6" t="str">
        <f t="shared" si="19"/>
        <v>女</v>
      </c>
      <c r="F201" s="7" t="s">
        <v>1394</v>
      </c>
    </row>
    <row r="202" spans="1:6" ht="20.100000000000001" customHeight="1" x14ac:dyDescent="0.15">
      <c r="A202" s="5">
        <v>199</v>
      </c>
      <c r="B202" s="6" t="str">
        <f>"30482021060118284366562"</f>
        <v>30482021060118284366562</v>
      </c>
      <c r="C202" s="6" t="s">
        <v>1576</v>
      </c>
      <c r="D202" s="6" t="str">
        <f>"吴连娟"</f>
        <v>吴连娟</v>
      </c>
      <c r="E202" s="6" t="str">
        <f t="shared" si="19"/>
        <v>女</v>
      </c>
      <c r="F202" s="7" t="s">
        <v>226</v>
      </c>
    </row>
    <row r="203" spans="1:6" ht="20.100000000000001" customHeight="1" x14ac:dyDescent="0.15">
      <c r="A203" s="5">
        <v>200</v>
      </c>
      <c r="B203" s="6" t="str">
        <f>"30482021060118330566596"</f>
        <v>30482021060118330566596</v>
      </c>
      <c r="C203" s="6" t="s">
        <v>1576</v>
      </c>
      <c r="D203" s="6" t="str">
        <f>"黄芝妍"</f>
        <v>黄芝妍</v>
      </c>
      <c r="E203" s="6" t="str">
        <f t="shared" si="19"/>
        <v>女</v>
      </c>
      <c r="F203" s="7" t="s">
        <v>1635</v>
      </c>
    </row>
    <row r="204" spans="1:6" ht="20.100000000000001" customHeight="1" x14ac:dyDescent="0.15">
      <c r="A204" s="5">
        <v>201</v>
      </c>
      <c r="B204" s="6" t="str">
        <f>"30482021060118355266621"</f>
        <v>30482021060118355266621</v>
      </c>
      <c r="C204" s="6" t="s">
        <v>1576</v>
      </c>
      <c r="D204" s="6" t="str">
        <f>"谢春梁"</f>
        <v>谢春梁</v>
      </c>
      <c r="E204" s="6" t="str">
        <f t="shared" si="19"/>
        <v>女</v>
      </c>
      <c r="F204" s="7" t="s">
        <v>362</v>
      </c>
    </row>
    <row r="205" spans="1:6" ht="20.100000000000001" customHeight="1" x14ac:dyDescent="0.15">
      <c r="A205" s="5">
        <v>202</v>
      </c>
      <c r="B205" s="6" t="str">
        <f>"30482021060118372966633"</f>
        <v>30482021060118372966633</v>
      </c>
      <c r="C205" s="6" t="s">
        <v>1576</v>
      </c>
      <c r="D205" s="6" t="str">
        <f>"王青梅"</f>
        <v>王青梅</v>
      </c>
      <c r="E205" s="6" t="str">
        <f t="shared" si="19"/>
        <v>女</v>
      </c>
      <c r="F205" s="7" t="s">
        <v>259</v>
      </c>
    </row>
    <row r="206" spans="1:6" ht="20.100000000000001" customHeight="1" x14ac:dyDescent="0.15">
      <c r="A206" s="5">
        <v>203</v>
      </c>
      <c r="B206" s="6" t="str">
        <f>"30482021060118412266657"</f>
        <v>30482021060118412266657</v>
      </c>
      <c r="C206" s="6" t="s">
        <v>1576</v>
      </c>
      <c r="D206" s="6" t="str">
        <f>"唐南文"</f>
        <v>唐南文</v>
      </c>
      <c r="E206" s="6" t="str">
        <f>"男"</f>
        <v>男</v>
      </c>
      <c r="F206" s="7" t="s">
        <v>72</v>
      </c>
    </row>
    <row r="207" spans="1:6" ht="20.100000000000001" customHeight="1" x14ac:dyDescent="0.15">
      <c r="A207" s="5">
        <v>204</v>
      </c>
      <c r="B207" s="6" t="str">
        <f>"30482021060118525366748"</f>
        <v>30482021060118525366748</v>
      </c>
      <c r="C207" s="6" t="s">
        <v>1576</v>
      </c>
      <c r="D207" s="6" t="str">
        <f>"郑春恋"</f>
        <v>郑春恋</v>
      </c>
      <c r="E207" s="6" t="str">
        <f t="shared" ref="E207:E211" si="20">"女"</f>
        <v>女</v>
      </c>
      <c r="F207" s="7" t="s">
        <v>93</v>
      </c>
    </row>
    <row r="208" spans="1:6" ht="20.100000000000001" customHeight="1" x14ac:dyDescent="0.15">
      <c r="A208" s="5">
        <v>205</v>
      </c>
      <c r="B208" s="6" t="str">
        <f>"30482021060118534866760"</f>
        <v>30482021060118534866760</v>
      </c>
      <c r="C208" s="6" t="s">
        <v>1576</v>
      </c>
      <c r="D208" s="6" t="str">
        <f>"周乃超"</f>
        <v>周乃超</v>
      </c>
      <c r="E208" s="6" t="str">
        <f>"男"</f>
        <v>男</v>
      </c>
      <c r="F208" s="7" t="s">
        <v>1636</v>
      </c>
    </row>
    <row r="209" spans="1:6" ht="20.100000000000001" customHeight="1" x14ac:dyDescent="0.15">
      <c r="A209" s="5">
        <v>206</v>
      </c>
      <c r="B209" s="6" t="str">
        <f>"30482021060118552466773"</f>
        <v>30482021060118552466773</v>
      </c>
      <c r="C209" s="6" t="s">
        <v>1576</v>
      </c>
      <c r="D209" s="6" t="str">
        <f>"黎贤英"</f>
        <v>黎贤英</v>
      </c>
      <c r="E209" s="6" t="str">
        <f t="shared" si="20"/>
        <v>女</v>
      </c>
      <c r="F209" s="7" t="s">
        <v>647</v>
      </c>
    </row>
    <row r="210" spans="1:6" ht="20.100000000000001" customHeight="1" x14ac:dyDescent="0.15">
      <c r="A210" s="5">
        <v>207</v>
      </c>
      <c r="B210" s="6" t="str">
        <f>"30482021060118574566791"</f>
        <v>30482021060118574566791</v>
      </c>
      <c r="C210" s="6" t="s">
        <v>1576</v>
      </c>
      <c r="D210" s="6" t="str">
        <f>"冯彩虹"</f>
        <v>冯彩虹</v>
      </c>
      <c r="E210" s="6" t="str">
        <f t="shared" si="20"/>
        <v>女</v>
      </c>
      <c r="F210" s="7" t="s">
        <v>46</v>
      </c>
    </row>
    <row r="211" spans="1:6" ht="20.100000000000001" customHeight="1" x14ac:dyDescent="0.15">
      <c r="A211" s="5">
        <v>208</v>
      </c>
      <c r="B211" s="6" t="str">
        <f>"30482021060118590766802"</f>
        <v>30482021060118590766802</v>
      </c>
      <c r="C211" s="6" t="s">
        <v>1576</v>
      </c>
      <c r="D211" s="6" t="str">
        <f>"郭冬腊"</f>
        <v>郭冬腊</v>
      </c>
      <c r="E211" s="6" t="str">
        <f t="shared" si="20"/>
        <v>女</v>
      </c>
      <c r="F211" s="7" t="s">
        <v>673</v>
      </c>
    </row>
    <row r="212" spans="1:6" ht="20.100000000000001" customHeight="1" x14ac:dyDescent="0.15">
      <c r="A212" s="5">
        <v>209</v>
      </c>
      <c r="B212" s="6" t="str">
        <f>"30482021060118591166803"</f>
        <v>30482021060118591166803</v>
      </c>
      <c r="C212" s="6" t="s">
        <v>1576</v>
      </c>
      <c r="D212" s="6" t="str">
        <f>"吴维雅"</f>
        <v>吴维雅</v>
      </c>
      <c r="E212" s="6" t="str">
        <f>"男"</f>
        <v>男</v>
      </c>
      <c r="F212" s="7" t="s">
        <v>1637</v>
      </c>
    </row>
    <row r="213" spans="1:6" ht="20.100000000000001" customHeight="1" x14ac:dyDescent="0.15">
      <c r="A213" s="5">
        <v>210</v>
      </c>
      <c r="B213" s="6" t="str">
        <f>"30482021060119005166821"</f>
        <v>30482021060119005166821</v>
      </c>
      <c r="C213" s="6" t="s">
        <v>1576</v>
      </c>
      <c r="D213" s="6" t="str">
        <f>"陈晓萌"</f>
        <v>陈晓萌</v>
      </c>
      <c r="E213" s="6" t="str">
        <f t="shared" ref="E213:E218" si="21">"女"</f>
        <v>女</v>
      </c>
      <c r="F213" s="7" t="s">
        <v>496</v>
      </c>
    </row>
    <row r="214" spans="1:6" ht="20.100000000000001" customHeight="1" x14ac:dyDescent="0.15">
      <c r="A214" s="5">
        <v>211</v>
      </c>
      <c r="B214" s="6" t="str">
        <f>"30482021060119030466839"</f>
        <v>30482021060119030466839</v>
      </c>
      <c r="C214" s="6" t="s">
        <v>1576</v>
      </c>
      <c r="D214" s="6" t="str">
        <f>"曾广清"</f>
        <v>曾广清</v>
      </c>
      <c r="E214" s="6" t="str">
        <f t="shared" si="21"/>
        <v>女</v>
      </c>
      <c r="F214" s="7" t="s">
        <v>1638</v>
      </c>
    </row>
    <row r="215" spans="1:6" ht="20.100000000000001" customHeight="1" x14ac:dyDescent="0.15">
      <c r="A215" s="5">
        <v>212</v>
      </c>
      <c r="B215" s="6" t="str">
        <f>"30482021060119033866844"</f>
        <v>30482021060119033866844</v>
      </c>
      <c r="C215" s="6" t="s">
        <v>1576</v>
      </c>
      <c r="D215" s="6" t="str">
        <f>"王鸿霜"</f>
        <v>王鸿霜</v>
      </c>
      <c r="E215" s="6" t="str">
        <f t="shared" si="21"/>
        <v>女</v>
      </c>
      <c r="F215" s="7" t="s">
        <v>1639</v>
      </c>
    </row>
    <row r="216" spans="1:6" ht="20.100000000000001" customHeight="1" x14ac:dyDescent="0.15">
      <c r="A216" s="5">
        <v>213</v>
      </c>
      <c r="B216" s="6" t="str">
        <f>"30482021060119050566853"</f>
        <v>30482021060119050566853</v>
      </c>
      <c r="C216" s="6" t="s">
        <v>1576</v>
      </c>
      <c r="D216" s="6" t="str">
        <f>"黄叶云"</f>
        <v>黄叶云</v>
      </c>
      <c r="E216" s="6" t="str">
        <f t="shared" si="21"/>
        <v>女</v>
      </c>
      <c r="F216" s="7" t="s">
        <v>56</v>
      </c>
    </row>
    <row r="217" spans="1:6" ht="20.100000000000001" customHeight="1" x14ac:dyDescent="0.15">
      <c r="A217" s="5">
        <v>214</v>
      </c>
      <c r="B217" s="6" t="str">
        <f>"30482021060119054566858"</f>
        <v>30482021060119054566858</v>
      </c>
      <c r="C217" s="6" t="s">
        <v>1576</v>
      </c>
      <c r="D217" s="6" t="str">
        <f>"吴春恋"</f>
        <v>吴春恋</v>
      </c>
      <c r="E217" s="6" t="str">
        <f t="shared" si="21"/>
        <v>女</v>
      </c>
      <c r="F217" s="7" t="s">
        <v>1390</v>
      </c>
    </row>
    <row r="218" spans="1:6" ht="20.100000000000001" customHeight="1" x14ac:dyDescent="0.15">
      <c r="A218" s="5">
        <v>215</v>
      </c>
      <c r="B218" s="6" t="str">
        <f>"30482021060119055266861"</f>
        <v>30482021060119055266861</v>
      </c>
      <c r="C218" s="6" t="s">
        <v>1576</v>
      </c>
      <c r="D218" s="6" t="str">
        <f>"林翠蓝"</f>
        <v>林翠蓝</v>
      </c>
      <c r="E218" s="6" t="str">
        <f t="shared" si="21"/>
        <v>女</v>
      </c>
      <c r="F218" s="7" t="s">
        <v>985</v>
      </c>
    </row>
    <row r="219" spans="1:6" ht="20.100000000000001" customHeight="1" x14ac:dyDescent="0.15">
      <c r="A219" s="5">
        <v>216</v>
      </c>
      <c r="B219" s="6" t="str">
        <f>"30482021060119065966867"</f>
        <v>30482021060119065966867</v>
      </c>
      <c r="C219" s="6" t="s">
        <v>1576</v>
      </c>
      <c r="D219" s="6" t="str">
        <f>"何长清"</f>
        <v>何长清</v>
      </c>
      <c r="E219" s="6" t="str">
        <f>"男"</f>
        <v>男</v>
      </c>
      <c r="F219" s="7" t="s">
        <v>1640</v>
      </c>
    </row>
    <row r="220" spans="1:6" ht="20.100000000000001" customHeight="1" x14ac:dyDescent="0.15">
      <c r="A220" s="5">
        <v>217</v>
      </c>
      <c r="B220" s="6" t="str">
        <f>"30482021060119113266892"</f>
        <v>30482021060119113266892</v>
      </c>
      <c r="C220" s="6" t="s">
        <v>1576</v>
      </c>
      <c r="D220" s="6" t="str">
        <f>"郭小慧"</f>
        <v>郭小慧</v>
      </c>
      <c r="E220" s="6" t="str">
        <f t="shared" ref="E220:E243" si="22">"女"</f>
        <v>女</v>
      </c>
      <c r="F220" s="7" t="s">
        <v>1641</v>
      </c>
    </row>
    <row r="221" spans="1:6" ht="20.100000000000001" customHeight="1" x14ac:dyDescent="0.15">
      <c r="A221" s="5">
        <v>218</v>
      </c>
      <c r="B221" s="6" t="str">
        <f>"30482021060119130466904"</f>
        <v>30482021060119130466904</v>
      </c>
      <c r="C221" s="6" t="s">
        <v>1576</v>
      </c>
      <c r="D221" s="6" t="str">
        <f>"王金妹"</f>
        <v>王金妹</v>
      </c>
      <c r="E221" s="6" t="str">
        <f t="shared" si="22"/>
        <v>女</v>
      </c>
      <c r="F221" s="7" t="s">
        <v>547</v>
      </c>
    </row>
    <row r="222" spans="1:6" ht="20.100000000000001" customHeight="1" x14ac:dyDescent="0.15">
      <c r="A222" s="5">
        <v>219</v>
      </c>
      <c r="B222" s="6" t="str">
        <f>"30482021060119143266914"</f>
        <v>30482021060119143266914</v>
      </c>
      <c r="C222" s="6" t="s">
        <v>1576</v>
      </c>
      <c r="D222" s="6" t="str">
        <f>"何丹花"</f>
        <v>何丹花</v>
      </c>
      <c r="E222" s="6" t="str">
        <f t="shared" si="22"/>
        <v>女</v>
      </c>
      <c r="F222" s="7" t="s">
        <v>426</v>
      </c>
    </row>
    <row r="223" spans="1:6" ht="20.100000000000001" customHeight="1" x14ac:dyDescent="0.15">
      <c r="A223" s="5">
        <v>220</v>
      </c>
      <c r="B223" s="6" t="str">
        <f>"30482021060119173066934"</f>
        <v>30482021060119173066934</v>
      </c>
      <c r="C223" s="6" t="s">
        <v>1576</v>
      </c>
      <c r="D223" s="6" t="str">
        <f>"杨翠漫"</f>
        <v>杨翠漫</v>
      </c>
      <c r="E223" s="6" t="str">
        <f t="shared" si="22"/>
        <v>女</v>
      </c>
      <c r="F223" s="7" t="s">
        <v>1036</v>
      </c>
    </row>
    <row r="224" spans="1:6" ht="20.100000000000001" customHeight="1" x14ac:dyDescent="0.15">
      <c r="A224" s="5">
        <v>221</v>
      </c>
      <c r="B224" s="6" t="str">
        <f>"30482021060119293367019"</f>
        <v>30482021060119293367019</v>
      </c>
      <c r="C224" s="6" t="s">
        <v>1576</v>
      </c>
      <c r="D224" s="6" t="str">
        <f>"陈少花"</f>
        <v>陈少花</v>
      </c>
      <c r="E224" s="6" t="str">
        <f t="shared" si="22"/>
        <v>女</v>
      </c>
      <c r="F224" s="7" t="s">
        <v>67</v>
      </c>
    </row>
    <row r="225" spans="1:6" ht="20.100000000000001" customHeight="1" x14ac:dyDescent="0.15">
      <c r="A225" s="5">
        <v>222</v>
      </c>
      <c r="B225" s="6" t="str">
        <f>"30482021060119304467029"</f>
        <v>30482021060119304467029</v>
      </c>
      <c r="C225" s="6" t="s">
        <v>1576</v>
      </c>
      <c r="D225" s="6" t="str">
        <f>"雷腊妹"</f>
        <v>雷腊妹</v>
      </c>
      <c r="E225" s="6" t="str">
        <f t="shared" si="22"/>
        <v>女</v>
      </c>
      <c r="F225" s="7" t="s">
        <v>1642</v>
      </c>
    </row>
    <row r="226" spans="1:6" ht="20.100000000000001" customHeight="1" x14ac:dyDescent="0.15">
      <c r="A226" s="5">
        <v>223</v>
      </c>
      <c r="B226" s="6" t="str">
        <f>"30482021060119311067032"</f>
        <v>30482021060119311067032</v>
      </c>
      <c r="C226" s="6" t="s">
        <v>1576</v>
      </c>
      <c r="D226" s="6" t="str">
        <f>"曾一晗"</f>
        <v>曾一晗</v>
      </c>
      <c r="E226" s="6" t="str">
        <f t="shared" si="22"/>
        <v>女</v>
      </c>
      <c r="F226" s="7" t="s">
        <v>1140</v>
      </c>
    </row>
    <row r="227" spans="1:6" ht="20.100000000000001" customHeight="1" x14ac:dyDescent="0.15">
      <c r="A227" s="5">
        <v>224</v>
      </c>
      <c r="B227" s="6" t="str">
        <f>"30482021060119321267041"</f>
        <v>30482021060119321267041</v>
      </c>
      <c r="C227" s="6" t="s">
        <v>1576</v>
      </c>
      <c r="D227" s="6" t="str">
        <f>"陈桂荣"</f>
        <v>陈桂荣</v>
      </c>
      <c r="E227" s="6" t="str">
        <f t="shared" si="22"/>
        <v>女</v>
      </c>
      <c r="F227" s="7" t="s">
        <v>1643</v>
      </c>
    </row>
    <row r="228" spans="1:6" ht="20.100000000000001" customHeight="1" x14ac:dyDescent="0.15">
      <c r="A228" s="5">
        <v>225</v>
      </c>
      <c r="B228" s="6" t="str">
        <f>"30482021060119323267046"</f>
        <v>30482021060119323267046</v>
      </c>
      <c r="C228" s="6" t="s">
        <v>1576</v>
      </c>
      <c r="D228" s="6" t="str">
        <f>"韩川恋"</f>
        <v>韩川恋</v>
      </c>
      <c r="E228" s="6" t="str">
        <f t="shared" si="22"/>
        <v>女</v>
      </c>
      <c r="F228" s="7" t="s">
        <v>333</v>
      </c>
    </row>
    <row r="229" spans="1:6" ht="20.100000000000001" customHeight="1" x14ac:dyDescent="0.15">
      <c r="A229" s="5">
        <v>226</v>
      </c>
      <c r="B229" s="6" t="str">
        <f>"30482021060119335267055"</f>
        <v>30482021060119335267055</v>
      </c>
      <c r="C229" s="6" t="s">
        <v>1576</v>
      </c>
      <c r="D229" s="6" t="str">
        <f>"梁菁菁"</f>
        <v>梁菁菁</v>
      </c>
      <c r="E229" s="6" t="str">
        <f t="shared" si="22"/>
        <v>女</v>
      </c>
      <c r="F229" s="7" t="s">
        <v>483</v>
      </c>
    </row>
    <row r="230" spans="1:6" ht="20.100000000000001" customHeight="1" x14ac:dyDescent="0.15">
      <c r="A230" s="5">
        <v>227</v>
      </c>
      <c r="B230" s="6" t="str">
        <f>"30482021060119441367131"</f>
        <v>30482021060119441367131</v>
      </c>
      <c r="C230" s="6" t="s">
        <v>1576</v>
      </c>
      <c r="D230" s="6" t="str">
        <f>"王春苗"</f>
        <v>王春苗</v>
      </c>
      <c r="E230" s="6" t="str">
        <f t="shared" si="22"/>
        <v>女</v>
      </c>
      <c r="F230" s="7" t="s">
        <v>22</v>
      </c>
    </row>
    <row r="231" spans="1:6" ht="20.100000000000001" customHeight="1" x14ac:dyDescent="0.15">
      <c r="A231" s="5">
        <v>228</v>
      </c>
      <c r="B231" s="6" t="str">
        <f>"30482021060119462267153"</f>
        <v>30482021060119462267153</v>
      </c>
      <c r="C231" s="6" t="s">
        <v>1576</v>
      </c>
      <c r="D231" s="6" t="str">
        <f>"许婷婷"</f>
        <v>许婷婷</v>
      </c>
      <c r="E231" s="6" t="str">
        <f t="shared" si="22"/>
        <v>女</v>
      </c>
      <c r="F231" s="7" t="s">
        <v>1644</v>
      </c>
    </row>
    <row r="232" spans="1:6" ht="20.100000000000001" customHeight="1" x14ac:dyDescent="0.15">
      <c r="A232" s="5">
        <v>229</v>
      </c>
      <c r="B232" s="6" t="str">
        <f>"30482021060119501267316"</f>
        <v>30482021060119501267316</v>
      </c>
      <c r="C232" s="6" t="s">
        <v>1576</v>
      </c>
      <c r="D232" s="6" t="str">
        <f>"吴秋怡"</f>
        <v>吴秋怡</v>
      </c>
      <c r="E232" s="6" t="str">
        <f t="shared" si="22"/>
        <v>女</v>
      </c>
      <c r="F232" s="7" t="s">
        <v>560</v>
      </c>
    </row>
    <row r="233" spans="1:6" ht="20.100000000000001" customHeight="1" x14ac:dyDescent="0.15">
      <c r="A233" s="5">
        <v>230</v>
      </c>
      <c r="B233" s="6" t="str">
        <f>"30482021060119501567326"</f>
        <v>30482021060119501567326</v>
      </c>
      <c r="C233" s="6" t="s">
        <v>1576</v>
      </c>
      <c r="D233" s="6" t="str">
        <f>"卓白玉"</f>
        <v>卓白玉</v>
      </c>
      <c r="E233" s="6" t="str">
        <f t="shared" si="22"/>
        <v>女</v>
      </c>
      <c r="F233" s="7" t="s">
        <v>403</v>
      </c>
    </row>
    <row r="234" spans="1:6" ht="20.100000000000001" customHeight="1" x14ac:dyDescent="0.15">
      <c r="A234" s="5">
        <v>231</v>
      </c>
      <c r="B234" s="6" t="str">
        <f>"30482021060119523567725"</f>
        <v>30482021060119523567725</v>
      </c>
      <c r="C234" s="6" t="s">
        <v>1576</v>
      </c>
      <c r="D234" s="6" t="str">
        <f>"庞君凤"</f>
        <v>庞君凤</v>
      </c>
      <c r="E234" s="6" t="str">
        <f t="shared" si="22"/>
        <v>女</v>
      </c>
      <c r="F234" s="7" t="s">
        <v>1532</v>
      </c>
    </row>
    <row r="235" spans="1:6" ht="20.100000000000001" customHeight="1" x14ac:dyDescent="0.15">
      <c r="A235" s="5">
        <v>232</v>
      </c>
      <c r="B235" s="6" t="str">
        <f>"30482021060119555967860"</f>
        <v>30482021060119555967860</v>
      </c>
      <c r="C235" s="6" t="s">
        <v>1576</v>
      </c>
      <c r="D235" s="6" t="str">
        <f>"陈硕娟"</f>
        <v>陈硕娟</v>
      </c>
      <c r="E235" s="6" t="str">
        <f t="shared" si="22"/>
        <v>女</v>
      </c>
      <c r="F235" s="7" t="s">
        <v>743</v>
      </c>
    </row>
    <row r="236" spans="1:6" ht="20.100000000000001" customHeight="1" x14ac:dyDescent="0.15">
      <c r="A236" s="5">
        <v>233</v>
      </c>
      <c r="B236" s="6" t="str">
        <f>"30482021060119565567867"</f>
        <v>30482021060119565567867</v>
      </c>
      <c r="C236" s="6" t="s">
        <v>1576</v>
      </c>
      <c r="D236" s="6" t="str">
        <f>"陈春平"</f>
        <v>陈春平</v>
      </c>
      <c r="E236" s="6" t="str">
        <f t="shared" si="22"/>
        <v>女</v>
      </c>
      <c r="F236" s="7" t="s">
        <v>16</v>
      </c>
    </row>
    <row r="237" spans="1:6" ht="20.100000000000001" customHeight="1" x14ac:dyDescent="0.15">
      <c r="A237" s="5">
        <v>234</v>
      </c>
      <c r="B237" s="6" t="str">
        <f>"30482021060120005467896"</f>
        <v>30482021060120005467896</v>
      </c>
      <c r="C237" s="6" t="s">
        <v>1576</v>
      </c>
      <c r="D237" s="6" t="str">
        <f>"符彩丽"</f>
        <v>符彩丽</v>
      </c>
      <c r="E237" s="6" t="str">
        <f t="shared" si="22"/>
        <v>女</v>
      </c>
      <c r="F237" s="7" t="s">
        <v>965</v>
      </c>
    </row>
    <row r="238" spans="1:6" ht="20.100000000000001" customHeight="1" x14ac:dyDescent="0.15">
      <c r="A238" s="5">
        <v>235</v>
      </c>
      <c r="B238" s="6" t="str">
        <f>"30482021060120144868009"</f>
        <v>30482021060120144868009</v>
      </c>
      <c r="C238" s="6" t="s">
        <v>1576</v>
      </c>
      <c r="D238" s="6" t="str">
        <f>"吴珍珍"</f>
        <v>吴珍珍</v>
      </c>
      <c r="E238" s="6" t="str">
        <f t="shared" si="22"/>
        <v>女</v>
      </c>
      <c r="F238" s="7" t="s">
        <v>1066</v>
      </c>
    </row>
    <row r="239" spans="1:6" ht="20.100000000000001" customHeight="1" x14ac:dyDescent="0.15">
      <c r="A239" s="5">
        <v>236</v>
      </c>
      <c r="B239" s="6" t="str">
        <f>"30482021060120144868010"</f>
        <v>30482021060120144868010</v>
      </c>
      <c r="C239" s="6" t="s">
        <v>1576</v>
      </c>
      <c r="D239" s="6" t="str">
        <f>"符月正"</f>
        <v>符月正</v>
      </c>
      <c r="E239" s="6" t="str">
        <f t="shared" si="22"/>
        <v>女</v>
      </c>
      <c r="F239" s="7" t="s">
        <v>585</v>
      </c>
    </row>
    <row r="240" spans="1:6" ht="20.100000000000001" customHeight="1" x14ac:dyDescent="0.15">
      <c r="A240" s="5">
        <v>237</v>
      </c>
      <c r="B240" s="6" t="str">
        <f>"30482021060120161168021"</f>
        <v>30482021060120161168021</v>
      </c>
      <c r="C240" s="6" t="s">
        <v>1576</v>
      </c>
      <c r="D240" s="6" t="str">
        <f>"莫兰玉"</f>
        <v>莫兰玉</v>
      </c>
      <c r="E240" s="6" t="str">
        <f t="shared" si="22"/>
        <v>女</v>
      </c>
      <c r="F240" s="7" t="s">
        <v>409</v>
      </c>
    </row>
    <row r="241" spans="1:6" ht="20.100000000000001" customHeight="1" x14ac:dyDescent="0.15">
      <c r="A241" s="5">
        <v>238</v>
      </c>
      <c r="B241" s="6" t="str">
        <f>"30482021060120221168078"</f>
        <v>30482021060120221168078</v>
      </c>
      <c r="C241" s="6" t="s">
        <v>1576</v>
      </c>
      <c r="D241" s="6" t="str">
        <f>"高秀皇"</f>
        <v>高秀皇</v>
      </c>
      <c r="E241" s="6" t="str">
        <f t="shared" si="22"/>
        <v>女</v>
      </c>
      <c r="F241" s="7" t="s">
        <v>1234</v>
      </c>
    </row>
    <row r="242" spans="1:6" ht="20.100000000000001" customHeight="1" x14ac:dyDescent="0.15">
      <c r="A242" s="5">
        <v>239</v>
      </c>
      <c r="B242" s="6" t="str">
        <f>"30482021060120234468091"</f>
        <v>30482021060120234468091</v>
      </c>
      <c r="C242" s="6" t="s">
        <v>1576</v>
      </c>
      <c r="D242" s="6" t="str">
        <f>"陈小丽"</f>
        <v>陈小丽</v>
      </c>
      <c r="E242" s="6" t="str">
        <f t="shared" si="22"/>
        <v>女</v>
      </c>
      <c r="F242" s="7" t="s">
        <v>1645</v>
      </c>
    </row>
    <row r="243" spans="1:6" ht="20.100000000000001" customHeight="1" x14ac:dyDescent="0.15">
      <c r="A243" s="5">
        <v>240</v>
      </c>
      <c r="B243" s="6" t="str">
        <f>"30482021060120251368104"</f>
        <v>30482021060120251368104</v>
      </c>
      <c r="C243" s="6" t="s">
        <v>1576</v>
      </c>
      <c r="D243" s="6" t="str">
        <f>"陈海燕"</f>
        <v>陈海燕</v>
      </c>
      <c r="E243" s="6" t="str">
        <f t="shared" si="22"/>
        <v>女</v>
      </c>
      <c r="F243" s="7" t="s">
        <v>1062</v>
      </c>
    </row>
    <row r="244" spans="1:6" ht="20.100000000000001" customHeight="1" x14ac:dyDescent="0.15">
      <c r="A244" s="5">
        <v>241</v>
      </c>
      <c r="B244" s="6" t="str">
        <f>"30482021060120283668137"</f>
        <v>30482021060120283668137</v>
      </c>
      <c r="C244" s="6" t="s">
        <v>1576</v>
      </c>
      <c r="D244" s="6" t="str">
        <f>"谭金华"</f>
        <v>谭金华</v>
      </c>
      <c r="E244" s="6" t="str">
        <f>"男"</f>
        <v>男</v>
      </c>
      <c r="F244" s="7" t="s">
        <v>1646</v>
      </c>
    </row>
    <row r="245" spans="1:6" ht="20.100000000000001" customHeight="1" x14ac:dyDescent="0.15">
      <c r="A245" s="5">
        <v>242</v>
      </c>
      <c r="B245" s="6" t="str">
        <f>"30482021060120340368177"</f>
        <v>30482021060120340368177</v>
      </c>
      <c r="C245" s="6" t="s">
        <v>1576</v>
      </c>
      <c r="D245" s="6" t="str">
        <f>"周娇慧"</f>
        <v>周娇慧</v>
      </c>
      <c r="E245" s="6" t="str">
        <f t="shared" ref="E245:E251" si="23">"女"</f>
        <v>女</v>
      </c>
      <c r="F245" s="7" t="s">
        <v>1478</v>
      </c>
    </row>
    <row r="246" spans="1:6" ht="20.100000000000001" customHeight="1" x14ac:dyDescent="0.15">
      <c r="A246" s="5">
        <v>243</v>
      </c>
      <c r="B246" s="6" t="str">
        <f>"30482021060120381968217"</f>
        <v>30482021060120381968217</v>
      </c>
      <c r="C246" s="6" t="s">
        <v>1576</v>
      </c>
      <c r="D246" s="6" t="str">
        <f>"方小娜"</f>
        <v>方小娜</v>
      </c>
      <c r="E246" s="6" t="str">
        <f t="shared" si="23"/>
        <v>女</v>
      </c>
      <c r="F246" s="7" t="s">
        <v>1647</v>
      </c>
    </row>
    <row r="247" spans="1:6" ht="20.100000000000001" customHeight="1" x14ac:dyDescent="0.15">
      <c r="A247" s="5">
        <v>244</v>
      </c>
      <c r="B247" s="6" t="str">
        <f>"30482021060120452268278"</f>
        <v>30482021060120452268278</v>
      </c>
      <c r="C247" s="6" t="s">
        <v>1576</v>
      </c>
      <c r="D247" s="6" t="str">
        <f>"王晓珠"</f>
        <v>王晓珠</v>
      </c>
      <c r="E247" s="6" t="str">
        <f t="shared" si="23"/>
        <v>女</v>
      </c>
      <c r="F247" s="7" t="s">
        <v>1648</v>
      </c>
    </row>
    <row r="248" spans="1:6" ht="20.100000000000001" customHeight="1" x14ac:dyDescent="0.15">
      <c r="A248" s="5">
        <v>245</v>
      </c>
      <c r="B248" s="6" t="str">
        <f>"30482021060120484768309"</f>
        <v>30482021060120484768309</v>
      </c>
      <c r="C248" s="6" t="s">
        <v>1576</v>
      </c>
      <c r="D248" s="6" t="str">
        <f>"陈玉蕾"</f>
        <v>陈玉蕾</v>
      </c>
      <c r="E248" s="6" t="str">
        <f t="shared" si="23"/>
        <v>女</v>
      </c>
      <c r="F248" s="7" t="s">
        <v>679</v>
      </c>
    </row>
    <row r="249" spans="1:6" ht="20.100000000000001" customHeight="1" x14ac:dyDescent="0.15">
      <c r="A249" s="5">
        <v>246</v>
      </c>
      <c r="B249" s="6" t="str">
        <f>"30482021060120534168359"</f>
        <v>30482021060120534168359</v>
      </c>
      <c r="C249" s="6" t="s">
        <v>1576</v>
      </c>
      <c r="D249" s="6" t="str">
        <f>"黄姗姗"</f>
        <v>黄姗姗</v>
      </c>
      <c r="E249" s="6" t="str">
        <f t="shared" si="23"/>
        <v>女</v>
      </c>
      <c r="F249" s="7" t="s">
        <v>1350</v>
      </c>
    </row>
    <row r="250" spans="1:6" ht="20.100000000000001" customHeight="1" x14ac:dyDescent="0.15">
      <c r="A250" s="5">
        <v>247</v>
      </c>
      <c r="B250" s="6" t="str">
        <f>"30482021060121031168441"</f>
        <v>30482021060121031168441</v>
      </c>
      <c r="C250" s="6" t="s">
        <v>1576</v>
      </c>
      <c r="D250" s="6" t="str">
        <f>"董威"</f>
        <v>董威</v>
      </c>
      <c r="E250" s="6" t="str">
        <f t="shared" si="23"/>
        <v>女</v>
      </c>
      <c r="F250" s="7" t="s">
        <v>1475</v>
      </c>
    </row>
    <row r="251" spans="1:6" ht="20.100000000000001" customHeight="1" x14ac:dyDescent="0.15">
      <c r="A251" s="5">
        <v>248</v>
      </c>
      <c r="B251" s="6" t="str">
        <f>"30482021060121091268497"</f>
        <v>30482021060121091268497</v>
      </c>
      <c r="C251" s="6" t="s">
        <v>1576</v>
      </c>
      <c r="D251" s="6" t="str">
        <f>"孙余"</f>
        <v>孙余</v>
      </c>
      <c r="E251" s="6" t="str">
        <f t="shared" si="23"/>
        <v>女</v>
      </c>
      <c r="F251" s="7" t="s">
        <v>566</v>
      </c>
    </row>
    <row r="252" spans="1:6" ht="20.100000000000001" customHeight="1" x14ac:dyDescent="0.15">
      <c r="A252" s="5">
        <v>249</v>
      </c>
      <c r="B252" s="6" t="str">
        <f>"30482021060121095568502"</f>
        <v>30482021060121095568502</v>
      </c>
      <c r="C252" s="6" t="s">
        <v>1576</v>
      </c>
      <c r="D252" s="6" t="str">
        <f>"李荣康"</f>
        <v>李荣康</v>
      </c>
      <c r="E252" s="6" t="str">
        <f>"男"</f>
        <v>男</v>
      </c>
      <c r="F252" s="7" t="s">
        <v>394</v>
      </c>
    </row>
    <row r="253" spans="1:6" ht="20.100000000000001" customHeight="1" x14ac:dyDescent="0.15">
      <c r="A253" s="5">
        <v>250</v>
      </c>
      <c r="B253" s="6" t="str">
        <f>"30482021060121124368524"</f>
        <v>30482021060121124368524</v>
      </c>
      <c r="C253" s="6" t="s">
        <v>1576</v>
      </c>
      <c r="D253" s="6" t="str">
        <f>"李军联"</f>
        <v>李军联</v>
      </c>
      <c r="E253" s="6" t="str">
        <f t="shared" ref="E253:E262" si="24">"女"</f>
        <v>女</v>
      </c>
      <c r="F253" s="7" t="s">
        <v>1649</v>
      </c>
    </row>
    <row r="254" spans="1:6" ht="20.100000000000001" customHeight="1" x14ac:dyDescent="0.15">
      <c r="A254" s="5">
        <v>251</v>
      </c>
      <c r="B254" s="6" t="str">
        <f>"30482021060121135168533"</f>
        <v>30482021060121135168533</v>
      </c>
      <c r="C254" s="6" t="s">
        <v>1576</v>
      </c>
      <c r="D254" s="6" t="str">
        <f>"翁小青"</f>
        <v>翁小青</v>
      </c>
      <c r="E254" s="6" t="str">
        <f t="shared" si="24"/>
        <v>女</v>
      </c>
      <c r="F254" s="7" t="s">
        <v>1191</v>
      </c>
    </row>
    <row r="255" spans="1:6" ht="20.100000000000001" customHeight="1" x14ac:dyDescent="0.15">
      <c r="A255" s="5">
        <v>252</v>
      </c>
      <c r="B255" s="6" t="str">
        <f>"30482021060121140368538"</f>
        <v>30482021060121140368538</v>
      </c>
      <c r="C255" s="6" t="s">
        <v>1576</v>
      </c>
      <c r="D255" s="6" t="str">
        <f>"何以微"</f>
        <v>何以微</v>
      </c>
      <c r="E255" s="6" t="str">
        <f t="shared" si="24"/>
        <v>女</v>
      </c>
      <c r="F255" s="7" t="s">
        <v>1650</v>
      </c>
    </row>
    <row r="256" spans="1:6" ht="20.100000000000001" customHeight="1" x14ac:dyDescent="0.15">
      <c r="A256" s="5">
        <v>253</v>
      </c>
      <c r="B256" s="6" t="str">
        <f>"30482021060121140768539"</f>
        <v>30482021060121140768539</v>
      </c>
      <c r="C256" s="6" t="s">
        <v>1576</v>
      </c>
      <c r="D256" s="6" t="str">
        <f>"蒙燕倩"</f>
        <v>蒙燕倩</v>
      </c>
      <c r="E256" s="6" t="str">
        <f t="shared" si="24"/>
        <v>女</v>
      </c>
      <c r="F256" s="7" t="s">
        <v>1651</v>
      </c>
    </row>
    <row r="257" spans="1:6" ht="20.100000000000001" customHeight="1" x14ac:dyDescent="0.15">
      <c r="A257" s="5">
        <v>254</v>
      </c>
      <c r="B257" s="6" t="str">
        <f>"30482021060121195068585"</f>
        <v>30482021060121195068585</v>
      </c>
      <c r="C257" s="6" t="s">
        <v>1576</v>
      </c>
      <c r="D257" s="6" t="str">
        <f>"黄日春"</f>
        <v>黄日春</v>
      </c>
      <c r="E257" s="6" t="str">
        <f t="shared" si="24"/>
        <v>女</v>
      </c>
      <c r="F257" s="7" t="s">
        <v>31</v>
      </c>
    </row>
    <row r="258" spans="1:6" ht="20.100000000000001" customHeight="1" x14ac:dyDescent="0.15">
      <c r="A258" s="5">
        <v>255</v>
      </c>
      <c r="B258" s="6" t="str">
        <f>"30482021060121221568609"</f>
        <v>30482021060121221568609</v>
      </c>
      <c r="C258" s="6" t="s">
        <v>1576</v>
      </c>
      <c r="D258" s="6" t="str">
        <f>"黎石翠"</f>
        <v>黎石翠</v>
      </c>
      <c r="E258" s="6" t="str">
        <f t="shared" si="24"/>
        <v>女</v>
      </c>
      <c r="F258" s="7" t="s">
        <v>589</v>
      </c>
    </row>
    <row r="259" spans="1:6" ht="20.100000000000001" customHeight="1" x14ac:dyDescent="0.15">
      <c r="A259" s="5">
        <v>256</v>
      </c>
      <c r="B259" s="6" t="str">
        <f>"30482021060121233968622"</f>
        <v>30482021060121233968622</v>
      </c>
      <c r="C259" s="6" t="s">
        <v>1576</v>
      </c>
      <c r="D259" s="6" t="str">
        <f>"徐伟姣"</f>
        <v>徐伟姣</v>
      </c>
      <c r="E259" s="6" t="str">
        <f t="shared" si="24"/>
        <v>女</v>
      </c>
      <c r="F259" s="7" t="s">
        <v>737</v>
      </c>
    </row>
    <row r="260" spans="1:6" ht="20.100000000000001" customHeight="1" x14ac:dyDescent="0.15">
      <c r="A260" s="5">
        <v>257</v>
      </c>
      <c r="B260" s="6" t="str">
        <f>"30482021060121271168657"</f>
        <v>30482021060121271168657</v>
      </c>
      <c r="C260" s="6" t="s">
        <v>1576</v>
      </c>
      <c r="D260" s="6" t="str">
        <f>"黄婷婷"</f>
        <v>黄婷婷</v>
      </c>
      <c r="E260" s="6" t="str">
        <f t="shared" si="24"/>
        <v>女</v>
      </c>
      <c r="F260" s="7" t="s">
        <v>250</v>
      </c>
    </row>
    <row r="261" spans="1:6" ht="20.100000000000001" customHeight="1" x14ac:dyDescent="0.15">
      <c r="A261" s="5">
        <v>258</v>
      </c>
      <c r="B261" s="6" t="str">
        <f>"30482021060121280468670"</f>
        <v>30482021060121280468670</v>
      </c>
      <c r="C261" s="6" t="s">
        <v>1576</v>
      </c>
      <c r="D261" s="6" t="str">
        <f>"孔芙先"</f>
        <v>孔芙先</v>
      </c>
      <c r="E261" s="6" t="str">
        <f t="shared" si="24"/>
        <v>女</v>
      </c>
      <c r="F261" s="7" t="s">
        <v>796</v>
      </c>
    </row>
    <row r="262" spans="1:6" ht="20.100000000000001" customHeight="1" x14ac:dyDescent="0.15">
      <c r="A262" s="5">
        <v>259</v>
      </c>
      <c r="B262" s="6" t="str">
        <f>"30482021060121305168700"</f>
        <v>30482021060121305168700</v>
      </c>
      <c r="C262" s="6" t="s">
        <v>1576</v>
      </c>
      <c r="D262" s="6" t="str">
        <f>"林诗梦"</f>
        <v>林诗梦</v>
      </c>
      <c r="E262" s="6" t="str">
        <f t="shared" si="24"/>
        <v>女</v>
      </c>
      <c r="F262" s="7" t="s">
        <v>747</v>
      </c>
    </row>
    <row r="263" spans="1:6" ht="20.100000000000001" customHeight="1" x14ac:dyDescent="0.15">
      <c r="A263" s="5">
        <v>260</v>
      </c>
      <c r="B263" s="6" t="str">
        <f>"30482021060121352469372"</f>
        <v>30482021060121352469372</v>
      </c>
      <c r="C263" s="6" t="s">
        <v>1576</v>
      </c>
      <c r="D263" s="6" t="str">
        <f>"杨全业"</f>
        <v>杨全业</v>
      </c>
      <c r="E263" s="6" t="str">
        <f>"男"</f>
        <v>男</v>
      </c>
      <c r="F263" s="7" t="s">
        <v>1652</v>
      </c>
    </row>
    <row r="264" spans="1:6" ht="20.100000000000001" customHeight="1" x14ac:dyDescent="0.15">
      <c r="A264" s="5">
        <v>261</v>
      </c>
      <c r="B264" s="6" t="str">
        <f>"30482021060121443869471"</f>
        <v>30482021060121443869471</v>
      </c>
      <c r="C264" s="6" t="s">
        <v>1576</v>
      </c>
      <c r="D264" s="6" t="str">
        <f>"钟珍梅"</f>
        <v>钟珍梅</v>
      </c>
      <c r="E264" s="6" t="str">
        <f t="shared" ref="E264:E280" si="25">"女"</f>
        <v>女</v>
      </c>
      <c r="F264" s="7" t="s">
        <v>538</v>
      </c>
    </row>
    <row r="265" spans="1:6" ht="20.100000000000001" customHeight="1" x14ac:dyDescent="0.15">
      <c r="A265" s="5">
        <v>262</v>
      </c>
      <c r="B265" s="6" t="str">
        <f>"30482021060121491369518"</f>
        <v>30482021060121491369518</v>
      </c>
      <c r="C265" s="6" t="s">
        <v>1576</v>
      </c>
      <c r="D265" s="6" t="str">
        <f>"林蝶"</f>
        <v>林蝶</v>
      </c>
      <c r="E265" s="6" t="str">
        <f t="shared" si="25"/>
        <v>女</v>
      </c>
      <c r="F265" s="7" t="s">
        <v>1283</v>
      </c>
    </row>
    <row r="266" spans="1:6" ht="20.100000000000001" customHeight="1" x14ac:dyDescent="0.15">
      <c r="A266" s="5">
        <v>263</v>
      </c>
      <c r="B266" s="6" t="str">
        <f>"30482021060121501069527"</f>
        <v>30482021060121501069527</v>
      </c>
      <c r="C266" s="6" t="s">
        <v>1576</v>
      </c>
      <c r="D266" s="6" t="str">
        <f>"钟昌霖"</f>
        <v>钟昌霖</v>
      </c>
      <c r="E266" s="6" t="str">
        <f>"男"</f>
        <v>男</v>
      </c>
      <c r="F266" s="7" t="s">
        <v>1653</v>
      </c>
    </row>
    <row r="267" spans="1:6" ht="20.100000000000001" customHeight="1" x14ac:dyDescent="0.15">
      <c r="A267" s="5">
        <v>264</v>
      </c>
      <c r="B267" s="6" t="str">
        <f>"30482021060121503569531"</f>
        <v>30482021060121503569531</v>
      </c>
      <c r="C267" s="6" t="s">
        <v>1576</v>
      </c>
      <c r="D267" s="6" t="str">
        <f>"麦丽翠"</f>
        <v>麦丽翠</v>
      </c>
      <c r="E267" s="6" t="str">
        <f t="shared" si="25"/>
        <v>女</v>
      </c>
      <c r="F267" s="7" t="s">
        <v>533</v>
      </c>
    </row>
    <row r="268" spans="1:6" ht="20.100000000000001" customHeight="1" x14ac:dyDescent="0.15">
      <c r="A268" s="5">
        <v>265</v>
      </c>
      <c r="B268" s="6" t="str">
        <f>"30482021060121504469534"</f>
        <v>30482021060121504469534</v>
      </c>
      <c r="C268" s="6" t="s">
        <v>1576</v>
      </c>
      <c r="D268" s="6" t="str">
        <f>"陈楠"</f>
        <v>陈楠</v>
      </c>
      <c r="E268" s="6" t="str">
        <f t="shared" si="25"/>
        <v>女</v>
      </c>
      <c r="F268" s="7" t="s">
        <v>1393</v>
      </c>
    </row>
    <row r="269" spans="1:6" ht="20.100000000000001" customHeight="1" x14ac:dyDescent="0.15">
      <c r="A269" s="5">
        <v>266</v>
      </c>
      <c r="B269" s="6" t="str">
        <f>"30482021060121564969593"</f>
        <v>30482021060121564969593</v>
      </c>
      <c r="C269" s="6" t="s">
        <v>1576</v>
      </c>
      <c r="D269" s="6" t="str">
        <f>"杨启萍"</f>
        <v>杨启萍</v>
      </c>
      <c r="E269" s="6" t="str">
        <f t="shared" si="25"/>
        <v>女</v>
      </c>
      <c r="F269" s="7" t="s">
        <v>1654</v>
      </c>
    </row>
    <row r="270" spans="1:6" ht="20.100000000000001" customHeight="1" x14ac:dyDescent="0.15">
      <c r="A270" s="5">
        <v>267</v>
      </c>
      <c r="B270" s="6" t="str">
        <f>"30482021060121593569612"</f>
        <v>30482021060121593569612</v>
      </c>
      <c r="C270" s="6" t="s">
        <v>1576</v>
      </c>
      <c r="D270" s="6" t="str">
        <f>"盛萌"</f>
        <v>盛萌</v>
      </c>
      <c r="E270" s="6" t="str">
        <f t="shared" si="25"/>
        <v>女</v>
      </c>
      <c r="F270" s="7" t="s">
        <v>1655</v>
      </c>
    </row>
    <row r="271" spans="1:6" ht="20.100000000000001" customHeight="1" x14ac:dyDescent="0.15">
      <c r="A271" s="5">
        <v>268</v>
      </c>
      <c r="B271" s="6" t="str">
        <f>"30482021060121595869615"</f>
        <v>30482021060121595869615</v>
      </c>
      <c r="C271" s="6" t="s">
        <v>1576</v>
      </c>
      <c r="D271" s="6" t="str">
        <f>"孙华贵"</f>
        <v>孙华贵</v>
      </c>
      <c r="E271" s="6" t="str">
        <f t="shared" si="25"/>
        <v>女</v>
      </c>
      <c r="F271" s="7" t="s">
        <v>122</v>
      </c>
    </row>
    <row r="272" spans="1:6" ht="20.100000000000001" customHeight="1" x14ac:dyDescent="0.15">
      <c r="A272" s="5">
        <v>269</v>
      </c>
      <c r="B272" s="6" t="str">
        <f>"30482021060122063169663"</f>
        <v>30482021060122063169663</v>
      </c>
      <c r="C272" s="6" t="s">
        <v>1576</v>
      </c>
      <c r="D272" s="6" t="str">
        <f>"陈奕妙"</f>
        <v>陈奕妙</v>
      </c>
      <c r="E272" s="6" t="str">
        <f t="shared" si="25"/>
        <v>女</v>
      </c>
      <c r="F272" s="7" t="s">
        <v>268</v>
      </c>
    </row>
    <row r="273" spans="1:6" ht="20.100000000000001" customHeight="1" x14ac:dyDescent="0.15">
      <c r="A273" s="5">
        <v>270</v>
      </c>
      <c r="B273" s="6" t="str">
        <f>"30482021060122071169673"</f>
        <v>30482021060122071169673</v>
      </c>
      <c r="C273" s="6" t="s">
        <v>1576</v>
      </c>
      <c r="D273" s="6" t="str">
        <f>"吴欣莲"</f>
        <v>吴欣莲</v>
      </c>
      <c r="E273" s="6" t="str">
        <f t="shared" si="25"/>
        <v>女</v>
      </c>
      <c r="F273" s="7" t="s">
        <v>725</v>
      </c>
    </row>
    <row r="274" spans="1:6" ht="20.100000000000001" customHeight="1" x14ac:dyDescent="0.15">
      <c r="A274" s="5">
        <v>271</v>
      </c>
      <c r="B274" s="6" t="str">
        <f>"30482021060122075369682"</f>
        <v>30482021060122075369682</v>
      </c>
      <c r="C274" s="6" t="s">
        <v>1576</v>
      </c>
      <c r="D274" s="6" t="str">
        <f>"杨彦瑜"</f>
        <v>杨彦瑜</v>
      </c>
      <c r="E274" s="6" t="str">
        <f t="shared" si="25"/>
        <v>女</v>
      </c>
      <c r="F274" s="7" t="s">
        <v>1656</v>
      </c>
    </row>
    <row r="275" spans="1:6" ht="20.100000000000001" customHeight="1" x14ac:dyDescent="0.15">
      <c r="A275" s="5">
        <v>272</v>
      </c>
      <c r="B275" s="6" t="str">
        <f>"30482021060122103369712"</f>
        <v>30482021060122103369712</v>
      </c>
      <c r="C275" s="6" t="s">
        <v>1576</v>
      </c>
      <c r="D275" s="6" t="str">
        <f>"王英云"</f>
        <v>王英云</v>
      </c>
      <c r="E275" s="6" t="str">
        <f t="shared" si="25"/>
        <v>女</v>
      </c>
      <c r="F275" s="7" t="s">
        <v>855</v>
      </c>
    </row>
    <row r="276" spans="1:6" ht="20.100000000000001" customHeight="1" x14ac:dyDescent="0.15">
      <c r="A276" s="5">
        <v>273</v>
      </c>
      <c r="B276" s="6" t="str">
        <f>"30482021060122120469723"</f>
        <v>30482021060122120469723</v>
      </c>
      <c r="C276" s="6" t="s">
        <v>1576</v>
      </c>
      <c r="D276" s="6" t="str">
        <f>"史艾妹"</f>
        <v>史艾妹</v>
      </c>
      <c r="E276" s="6" t="str">
        <f t="shared" si="25"/>
        <v>女</v>
      </c>
      <c r="F276" s="7" t="s">
        <v>161</v>
      </c>
    </row>
    <row r="277" spans="1:6" ht="20.100000000000001" customHeight="1" x14ac:dyDescent="0.15">
      <c r="A277" s="5">
        <v>274</v>
      </c>
      <c r="B277" s="6" t="str">
        <f>"30482021060122131669727"</f>
        <v>30482021060122131669727</v>
      </c>
      <c r="C277" s="6" t="s">
        <v>1576</v>
      </c>
      <c r="D277" s="6" t="str">
        <f>"王林梅"</f>
        <v>王林梅</v>
      </c>
      <c r="E277" s="6" t="str">
        <f t="shared" si="25"/>
        <v>女</v>
      </c>
      <c r="F277" s="7" t="s">
        <v>635</v>
      </c>
    </row>
    <row r="278" spans="1:6" ht="20.100000000000001" customHeight="1" x14ac:dyDescent="0.15">
      <c r="A278" s="5">
        <v>275</v>
      </c>
      <c r="B278" s="6" t="str">
        <f>"30482021060122171069763"</f>
        <v>30482021060122171069763</v>
      </c>
      <c r="C278" s="6" t="s">
        <v>1576</v>
      </c>
      <c r="D278" s="6" t="str">
        <f>"王倩倩"</f>
        <v>王倩倩</v>
      </c>
      <c r="E278" s="6" t="str">
        <f t="shared" si="25"/>
        <v>女</v>
      </c>
      <c r="F278" s="7" t="s">
        <v>160</v>
      </c>
    </row>
    <row r="279" spans="1:6" ht="20.100000000000001" customHeight="1" x14ac:dyDescent="0.15">
      <c r="A279" s="5">
        <v>276</v>
      </c>
      <c r="B279" s="6" t="str">
        <f>"30482021060122200869790"</f>
        <v>30482021060122200869790</v>
      </c>
      <c r="C279" s="6" t="s">
        <v>1576</v>
      </c>
      <c r="D279" s="6" t="str">
        <f>"羊信妹"</f>
        <v>羊信妹</v>
      </c>
      <c r="E279" s="6" t="str">
        <f t="shared" si="25"/>
        <v>女</v>
      </c>
      <c r="F279" s="7" t="s">
        <v>1657</v>
      </c>
    </row>
    <row r="280" spans="1:6" ht="20.100000000000001" customHeight="1" x14ac:dyDescent="0.15">
      <c r="A280" s="5">
        <v>277</v>
      </c>
      <c r="B280" s="6" t="str">
        <f>"30482021060122213069801"</f>
        <v>30482021060122213069801</v>
      </c>
      <c r="C280" s="6" t="s">
        <v>1576</v>
      </c>
      <c r="D280" s="6" t="str">
        <f>"王丽金"</f>
        <v>王丽金</v>
      </c>
      <c r="E280" s="6" t="str">
        <f t="shared" si="25"/>
        <v>女</v>
      </c>
      <c r="F280" s="7" t="s">
        <v>1658</v>
      </c>
    </row>
    <row r="281" spans="1:6" ht="20.100000000000001" customHeight="1" x14ac:dyDescent="0.15">
      <c r="A281" s="5">
        <v>278</v>
      </c>
      <c r="B281" s="6" t="str">
        <f>"30482021060122231469814"</f>
        <v>30482021060122231469814</v>
      </c>
      <c r="C281" s="6" t="s">
        <v>1576</v>
      </c>
      <c r="D281" s="6" t="str">
        <f>"邹健峰"</f>
        <v>邹健峰</v>
      </c>
      <c r="E281" s="6" t="str">
        <f>"男"</f>
        <v>男</v>
      </c>
      <c r="F281" s="7" t="s">
        <v>1659</v>
      </c>
    </row>
    <row r="282" spans="1:6" ht="20.100000000000001" customHeight="1" x14ac:dyDescent="0.15">
      <c r="A282" s="5">
        <v>279</v>
      </c>
      <c r="B282" s="6" t="str">
        <f>"30482021060122321569892"</f>
        <v>30482021060122321569892</v>
      </c>
      <c r="C282" s="6" t="s">
        <v>1576</v>
      </c>
      <c r="D282" s="6" t="str">
        <f>"陈娇妃"</f>
        <v>陈娇妃</v>
      </c>
      <c r="E282" s="6" t="str">
        <f t="shared" ref="E282:E301" si="26">"女"</f>
        <v>女</v>
      </c>
      <c r="F282" s="7" t="s">
        <v>149</v>
      </c>
    </row>
    <row r="283" spans="1:6" ht="20.100000000000001" customHeight="1" x14ac:dyDescent="0.15">
      <c r="A283" s="5">
        <v>280</v>
      </c>
      <c r="B283" s="6" t="str">
        <f>"30482021060122405069981"</f>
        <v>30482021060122405069981</v>
      </c>
      <c r="C283" s="6" t="s">
        <v>1576</v>
      </c>
      <c r="D283" s="6" t="str">
        <f>"陈少霞"</f>
        <v>陈少霞</v>
      </c>
      <c r="E283" s="6" t="str">
        <f t="shared" si="26"/>
        <v>女</v>
      </c>
      <c r="F283" s="7" t="s">
        <v>1660</v>
      </c>
    </row>
    <row r="284" spans="1:6" ht="20.100000000000001" customHeight="1" x14ac:dyDescent="0.15">
      <c r="A284" s="5">
        <v>281</v>
      </c>
      <c r="B284" s="6" t="str">
        <f>"30482021060122405969983"</f>
        <v>30482021060122405969983</v>
      </c>
      <c r="C284" s="6" t="s">
        <v>1576</v>
      </c>
      <c r="D284" s="6" t="str">
        <f>"伍春燕"</f>
        <v>伍春燕</v>
      </c>
      <c r="E284" s="6" t="str">
        <f t="shared" si="26"/>
        <v>女</v>
      </c>
      <c r="F284" s="7" t="s">
        <v>1661</v>
      </c>
    </row>
    <row r="285" spans="1:6" ht="20.100000000000001" customHeight="1" x14ac:dyDescent="0.15">
      <c r="A285" s="5">
        <v>282</v>
      </c>
      <c r="B285" s="6" t="str">
        <f>"30482021060122421469992"</f>
        <v>30482021060122421469992</v>
      </c>
      <c r="C285" s="6" t="s">
        <v>1576</v>
      </c>
      <c r="D285" s="6" t="str">
        <f>"郭倩倩"</f>
        <v>郭倩倩</v>
      </c>
      <c r="E285" s="6" t="str">
        <f t="shared" si="26"/>
        <v>女</v>
      </c>
      <c r="F285" s="7" t="s">
        <v>965</v>
      </c>
    </row>
    <row r="286" spans="1:6" ht="20.100000000000001" customHeight="1" x14ac:dyDescent="0.15">
      <c r="A286" s="5">
        <v>283</v>
      </c>
      <c r="B286" s="6" t="str">
        <f>"30482021060122441970008"</f>
        <v>30482021060122441970008</v>
      </c>
      <c r="C286" s="6" t="s">
        <v>1576</v>
      </c>
      <c r="D286" s="6" t="str">
        <f>"邢紫云"</f>
        <v>邢紫云</v>
      </c>
      <c r="E286" s="6" t="str">
        <f t="shared" si="26"/>
        <v>女</v>
      </c>
      <c r="F286" s="7" t="s">
        <v>1096</v>
      </c>
    </row>
    <row r="287" spans="1:6" ht="20.100000000000001" customHeight="1" x14ac:dyDescent="0.15">
      <c r="A287" s="5">
        <v>284</v>
      </c>
      <c r="B287" s="6" t="str">
        <f>"30482021060122455870020"</f>
        <v>30482021060122455870020</v>
      </c>
      <c r="C287" s="6" t="s">
        <v>1576</v>
      </c>
      <c r="D287" s="6" t="str">
        <f>"莫艳春"</f>
        <v>莫艳春</v>
      </c>
      <c r="E287" s="6" t="str">
        <f t="shared" si="26"/>
        <v>女</v>
      </c>
      <c r="F287" s="7" t="s">
        <v>43</v>
      </c>
    </row>
    <row r="288" spans="1:6" ht="20.100000000000001" customHeight="1" x14ac:dyDescent="0.15">
      <c r="A288" s="5">
        <v>285</v>
      </c>
      <c r="B288" s="6" t="str">
        <f>"30482021060122475470027"</f>
        <v>30482021060122475470027</v>
      </c>
      <c r="C288" s="6" t="s">
        <v>1576</v>
      </c>
      <c r="D288" s="6" t="str">
        <f>"周燕燕"</f>
        <v>周燕燕</v>
      </c>
      <c r="E288" s="6" t="str">
        <f t="shared" si="26"/>
        <v>女</v>
      </c>
      <c r="F288" s="7" t="s">
        <v>965</v>
      </c>
    </row>
    <row r="289" spans="1:6" ht="20.100000000000001" customHeight="1" x14ac:dyDescent="0.15">
      <c r="A289" s="5">
        <v>286</v>
      </c>
      <c r="B289" s="6" t="str">
        <f>"30482021060122485870031"</f>
        <v>30482021060122485870031</v>
      </c>
      <c r="C289" s="6" t="s">
        <v>1576</v>
      </c>
      <c r="D289" s="6" t="str">
        <f>"蔡甫菊"</f>
        <v>蔡甫菊</v>
      </c>
      <c r="E289" s="6" t="str">
        <f t="shared" si="26"/>
        <v>女</v>
      </c>
      <c r="F289" s="7" t="s">
        <v>1662</v>
      </c>
    </row>
    <row r="290" spans="1:6" ht="20.100000000000001" customHeight="1" x14ac:dyDescent="0.15">
      <c r="A290" s="5">
        <v>287</v>
      </c>
      <c r="B290" s="6" t="str">
        <f>"30482021060122493770033"</f>
        <v>30482021060122493770033</v>
      </c>
      <c r="C290" s="6" t="s">
        <v>1576</v>
      </c>
      <c r="D290" s="6" t="str">
        <f>"李颖"</f>
        <v>李颖</v>
      </c>
      <c r="E290" s="6" t="str">
        <f t="shared" si="26"/>
        <v>女</v>
      </c>
      <c r="F290" s="7" t="s">
        <v>1663</v>
      </c>
    </row>
    <row r="291" spans="1:6" ht="20.100000000000001" customHeight="1" x14ac:dyDescent="0.15">
      <c r="A291" s="5">
        <v>288</v>
      </c>
      <c r="B291" s="6" t="str">
        <f>"30482021060122505370042"</f>
        <v>30482021060122505370042</v>
      </c>
      <c r="C291" s="6" t="s">
        <v>1576</v>
      </c>
      <c r="D291" s="6" t="str">
        <f>"陈艺灵"</f>
        <v>陈艺灵</v>
      </c>
      <c r="E291" s="6" t="str">
        <f t="shared" si="26"/>
        <v>女</v>
      </c>
      <c r="F291" s="7" t="s">
        <v>763</v>
      </c>
    </row>
    <row r="292" spans="1:6" ht="20.100000000000001" customHeight="1" x14ac:dyDescent="0.15">
      <c r="A292" s="5">
        <v>289</v>
      </c>
      <c r="B292" s="6" t="str">
        <f>"30482021060122574370084"</f>
        <v>30482021060122574370084</v>
      </c>
      <c r="C292" s="6" t="s">
        <v>1576</v>
      </c>
      <c r="D292" s="6" t="str">
        <f>"伍显艺"</f>
        <v>伍显艺</v>
      </c>
      <c r="E292" s="6" t="str">
        <f t="shared" si="26"/>
        <v>女</v>
      </c>
      <c r="F292" s="7" t="s">
        <v>614</v>
      </c>
    </row>
    <row r="293" spans="1:6" ht="20.100000000000001" customHeight="1" x14ac:dyDescent="0.15">
      <c r="A293" s="5">
        <v>290</v>
      </c>
      <c r="B293" s="6" t="str">
        <f>"30482021060123014670120"</f>
        <v>30482021060123014670120</v>
      </c>
      <c r="C293" s="6" t="s">
        <v>1576</v>
      </c>
      <c r="D293" s="6" t="str">
        <f>"陈玉环"</f>
        <v>陈玉环</v>
      </c>
      <c r="E293" s="6" t="str">
        <f t="shared" si="26"/>
        <v>女</v>
      </c>
      <c r="F293" s="7" t="s">
        <v>1664</v>
      </c>
    </row>
    <row r="294" spans="1:6" ht="20.100000000000001" customHeight="1" x14ac:dyDescent="0.15">
      <c r="A294" s="5">
        <v>291</v>
      </c>
      <c r="B294" s="6" t="str">
        <f>"30482021060123151870199"</f>
        <v>30482021060123151870199</v>
      </c>
      <c r="C294" s="6" t="s">
        <v>1576</v>
      </c>
      <c r="D294" s="6" t="str">
        <f>"傅圆圆"</f>
        <v>傅圆圆</v>
      </c>
      <c r="E294" s="6" t="str">
        <f t="shared" si="26"/>
        <v>女</v>
      </c>
      <c r="F294" s="7" t="s">
        <v>131</v>
      </c>
    </row>
    <row r="295" spans="1:6" ht="20.100000000000001" customHeight="1" x14ac:dyDescent="0.15">
      <c r="A295" s="5">
        <v>292</v>
      </c>
      <c r="B295" s="6" t="str">
        <f>"30482021060123172870208"</f>
        <v>30482021060123172870208</v>
      </c>
      <c r="C295" s="6" t="s">
        <v>1576</v>
      </c>
      <c r="D295" s="6" t="str">
        <f>"刘玉华"</f>
        <v>刘玉华</v>
      </c>
      <c r="E295" s="6" t="str">
        <f t="shared" si="26"/>
        <v>女</v>
      </c>
      <c r="F295" s="7" t="s">
        <v>1058</v>
      </c>
    </row>
    <row r="296" spans="1:6" ht="20.100000000000001" customHeight="1" x14ac:dyDescent="0.15">
      <c r="A296" s="5">
        <v>293</v>
      </c>
      <c r="B296" s="6" t="str">
        <f>"30482021060123182670214"</f>
        <v>30482021060123182670214</v>
      </c>
      <c r="C296" s="6" t="s">
        <v>1576</v>
      </c>
      <c r="D296" s="6" t="str">
        <f>"江乔木"</f>
        <v>江乔木</v>
      </c>
      <c r="E296" s="6" t="str">
        <f t="shared" si="26"/>
        <v>女</v>
      </c>
      <c r="F296" s="7" t="s">
        <v>1084</v>
      </c>
    </row>
    <row r="297" spans="1:6" ht="20.100000000000001" customHeight="1" x14ac:dyDescent="0.15">
      <c r="A297" s="5">
        <v>294</v>
      </c>
      <c r="B297" s="6" t="str">
        <f>"30482021060123331670285"</f>
        <v>30482021060123331670285</v>
      </c>
      <c r="C297" s="6" t="s">
        <v>1576</v>
      </c>
      <c r="D297" s="6" t="str">
        <f>"吴春玲"</f>
        <v>吴春玲</v>
      </c>
      <c r="E297" s="6" t="str">
        <f t="shared" si="26"/>
        <v>女</v>
      </c>
      <c r="F297" s="7" t="s">
        <v>1043</v>
      </c>
    </row>
    <row r="298" spans="1:6" ht="20.100000000000001" customHeight="1" x14ac:dyDescent="0.15">
      <c r="A298" s="5">
        <v>295</v>
      </c>
      <c r="B298" s="6" t="str">
        <f>"30482021060123385070308"</f>
        <v>30482021060123385070308</v>
      </c>
      <c r="C298" s="6" t="s">
        <v>1576</v>
      </c>
      <c r="D298" s="6" t="str">
        <f>"徐海莲"</f>
        <v>徐海莲</v>
      </c>
      <c r="E298" s="6" t="str">
        <f t="shared" si="26"/>
        <v>女</v>
      </c>
      <c r="F298" s="7" t="s">
        <v>1663</v>
      </c>
    </row>
    <row r="299" spans="1:6" ht="20.100000000000001" customHeight="1" x14ac:dyDescent="0.15">
      <c r="A299" s="5">
        <v>296</v>
      </c>
      <c r="B299" s="6" t="str">
        <f>"30482021060123595470372"</f>
        <v>30482021060123595470372</v>
      </c>
      <c r="C299" s="6" t="s">
        <v>1576</v>
      </c>
      <c r="D299" s="6" t="str">
        <f>"庄彩虹"</f>
        <v>庄彩虹</v>
      </c>
      <c r="E299" s="6" t="str">
        <f t="shared" si="26"/>
        <v>女</v>
      </c>
      <c r="F299" s="7" t="s">
        <v>1665</v>
      </c>
    </row>
    <row r="300" spans="1:6" ht="20.100000000000001" customHeight="1" x14ac:dyDescent="0.15">
      <c r="A300" s="5">
        <v>297</v>
      </c>
      <c r="B300" s="6" t="str">
        <f>"30482021060200165870423"</f>
        <v>30482021060200165870423</v>
      </c>
      <c r="C300" s="6" t="s">
        <v>1576</v>
      </c>
      <c r="D300" s="6" t="str">
        <f>"孟海岸"</f>
        <v>孟海岸</v>
      </c>
      <c r="E300" s="6" t="str">
        <f t="shared" si="26"/>
        <v>女</v>
      </c>
      <c r="F300" s="7" t="s">
        <v>638</v>
      </c>
    </row>
    <row r="301" spans="1:6" ht="20.100000000000001" customHeight="1" x14ac:dyDescent="0.15">
      <c r="A301" s="5">
        <v>298</v>
      </c>
      <c r="B301" s="6" t="str">
        <f>"30482021060201200870502"</f>
        <v>30482021060201200870502</v>
      </c>
      <c r="C301" s="6" t="s">
        <v>1576</v>
      </c>
      <c r="D301" s="6" t="str">
        <f>"林梅"</f>
        <v>林梅</v>
      </c>
      <c r="E301" s="6" t="str">
        <f t="shared" si="26"/>
        <v>女</v>
      </c>
      <c r="F301" s="7" t="s">
        <v>1666</v>
      </c>
    </row>
    <row r="302" spans="1:6" ht="20.100000000000001" customHeight="1" x14ac:dyDescent="0.15">
      <c r="A302" s="5">
        <v>299</v>
      </c>
      <c r="B302" s="6" t="str">
        <f>"30482021060201362970513"</f>
        <v>30482021060201362970513</v>
      </c>
      <c r="C302" s="6" t="s">
        <v>1576</v>
      </c>
      <c r="D302" s="6" t="str">
        <f>"黎培旭"</f>
        <v>黎培旭</v>
      </c>
      <c r="E302" s="6" t="str">
        <f>"男"</f>
        <v>男</v>
      </c>
      <c r="F302" s="7" t="s">
        <v>388</v>
      </c>
    </row>
    <row r="303" spans="1:6" ht="20.100000000000001" customHeight="1" x14ac:dyDescent="0.15">
      <c r="A303" s="5">
        <v>300</v>
      </c>
      <c r="B303" s="6" t="str">
        <f>"30482021060202361170532"</f>
        <v>30482021060202361170532</v>
      </c>
      <c r="C303" s="6" t="s">
        <v>1576</v>
      </c>
      <c r="D303" s="6" t="str">
        <f>"吴俊"</f>
        <v>吴俊</v>
      </c>
      <c r="E303" s="6" t="str">
        <f>"男"</f>
        <v>男</v>
      </c>
      <c r="F303" s="7" t="s">
        <v>1534</v>
      </c>
    </row>
    <row r="304" spans="1:6" ht="20.100000000000001" customHeight="1" x14ac:dyDescent="0.15">
      <c r="A304" s="5">
        <v>301</v>
      </c>
      <c r="B304" s="6" t="str">
        <f>"30482021060206443070575"</f>
        <v>30482021060206443070575</v>
      </c>
      <c r="C304" s="6" t="s">
        <v>1576</v>
      </c>
      <c r="D304" s="6" t="str">
        <f>"黄旋"</f>
        <v>黄旋</v>
      </c>
      <c r="E304" s="6" t="str">
        <f t="shared" ref="E304:E307" si="27">"女"</f>
        <v>女</v>
      </c>
      <c r="F304" s="7" t="s">
        <v>1222</v>
      </c>
    </row>
    <row r="305" spans="1:6" ht="20.100000000000001" customHeight="1" x14ac:dyDescent="0.15">
      <c r="A305" s="5">
        <v>302</v>
      </c>
      <c r="B305" s="6" t="str">
        <f>"30482021060206575870584"</f>
        <v>30482021060206575870584</v>
      </c>
      <c r="C305" s="6" t="s">
        <v>1576</v>
      </c>
      <c r="D305" s="6" t="str">
        <f>"袁晶"</f>
        <v>袁晶</v>
      </c>
      <c r="E305" s="6" t="str">
        <f t="shared" si="27"/>
        <v>女</v>
      </c>
      <c r="F305" s="7" t="s">
        <v>489</v>
      </c>
    </row>
    <row r="306" spans="1:6" ht="20.100000000000001" customHeight="1" x14ac:dyDescent="0.15">
      <c r="A306" s="5">
        <v>303</v>
      </c>
      <c r="B306" s="6" t="str">
        <f>"30482021060207134270596"</f>
        <v>30482021060207134270596</v>
      </c>
      <c r="C306" s="6" t="s">
        <v>1576</v>
      </c>
      <c r="D306" s="6" t="str">
        <f>"梁小叶"</f>
        <v>梁小叶</v>
      </c>
      <c r="E306" s="6" t="str">
        <f t="shared" si="27"/>
        <v>女</v>
      </c>
      <c r="F306" s="7" t="s">
        <v>1667</v>
      </c>
    </row>
    <row r="307" spans="1:6" ht="20.100000000000001" customHeight="1" x14ac:dyDescent="0.15">
      <c r="A307" s="5">
        <v>304</v>
      </c>
      <c r="B307" s="6" t="str">
        <f>"30482021060207454170640"</f>
        <v>30482021060207454170640</v>
      </c>
      <c r="C307" s="6" t="s">
        <v>1576</v>
      </c>
      <c r="D307" s="6" t="str">
        <f>"谢春凤"</f>
        <v>谢春凤</v>
      </c>
      <c r="E307" s="6" t="str">
        <f t="shared" si="27"/>
        <v>女</v>
      </c>
      <c r="F307" s="7" t="s">
        <v>1388</v>
      </c>
    </row>
    <row r="308" spans="1:6" ht="20.100000000000001" customHeight="1" x14ac:dyDescent="0.15">
      <c r="A308" s="5">
        <v>305</v>
      </c>
      <c r="B308" s="6" t="str">
        <f>"30482021060207551570658"</f>
        <v>30482021060207551570658</v>
      </c>
      <c r="C308" s="6" t="s">
        <v>1576</v>
      </c>
      <c r="D308" s="6" t="str">
        <f>"王志元"</f>
        <v>王志元</v>
      </c>
      <c r="E308" s="6" t="str">
        <f>"男"</f>
        <v>男</v>
      </c>
      <c r="F308" s="7" t="s">
        <v>1668</v>
      </c>
    </row>
    <row r="309" spans="1:6" ht="20.100000000000001" customHeight="1" x14ac:dyDescent="0.15">
      <c r="A309" s="5">
        <v>306</v>
      </c>
      <c r="B309" s="6" t="str">
        <f>"30482021060207561470659"</f>
        <v>30482021060207561470659</v>
      </c>
      <c r="C309" s="6" t="s">
        <v>1576</v>
      </c>
      <c r="D309" s="6" t="str">
        <f>"徐晴晴"</f>
        <v>徐晴晴</v>
      </c>
      <c r="E309" s="6" t="str">
        <f t="shared" ref="E309:E315" si="28">"女"</f>
        <v>女</v>
      </c>
      <c r="F309" s="7" t="s">
        <v>393</v>
      </c>
    </row>
    <row r="310" spans="1:6" ht="20.100000000000001" customHeight="1" x14ac:dyDescent="0.15">
      <c r="A310" s="5">
        <v>307</v>
      </c>
      <c r="B310" s="6" t="str">
        <f>"30482021060208003570671"</f>
        <v>30482021060208003570671</v>
      </c>
      <c r="C310" s="6" t="s">
        <v>1576</v>
      </c>
      <c r="D310" s="6" t="str">
        <f>"王丹"</f>
        <v>王丹</v>
      </c>
      <c r="E310" s="6" t="str">
        <f t="shared" si="28"/>
        <v>女</v>
      </c>
      <c r="F310" s="7" t="s">
        <v>1546</v>
      </c>
    </row>
    <row r="311" spans="1:6" ht="20.100000000000001" customHeight="1" x14ac:dyDescent="0.15">
      <c r="A311" s="5">
        <v>308</v>
      </c>
      <c r="B311" s="6" t="str">
        <f>"30482021060208063470695"</f>
        <v>30482021060208063470695</v>
      </c>
      <c r="C311" s="6" t="s">
        <v>1576</v>
      </c>
      <c r="D311" s="6" t="str">
        <f>"曾德珠"</f>
        <v>曾德珠</v>
      </c>
      <c r="E311" s="6" t="str">
        <f t="shared" si="28"/>
        <v>女</v>
      </c>
      <c r="F311" s="7" t="s">
        <v>225</v>
      </c>
    </row>
    <row r="312" spans="1:6" ht="20.100000000000001" customHeight="1" x14ac:dyDescent="0.15">
      <c r="A312" s="5">
        <v>309</v>
      </c>
      <c r="B312" s="6" t="str">
        <f>"30482021060208063570696"</f>
        <v>30482021060208063570696</v>
      </c>
      <c r="C312" s="6" t="s">
        <v>1576</v>
      </c>
      <c r="D312" s="6" t="str">
        <f>"许秀靖"</f>
        <v>许秀靖</v>
      </c>
      <c r="E312" s="6" t="str">
        <f t="shared" si="28"/>
        <v>女</v>
      </c>
      <c r="F312" s="7" t="s">
        <v>1611</v>
      </c>
    </row>
    <row r="313" spans="1:6" ht="20.100000000000001" customHeight="1" x14ac:dyDescent="0.15">
      <c r="A313" s="5">
        <v>310</v>
      </c>
      <c r="B313" s="6" t="str">
        <f>"30482021060208093570711"</f>
        <v>30482021060208093570711</v>
      </c>
      <c r="C313" s="6" t="s">
        <v>1576</v>
      </c>
      <c r="D313" s="6" t="str">
        <f>"黎兴香"</f>
        <v>黎兴香</v>
      </c>
      <c r="E313" s="6" t="str">
        <f t="shared" si="28"/>
        <v>女</v>
      </c>
      <c r="F313" s="7" t="s">
        <v>1669</v>
      </c>
    </row>
    <row r="314" spans="1:6" ht="20.100000000000001" customHeight="1" x14ac:dyDescent="0.15">
      <c r="A314" s="5">
        <v>311</v>
      </c>
      <c r="B314" s="6" t="str">
        <f>"30482021060208101870717"</f>
        <v>30482021060208101870717</v>
      </c>
      <c r="C314" s="6" t="s">
        <v>1576</v>
      </c>
      <c r="D314" s="6" t="str">
        <f>"李晶晶"</f>
        <v>李晶晶</v>
      </c>
      <c r="E314" s="6" t="str">
        <f t="shared" si="28"/>
        <v>女</v>
      </c>
      <c r="F314" s="7" t="s">
        <v>399</v>
      </c>
    </row>
    <row r="315" spans="1:6" ht="20.100000000000001" customHeight="1" x14ac:dyDescent="0.15">
      <c r="A315" s="5">
        <v>312</v>
      </c>
      <c r="B315" s="6" t="str">
        <f>"30482021060208162670754"</f>
        <v>30482021060208162670754</v>
      </c>
      <c r="C315" s="6" t="s">
        <v>1576</v>
      </c>
      <c r="D315" s="6" t="str">
        <f>"符香川"</f>
        <v>符香川</v>
      </c>
      <c r="E315" s="6" t="str">
        <f t="shared" si="28"/>
        <v>女</v>
      </c>
      <c r="F315" s="7" t="s">
        <v>1212</v>
      </c>
    </row>
    <row r="316" spans="1:6" ht="20.100000000000001" customHeight="1" x14ac:dyDescent="0.15">
      <c r="A316" s="5">
        <v>313</v>
      </c>
      <c r="B316" s="6" t="str">
        <f>"30482021060208204070782"</f>
        <v>30482021060208204070782</v>
      </c>
      <c r="C316" s="6" t="s">
        <v>1576</v>
      </c>
      <c r="D316" s="6" t="str">
        <f>"严豪"</f>
        <v>严豪</v>
      </c>
      <c r="E316" s="6" t="str">
        <f>"男"</f>
        <v>男</v>
      </c>
      <c r="F316" s="7" t="s">
        <v>1557</v>
      </c>
    </row>
    <row r="317" spans="1:6" ht="20.100000000000001" customHeight="1" x14ac:dyDescent="0.15">
      <c r="A317" s="5">
        <v>314</v>
      </c>
      <c r="B317" s="6" t="str">
        <f>"30482021060208224070796"</f>
        <v>30482021060208224070796</v>
      </c>
      <c r="C317" s="6" t="s">
        <v>1576</v>
      </c>
      <c r="D317" s="6" t="str">
        <f>"符妙芽"</f>
        <v>符妙芽</v>
      </c>
      <c r="E317" s="6" t="str">
        <f t="shared" ref="E317:E323" si="29">"女"</f>
        <v>女</v>
      </c>
      <c r="F317" s="7" t="s">
        <v>44</v>
      </c>
    </row>
    <row r="318" spans="1:6" ht="20.100000000000001" customHeight="1" x14ac:dyDescent="0.15">
      <c r="A318" s="5">
        <v>315</v>
      </c>
      <c r="B318" s="6" t="str">
        <f>"30482021060208224770798"</f>
        <v>30482021060208224770798</v>
      </c>
      <c r="C318" s="6" t="s">
        <v>1576</v>
      </c>
      <c r="D318" s="6" t="str">
        <f>"郎文君"</f>
        <v>郎文君</v>
      </c>
      <c r="E318" s="6" t="str">
        <f t="shared" si="29"/>
        <v>女</v>
      </c>
      <c r="F318" s="7" t="s">
        <v>1670</v>
      </c>
    </row>
    <row r="319" spans="1:6" ht="20.100000000000001" customHeight="1" x14ac:dyDescent="0.15">
      <c r="A319" s="5">
        <v>316</v>
      </c>
      <c r="B319" s="6" t="str">
        <f>"30482021060208242670814"</f>
        <v>30482021060208242670814</v>
      </c>
      <c r="C319" s="6" t="s">
        <v>1576</v>
      </c>
      <c r="D319" s="6" t="str">
        <f>"文艳娟"</f>
        <v>文艳娟</v>
      </c>
      <c r="E319" s="6" t="str">
        <f t="shared" si="29"/>
        <v>女</v>
      </c>
      <c r="F319" s="7" t="s">
        <v>1333</v>
      </c>
    </row>
    <row r="320" spans="1:6" ht="20.100000000000001" customHeight="1" x14ac:dyDescent="0.15">
      <c r="A320" s="5">
        <v>317</v>
      </c>
      <c r="B320" s="6" t="str">
        <f>"30482021060208264770829"</f>
        <v>30482021060208264770829</v>
      </c>
      <c r="C320" s="6" t="s">
        <v>1576</v>
      </c>
      <c r="D320" s="6" t="str">
        <f>"周芳梅"</f>
        <v>周芳梅</v>
      </c>
      <c r="E320" s="6" t="str">
        <f t="shared" si="29"/>
        <v>女</v>
      </c>
      <c r="F320" s="7" t="s">
        <v>352</v>
      </c>
    </row>
    <row r="321" spans="1:6" ht="20.100000000000001" customHeight="1" x14ac:dyDescent="0.15">
      <c r="A321" s="5">
        <v>318</v>
      </c>
      <c r="B321" s="6" t="str">
        <f>"30482021060208301170850"</f>
        <v>30482021060208301170850</v>
      </c>
      <c r="C321" s="6" t="s">
        <v>1576</v>
      </c>
      <c r="D321" s="6" t="str">
        <f>"肖选南"</f>
        <v>肖选南</v>
      </c>
      <c r="E321" s="6" t="str">
        <f t="shared" si="29"/>
        <v>女</v>
      </c>
      <c r="F321" s="7" t="s">
        <v>1273</v>
      </c>
    </row>
    <row r="322" spans="1:6" ht="20.100000000000001" customHeight="1" x14ac:dyDescent="0.15">
      <c r="A322" s="5">
        <v>319</v>
      </c>
      <c r="B322" s="6" t="str">
        <f>"30482021060208312170858"</f>
        <v>30482021060208312170858</v>
      </c>
      <c r="C322" s="6" t="s">
        <v>1576</v>
      </c>
      <c r="D322" s="6" t="str">
        <f>"潘冬蓉"</f>
        <v>潘冬蓉</v>
      </c>
      <c r="E322" s="6" t="str">
        <f t="shared" si="29"/>
        <v>女</v>
      </c>
      <c r="F322" s="7" t="s">
        <v>614</v>
      </c>
    </row>
    <row r="323" spans="1:6" ht="20.100000000000001" customHeight="1" x14ac:dyDescent="0.15">
      <c r="A323" s="5">
        <v>320</v>
      </c>
      <c r="B323" s="6" t="str">
        <f>"30482021060208351770885"</f>
        <v>30482021060208351770885</v>
      </c>
      <c r="C323" s="6" t="s">
        <v>1576</v>
      </c>
      <c r="D323" s="6" t="str">
        <f>"王瑜"</f>
        <v>王瑜</v>
      </c>
      <c r="E323" s="6" t="str">
        <f t="shared" si="29"/>
        <v>女</v>
      </c>
      <c r="F323" s="7" t="s">
        <v>1546</v>
      </c>
    </row>
    <row r="324" spans="1:6" ht="20.100000000000001" customHeight="1" x14ac:dyDescent="0.15">
      <c r="A324" s="5">
        <v>321</v>
      </c>
      <c r="B324" s="6" t="str">
        <f>"30482021060208411370937"</f>
        <v>30482021060208411370937</v>
      </c>
      <c r="C324" s="6" t="s">
        <v>1576</v>
      </c>
      <c r="D324" s="6" t="str">
        <f>"陈鹏"</f>
        <v>陈鹏</v>
      </c>
      <c r="E324" s="6" t="str">
        <f>"男"</f>
        <v>男</v>
      </c>
      <c r="F324" s="7" t="s">
        <v>1671</v>
      </c>
    </row>
    <row r="325" spans="1:6" ht="20.100000000000001" customHeight="1" x14ac:dyDescent="0.15">
      <c r="A325" s="5">
        <v>322</v>
      </c>
      <c r="B325" s="6" t="str">
        <f>"30482021060208415470946"</f>
        <v>30482021060208415470946</v>
      </c>
      <c r="C325" s="6" t="s">
        <v>1576</v>
      </c>
      <c r="D325" s="6" t="str">
        <f>"邓景元"</f>
        <v>邓景元</v>
      </c>
      <c r="E325" s="6" t="str">
        <f t="shared" ref="E325:E336" si="30">"女"</f>
        <v>女</v>
      </c>
      <c r="F325" s="7" t="s">
        <v>1672</v>
      </c>
    </row>
    <row r="326" spans="1:6" ht="20.100000000000001" customHeight="1" x14ac:dyDescent="0.15">
      <c r="A326" s="5">
        <v>323</v>
      </c>
      <c r="B326" s="6" t="str">
        <f>"30482021060208450870973"</f>
        <v>30482021060208450870973</v>
      </c>
      <c r="C326" s="6" t="s">
        <v>1576</v>
      </c>
      <c r="D326" s="6" t="str">
        <f>"李国柳"</f>
        <v>李国柳</v>
      </c>
      <c r="E326" s="6" t="str">
        <f t="shared" si="30"/>
        <v>女</v>
      </c>
      <c r="F326" s="7" t="s">
        <v>1166</v>
      </c>
    </row>
    <row r="327" spans="1:6" ht="20.100000000000001" customHeight="1" x14ac:dyDescent="0.15">
      <c r="A327" s="5">
        <v>324</v>
      </c>
      <c r="B327" s="6" t="str">
        <f>"30482021060208451670975"</f>
        <v>30482021060208451670975</v>
      </c>
      <c r="C327" s="6" t="s">
        <v>1576</v>
      </c>
      <c r="D327" s="6" t="str">
        <f>"陈觉"</f>
        <v>陈觉</v>
      </c>
      <c r="E327" s="6" t="str">
        <f>"男"</f>
        <v>男</v>
      </c>
      <c r="F327" s="7" t="s">
        <v>1673</v>
      </c>
    </row>
    <row r="328" spans="1:6" ht="20.100000000000001" customHeight="1" x14ac:dyDescent="0.15">
      <c r="A328" s="5">
        <v>325</v>
      </c>
      <c r="B328" s="6" t="str">
        <f>"30482021060208453170979"</f>
        <v>30482021060208453170979</v>
      </c>
      <c r="C328" s="6" t="s">
        <v>1576</v>
      </c>
      <c r="D328" s="6" t="str">
        <f>"韩尚男"</f>
        <v>韩尚男</v>
      </c>
      <c r="E328" s="6" t="str">
        <f t="shared" si="30"/>
        <v>女</v>
      </c>
      <c r="F328" s="7" t="s">
        <v>38</v>
      </c>
    </row>
    <row r="329" spans="1:6" ht="20.100000000000001" customHeight="1" x14ac:dyDescent="0.15">
      <c r="A329" s="5">
        <v>326</v>
      </c>
      <c r="B329" s="6" t="str">
        <f>"30482021060208454770981"</f>
        <v>30482021060208454770981</v>
      </c>
      <c r="C329" s="6" t="s">
        <v>1576</v>
      </c>
      <c r="D329" s="6" t="str">
        <f>"符岐花"</f>
        <v>符岐花</v>
      </c>
      <c r="E329" s="6" t="str">
        <f t="shared" si="30"/>
        <v>女</v>
      </c>
      <c r="F329" s="7" t="s">
        <v>1674</v>
      </c>
    </row>
    <row r="330" spans="1:6" ht="20.100000000000001" customHeight="1" x14ac:dyDescent="0.15">
      <c r="A330" s="5">
        <v>327</v>
      </c>
      <c r="B330" s="6" t="str">
        <f>"30482021060208492571010"</f>
        <v>30482021060208492571010</v>
      </c>
      <c r="C330" s="6" t="s">
        <v>1576</v>
      </c>
      <c r="D330" s="6" t="str">
        <f>"吴秋云"</f>
        <v>吴秋云</v>
      </c>
      <c r="E330" s="6" t="str">
        <f t="shared" si="30"/>
        <v>女</v>
      </c>
      <c r="F330" s="7" t="s">
        <v>31</v>
      </c>
    </row>
    <row r="331" spans="1:6" ht="20.100000000000001" customHeight="1" x14ac:dyDescent="0.15">
      <c r="A331" s="5">
        <v>328</v>
      </c>
      <c r="B331" s="6" t="str">
        <f>"30482021060208522371043"</f>
        <v>30482021060208522371043</v>
      </c>
      <c r="C331" s="6" t="s">
        <v>1576</v>
      </c>
      <c r="D331" s="6" t="str">
        <f>"陈莹欣"</f>
        <v>陈莹欣</v>
      </c>
      <c r="E331" s="6" t="str">
        <f t="shared" si="30"/>
        <v>女</v>
      </c>
      <c r="F331" s="7" t="s">
        <v>1510</v>
      </c>
    </row>
    <row r="332" spans="1:6" ht="20.100000000000001" customHeight="1" x14ac:dyDescent="0.15">
      <c r="A332" s="5">
        <v>329</v>
      </c>
      <c r="B332" s="6" t="str">
        <f>"30482021060208533671055"</f>
        <v>30482021060208533671055</v>
      </c>
      <c r="C332" s="6" t="s">
        <v>1576</v>
      </c>
      <c r="D332" s="6" t="str">
        <f>"黄彩云"</f>
        <v>黄彩云</v>
      </c>
      <c r="E332" s="6" t="str">
        <f t="shared" si="30"/>
        <v>女</v>
      </c>
      <c r="F332" s="7" t="s">
        <v>14</v>
      </c>
    </row>
    <row r="333" spans="1:6" ht="20.100000000000001" customHeight="1" x14ac:dyDescent="0.15">
      <c r="A333" s="5">
        <v>330</v>
      </c>
      <c r="B333" s="6" t="str">
        <f>"30482021060208562271083"</f>
        <v>30482021060208562271083</v>
      </c>
      <c r="C333" s="6" t="s">
        <v>1576</v>
      </c>
      <c r="D333" s="6" t="str">
        <f>"黄慧"</f>
        <v>黄慧</v>
      </c>
      <c r="E333" s="6" t="str">
        <f t="shared" si="30"/>
        <v>女</v>
      </c>
      <c r="F333" s="7" t="s">
        <v>1213</v>
      </c>
    </row>
    <row r="334" spans="1:6" ht="20.100000000000001" customHeight="1" x14ac:dyDescent="0.15">
      <c r="A334" s="5">
        <v>331</v>
      </c>
      <c r="B334" s="6" t="str">
        <f>"30482021060208570371087"</f>
        <v>30482021060208570371087</v>
      </c>
      <c r="C334" s="6" t="s">
        <v>1576</v>
      </c>
      <c r="D334" s="6" t="str">
        <f>"符丹妮"</f>
        <v>符丹妮</v>
      </c>
      <c r="E334" s="6" t="str">
        <f t="shared" si="30"/>
        <v>女</v>
      </c>
      <c r="F334" s="7" t="s">
        <v>243</v>
      </c>
    </row>
    <row r="335" spans="1:6" ht="20.100000000000001" customHeight="1" x14ac:dyDescent="0.15">
      <c r="A335" s="5">
        <v>332</v>
      </c>
      <c r="B335" s="6" t="str">
        <f>"30482021060208575671091"</f>
        <v>30482021060208575671091</v>
      </c>
      <c r="C335" s="6" t="s">
        <v>1576</v>
      </c>
      <c r="D335" s="6" t="str">
        <f>"陈宏莲"</f>
        <v>陈宏莲</v>
      </c>
      <c r="E335" s="6" t="str">
        <f t="shared" si="30"/>
        <v>女</v>
      </c>
      <c r="F335" s="7" t="s">
        <v>983</v>
      </c>
    </row>
    <row r="336" spans="1:6" ht="20.100000000000001" customHeight="1" x14ac:dyDescent="0.15">
      <c r="A336" s="5">
        <v>333</v>
      </c>
      <c r="B336" s="6" t="str">
        <f>"30482021060209030671149"</f>
        <v>30482021060209030671149</v>
      </c>
      <c r="C336" s="6" t="s">
        <v>1576</v>
      </c>
      <c r="D336" s="6" t="str">
        <f>"符凤香"</f>
        <v>符凤香</v>
      </c>
      <c r="E336" s="6" t="str">
        <f t="shared" si="30"/>
        <v>女</v>
      </c>
      <c r="F336" s="7" t="s">
        <v>30</v>
      </c>
    </row>
    <row r="337" spans="1:6" ht="20.100000000000001" customHeight="1" x14ac:dyDescent="0.15">
      <c r="A337" s="5">
        <v>334</v>
      </c>
      <c r="B337" s="6" t="str">
        <f>"30482021060209091271226"</f>
        <v>30482021060209091271226</v>
      </c>
      <c r="C337" s="6" t="s">
        <v>1576</v>
      </c>
      <c r="D337" s="6" t="str">
        <f>"王坤"</f>
        <v>王坤</v>
      </c>
      <c r="E337" s="6" t="str">
        <f>"男"</f>
        <v>男</v>
      </c>
      <c r="F337" s="7" t="s">
        <v>1675</v>
      </c>
    </row>
    <row r="338" spans="1:6" ht="20.100000000000001" customHeight="1" x14ac:dyDescent="0.15">
      <c r="A338" s="5">
        <v>335</v>
      </c>
      <c r="B338" s="6" t="str">
        <f>"30482021060209101471237"</f>
        <v>30482021060209101471237</v>
      </c>
      <c r="C338" s="6" t="s">
        <v>1576</v>
      </c>
      <c r="D338" s="6" t="str">
        <f>"王靖怡"</f>
        <v>王靖怡</v>
      </c>
      <c r="E338" s="6" t="str">
        <f t="shared" ref="E338:E350" si="31">"女"</f>
        <v>女</v>
      </c>
      <c r="F338" s="7" t="s">
        <v>1313</v>
      </c>
    </row>
    <row r="339" spans="1:6" ht="20.100000000000001" customHeight="1" x14ac:dyDescent="0.15">
      <c r="A339" s="5">
        <v>336</v>
      </c>
      <c r="B339" s="6" t="str">
        <f>"30482021060209155071291"</f>
        <v>30482021060209155071291</v>
      </c>
      <c r="C339" s="6" t="s">
        <v>1576</v>
      </c>
      <c r="D339" s="6" t="str">
        <f>"吴梦艳"</f>
        <v>吴梦艳</v>
      </c>
      <c r="E339" s="6" t="str">
        <f t="shared" si="31"/>
        <v>女</v>
      </c>
      <c r="F339" s="7" t="s">
        <v>431</v>
      </c>
    </row>
    <row r="340" spans="1:6" ht="20.100000000000001" customHeight="1" x14ac:dyDescent="0.15">
      <c r="A340" s="5">
        <v>337</v>
      </c>
      <c r="B340" s="6" t="str">
        <f>"30482021060209164471298"</f>
        <v>30482021060209164471298</v>
      </c>
      <c r="C340" s="6" t="s">
        <v>1576</v>
      </c>
      <c r="D340" s="6" t="str">
        <f>"李家凤"</f>
        <v>李家凤</v>
      </c>
      <c r="E340" s="6" t="str">
        <f t="shared" si="31"/>
        <v>女</v>
      </c>
      <c r="F340" s="7" t="s">
        <v>1151</v>
      </c>
    </row>
    <row r="341" spans="1:6" ht="20.100000000000001" customHeight="1" x14ac:dyDescent="0.15">
      <c r="A341" s="5">
        <v>338</v>
      </c>
      <c r="B341" s="6" t="str">
        <f>"30482021060209182371314"</f>
        <v>30482021060209182371314</v>
      </c>
      <c r="C341" s="6" t="s">
        <v>1576</v>
      </c>
      <c r="D341" s="6" t="str">
        <f>"胡雅莉"</f>
        <v>胡雅莉</v>
      </c>
      <c r="E341" s="6" t="str">
        <f t="shared" si="31"/>
        <v>女</v>
      </c>
      <c r="F341" s="7" t="s">
        <v>1676</v>
      </c>
    </row>
    <row r="342" spans="1:6" ht="20.100000000000001" customHeight="1" x14ac:dyDescent="0.15">
      <c r="A342" s="5">
        <v>339</v>
      </c>
      <c r="B342" s="6" t="str">
        <f>"30482021060209194771329"</f>
        <v>30482021060209194771329</v>
      </c>
      <c r="C342" s="6" t="s">
        <v>1576</v>
      </c>
      <c r="D342" s="6" t="str">
        <f>"麦苗"</f>
        <v>麦苗</v>
      </c>
      <c r="E342" s="6" t="str">
        <f t="shared" si="31"/>
        <v>女</v>
      </c>
      <c r="F342" s="7" t="s">
        <v>791</v>
      </c>
    </row>
    <row r="343" spans="1:6" ht="20.100000000000001" customHeight="1" x14ac:dyDescent="0.15">
      <c r="A343" s="5">
        <v>340</v>
      </c>
      <c r="B343" s="6" t="str">
        <f>"30482021060209212471346"</f>
        <v>30482021060209212471346</v>
      </c>
      <c r="C343" s="6" t="s">
        <v>1576</v>
      </c>
      <c r="D343" s="6" t="str">
        <f>"王晓颖"</f>
        <v>王晓颖</v>
      </c>
      <c r="E343" s="6" t="str">
        <f t="shared" si="31"/>
        <v>女</v>
      </c>
      <c r="F343" s="7" t="s">
        <v>1003</v>
      </c>
    </row>
    <row r="344" spans="1:6" ht="20.100000000000001" customHeight="1" x14ac:dyDescent="0.15">
      <c r="A344" s="5">
        <v>341</v>
      </c>
      <c r="B344" s="6" t="str">
        <f>"30482021060209254971389"</f>
        <v>30482021060209254971389</v>
      </c>
      <c r="C344" s="6" t="s">
        <v>1576</v>
      </c>
      <c r="D344" s="6" t="str">
        <f>"许秋香"</f>
        <v>许秋香</v>
      </c>
      <c r="E344" s="6" t="str">
        <f t="shared" si="31"/>
        <v>女</v>
      </c>
      <c r="F344" s="7" t="s">
        <v>1677</v>
      </c>
    </row>
    <row r="345" spans="1:6" ht="20.100000000000001" customHeight="1" x14ac:dyDescent="0.15">
      <c r="A345" s="5">
        <v>342</v>
      </c>
      <c r="B345" s="6" t="str">
        <f>"30482021060209262871396"</f>
        <v>30482021060209262871396</v>
      </c>
      <c r="C345" s="6" t="s">
        <v>1576</v>
      </c>
      <c r="D345" s="6" t="str">
        <f>"傅海星"</f>
        <v>傅海星</v>
      </c>
      <c r="E345" s="6" t="str">
        <f t="shared" si="31"/>
        <v>女</v>
      </c>
      <c r="F345" s="7" t="s">
        <v>1544</v>
      </c>
    </row>
    <row r="346" spans="1:6" ht="20.100000000000001" customHeight="1" x14ac:dyDescent="0.15">
      <c r="A346" s="5">
        <v>343</v>
      </c>
      <c r="B346" s="6" t="str">
        <f>"30482021060209265471406"</f>
        <v>30482021060209265471406</v>
      </c>
      <c r="C346" s="6" t="s">
        <v>1576</v>
      </c>
      <c r="D346" s="6" t="str">
        <f>"周水连"</f>
        <v>周水连</v>
      </c>
      <c r="E346" s="6" t="str">
        <f t="shared" si="31"/>
        <v>女</v>
      </c>
      <c r="F346" s="7" t="s">
        <v>594</v>
      </c>
    </row>
    <row r="347" spans="1:6" ht="20.100000000000001" customHeight="1" x14ac:dyDescent="0.15">
      <c r="A347" s="5">
        <v>344</v>
      </c>
      <c r="B347" s="6" t="str">
        <f>"30482021060209314471473"</f>
        <v>30482021060209314471473</v>
      </c>
      <c r="C347" s="6" t="s">
        <v>1576</v>
      </c>
      <c r="D347" s="6" t="str">
        <f>"朱艳妍"</f>
        <v>朱艳妍</v>
      </c>
      <c r="E347" s="6" t="str">
        <f t="shared" si="31"/>
        <v>女</v>
      </c>
      <c r="F347" s="7" t="s">
        <v>37</v>
      </c>
    </row>
    <row r="348" spans="1:6" ht="20.100000000000001" customHeight="1" x14ac:dyDescent="0.15">
      <c r="A348" s="5">
        <v>345</v>
      </c>
      <c r="B348" s="6" t="str">
        <f>"30482021060209323271482"</f>
        <v>30482021060209323271482</v>
      </c>
      <c r="C348" s="6" t="s">
        <v>1576</v>
      </c>
      <c r="D348" s="6" t="str">
        <f>"林福爽"</f>
        <v>林福爽</v>
      </c>
      <c r="E348" s="6" t="str">
        <f t="shared" si="31"/>
        <v>女</v>
      </c>
      <c r="F348" s="7" t="s">
        <v>1192</v>
      </c>
    </row>
    <row r="349" spans="1:6" ht="20.100000000000001" customHeight="1" x14ac:dyDescent="0.15">
      <c r="A349" s="5">
        <v>346</v>
      </c>
      <c r="B349" s="6" t="str">
        <f>"30482021060209325171489"</f>
        <v>30482021060209325171489</v>
      </c>
      <c r="C349" s="6" t="s">
        <v>1576</v>
      </c>
      <c r="D349" s="6" t="str">
        <f>"罗明玲"</f>
        <v>罗明玲</v>
      </c>
      <c r="E349" s="6" t="str">
        <f t="shared" si="31"/>
        <v>女</v>
      </c>
      <c r="F349" s="7" t="s">
        <v>1453</v>
      </c>
    </row>
    <row r="350" spans="1:6" ht="20.100000000000001" customHeight="1" x14ac:dyDescent="0.15">
      <c r="A350" s="5">
        <v>347</v>
      </c>
      <c r="B350" s="6" t="str">
        <f>"30482021060209371471550"</f>
        <v>30482021060209371471550</v>
      </c>
      <c r="C350" s="6" t="s">
        <v>1576</v>
      </c>
      <c r="D350" s="6" t="str">
        <f>"王妍"</f>
        <v>王妍</v>
      </c>
      <c r="E350" s="6" t="str">
        <f t="shared" si="31"/>
        <v>女</v>
      </c>
      <c r="F350" s="7" t="s">
        <v>1102</v>
      </c>
    </row>
    <row r="351" spans="1:6" ht="20.100000000000001" customHeight="1" x14ac:dyDescent="0.15">
      <c r="A351" s="5">
        <v>348</v>
      </c>
      <c r="B351" s="6" t="str">
        <f>"30482021060209395471585"</f>
        <v>30482021060209395471585</v>
      </c>
      <c r="C351" s="6" t="s">
        <v>1576</v>
      </c>
      <c r="D351" s="6" t="str">
        <f>"周林邦"</f>
        <v>周林邦</v>
      </c>
      <c r="E351" s="6" t="str">
        <f>"男"</f>
        <v>男</v>
      </c>
      <c r="F351" s="7" t="s">
        <v>1678</v>
      </c>
    </row>
    <row r="352" spans="1:6" ht="20.100000000000001" customHeight="1" x14ac:dyDescent="0.15">
      <c r="A352" s="5">
        <v>349</v>
      </c>
      <c r="B352" s="6" t="str">
        <f>"30482021060209423771622"</f>
        <v>30482021060209423771622</v>
      </c>
      <c r="C352" s="6" t="s">
        <v>1576</v>
      </c>
      <c r="D352" s="6" t="str">
        <f>"蔡丽娟"</f>
        <v>蔡丽娟</v>
      </c>
      <c r="E352" s="6" t="str">
        <f t="shared" ref="E352:E355" si="32">"女"</f>
        <v>女</v>
      </c>
      <c r="F352" s="7" t="s">
        <v>1679</v>
      </c>
    </row>
    <row r="353" spans="1:6" ht="20.100000000000001" customHeight="1" x14ac:dyDescent="0.15">
      <c r="A353" s="5">
        <v>350</v>
      </c>
      <c r="B353" s="6" t="str">
        <f>"30482021060209430371628"</f>
        <v>30482021060209430371628</v>
      </c>
      <c r="C353" s="6" t="s">
        <v>1576</v>
      </c>
      <c r="D353" s="6" t="str">
        <f>"陈鸿妹 "</f>
        <v xml:space="preserve">陈鸿妹 </v>
      </c>
      <c r="E353" s="6" t="str">
        <f t="shared" si="32"/>
        <v>女</v>
      </c>
      <c r="F353" s="7" t="s">
        <v>1680</v>
      </c>
    </row>
    <row r="354" spans="1:6" ht="20.100000000000001" customHeight="1" x14ac:dyDescent="0.15">
      <c r="A354" s="5">
        <v>351</v>
      </c>
      <c r="B354" s="6" t="str">
        <f>"30482021060209451371664"</f>
        <v>30482021060209451371664</v>
      </c>
      <c r="C354" s="6" t="s">
        <v>1576</v>
      </c>
      <c r="D354" s="6" t="str">
        <f>"刘冬梅"</f>
        <v>刘冬梅</v>
      </c>
      <c r="E354" s="6" t="str">
        <f t="shared" si="32"/>
        <v>女</v>
      </c>
      <c r="F354" s="7" t="s">
        <v>1681</v>
      </c>
    </row>
    <row r="355" spans="1:6" ht="20.100000000000001" customHeight="1" x14ac:dyDescent="0.15">
      <c r="A355" s="5">
        <v>352</v>
      </c>
      <c r="B355" s="6" t="str">
        <f>"30482021060209451771666"</f>
        <v>30482021060209451771666</v>
      </c>
      <c r="C355" s="6" t="s">
        <v>1576</v>
      </c>
      <c r="D355" s="6" t="str">
        <f>"廖婷婷"</f>
        <v>廖婷婷</v>
      </c>
      <c r="E355" s="6" t="str">
        <f t="shared" si="32"/>
        <v>女</v>
      </c>
      <c r="F355" s="7" t="s">
        <v>688</v>
      </c>
    </row>
    <row r="356" spans="1:6" ht="20.100000000000001" customHeight="1" x14ac:dyDescent="0.15">
      <c r="A356" s="5">
        <v>353</v>
      </c>
      <c r="B356" s="6" t="str">
        <f>"30482021060209452371669"</f>
        <v>30482021060209452371669</v>
      </c>
      <c r="C356" s="6" t="s">
        <v>1576</v>
      </c>
      <c r="D356" s="6" t="str">
        <f>"林诗桂"</f>
        <v>林诗桂</v>
      </c>
      <c r="E356" s="6" t="str">
        <f t="shared" ref="E356:E361" si="33">"男"</f>
        <v>男</v>
      </c>
      <c r="F356" s="7" t="s">
        <v>1682</v>
      </c>
    </row>
    <row r="357" spans="1:6" ht="20.100000000000001" customHeight="1" x14ac:dyDescent="0.15">
      <c r="A357" s="5">
        <v>354</v>
      </c>
      <c r="B357" s="6" t="str">
        <f>"30482021060209462671683"</f>
        <v>30482021060209462671683</v>
      </c>
      <c r="C357" s="6" t="s">
        <v>1576</v>
      </c>
      <c r="D357" s="6" t="str">
        <f>"符秋丽"</f>
        <v>符秋丽</v>
      </c>
      <c r="E357" s="6" t="str">
        <f t="shared" ref="E357:E359" si="34">"女"</f>
        <v>女</v>
      </c>
      <c r="F357" s="7" t="s">
        <v>1683</v>
      </c>
    </row>
    <row r="358" spans="1:6" ht="20.100000000000001" customHeight="1" x14ac:dyDescent="0.15">
      <c r="A358" s="5">
        <v>355</v>
      </c>
      <c r="B358" s="6" t="str">
        <f>"30482021060209504271741"</f>
        <v>30482021060209504271741</v>
      </c>
      <c r="C358" s="6" t="s">
        <v>1576</v>
      </c>
      <c r="D358" s="6" t="str">
        <f>"庞美娇"</f>
        <v>庞美娇</v>
      </c>
      <c r="E358" s="6" t="str">
        <f t="shared" si="34"/>
        <v>女</v>
      </c>
      <c r="F358" s="7" t="s">
        <v>409</v>
      </c>
    </row>
    <row r="359" spans="1:6" ht="20.100000000000001" customHeight="1" x14ac:dyDescent="0.15">
      <c r="A359" s="5">
        <v>356</v>
      </c>
      <c r="B359" s="6" t="str">
        <f>"30482021060209510971750"</f>
        <v>30482021060209510971750</v>
      </c>
      <c r="C359" s="6" t="s">
        <v>1576</v>
      </c>
      <c r="D359" s="6" t="str">
        <f>"黄艳艳"</f>
        <v>黄艳艳</v>
      </c>
      <c r="E359" s="6" t="str">
        <f t="shared" si="34"/>
        <v>女</v>
      </c>
      <c r="F359" s="7" t="s">
        <v>533</v>
      </c>
    </row>
    <row r="360" spans="1:6" ht="20.100000000000001" customHeight="1" x14ac:dyDescent="0.15">
      <c r="A360" s="5">
        <v>357</v>
      </c>
      <c r="B360" s="6" t="str">
        <f>"30482021060209532871779"</f>
        <v>30482021060209532871779</v>
      </c>
      <c r="C360" s="6" t="s">
        <v>1576</v>
      </c>
      <c r="D360" s="6" t="str">
        <f>"柳重春"</f>
        <v>柳重春</v>
      </c>
      <c r="E360" s="6" t="str">
        <f t="shared" si="33"/>
        <v>男</v>
      </c>
      <c r="F360" s="7" t="s">
        <v>1684</v>
      </c>
    </row>
    <row r="361" spans="1:6" ht="20.100000000000001" customHeight="1" x14ac:dyDescent="0.15">
      <c r="A361" s="5">
        <v>358</v>
      </c>
      <c r="B361" s="6" t="str">
        <f>"30482021060209533971782"</f>
        <v>30482021060209533971782</v>
      </c>
      <c r="C361" s="6" t="s">
        <v>1576</v>
      </c>
      <c r="D361" s="6" t="str">
        <f>"周才裕"</f>
        <v>周才裕</v>
      </c>
      <c r="E361" s="6" t="str">
        <f t="shared" si="33"/>
        <v>男</v>
      </c>
      <c r="F361" s="7" t="s">
        <v>447</v>
      </c>
    </row>
    <row r="362" spans="1:6" ht="20.100000000000001" customHeight="1" x14ac:dyDescent="0.15">
      <c r="A362" s="5">
        <v>359</v>
      </c>
      <c r="B362" s="6" t="str">
        <f>"30482021060209550871798"</f>
        <v>30482021060209550871798</v>
      </c>
      <c r="C362" s="6" t="s">
        <v>1576</v>
      </c>
      <c r="D362" s="6" t="str">
        <f>"邢玉丽"</f>
        <v>邢玉丽</v>
      </c>
      <c r="E362" s="6" t="str">
        <f t="shared" ref="E362:E380" si="35">"女"</f>
        <v>女</v>
      </c>
      <c r="F362" s="7" t="s">
        <v>665</v>
      </c>
    </row>
    <row r="363" spans="1:6" ht="20.100000000000001" customHeight="1" x14ac:dyDescent="0.15">
      <c r="A363" s="5">
        <v>360</v>
      </c>
      <c r="B363" s="6" t="str">
        <f>"30482021060209585671840"</f>
        <v>30482021060209585671840</v>
      </c>
      <c r="C363" s="6" t="s">
        <v>1576</v>
      </c>
      <c r="D363" s="6" t="str">
        <f>"符燕玲"</f>
        <v>符燕玲</v>
      </c>
      <c r="E363" s="6" t="str">
        <f t="shared" si="35"/>
        <v>女</v>
      </c>
      <c r="F363" s="7" t="s">
        <v>750</v>
      </c>
    </row>
    <row r="364" spans="1:6" ht="20.100000000000001" customHeight="1" x14ac:dyDescent="0.15">
      <c r="A364" s="5">
        <v>361</v>
      </c>
      <c r="B364" s="6" t="str">
        <f>"30482021060210005471863"</f>
        <v>30482021060210005471863</v>
      </c>
      <c r="C364" s="6" t="s">
        <v>1576</v>
      </c>
      <c r="D364" s="6" t="str">
        <f>"黄潘蝶"</f>
        <v>黄潘蝶</v>
      </c>
      <c r="E364" s="6" t="str">
        <f t="shared" si="35"/>
        <v>女</v>
      </c>
      <c r="F364" s="7" t="s">
        <v>656</v>
      </c>
    </row>
    <row r="365" spans="1:6" ht="20.100000000000001" customHeight="1" x14ac:dyDescent="0.15">
      <c r="A365" s="5">
        <v>362</v>
      </c>
      <c r="B365" s="6" t="str">
        <f>"30482021060210005471864"</f>
        <v>30482021060210005471864</v>
      </c>
      <c r="C365" s="6" t="s">
        <v>1576</v>
      </c>
      <c r="D365" s="6" t="str">
        <f>"陈少媚"</f>
        <v>陈少媚</v>
      </c>
      <c r="E365" s="6" t="str">
        <f t="shared" si="35"/>
        <v>女</v>
      </c>
      <c r="F365" s="7" t="s">
        <v>409</v>
      </c>
    </row>
    <row r="366" spans="1:6" ht="20.100000000000001" customHeight="1" x14ac:dyDescent="0.15">
      <c r="A366" s="5">
        <v>363</v>
      </c>
      <c r="B366" s="6" t="str">
        <f>"30482021060210105771995"</f>
        <v>30482021060210105771995</v>
      </c>
      <c r="C366" s="6" t="s">
        <v>1576</v>
      </c>
      <c r="D366" s="6" t="str">
        <f>"王茹意"</f>
        <v>王茹意</v>
      </c>
      <c r="E366" s="6" t="str">
        <f t="shared" si="35"/>
        <v>女</v>
      </c>
      <c r="F366" s="7" t="s">
        <v>737</v>
      </c>
    </row>
    <row r="367" spans="1:6" ht="20.100000000000001" customHeight="1" x14ac:dyDescent="0.15">
      <c r="A367" s="5">
        <v>364</v>
      </c>
      <c r="B367" s="6" t="str">
        <f>"30482021060210105871996"</f>
        <v>30482021060210105871996</v>
      </c>
      <c r="C367" s="6" t="s">
        <v>1576</v>
      </c>
      <c r="D367" s="6" t="str">
        <f>"魏玉"</f>
        <v>魏玉</v>
      </c>
      <c r="E367" s="6" t="str">
        <f t="shared" si="35"/>
        <v>女</v>
      </c>
      <c r="F367" s="7" t="s">
        <v>1685</v>
      </c>
    </row>
    <row r="368" spans="1:6" ht="20.100000000000001" customHeight="1" x14ac:dyDescent="0.15">
      <c r="A368" s="5">
        <v>365</v>
      </c>
      <c r="B368" s="6" t="str">
        <f>"30482021060210154472067"</f>
        <v>30482021060210154472067</v>
      </c>
      <c r="C368" s="6" t="s">
        <v>1576</v>
      </c>
      <c r="D368" s="6" t="str">
        <f>"吴艳恒"</f>
        <v>吴艳恒</v>
      </c>
      <c r="E368" s="6" t="str">
        <f t="shared" si="35"/>
        <v>女</v>
      </c>
      <c r="F368" s="7" t="s">
        <v>1134</v>
      </c>
    </row>
    <row r="369" spans="1:6" ht="20.100000000000001" customHeight="1" x14ac:dyDescent="0.15">
      <c r="A369" s="5">
        <v>366</v>
      </c>
      <c r="B369" s="6" t="str">
        <f>"30482021060210163772084"</f>
        <v>30482021060210163772084</v>
      </c>
      <c r="C369" s="6" t="s">
        <v>1576</v>
      </c>
      <c r="D369" s="6" t="str">
        <f>"万火玉"</f>
        <v>万火玉</v>
      </c>
      <c r="E369" s="6" t="str">
        <f t="shared" si="35"/>
        <v>女</v>
      </c>
      <c r="F369" s="7" t="s">
        <v>1422</v>
      </c>
    </row>
    <row r="370" spans="1:6" ht="20.100000000000001" customHeight="1" x14ac:dyDescent="0.15">
      <c r="A370" s="5">
        <v>367</v>
      </c>
      <c r="B370" s="6" t="str">
        <f>"30482021060210164572088"</f>
        <v>30482021060210164572088</v>
      </c>
      <c r="C370" s="6" t="s">
        <v>1576</v>
      </c>
      <c r="D370" s="6" t="str">
        <f>"周吉春"</f>
        <v>周吉春</v>
      </c>
      <c r="E370" s="6" t="str">
        <f t="shared" si="35"/>
        <v>女</v>
      </c>
      <c r="F370" s="7" t="s">
        <v>883</v>
      </c>
    </row>
    <row r="371" spans="1:6" ht="20.100000000000001" customHeight="1" x14ac:dyDescent="0.15">
      <c r="A371" s="5">
        <v>368</v>
      </c>
      <c r="B371" s="6" t="str">
        <f>"30482021060210170072090"</f>
        <v>30482021060210170072090</v>
      </c>
      <c r="C371" s="6" t="s">
        <v>1576</v>
      </c>
      <c r="D371" s="6" t="str">
        <f>"李琴"</f>
        <v>李琴</v>
      </c>
      <c r="E371" s="6" t="str">
        <f t="shared" si="35"/>
        <v>女</v>
      </c>
      <c r="F371" s="7" t="s">
        <v>1571</v>
      </c>
    </row>
    <row r="372" spans="1:6" ht="20.100000000000001" customHeight="1" x14ac:dyDescent="0.15">
      <c r="A372" s="5">
        <v>369</v>
      </c>
      <c r="B372" s="6" t="str">
        <f>"30482021060210192372118"</f>
        <v>30482021060210192372118</v>
      </c>
      <c r="C372" s="6" t="s">
        <v>1576</v>
      </c>
      <c r="D372" s="6" t="str">
        <f>"冯红娜"</f>
        <v>冯红娜</v>
      </c>
      <c r="E372" s="6" t="str">
        <f t="shared" si="35"/>
        <v>女</v>
      </c>
      <c r="F372" s="7" t="s">
        <v>938</v>
      </c>
    </row>
    <row r="373" spans="1:6" ht="20.100000000000001" customHeight="1" x14ac:dyDescent="0.15">
      <c r="A373" s="5">
        <v>370</v>
      </c>
      <c r="B373" s="6" t="str">
        <f>"30482021060210201872129"</f>
        <v>30482021060210201872129</v>
      </c>
      <c r="C373" s="6" t="s">
        <v>1576</v>
      </c>
      <c r="D373" s="6" t="str">
        <f>"吴雯雯"</f>
        <v>吴雯雯</v>
      </c>
      <c r="E373" s="6" t="str">
        <f t="shared" si="35"/>
        <v>女</v>
      </c>
      <c r="F373" s="7" t="s">
        <v>483</v>
      </c>
    </row>
    <row r="374" spans="1:6" ht="20.100000000000001" customHeight="1" x14ac:dyDescent="0.15">
      <c r="A374" s="5">
        <v>371</v>
      </c>
      <c r="B374" s="6" t="str">
        <f>"30482021060210202672132"</f>
        <v>30482021060210202672132</v>
      </c>
      <c r="C374" s="6" t="s">
        <v>1576</v>
      </c>
      <c r="D374" s="6" t="str">
        <f>"吴春萍"</f>
        <v>吴春萍</v>
      </c>
      <c r="E374" s="6" t="str">
        <f t="shared" si="35"/>
        <v>女</v>
      </c>
      <c r="F374" s="7" t="s">
        <v>1599</v>
      </c>
    </row>
    <row r="375" spans="1:6" ht="20.100000000000001" customHeight="1" x14ac:dyDescent="0.15">
      <c r="A375" s="5">
        <v>372</v>
      </c>
      <c r="B375" s="6" t="str">
        <f>"30482021060210220572153"</f>
        <v>30482021060210220572153</v>
      </c>
      <c r="C375" s="6" t="s">
        <v>1576</v>
      </c>
      <c r="D375" s="6" t="str">
        <f>"赵美琪"</f>
        <v>赵美琪</v>
      </c>
      <c r="E375" s="6" t="str">
        <f t="shared" si="35"/>
        <v>女</v>
      </c>
      <c r="F375" s="7" t="s">
        <v>727</v>
      </c>
    </row>
    <row r="376" spans="1:6" ht="20.100000000000001" customHeight="1" x14ac:dyDescent="0.15">
      <c r="A376" s="5">
        <v>373</v>
      </c>
      <c r="B376" s="6" t="str">
        <f>"30482021060210223772161"</f>
        <v>30482021060210223772161</v>
      </c>
      <c r="C376" s="6" t="s">
        <v>1576</v>
      </c>
      <c r="D376" s="6" t="str">
        <f>"符逢桃"</f>
        <v>符逢桃</v>
      </c>
      <c r="E376" s="6" t="str">
        <f t="shared" si="35"/>
        <v>女</v>
      </c>
      <c r="F376" s="7" t="s">
        <v>709</v>
      </c>
    </row>
    <row r="377" spans="1:6" ht="20.100000000000001" customHeight="1" x14ac:dyDescent="0.15">
      <c r="A377" s="5">
        <v>374</v>
      </c>
      <c r="B377" s="6" t="str">
        <f>"30482021060210225472166"</f>
        <v>30482021060210225472166</v>
      </c>
      <c r="C377" s="6" t="s">
        <v>1576</v>
      </c>
      <c r="D377" s="6" t="str">
        <f>"陆阳"</f>
        <v>陆阳</v>
      </c>
      <c r="E377" s="6" t="str">
        <f t="shared" si="35"/>
        <v>女</v>
      </c>
      <c r="F377" s="7" t="s">
        <v>399</v>
      </c>
    </row>
    <row r="378" spans="1:6" ht="20.100000000000001" customHeight="1" x14ac:dyDescent="0.15">
      <c r="A378" s="5">
        <v>375</v>
      </c>
      <c r="B378" s="6" t="str">
        <f>"30482021060210232972173"</f>
        <v>30482021060210232972173</v>
      </c>
      <c r="C378" s="6" t="s">
        <v>1576</v>
      </c>
      <c r="D378" s="6" t="str">
        <f>"王飞"</f>
        <v>王飞</v>
      </c>
      <c r="E378" s="6" t="str">
        <f t="shared" si="35"/>
        <v>女</v>
      </c>
      <c r="F378" s="7" t="s">
        <v>16</v>
      </c>
    </row>
    <row r="379" spans="1:6" ht="20.100000000000001" customHeight="1" x14ac:dyDescent="0.15">
      <c r="A379" s="5">
        <v>376</v>
      </c>
      <c r="B379" s="6" t="str">
        <f>"30482021060210255072209"</f>
        <v>30482021060210255072209</v>
      </c>
      <c r="C379" s="6" t="s">
        <v>1576</v>
      </c>
      <c r="D379" s="6" t="str">
        <f>"陈娜"</f>
        <v>陈娜</v>
      </c>
      <c r="E379" s="6" t="str">
        <f t="shared" si="35"/>
        <v>女</v>
      </c>
      <c r="F379" s="7" t="s">
        <v>372</v>
      </c>
    </row>
    <row r="380" spans="1:6" ht="20.100000000000001" customHeight="1" x14ac:dyDescent="0.15">
      <c r="A380" s="5">
        <v>377</v>
      </c>
      <c r="B380" s="6" t="str">
        <f>"30482021060210264772223"</f>
        <v>30482021060210264772223</v>
      </c>
      <c r="C380" s="6" t="s">
        <v>1576</v>
      </c>
      <c r="D380" s="6" t="str">
        <f>"符英珠"</f>
        <v>符英珠</v>
      </c>
      <c r="E380" s="6" t="str">
        <f t="shared" si="35"/>
        <v>女</v>
      </c>
      <c r="F380" s="7" t="s">
        <v>586</v>
      </c>
    </row>
    <row r="381" spans="1:6" ht="20.100000000000001" customHeight="1" x14ac:dyDescent="0.15">
      <c r="A381" s="5">
        <v>378</v>
      </c>
      <c r="B381" s="6" t="str">
        <f>"30482021060210270472227"</f>
        <v>30482021060210270472227</v>
      </c>
      <c r="C381" s="6" t="s">
        <v>1576</v>
      </c>
      <c r="D381" s="6" t="str">
        <f>"刘红晨"</f>
        <v>刘红晨</v>
      </c>
      <c r="E381" s="6" t="str">
        <f>"男"</f>
        <v>男</v>
      </c>
      <c r="F381" s="7" t="s">
        <v>1686</v>
      </c>
    </row>
    <row r="382" spans="1:6" ht="20.100000000000001" customHeight="1" x14ac:dyDescent="0.15">
      <c r="A382" s="5">
        <v>379</v>
      </c>
      <c r="B382" s="6" t="str">
        <f>"30482021060210280872247"</f>
        <v>30482021060210280872247</v>
      </c>
      <c r="C382" s="6" t="s">
        <v>1576</v>
      </c>
      <c r="D382" s="6" t="str">
        <f>"冯苗"</f>
        <v>冯苗</v>
      </c>
      <c r="E382" s="6" t="str">
        <f t="shared" ref="E382:E414" si="36">"女"</f>
        <v>女</v>
      </c>
      <c r="F382" s="7" t="s">
        <v>36</v>
      </c>
    </row>
    <row r="383" spans="1:6" ht="20.100000000000001" customHeight="1" x14ac:dyDescent="0.15">
      <c r="A383" s="5">
        <v>380</v>
      </c>
      <c r="B383" s="6" t="str">
        <f>"30482021060210390472386"</f>
        <v>30482021060210390472386</v>
      </c>
      <c r="C383" s="6" t="s">
        <v>1576</v>
      </c>
      <c r="D383" s="6" t="str">
        <f>"李秀颖"</f>
        <v>李秀颖</v>
      </c>
      <c r="E383" s="6" t="str">
        <f t="shared" si="36"/>
        <v>女</v>
      </c>
      <c r="F383" s="7" t="s">
        <v>39</v>
      </c>
    </row>
    <row r="384" spans="1:6" ht="20.100000000000001" customHeight="1" x14ac:dyDescent="0.15">
      <c r="A384" s="5">
        <v>381</v>
      </c>
      <c r="B384" s="6" t="str">
        <f>"30482021060210401172397"</f>
        <v>30482021060210401172397</v>
      </c>
      <c r="C384" s="6" t="s">
        <v>1576</v>
      </c>
      <c r="D384" s="6" t="str">
        <f>"周倩倩"</f>
        <v>周倩倩</v>
      </c>
      <c r="E384" s="6" t="str">
        <f t="shared" si="36"/>
        <v>女</v>
      </c>
      <c r="F384" s="7" t="s">
        <v>1687</v>
      </c>
    </row>
    <row r="385" spans="1:6" ht="20.100000000000001" customHeight="1" x14ac:dyDescent="0.15">
      <c r="A385" s="5">
        <v>382</v>
      </c>
      <c r="B385" s="6" t="str">
        <f>"30482021060210415572425"</f>
        <v>30482021060210415572425</v>
      </c>
      <c r="C385" s="6" t="s">
        <v>1576</v>
      </c>
      <c r="D385" s="6" t="str">
        <f>"林丹凤"</f>
        <v>林丹凤</v>
      </c>
      <c r="E385" s="6" t="str">
        <f t="shared" si="36"/>
        <v>女</v>
      </c>
      <c r="F385" s="7" t="s">
        <v>37</v>
      </c>
    </row>
    <row r="386" spans="1:6" ht="20.100000000000001" customHeight="1" x14ac:dyDescent="0.15">
      <c r="A386" s="5">
        <v>383</v>
      </c>
      <c r="B386" s="6" t="str">
        <f>"30482021060210441572460"</f>
        <v>30482021060210441572460</v>
      </c>
      <c r="C386" s="6" t="s">
        <v>1576</v>
      </c>
      <c r="D386" s="6" t="str">
        <f>"肖丁雪"</f>
        <v>肖丁雪</v>
      </c>
      <c r="E386" s="6" t="str">
        <f t="shared" si="36"/>
        <v>女</v>
      </c>
      <c r="F386" s="7" t="s">
        <v>356</v>
      </c>
    </row>
    <row r="387" spans="1:6" ht="20.100000000000001" customHeight="1" x14ac:dyDescent="0.15">
      <c r="A387" s="5">
        <v>384</v>
      </c>
      <c r="B387" s="6" t="str">
        <f>"30482021060210455072486"</f>
        <v>30482021060210455072486</v>
      </c>
      <c r="C387" s="6" t="s">
        <v>1576</v>
      </c>
      <c r="D387" s="6" t="str">
        <f>"钟瑶"</f>
        <v>钟瑶</v>
      </c>
      <c r="E387" s="6" t="str">
        <f t="shared" si="36"/>
        <v>女</v>
      </c>
      <c r="F387" s="7" t="s">
        <v>108</v>
      </c>
    </row>
    <row r="388" spans="1:6" ht="20.100000000000001" customHeight="1" x14ac:dyDescent="0.15">
      <c r="A388" s="5">
        <v>385</v>
      </c>
      <c r="B388" s="6" t="str">
        <f>"30482021060210494372538"</f>
        <v>30482021060210494372538</v>
      </c>
      <c r="C388" s="6" t="s">
        <v>1576</v>
      </c>
      <c r="D388" s="6" t="str">
        <f>"李赛男"</f>
        <v>李赛男</v>
      </c>
      <c r="E388" s="6" t="str">
        <f t="shared" si="36"/>
        <v>女</v>
      </c>
      <c r="F388" s="7" t="s">
        <v>1688</v>
      </c>
    </row>
    <row r="389" spans="1:6" ht="20.100000000000001" customHeight="1" x14ac:dyDescent="0.15">
      <c r="A389" s="5">
        <v>386</v>
      </c>
      <c r="B389" s="6" t="str">
        <f>"30482021060210524072575"</f>
        <v>30482021060210524072575</v>
      </c>
      <c r="C389" s="6" t="s">
        <v>1576</v>
      </c>
      <c r="D389" s="6" t="str">
        <f>"赖美圆"</f>
        <v>赖美圆</v>
      </c>
      <c r="E389" s="6" t="str">
        <f t="shared" si="36"/>
        <v>女</v>
      </c>
      <c r="F389" s="7" t="s">
        <v>400</v>
      </c>
    </row>
    <row r="390" spans="1:6" ht="20.100000000000001" customHeight="1" x14ac:dyDescent="0.15">
      <c r="A390" s="5">
        <v>387</v>
      </c>
      <c r="B390" s="6" t="str">
        <f>"30482021060210542872601"</f>
        <v>30482021060210542872601</v>
      </c>
      <c r="C390" s="6" t="s">
        <v>1576</v>
      </c>
      <c r="D390" s="6" t="str">
        <f>"孙婉"</f>
        <v>孙婉</v>
      </c>
      <c r="E390" s="6" t="str">
        <f t="shared" si="36"/>
        <v>女</v>
      </c>
      <c r="F390" s="7" t="s">
        <v>433</v>
      </c>
    </row>
    <row r="391" spans="1:6" ht="20.100000000000001" customHeight="1" x14ac:dyDescent="0.15">
      <c r="A391" s="5">
        <v>388</v>
      </c>
      <c r="B391" s="6" t="str">
        <f>"30482021060210563872624"</f>
        <v>30482021060210563872624</v>
      </c>
      <c r="C391" s="6" t="s">
        <v>1576</v>
      </c>
      <c r="D391" s="6" t="str">
        <f>"邢丽君"</f>
        <v>邢丽君</v>
      </c>
      <c r="E391" s="6" t="str">
        <f t="shared" si="36"/>
        <v>女</v>
      </c>
      <c r="F391" s="7" t="s">
        <v>664</v>
      </c>
    </row>
    <row r="392" spans="1:6" ht="20.100000000000001" customHeight="1" x14ac:dyDescent="0.15">
      <c r="A392" s="5">
        <v>389</v>
      </c>
      <c r="B392" s="6" t="str">
        <f>"30482021060210565872631"</f>
        <v>30482021060210565872631</v>
      </c>
      <c r="C392" s="6" t="s">
        <v>1576</v>
      </c>
      <c r="D392" s="6" t="str">
        <f>"王素洁"</f>
        <v>王素洁</v>
      </c>
      <c r="E392" s="6" t="str">
        <f t="shared" si="36"/>
        <v>女</v>
      </c>
      <c r="F392" s="7" t="s">
        <v>1168</v>
      </c>
    </row>
    <row r="393" spans="1:6" ht="20.100000000000001" customHeight="1" x14ac:dyDescent="0.15">
      <c r="A393" s="5">
        <v>390</v>
      </c>
      <c r="B393" s="6" t="str">
        <f>"30482021060211024172695"</f>
        <v>30482021060211024172695</v>
      </c>
      <c r="C393" s="6" t="s">
        <v>1576</v>
      </c>
      <c r="D393" s="6" t="str">
        <f>"王丽燕"</f>
        <v>王丽燕</v>
      </c>
      <c r="E393" s="6" t="str">
        <f t="shared" si="36"/>
        <v>女</v>
      </c>
      <c r="F393" s="7" t="s">
        <v>1565</v>
      </c>
    </row>
    <row r="394" spans="1:6" ht="20.100000000000001" customHeight="1" x14ac:dyDescent="0.15">
      <c r="A394" s="5">
        <v>391</v>
      </c>
      <c r="B394" s="6" t="str">
        <f>"30482021060211030472700"</f>
        <v>30482021060211030472700</v>
      </c>
      <c r="C394" s="6" t="s">
        <v>1576</v>
      </c>
      <c r="D394" s="6" t="str">
        <f>"蔡彩霞"</f>
        <v>蔡彩霞</v>
      </c>
      <c r="E394" s="6" t="str">
        <f t="shared" si="36"/>
        <v>女</v>
      </c>
      <c r="F394" s="7" t="s">
        <v>1689</v>
      </c>
    </row>
    <row r="395" spans="1:6" ht="20.100000000000001" customHeight="1" x14ac:dyDescent="0.15">
      <c r="A395" s="5">
        <v>392</v>
      </c>
      <c r="B395" s="6" t="str">
        <f>"30482021060211034372705"</f>
        <v>30482021060211034372705</v>
      </c>
      <c r="C395" s="6" t="s">
        <v>1576</v>
      </c>
      <c r="D395" s="6" t="str">
        <f>"龙玉艳"</f>
        <v>龙玉艳</v>
      </c>
      <c r="E395" s="6" t="str">
        <f t="shared" si="36"/>
        <v>女</v>
      </c>
      <c r="F395" s="7" t="s">
        <v>1690</v>
      </c>
    </row>
    <row r="396" spans="1:6" ht="20.100000000000001" customHeight="1" x14ac:dyDescent="0.15">
      <c r="A396" s="5">
        <v>393</v>
      </c>
      <c r="B396" s="6" t="str">
        <f>"30482021060211132372821"</f>
        <v>30482021060211132372821</v>
      </c>
      <c r="C396" s="6" t="s">
        <v>1576</v>
      </c>
      <c r="D396" s="6" t="str">
        <f>"陈虹瑾"</f>
        <v>陈虹瑾</v>
      </c>
      <c r="E396" s="6" t="str">
        <f t="shared" si="36"/>
        <v>女</v>
      </c>
      <c r="F396" s="7" t="s">
        <v>332</v>
      </c>
    </row>
    <row r="397" spans="1:6" ht="20.100000000000001" customHeight="1" x14ac:dyDescent="0.15">
      <c r="A397" s="5">
        <v>394</v>
      </c>
      <c r="B397" s="6" t="str">
        <f>"30482021060211144872839"</f>
        <v>30482021060211144872839</v>
      </c>
      <c r="C397" s="6" t="s">
        <v>1576</v>
      </c>
      <c r="D397" s="6" t="str">
        <f>"孙丽华"</f>
        <v>孙丽华</v>
      </c>
      <c r="E397" s="6" t="str">
        <f t="shared" si="36"/>
        <v>女</v>
      </c>
      <c r="F397" s="7" t="s">
        <v>191</v>
      </c>
    </row>
    <row r="398" spans="1:6" ht="20.100000000000001" customHeight="1" x14ac:dyDescent="0.15">
      <c r="A398" s="5">
        <v>395</v>
      </c>
      <c r="B398" s="6" t="str">
        <f>"30482021060211151872845"</f>
        <v>30482021060211151872845</v>
      </c>
      <c r="C398" s="6" t="s">
        <v>1576</v>
      </c>
      <c r="D398" s="6" t="str">
        <f>"邓春燕"</f>
        <v>邓春燕</v>
      </c>
      <c r="E398" s="6" t="str">
        <f t="shared" si="36"/>
        <v>女</v>
      </c>
      <c r="F398" s="7" t="s">
        <v>63</v>
      </c>
    </row>
    <row r="399" spans="1:6" ht="20.100000000000001" customHeight="1" x14ac:dyDescent="0.15">
      <c r="A399" s="5">
        <v>396</v>
      </c>
      <c r="B399" s="6" t="str">
        <f>"30482021060211165172866"</f>
        <v>30482021060211165172866</v>
      </c>
      <c r="C399" s="6" t="s">
        <v>1576</v>
      </c>
      <c r="D399" s="6" t="str">
        <f>"周美娇"</f>
        <v>周美娇</v>
      </c>
      <c r="E399" s="6" t="str">
        <f t="shared" si="36"/>
        <v>女</v>
      </c>
      <c r="F399" s="7" t="s">
        <v>1691</v>
      </c>
    </row>
    <row r="400" spans="1:6" ht="20.100000000000001" customHeight="1" x14ac:dyDescent="0.15">
      <c r="A400" s="5">
        <v>397</v>
      </c>
      <c r="B400" s="6" t="str">
        <f>"30482021060211175372874"</f>
        <v>30482021060211175372874</v>
      </c>
      <c r="C400" s="6" t="s">
        <v>1576</v>
      </c>
      <c r="D400" s="6" t="str">
        <f>"李慧"</f>
        <v>李慧</v>
      </c>
      <c r="E400" s="6" t="str">
        <f t="shared" si="36"/>
        <v>女</v>
      </c>
      <c r="F400" s="7" t="s">
        <v>1692</v>
      </c>
    </row>
    <row r="401" spans="1:6" ht="20.100000000000001" customHeight="1" x14ac:dyDescent="0.15">
      <c r="A401" s="5">
        <v>398</v>
      </c>
      <c r="B401" s="6" t="str">
        <f>"30482021060211245172949"</f>
        <v>30482021060211245172949</v>
      </c>
      <c r="C401" s="6" t="s">
        <v>1576</v>
      </c>
      <c r="D401" s="6" t="str">
        <f>"罗孔玲"</f>
        <v>罗孔玲</v>
      </c>
      <c r="E401" s="6" t="str">
        <f t="shared" si="36"/>
        <v>女</v>
      </c>
      <c r="F401" s="7" t="s">
        <v>1693</v>
      </c>
    </row>
    <row r="402" spans="1:6" ht="20.100000000000001" customHeight="1" x14ac:dyDescent="0.15">
      <c r="A402" s="5">
        <v>399</v>
      </c>
      <c r="B402" s="6" t="str">
        <f>"30482021060211264172967"</f>
        <v>30482021060211264172967</v>
      </c>
      <c r="C402" s="6" t="s">
        <v>1576</v>
      </c>
      <c r="D402" s="6" t="str">
        <f>"何雄玲"</f>
        <v>何雄玲</v>
      </c>
      <c r="E402" s="6" t="str">
        <f t="shared" si="36"/>
        <v>女</v>
      </c>
      <c r="F402" s="7" t="s">
        <v>1077</v>
      </c>
    </row>
    <row r="403" spans="1:6" ht="20.100000000000001" customHeight="1" x14ac:dyDescent="0.15">
      <c r="A403" s="5">
        <v>400</v>
      </c>
      <c r="B403" s="6" t="str">
        <f>"30482021060211282572986"</f>
        <v>30482021060211282572986</v>
      </c>
      <c r="C403" s="6" t="s">
        <v>1576</v>
      </c>
      <c r="D403" s="6" t="str">
        <f>"林玉"</f>
        <v>林玉</v>
      </c>
      <c r="E403" s="6" t="str">
        <f t="shared" si="36"/>
        <v>女</v>
      </c>
      <c r="F403" s="7" t="s">
        <v>1401</v>
      </c>
    </row>
    <row r="404" spans="1:6" ht="20.100000000000001" customHeight="1" x14ac:dyDescent="0.15">
      <c r="A404" s="5">
        <v>401</v>
      </c>
      <c r="B404" s="6" t="str">
        <f>"30482021060211301073009"</f>
        <v>30482021060211301073009</v>
      </c>
      <c r="C404" s="6" t="s">
        <v>1576</v>
      </c>
      <c r="D404" s="6" t="str">
        <f>"叶青文"</f>
        <v>叶青文</v>
      </c>
      <c r="E404" s="6" t="str">
        <f t="shared" si="36"/>
        <v>女</v>
      </c>
      <c r="F404" s="7" t="s">
        <v>118</v>
      </c>
    </row>
    <row r="405" spans="1:6" ht="20.100000000000001" customHeight="1" x14ac:dyDescent="0.15">
      <c r="A405" s="5">
        <v>402</v>
      </c>
      <c r="B405" s="6" t="str">
        <f>"30482021060211302573010"</f>
        <v>30482021060211302573010</v>
      </c>
      <c r="C405" s="6" t="s">
        <v>1576</v>
      </c>
      <c r="D405" s="6" t="str">
        <f>"张柠"</f>
        <v>张柠</v>
      </c>
      <c r="E405" s="6" t="str">
        <f t="shared" si="36"/>
        <v>女</v>
      </c>
      <c r="F405" s="7" t="s">
        <v>108</v>
      </c>
    </row>
    <row r="406" spans="1:6" ht="20.100000000000001" customHeight="1" x14ac:dyDescent="0.15">
      <c r="A406" s="5">
        <v>403</v>
      </c>
      <c r="B406" s="6" t="str">
        <f>"30482021060211333873039"</f>
        <v>30482021060211333873039</v>
      </c>
      <c r="C406" s="6" t="s">
        <v>1576</v>
      </c>
      <c r="D406" s="6" t="str">
        <f>"李秀桂"</f>
        <v>李秀桂</v>
      </c>
      <c r="E406" s="6" t="str">
        <f t="shared" si="36"/>
        <v>女</v>
      </c>
      <c r="F406" s="7" t="s">
        <v>1694</v>
      </c>
    </row>
    <row r="407" spans="1:6" ht="20.100000000000001" customHeight="1" x14ac:dyDescent="0.15">
      <c r="A407" s="5">
        <v>404</v>
      </c>
      <c r="B407" s="6" t="str">
        <f>"30482021060211375873081"</f>
        <v>30482021060211375873081</v>
      </c>
      <c r="C407" s="6" t="s">
        <v>1576</v>
      </c>
      <c r="D407" s="6" t="str">
        <f>"阮琼霞"</f>
        <v>阮琼霞</v>
      </c>
      <c r="E407" s="6" t="str">
        <f t="shared" si="36"/>
        <v>女</v>
      </c>
      <c r="F407" s="7" t="s">
        <v>44</v>
      </c>
    </row>
    <row r="408" spans="1:6" ht="20.100000000000001" customHeight="1" x14ac:dyDescent="0.15">
      <c r="A408" s="5">
        <v>405</v>
      </c>
      <c r="B408" s="6" t="str">
        <f>"30482021060211421173130"</f>
        <v>30482021060211421173130</v>
      </c>
      <c r="C408" s="6" t="s">
        <v>1576</v>
      </c>
      <c r="D408" s="6" t="str">
        <f>"罗雨"</f>
        <v>罗雨</v>
      </c>
      <c r="E408" s="6" t="str">
        <f t="shared" si="36"/>
        <v>女</v>
      </c>
      <c r="F408" s="7" t="s">
        <v>898</v>
      </c>
    </row>
    <row r="409" spans="1:6" ht="20.100000000000001" customHeight="1" x14ac:dyDescent="0.15">
      <c r="A409" s="5">
        <v>406</v>
      </c>
      <c r="B409" s="6" t="str">
        <f>"30482021060211445473161"</f>
        <v>30482021060211445473161</v>
      </c>
      <c r="C409" s="6" t="s">
        <v>1576</v>
      </c>
      <c r="D409" s="6" t="str">
        <f>"胡肖颜"</f>
        <v>胡肖颜</v>
      </c>
      <c r="E409" s="6" t="str">
        <f t="shared" si="36"/>
        <v>女</v>
      </c>
      <c r="F409" s="7" t="s">
        <v>1695</v>
      </c>
    </row>
    <row r="410" spans="1:6" ht="20.100000000000001" customHeight="1" x14ac:dyDescent="0.15">
      <c r="A410" s="5">
        <v>407</v>
      </c>
      <c r="B410" s="6" t="str">
        <f>"30482021060211450573164"</f>
        <v>30482021060211450573164</v>
      </c>
      <c r="C410" s="6" t="s">
        <v>1576</v>
      </c>
      <c r="D410" s="6" t="str">
        <f>"黄丽君"</f>
        <v>黄丽君</v>
      </c>
      <c r="E410" s="6" t="str">
        <f t="shared" si="36"/>
        <v>女</v>
      </c>
      <c r="F410" s="7" t="s">
        <v>1696</v>
      </c>
    </row>
    <row r="411" spans="1:6" ht="20.100000000000001" customHeight="1" x14ac:dyDescent="0.15">
      <c r="A411" s="5">
        <v>408</v>
      </c>
      <c r="B411" s="6" t="str">
        <f>"30482021060211473273183"</f>
        <v>30482021060211473273183</v>
      </c>
      <c r="C411" s="6" t="s">
        <v>1576</v>
      </c>
      <c r="D411" s="6" t="str">
        <f>"陈显丽"</f>
        <v>陈显丽</v>
      </c>
      <c r="E411" s="6" t="str">
        <f t="shared" si="36"/>
        <v>女</v>
      </c>
      <c r="F411" s="7" t="s">
        <v>1140</v>
      </c>
    </row>
    <row r="412" spans="1:6" ht="20.100000000000001" customHeight="1" x14ac:dyDescent="0.15">
      <c r="A412" s="5">
        <v>409</v>
      </c>
      <c r="B412" s="6" t="str">
        <f>"30482021060212040473305"</f>
        <v>30482021060212040473305</v>
      </c>
      <c r="C412" s="6" t="s">
        <v>1576</v>
      </c>
      <c r="D412" s="6" t="str">
        <f>"符秀霞"</f>
        <v>符秀霞</v>
      </c>
      <c r="E412" s="6" t="str">
        <f t="shared" si="36"/>
        <v>女</v>
      </c>
      <c r="F412" s="7" t="s">
        <v>1574</v>
      </c>
    </row>
    <row r="413" spans="1:6" ht="20.100000000000001" customHeight="1" x14ac:dyDescent="0.15">
      <c r="A413" s="5">
        <v>410</v>
      </c>
      <c r="B413" s="6" t="str">
        <f>"30482021060212060573317"</f>
        <v>30482021060212060573317</v>
      </c>
      <c r="C413" s="6" t="s">
        <v>1576</v>
      </c>
      <c r="D413" s="6" t="str">
        <f>"黄彩蝶"</f>
        <v>黄彩蝶</v>
      </c>
      <c r="E413" s="6" t="str">
        <f t="shared" si="36"/>
        <v>女</v>
      </c>
      <c r="F413" s="7" t="s">
        <v>191</v>
      </c>
    </row>
    <row r="414" spans="1:6" ht="20.100000000000001" customHeight="1" x14ac:dyDescent="0.15">
      <c r="A414" s="5">
        <v>411</v>
      </c>
      <c r="B414" s="6" t="str">
        <f>"30482021060212073673327"</f>
        <v>30482021060212073673327</v>
      </c>
      <c r="C414" s="6" t="s">
        <v>1576</v>
      </c>
      <c r="D414" s="6" t="str">
        <f>"潘诗婷"</f>
        <v>潘诗婷</v>
      </c>
      <c r="E414" s="6" t="str">
        <f t="shared" si="36"/>
        <v>女</v>
      </c>
      <c r="F414" s="7" t="s">
        <v>1193</v>
      </c>
    </row>
    <row r="415" spans="1:6" ht="20.100000000000001" customHeight="1" x14ac:dyDescent="0.15">
      <c r="A415" s="5">
        <v>412</v>
      </c>
      <c r="B415" s="6" t="str">
        <f>"30482021060212090473339"</f>
        <v>30482021060212090473339</v>
      </c>
      <c r="C415" s="6" t="s">
        <v>1576</v>
      </c>
      <c r="D415" s="6" t="str">
        <f>"王文海"</f>
        <v>王文海</v>
      </c>
      <c r="E415" s="6" t="str">
        <f>"男"</f>
        <v>男</v>
      </c>
      <c r="F415" s="7" t="s">
        <v>242</v>
      </c>
    </row>
    <row r="416" spans="1:6" ht="20.100000000000001" customHeight="1" x14ac:dyDescent="0.15">
      <c r="A416" s="5">
        <v>413</v>
      </c>
      <c r="B416" s="6" t="str">
        <f>"30482021060212115573361"</f>
        <v>30482021060212115573361</v>
      </c>
      <c r="C416" s="6" t="s">
        <v>1576</v>
      </c>
      <c r="D416" s="6" t="str">
        <f>"羊淑芳"</f>
        <v>羊淑芳</v>
      </c>
      <c r="E416" s="6" t="str">
        <f t="shared" ref="E416:E433" si="37">"女"</f>
        <v>女</v>
      </c>
      <c r="F416" s="7" t="s">
        <v>1445</v>
      </c>
    </row>
    <row r="417" spans="1:6" ht="20.100000000000001" customHeight="1" x14ac:dyDescent="0.15">
      <c r="A417" s="5">
        <v>414</v>
      </c>
      <c r="B417" s="6" t="str">
        <f>"30482021060212210073434"</f>
        <v>30482021060212210073434</v>
      </c>
      <c r="C417" s="6" t="s">
        <v>1576</v>
      </c>
      <c r="D417" s="6" t="str">
        <f>"王丹苗"</f>
        <v>王丹苗</v>
      </c>
      <c r="E417" s="6" t="str">
        <f t="shared" si="37"/>
        <v>女</v>
      </c>
      <c r="F417" s="7" t="s">
        <v>1068</v>
      </c>
    </row>
    <row r="418" spans="1:6" ht="20.100000000000001" customHeight="1" x14ac:dyDescent="0.15">
      <c r="A418" s="5">
        <v>415</v>
      </c>
      <c r="B418" s="6" t="str">
        <f>"30482021060212223573449"</f>
        <v>30482021060212223573449</v>
      </c>
      <c r="C418" s="6" t="s">
        <v>1576</v>
      </c>
      <c r="D418" s="6" t="str">
        <f>"杜少仁"</f>
        <v>杜少仁</v>
      </c>
      <c r="E418" s="6" t="str">
        <f t="shared" si="37"/>
        <v>女</v>
      </c>
      <c r="F418" s="7" t="s">
        <v>261</v>
      </c>
    </row>
    <row r="419" spans="1:6" ht="20.100000000000001" customHeight="1" x14ac:dyDescent="0.15">
      <c r="A419" s="5">
        <v>416</v>
      </c>
      <c r="B419" s="6" t="str">
        <f>"30482021060212254073473"</f>
        <v>30482021060212254073473</v>
      </c>
      <c r="C419" s="6" t="s">
        <v>1576</v>
      </c>
      <c r="D419" s="6" t="str">
        <f>"吴朝阳"</f>
        <v>吴朝阳</v>
      </c>
      <c r="E419" s="6" t="str">
        <f t="shared" si="37"/>
        <v>女</v>
      </c>
      <c r="F419" s="7" t="s">
        <v>1697</v>
      </c>
    </row>
    <row r="420" spans="1:6" ht="20.100000000000001" customHeight="1" x14ac:dyDescent="0.15">
      <c r="A420" s="5">
        <v>417</v>
      </c>
      <c r="B420" s="6" t="str">
        <f>"30482021060212325073550"</f>
        <v>30482021060212325073550</v>
      </c>
      <c r="C420" s="6" t="s">
        <v>1576</v>
      </c>
      <c r="D420" s="6" t="str">
        <f>"吴雪芬"</f>
        <v>吴雪芬</v>
      </c>
      <c r="E420" s="6" t="str">
        <f t="shared" si="37"/>
        <v>女</v>
      </c>
      <c r="F420" s="7" t="s">
        <v>962</v>
      </c>
    </row>
    <row r="421" spans="1:6" ht="20.100000000000001" customHeight="1" x14ac:dyDescent="0.15">
      <c r="A421" s="5">
        <v>418</v>
      </c>
      <c r="B421" s="6" t="str">
        <f>"30482021060212341273562"</f>
        <v>30482021060212341273562</v>
      </c>
      <c r="C421" s="6" t="s">
        <v>1576</v>
      </c>
      <c r="D421" s="6" t="str">
        <f>"陈碧玉"</f>
        <v>陈碧玉</v>
      </c>
      <c r="E421" s="6" t="str">
        <f t="shared" si="37"/>
        <v>女</v>
      </c>
      <c r="F421" s="7" t="s">
        <v>24</v>
      </c>
    </row>
    <row r="422" spans="1:6" ht="20.100000000000001" customHeight="1" x14ac:dyDescent="0.15">
      <c r="A422" s="5">
        <v>419</v>
      </c>
      <c r="B422" s="6" t="str">
        <f>"30482021060212354573580"</f>
        <v>30482021060212354573580</v>
      </c>
      <c r="C422" s="6" t="s">
        <v>1576</v>
      </c>
      <c r="D422" s="6" t="str">
        <f>"文彩艳"</f>
        <v>文彩艳</v>
      </c>
      <c r="E422" s="6" t="str">
        <f t="shared" si="37"/>
        <v>女</v>
      </c>
      <c r="F422" s="7" t="s">
        <v>1142</v>
      </c>
    </row>
    <row r="423" spans="1:6" ht="20.100000000000001" customHeight="1" x14ac:dyDescent="0.15">
      <c r="A423" s="5">
        <v>420</v>
      </c>
      <c r="B423" s="6" t="str">
        <f>"30482021060212383573608"</f>
        <v>30482021060212383573608</v>
      </c>
      <c r="C423" s="6" t="s">
        <v>1576</v>
      </c>
      <c r="D423" s="6" t="str">
        <f>"黎兰桂"</f>
        <v>黎兰桂</v>
      </c>
      <c r="E423" s="6" t="str">
        <f t="shared" si="37"/>
        <v>女</v>
      </c>
      <c r="F423" s="7" t="s">
        <v>625</v>
      </c>
    </row>
    <row r="424" spans="1:6" ht="20.100000000000001" customHeight="1" x14ac:dyDescent="0.15">
      <c r="A424" s="5">
        <v>421</v>
      </c>
      <c r="B424" s="6" t="str">
        <f>"30482021060212421173641"</f>
        <v>30482021060212421173641</v>
      </c>
      <c r="C424" s="6" t="s">
        <v>1576</v>
      </c>
      <c r="D424" s="6" t="str">
        <f>"陈孟玉"</f>
        <v>陈孟玉</v>
      </c>
      <c r="E424" s="6" t="str">
        <f t="shared" si="37"/>
        <v>女</v>
      </c>
      <c r="F424" s="7" t="s">
        <v>1142</v>
      </c>
    </row>
    <row r="425" spans="1:6" ht="20.100000000000001" customHeight="1" x14ac:dyDescent="0.15">
      <c r="A425" s="5">
        <v>422</v>
      </c>
      <c r="B425" s="6" t="str">
        <f>"30482021060212504073706"</f>
        <v>30482021060212504073706</v>
      </c>
      <c r="C425" s="6" t="s">
        <v>1576</v>
      </c>
      <c r="D425" s="6" t="str">
        <f>"袁梦杰"</f>
        <v>袁梦杰</v>
      </c>
      <c r="E425" s="6" t="str">
        <f t="shared" si="37"/>
        <v>女</v>
      </c>
      <c r="F425" s="7" t="s">
        <v>1698</v>
      </c>
    </row>
    <row r="426" spans="1:6" ht="20.100000000000001" customHeight="1" x14ac:dyDescent="0.15">
      <c r="A426" s="5">
        <v>423</v>
      </c>
      <c r="B426" s="6" t="str">
        <f>"30482021060212551273738"</f>
        <v>30482021060212551273738</v>
      </c>
      <c r="C426" s="6" t="s">
        <v>1576</v>
      </c>
      <c r="D426" s="6" t="str">
        <f>"吴贵美"</f>
        <v>吴贵美</v>
      </c>
      <c r="E426" s="6" t="str">
        <f t="shared" si="37"/>
        <v>女</v>
      </c>
      <c r="F426" s="7" t="s">
        <v>575</v>
      </c>
    </row>
    <row r="427" spans="1:6" ht="20.100000000000001" customHeight="1" x14ac:dyDescent="0.15">
      <c r="A427" s="5">
        <v>424</v>
      </c>
      <c r="B427" s="6" t="str">
        <f>"30482021060212565373748"</f>
        <v>30482021060212565373748</v>
      </c>
      <c r="C427" s="6" t="s">
        <v>1576</v>
      </c>
      <c r="D427" s="6" t="str">
        <f>"陈美希"</f>
        <v>陈美希</v>
      </c>
      <c r="E427" s="6" t="str">
        <f t="shared" si="37"/>
        <v>女</v>
      </c>
      <c r="F427" s="7" t="s">
        <v>1420</v>
      </c>
    </row>
    <row r="428" spans="1:6" ht="20.100000000000001" customHeight="1" x14ac:dyDescent="0.15">
      <c r="A428" s="5">
        <v>425</v>
      </c>
      <c r="B428" s="6" t="str">
        <f>"30482021060213004973775"</f>
        <v>30482021060213004973775</v>
      </c>
      <c r="C428" s="6" t="s">
        <v>1576</v>
      </c>
      <c r="D428" s="6" t="str">
        <f>"陈夏珍"</f>
        <v>陈夏珍</v>
      </c>
      <c r="E428" s="6" t="str">
        <f t="shared" si="37"/>
        <v>女</v>
      </c>
      <c r="F428" s="7" t="s">
        <v>1699</v>
      </c>
    </row>
    <row r="429" spans="1:6" ht="20.100000000000001" customHeight="1" x14ac:dyDescent="0.15">
      <c r="A429" s="5">
        <v>426</v>
      </c>
      <c r="B429" s="6" t="str">
        <f>"30482021060213051973817"</f>
        <v>30482021060213051973817</v>
      </c>
      <c r="C429" s="6" t="s">
        <v>1576</v>
      </c>
      <c r="D429" s="6" t="str">
        <f>"吴英艳"</f>
        <v>吴英艳</v>
      </c>
      <c r="E429" s="6" t="str">
        <f t="shared" si="37"/>
        <v>女</v>
      </c>
      <c r="F429" s="7" t="s">
        <v>1700</v>
      </c>
    </row>
    <row r="430" spans="1:6" ht="20.100000000000001" customHeight="1" x14ac:dyDescent="0.15">
      <c r="A430" s="5">
        <v>427</v>
      </c>
      <c r="B430" s="6" t="str">
        <f>"30482021060213052573818"</f>
        <v>30482021060213052573818</v>
      </c>
      <c r="C430" s="6" t="s">
        <v>1576</v>
      </c>
      <c r="D430" s="6" t="str">
        <f>"吴芳莹"</f>
        <v>吴芳莹</v>
      </c>
      <c r="E430" s="6" t="str">
        <f t="shared" si="37"/>
        <v>女</v>
      </c>
      <c r="F430" s="7" t="s">
        <v>338</v>
      </c>
    </row>
    <row r="431" spans="1:6" ht="20.100000000000001" customHeight="1" x14ac:dyDescent="0.15">
      <c r="A431" s="5">
        <v>428</v>
      </c>
      <c r="B431" s="6" t="str">
        <f>"30482021060213083173853"</f>
        <v>30482021060213083173853</v>
      </c>
      <c r="C431" s="6" t="s">
        <v>1576</v>
      </c>
      <c r="D431" s="6" t="str">
        <f>"李怡萱"</f>
        <v>李怡萱</v>
      </c>
      <c r="E431" s="6" t="str">
        <f t="shared" si="37"/>
        <v>女</v>
      </c>
      <c r="F431" s="7" t="s">
        <v>688</v>
      </c>
    </row>
    <row r="432" spans="1:6" ht="20.100000000000001" customHeight="1" x14ac:dyDescent="0.15">
      <c r="A432" s="5">
        <v>429</v>
      </c>
      <c r="B432" s="6" t="str">
        <f>"30482021060213195373927"</f>
        <v>30482021060213195373927</v>
      </c>
      <c r="C432" s="6" t="s">
        <v>1576</v>
      </c>
      <c r="D432" s="6" t="str">
        <f>"卢金香"</f>
        <v>卢金香</v>
      </c>
      <c r="E432" s="6" t="str">
        <f t="shared" si="37"/>
        <v>女</v>
      </c>
      <c r="F432" s="7" t="s">
        <v>672</v>
      </c>
    </row>
    <row r="433" spans="1:6" ht="20.100000000000001" customHeight="1" x14ac:dyDescent="0.15">
      <c r="A433" s="5">
        <v>430</v>
      </c>
      <c r="B433" s="6" t="str">
        <f>"30482021060213224273945"</f>
        <v>30482021060213224273945</v>
      </c>
      <c r="C433" s="6" t="s">
        <v>1576</v>
      </c>
      <c r="D433" s="6" t="str">
        <f>"符文"</f>
        <v>符文</v>
      </c>
      <c r="E433" s="6" t="str">
        <f t="shared" si="37"/>
        <v>女</v>
      </c>
      <c r="F433" s="7" t="s">
        <v>1663</v>
      </c>
    </row>
    <row r="434" spans="1:6" ht="20.100000000000001" customHeight="1" x14ac:dyDescent="0.15">
      <c r="A434" s="5">
        <v>431</v>
      </c>
      <c r="B434" s="6" t="str">
        <f>"30482021060213264073974"</f>
        <v>30482021060213264073974</v>
      </c>
      <c r="C434" s="6" t="s">
        <v>1576</v>
      </c>
      <c r="D434" s="6" t="str">
        <f>"王正照"</f>
        <v>王正照</v>
      </c>
      <c r="E434" s="6" t="str">
        <f>"男"</f>
        <v>男</v>
      </c>
      <c r="F434" s="7" t="s">
        <v>1701</v>
      </c>
    </row>
    <row r="435" spans="1:6" ht="20.100000000000001" customHeight="1" x14ac:dyDescent="0.15">
      <c r="A435" s="5">
        <v>432</v>
      </c>
      <c r="B435" s="6" t="str">
        <f>"30482021060213291173994"</f>
        <v>30482021060213291173994</v>
      </c>
      <c r="C435" s="6" t="s">
        <v>1576</v>
      </c>
      <c r="D435" s="6" t="str">
        <f>"周海霞"</f>
        <v>周海霞</v>
      </c>
      <c r="E435" s="6" t="str">
        <f t="shared" ref="E435:E459" si="38">"女"</f>
        <v>女</v>
      </c>
      <c r="F435" s="7" t="s">
        <v>828</v>
      </c>
    </row>
    <row r="436" spans="1:6" ht="20.100000000000001" customHeight="1" x14ac:dyDescent="0.15">
      <c r="A436" s="5">
        <v>433</v>
      </c>
      <c r="B436" s="6" t="str">
        <f>"30482021060213292573998"</f>
        <v>30482021060213292573998</v>
      </c>
      <c r="C436" s="6" t="s">
        <v>1576</v>
      </c>
      <c r="D436" s="6" t="str">
        <f>"刀纤子"</f>
        <v>刀纤子</v>
      </c>
      <c r="E436" s="6" t="str">
        <f t="shared" si="38"/>
        <v>女</v>
      </c>
      <c r="F436" s="7" t="s">
        <v>1409</v>
      </c>
    </row>
    <row r="437" spans="1:6" ht="20.100000000000001" customHeight="1" x14ac:dyDescent="0.15">
      <c r="A437" s="5">
        <v>434</v>
      </c>
      <c r="B437" s="6" t="str">
        <f>"30482021060213371074041"</f>
        <v>30482021060213371074041</v>
      </c>
      <c r="C437" s="6" t="s">
        <v>1576</v>
      </c>
      <c r="D437" s="6" t="str">
        <f>"黄娇丽"</f>
        <v>黄娇丽</v>
      </c>
      <c r="E437" s="6" t="str">
        <f t="shared" si="38"/>
        <v>女</v>
      </c>
      <c r="F437" s="7" t="s">
        <v>1702</v>
      </c>
    </row>
    <row r="438" spans="1:6" ht="20.100000000000001" customHeight="1" x14ac:dyDescent="0.15">
      <c r="A438" s="5">
        <v>435</v>
      </c>
      <c r="B438" s="6" t="str">
        <f>"30482021060213380674044"</f>
        <v>30482021060213380674044</v>
      </c>
      <c r="C438" s="6" t="s">
        <v>1576</v>
      </c>
      <c r="D438" s="6" t="str">
        <f>"郑小琪"</f>
        <v>郑小琪</v>
      </c>
      <c r="E438" s="6" t="str">
        <f t="shared" si="38"/>
        <v>女</v>
      </c>
      <c r="F438" s="7" t="s">
        <v>1393</v>
      </c>
    </row>
    <row r="439" spans="1:6" ht="20.100000000000001" customHeight="1" x14ac:dyDescent="0.15">
      <c r="A439" s="5">
        <v>436</v>
      </c>
      <c r="B439" s="6" t="str">
        <f>"30482021060214152974232"</f>
        <v>30482021060214152974232</v>
      </c>
      <c r="C439" s="6" t="s">
        <v>1576</v>
      </c>
      <c r="D439" s="6" t="str">
        <f>"欧艳虹"</f>
        <v>欧艳虹</v>
      </c>
      <c r="E439" s="6" t="str">
        <f t="shared" si="38"/>
        <v>女</v>
      </c>
      <c r="F439" s="7" t="s">
        <v>329</v>
      </c>
    </row>
    <row r="440" spans="1:6" ht="20.100000000000001" customHeight="1" x14ac:dyDescent="0.15">
      <c r="A440" s="5">
        <v>437</v>
      </c>
      <c r="B440" s="6" t="str">
        <f>"30482021060214232274277"</f>
        <v>30482021060214232274277</v>
      </c>
      <c r="C440" s="6" t="s">
        <v>1576</v>
      </c>
      <c r="D440" s="6" t="str">
        <f>"曾亚丽"</f>
        <v>曾亚丽</v>
      </c>
      <c r="E440" s="6" t="str">
        <f t="shared" si="38"/>
        <v>女</v>
      </c>
      <c r="F440" s="7" t="s">
        <v>1703</v>
      </c>
    </row>
    <row r="441" spans="1:6" ht="20.100000000000001" customHeight="1" x14ac:dyDescent="0.15">
      <c r="A441" s="5">
        <v>438</v>
      </c>
      <c r="B441" s="6" t="str">
        <f>"30482021060214330974337"</f>
        <v>30482021060214330974337</v>
      </c>
      <c r="C441" s="6" t="s">
        <v>1576</v>
      </c>
      <c r="D441" s="6" t="str">
        <f>"陈淑比"</f>
        <v>陈淑比</v>
      </c>
      <c r="E441" s="6" t="str">
        <f t="shared" si="38"/>
        <v>女</v>
      </c>
      <c r="F441" s="7" t="s">
        <v>1408</v>
      </c>
    </row>
    <row r="442" spans="1:6" ht="20.100000000000001" customHeight="1" x14ac:dyDescent="0.15">
      <c r="A442" s="5">
        <v>439</v>
      </c>
      <c r="B442" s="6" t="str">
        <f>"30482021060214333774343"</f>
        <v>30482021060214333774343</v>
      </c>
      <c r="C442" s="6" t="s">
        <v>1576</v>
      </c>
      <c r="D442" s="6" t="str">
        <f>"李雪"</f>
        <v>李雪</v>
      </c>
      <c r="E442" s="6" t="str">
        <f t="shared" si="38"/>
        <v>女</v>
      </c>
      <c r="F442" s="7" t="s">
        <v>638</v>
      </c>
    </row>
    <row r="443" spans="1:6" ht="20.100000000000001" customHeight="1" x14ac:dyDescent="0.15">
      <c r="A443" s="5">
        <v>440</v>
      </c>
      <c r="B443" s="6" t="str">
        <f>"30482021060214370274374"</f>
        <v>30482021060214370274374</v>
      </c>
      <c r="C443" s="6" t="s">
        <v>1576</v>
      </c>
      <c r="D443" s="6" t="str">
        <f>"陈欣"</f>
        <v>陈欣</v>
      </c>
      <c r="E443" s="6" t="str">
        <f t="shared" si="38"/>
        <v>女</v>
      </c>
      <c r="F443" s="7" t="s">
        <v>566</v>
      </c>
    </row>
    <row r="444" spans="1:6" ht="20.100000000000001" customHeight="1" x14ac:dyDescent="0.15">
      <c r="A444" s="5">
        <v>441</v>
      </c>
      <c r="B444" s="6" t="str">
        <f>"30482021060214475474454"</f>
        <v>30482021060214475474454</v>
      </c>
      <c r="C444" s="6" t="s">
        <v>1576</v>
      </c>
      <c r="D444" s="6" t="str">
        <f>"倪德霞"</f>
        <v>倪德霞</v>
      </c>
      <c r="E444" s="6" t="str">
        <f t="shared" si="38"/>
        <v>女</v>
      </c>
      <c r="F444" s="7" t="s">
        <v>1704</v>
      </c>
    </row>
    <row r="445" spans="1:6" ht="20.100000000000001" customHeight="1" x14ac:dyDescent="0.15">
      <c r="A445" s="5">
        <v>442</v>
      </c>
      <c r="B445" s="6" t="str">
        <f>"30482021060214484774461"</f>
        <v>30482021060214484774461</v>
      </c>
      <c r="C445" s="6" t="s">
        <v>1576</v>
      </c>
      <c r="D445" s="6" t="str">
        <f>"林佳铮"</f>
        <v>林佳铮</v>
      </c>
      <c r="E445" s="6" t="str">
        <f t="shared" si="38"/>
        <v>女</v>
      </c>
      <c r="F445" s="7" t="s">
        <v>747</v>
      </c>
    </row>
    <row r="446" spans="1:6" ht="20.100000000000001" customHeight="1" x14ac:dyDescent="0.15">
      <c r="A446" s="5">
        <v>443</v>
      </c>
      <c r="B446" s="6" t="str">
        <f>"30482021060214494274470"</f>
        <v>30482021060214494274470</v>
      </c>
      <c r="C446" s="6" t="s">
        <v>1576</v>
      </c>
      <c r="D446" s="6" t="str">
        <f>"苏艺"</f>
        <v>苏艺</v>
      </c>
      <c r="E446" s="6" t="str">
        <f t="shared" si="38"/>
        <v>女</v>
      </c>
      <c r="F446" s="7" t="s">
        <v>248</v>
      </c>
    </row>
    <row r="447" spans="1:6" ht="20.100000000000001" customHeight="1" x14ac:dyDescent="0.15">
      <c r="A447" s="5">
        <v>444</v>
      </c>
      <c r="B447" s="6" t="str">
        <f>"30482021060214555674533"</f>
        <v>30482021060214555674533</v>
      </c>
      <c r="C447" s="6" t="s">
        <v>1576</v>
      </c>
      <c r="D447" s="6" t="str">
        <f>"邢惠"</f>
        <v>邢惠</v>
      </c>
      <c r="E447" s="6" t="str">
        <f t="shared" si="38"/>
        <v>女</v>
      </c>
      <c r="F447" s="7" t="s">
        <v>1705</v>
      </c>
    </row>
    <row r="448" spans="1:6" ht="20.100000000000001" customHeight="1" x14ac:dyDescent="0.15">
      <c r="A448" s="5">
        <v>445</v>
      </c>
      <c r="B448" s="6" t="str">
        <f>"30482021060214564474545"</f>
        <v>30482021060214564474545</v>
      </c>
      <c r="C448" s="6" t="s">
        <v>1576</v>
      </c>
      <c r="D448" s="6" t="str">
        <f>"王晓"</f>
        <v>王晓</v>
      </c>
      <c r="E448" s="6" t="str">
        <f t="shared" si="38"/>
        <v>女</v>
      </c>
      <c r="F448" s="7" t="s">
        <v>195</v>
      </c>
    </row>
    <row r="449" spans="1:6" ht="20.100000000000001" customHeight="1" x14ac:dyDescent="0.15">
      <c r="A449" s="5">
        <v>446</v>
      </c>
      <c r="B449" s="6" t="str">
        <f>"30482021060214585274570"</f>
        <v>30482021060214585274570</v>
      </c>
      <c r="C449" s="6" t="s">
        <v>1576</v>
      </c>
      <c r="D449" s="6" t="str">
        <f>"包峻虹"</f>
        <v>包峻虹</v>
      </c>
      <c r="E449" s="6" t="str">
        <f t="shared" si="38"/>
        <v>女</v>
      </c>
      <c r="F449" s="7" t="s">
        <v>1706</v>
      </c>
    </row>
    <row r="450" spans="1:6" ht="20.100000000000001" customHeight="1" x14ac:dyDescent="0.15">
      <c r="A450" s="5">
        <v>447</v>
      </c>
      <c r="B450" s="6" t="str">
        <f>"30482021060214585874571"</f>
        <v>30482021060214585874571</v>
      </c>
      <c r="C450" s="6" t="s">
        <v>1576</v>
      </c>
      <c r="D450" s="6" t="str">
        <f>"宋振丹"</f>
        <v>宋振丹</v>
      </c>
      <c r="E450" s="6" t="str">
        <f t="shared" si="38"/>
        <v>女</v>
      </c>
      <c r="F450" s="7" t="s">
        <v>562</v>
      </c>
    </row>
    <row r="451" spans="1:6" ht="20.100000000000001" customHeight="1" x14ac:dyDescent="0.15">
      <c r="A451" s="5">
        <v>448</v>
      </c>
      <c r="B451" s="6" t="str">
        <f>"30482021060215014474590"</f>
        <v>30482021060215014474590</v>
      </c>
      <c r="C451" s="6" t="s">
        <v>1576</v>
      </c>
      <c r="D451" s="6" t="str">
        <f>"张梦莹"</f>
        <v>张梦莹</v>
      </c>
      <c r="E451" s="6" t="str">
        <f t="shared" si="38"/>
        <v>女</v>
      </c>
      <c r="F451" s="7" t="s">
        <v>1707</v>
      </c>
    </row>
    <row r="452" spans="1:6" ht="20.100000000000001" customHeight="1" x14ac:dyDescent="0.15">
      <c r="A452" s="5">
        <v>449</v>
      </c>
      <c r="B452" s="6" t="str">
        <f>"30482021060215142874726"</f>
        <v>30482021060215142874726</v>
      </c>
      <c r="C452" s="6" t="s">
        <v>1576</v>
      </c>
      <c r="D452" s="6" t="str">
        <f>"王小兰"</f>
        <v>王小兰</v>
      </c>
      <c r="E452" s="6" t="str">
        <f t="shared" si="38"/>
        <v>女</v>
      </c>
      <c r="F452" s="7" t="s">
        <v>9</v>
      </c>
    </row>
    <row r="453" spans="1:6" ht="20.100000000000001" customHeight="1" x14ac:dyDescent="0.15">
      <c r="A453" s="5">
        <v>450</v>
      </c>
      <c r="B453" s="6" t="str">
        <f>"30482021060215170374755"</f>
        <v>30482021060215170374755</v>
      </c>
      <c r="C453" s="6" t="s">
        <v>1576</v>
      </c>
      <c r="D453" s="6" t="str">
        <f>"万智霞"</f>
        <v>万智霞</v>
      </c>
      <c r="E453" s="6" t="str">
        <f t="shared" si="38"/>
        <v>女</v>
      </c>
      <c r="F453" s="7" t="s">
        <v>1536</v>
      </c>
    </row>
    <row r="454" spans="1:6" ht="20.100000000000001" customHeight="1" x14ac:dyDescent="0.15">
      <c r="A454" s="5">
        <v>451</v>
      </c>
      <c r="B454" s="6" t="str">
        <f>"30482021060215183274772"</f>
        <v>30482021060215183274772</v>
      </c>
      <c r="C454" s="6" t="s">
        <v>1576</v>
      </c>
      <c r="D454" s="6" t="str">
        <f>"张小妹"</f>
        <v>张小妹</v>
      </c>
      <c r="E454" s="6" t="str">
        <f t="shared" si="38"/>
        <v>女</v>
      </c>
      <c r="F454" s="7" t="s">
        <v>1287</v>
      </c>
    </row>
    <row r="455" spans="1:6" ht="20.100000000000001" customHeight="1" x14ac:dyDescent="0.15">
      <c r="A455" s="5">
        <v>452</v>
      </c>
      <c r="B455" s="6" t="str">
        <f>"30482021060215183574773"</f>
        <v>30482021060215183574773</v>
      </c>
      <c r="C455" s="6" t="s">
        <v>1576</v>
      </c>
      <c r="D455" s="6" t="str">
        <f>"王伟"</f>
        <v>王伟</v>
      </c>
      <c r="E455" s="6" t="str">
        <f t="shared" si="38"/>
        <v>女</v>
      </c>
      <c r="F455" s="7" t="s">
        <v>400</v>
      </c>
    </row>
    <row r="456" spans="1:6" ht="20.100000000000001" customHeight="1" x14ac:dyDescent="0.15">
      <c r="A456" s="5">
        <v>453</v>
      </c>
      <c r="B456" s="6" t="str">
        <f>"30482021060215195274791"</f>
        <v>30482021060215195274791</v>
      </c>
      <c r="C456" s="6" t="s">
        <v>1576</v>
      </c>
      <c r="D456" s="6" t="str">
        <f>"何梅霞"</f>
        <v>何梅霞</v>
      </c>
      <c r="E456" s="6" t="str">
        <f t="shared" si="38"/>
        <v>女</v>
      </c>
      <c r="F456" s="7" t="s">
        <v>1708</v>
      </c>
    </row>
    <row r="457" spans="1:6" ht="20.100000000000001" customHeight="1" x14ac:dyDescent="0.15">
      <c r="A457" s="5">
        <v>454</v>
      </c>
      <c r="B457" s="6" t="str">
        <f>"30482021060215215174803"</f>
        <v>30482021060215215174803</v>
      </c>
      <c r="C457" s="6" t="s">
        <v>1576</v>
      </c>
      <c r="D457" s="6" t="str">
        <f>"唐佳丽"</f>
        <v>唐佳丽</v>
      </c>
      <c r="E457" s="6" t="str">
        <f t="shared" si="38"/>
        <v>女</v>
      </c>
      <c r="F457" s="7" t="s">
        <v>1709</v>
      </c>
    </row>
    <row r="458" spans="1:6" ht="20.100000000000001" customHeight="1" x14ac:dyDescent="0.15">
      <c r="A458" s="5">
        <v>455</v>
      </c>
      <c r="B458" s="6" t="str">
        <f>"30482021060215230574811"</f>
        <v>30482021060215230574811</v>
      </c>
      <c r="C458" s="6" t="s">
        <v>1576</v>
      </c>
      <c r="D458" s="6" t="str">
        <f>"王降妃"</f>
        <v>王降妃</v>
      </c>
      <c r="E458" s="6" t="str">
        <f t="shared" si="38"/>
        <v>女</v>
      </c>
      <c r="F458" s="7" t="s">
        <v>1710</v>
      </c>
    </row>
    <row r="459" spans="1:6" ht="20.100000000000001" customHeight="1" x14ac:dyDescent="0.15">
      <c r="A459" s="5">
        <v>456</v>
      </c>
      <c r="B459" s="6" t="str">
        <f>"30482021060215232274814"</f>
        <v>30482021060215232274814</v>
      </c>
      <c r="C459" s="6" t="s">
        <v>1576</v>
      </c>
      <c r="D459" s="6" t="str">
        <f>"朱娟葵"</f>
        <v>朱娟葵</v>
      </c>
      <c r="E459" s="6" t="str">
        <f t="shared" si="38"/>
        <v>女</v>
      </c>
      <c r="F459" s="7" t="s">
        <v>1711</v>
      </c>
    </row>
    <row r="460" spans="1:6" ht="20.100000000000001" customHeight="1" x14ac:dyDescent="0.15">
      <c r="A460" s="5">
        <v>457</v>
      </c>
      <c r="B460" s="6" t="str">
        <f>"30482021060215301674900"</f>
        <v>30482021060215301674900</v>
      </c>
      <c r="C460" s="6" t="s">
        <v>1576</v>
      </c>
      <c r="D460" s="6" t="str">
        <f>"吴文谋"</f>
        <v>吴文谋</v>
      </c>
      <c r="E460" s="6" t="str">
        <f>"男"</f>
        <v>男</v>
      </c>
      <c r="F460" s="7" t="s">
        <v>1712</v>
      </c>
    </row>
    <row r="461" spans="1:6" ht="20.100000000000001" customHeight="1" x14ac:dyDescent="0.15">
      <c r="A461" s="5">
        <v>458</v>
      </c>
      <c r="B461" s="6" t="str">
        <f>"30482021060215400575017"</f>
        <v>30482021060215400575017</v>
      </c>
      <c r="C461" s="6" t="s">
        <v>1576</v>
      </c>
      <c r="D461" s="6" t="str">
        <f>"黄春丽"</f>
        <v>黄春丽</v>
      </c>
      <c r="E461" s="6" t="str">
        <f t="shared" ref="E461:E464" si="39">"女"</f>
        <v>女</v>
      </c>
      <c r="F461" s="7" t="s">
        <v>50</v>
      </c>
    </row>
    <row r="462" spans="1:6" ht="20.100000000000001" customHeight="1" x14ac:dyDescent="0.15">
      <c r="A462" s="5">
        <v>459</v>
      </c>
      <c r="B462" s="6" t="str">
        <f>"30482021060215405375026"</f>
        <v>30482021060215405375026</v>
      </c>
      <c r="C462" s="6" t="s">
        <v>1576</v>
      </c>
      <c r="D462" s="6" t="str">
        <f>"罗全迷"</f>
        <v>罗全迷</v>
      </c>
      <c r="E462" s="6" t="str">
        <f t="shared" si="39"/>
        <v>女</v>
      </c>
      <c r="F462" s="7" t="s">
        <v>263</v>
      </c>
    </row>
    <row r="463" spans="1:6" ht="20.100000000000001" customHeight="1" x14ac:dyDescent="0.15">
      <c r="A463" s="5">
        <v>460</v>
      </c>
      <c r="B463" s="6" t="str">
        <f>"30482021060215411775032"</f>
        <v>30482021060215411775032</v>
      </c>
      <c r="C463" s="6" t="s">
        <v>1576</v>
      </c>
      <c r="D463" s="6" t="str">
        <f>"高小敏"</f>
        <v>高小敏</v>
      </c>
      <c r="E463" s="6" t="str">
        <f t="shared" si="39"/>
        <v>女</v>
      </c>
      <c r="F463" s="7" t="s">
        <v>479</v>
      </c>
    </row>
    <row r="464" spans="1:6" ht="20.100000000000001" customHeight="1" x14ac:dyDescent="0.15">
      <c r="A464" s="5">
        <v>461</v>
      </c>
      <c r="B464" s="6" t="str">
        <f>"30482021060215413975036"</f>
        <v>30482021060215413975036</v>
      </c>
      <c r="C464" s="6" t="s">
        <v>1576</v>
      </c>
      <c r="D464" s="6" t="str">
        <f>"许英娜"</f>
        <v>许英娜</v>
      </c>
      <c r="E464" s="6" t="str">
        <f t="shared" si="39"/>
        <v>女</v>
      </c>
      <c r="F464" s="7" t="s">
        <v>1713</v>
      </c>
    </row>
    <row r="465" spans="1:6" ht="20.100000000000001" customHeight="1" x14ac:dyDescent="0.15">
      <c r="A465" s="5">
        <v>462</v>
      </c>
      <c r="B465" s="6" t="str">
        <f>"30482021060215462775096"</f>
        <v>30482021060215462775096</v>
      </c>
      <c r="C465" s="6" t="s">
        <v>1576</v>
      </c>
      <c r="D465" s="6" t="str">
        <f>"王海鹏"</f>
        <v>王海鹏</v>
      </c>
      <c r="E465" s="6" t="str">
        <f>"男"</f>
        <v>男</v>
      </c>
      <c r="F465" s="7" t="s">
        <v>916</v>
      </c>
    </row>
    <row r="466" spans="1:6" ht="20.100000000000001" customHeight="1" x14ac:dyDescent="0.15">
      <c r="A466" s="5">
        <v>463</v>
      </c>
      <c r="B466" s="6" t="str">
        <f>"30482021060215465475104"</f>
        <v>30482021060215465475104</v>
      </c>
      <c r="C466" s="6" t="s">
        <v>1576</v>
      </c>
      <c r="D466" s="6" t="str">
        <f>"吴丽姑"</f>
        <v>吴丽姑</v>
      </c>
      <c r="E466" s="6" t="str">
        <f t="shared" ref="E466:E489" si="40">"女"</f>
        <v>女</v>
      </c>
      <c r="F466" s="7" t="s">
        <v>1413</v>
      </c>
    </row>
    <row r="467" spans="1:6" ht="20.100000000000001" customHeight="1" x14ac:dyDescent="0.15">
      <c r="A467" s="5">
        <v>464</v>
      </c>
      <c r="B467" s="6" t="str">
        <f>"30482021060215492175123"</f>
        <v>30482021060215492175123</v>
      </c>
      <c r="C467" s="6" t="s">
        <v>1576</v>
      </c>
      <c r="D467" s="6" t="str">
        <f>"陈川州"</f>
        <v>陈川州</v>
      </c>
      <c r="E467" s="6" t="str">
        <f>"男"</f>
        <v>男</v>
      </c>
      <c r="F467" s="7" t="s">
        <v>1714</v>
      </c>
    </row>
    <row r="468" spans="1:6" ht="20.100000000000001" customHeight="1" x14ac:dyDescent="0.15">
      <c r="A468" s="5">
        <v>465</v>
      </c>
      <c r="B468" s="6" t="str">
        <f>"30482021060215561275208"</f>
        <v>30482021060215561275208</v>
      </c>
      <c r="C468" s="6" t="s">
        <v>1576</v>
      </c>
      <c r="D468" s="6" t="str">
        <f>"施秋梅"</f>
        <v>施秋梅</v>
      </c>
      <c r="E468" s="6" t="str">
        <f t="shared" si="40"/>
        <v>女</v>
      </c>
      <c r="F468" s="7" t="s">
        <v>659</v>
      </c>
    </row>
    <row r="469" spans="1:6" ht="20.100000000000001" customHeight="1" x14ac:dyDescent="0.15">
      <c r="A469" s="5">
        <v>466</v>
      </c>
      <c r="B469" s="6" t="str">
        <f>"30482021060215564575212"</f>
        <v>30482021060215564575212</v>
      </c>
      <c r="C469" s="6" t="s">
        <v>1576</v>
      </c>
      <c r="D469" s="6" t="str">
        <f>"林琦虹"</f>
        <v>林琦虹</v>
      </c>
      <c r="E469" s="6" t="str">
        <f t="shared" si="40"/>
        <v>女</v>
      </c>
      <c r="F469" s="7" t="s">
        <v>1715</v>
      </c>
    </row>
    <row r="470" spans="1:6" ht="20.100000000000001" customHeight="1" x14ac:dyDescent="0.15">
      <c r="A470" s="5">
        <v>467</v>
      </c>
      <c r="B470" s="6" t="str">
        <f>"30482021060216120475368"</f>
        <v>30482021060216120475368</v>
      </c>
      <c r="C470" s="6" t="s">
        <v>1576</v>
      </c>
      <c r="D470" s="6" t="str">
        <f>"林明娜"</f>
        <v>林明娜</v>
      </c>
      <c r="E470" s="6" t="str">
        <f t="shared" si="40"/>
        <v>女</v>
      </c>
      <c r="F470" s="7" t="s">
        <v>1716</v>
      </c>
    </row>
    <row r="471" spans="1:6" ht="20.100000000000001" customHeight="1" x14ac:dyDescent="0.15">
      <c r="A471" s="5">
        <v>468</v>
      </c>
      <c r="B471" s="6" t="str">
        <f>"30482021060216154475404"</f>
        <v>30482021060216154475404</v>
      </c>
      <c r="C471" s="6" t="s">
        <v>1576</v>
      </c>
      <c r="D471" s="6" t="str">
        <f>"黄蓉花"</f>
        <v>黄蓉花</v>
      </c>
      <c r="E471" s="6" t="str">
        <f t="shared" si="40"/>
        <v>女</v>
      </c>
      <c r="F471" s="7" t="s">
        <v>1717</v>
      </c>
    </row>
    <row r="472" spans="1:6" ht="20.100000000000001" customHeight="1" x14ac:dyDescent="0.15">
      <c r="A472" s="5">
        <v>469</v>
      </c>
      <c r="B472" s="6" t="str">
        <f>"30482021060216200575444"</f>
        <v>30482021060216200575444</v>
      </c>
      <c r="C472" s="6" t="s">
        <v>1576</v>
      </c>
      <c r="D472" s="6" t="str">
        <f>"梁杨英"</f>
        <v>梁杨英</v>
      </c>
      <c r="E472" s="6" t="str">
        <f t="shared" si="40"/>
        <v>女</v>
      </c>
      <c r="F472" s="7" t="s">
        <v>1293</v>
      </c>
    </row>
    <row r="473" spans="1:6" ht="20.100000000000001" customHeight="1" x14ac:dyDescent="0.15">
      <c r="A473" s="5">
        <v>470</v>
      </c>
      <c r="B473" s="6" t="str">
        <f>"30482021060216273575508"</f>
        <v>30482021060216273575508</v>
      </c>
      <c r="C473" s="6" t="s">
        <v>1576</v>
      </c>
      <c r="D473" s="6" t="str">
        <f>"陈善佳"</f>
        <v>陈善佳</v>
      </c>
      <c r="E473" s="6" t="str">
        <f t="shared" si="40"/>
        <v>女</v>
      </c>
      <c r="F473" s="7" t="s">
        <v>1718</v>
      </c>
    </row>
    <row r="474" spans="1:6" ht="20.100000000000001" customHeight="1" x14ac:dyDescent="0.15">
      <c r="A474" s="5">
        <v>471</v>
      </c>
      <c r="B474" s="6" t="str">
        <f>"30482021060216280475514"</f>
        <v>30482021060216280475514</v>
      </c>
      <c r="C474" s="6" t="s">
        <v>1576</v>
      </c>
      <c r="D474" s="6" t="str">
        <f>"符妍"</f>
        <v>符妍</v>
      </c>
      <c r="E474" s="6" t="str">
        <f t="shared" si="40"/>
        <v>女</v>
      </c>
      <c r="F474" s="7" t="s">
        <v>1719</v>
      </c>
    </row>
    <row r="475" spans="1:6" ht="20.100000000000001" customHeight="1" x14ac:dyDescent="0.15">
      <c r="A475" s="5">
        <v>472</v>
      </c>
      <c r="B475" s="6" t="str">
        <f>"30482021060216302875534"</f>
        <v>30482021060216302875534</v>
      </c>
      <c r="C475" s="6" t="s">
        <v>1576</v>
      </c>
      <c r="D475" s="6" t="str">
        <f>"伍春蕊"</f>
        <v>伍春蕊</v>
      </c>
      <c r="E475" s="6" t="str">
        <f t="shared" si="40"/>
        <v>女</v>
      </c>
      <c r="F475" s="7" t="s">
        <v>555</v>
      </c>
    </row>
    <row r="476" spans="1:6" ht="20.100000000000001" customHeight="1" x14ac:dyDescent="0.15">
      <c r="A476" s="5">
        <v>473</v>
      </c>
      <c r="B476" s="6" t="str">
        <f>"30482021060216324275563"</f>
        <v>30482021060216324275563</v>
      </c>
      <c r="C476" s="6" t="s">
        <v>1576</v>
      </c>
      <c r="D476" s="6" t="str">
        <f>"曾玉蕊"</f>
        <v>曾玉蕊</v>
      </c>
      <c r="E476" s="6" t="str">
        <f t="shared" si="40"/>
        <v>女</v>
      </c>
      <c r="F476" s="7" t="s">
        <v>194</v>
      </c>
    </row>
    <row r="477" spans="1:6" ht="20.100000000000001" customHeight="1" x14ac:dyDescent="0.15">
      <c r="A477" s="5">
        <v>474</v>
      </c>
      <c r="B477" s="6" t="str">
        <f>"30482021060216364775603"</f>
        <v>30482021060216364775603</v>
      </c>
      <c r="C477" s="6" t="s">
        <v>1576</v>
      </c>
      <c r="D477" s="6" t="str">
        <f>"林琼英"</f>
        <v>林琼英</v>
      </c>
      <c r="E477" s="6" t="str">
        <f t="shared" si="40"/>
        <v>女</v>
      </c>
      <c r="F477" s="7" t="s">
        <v>1720</v>
      </c>
    </row>
    <row r="478" spans="1:6" ht="20.100000000000001" customHeight="1" x14ac:dyDescent="0.15">
      <c r="A478" s="5">
        <v>475</v>
      </c>
      <c r="B478" s="6" t="str">
        <f>"30482021060216370275606"</f>
        <v>30482021060216370275606</v>
      </c>
      <c r="C478" s="6" t="s">
        <v>1576</v>
      </c>
      <c r="D478" s="6" t="str">
        <f>"罗文晴"</f>
        <v>罗文晴</v>
      </c>
      <c r="E478" s="6" t="str">
        <f t="shared" si="40"/>
        <v>女</v>
      </c>
      <c r="F478" s="7" t="s">
        <v>1201</v>
      </c>
    </row>
    <row r="479" spans="1:6" ht="20.100000000000001" customHeight="1" x14ac:dyDescent="0.15">
      <c r="A479" s="5">
        <v>476</v>
      </c>
      <c r="B479" s="6" t="str">
        <f>"30482021060216383875626"</f>
        <v>30482021060216383875626</v>
      </c>
      <c r="C479" s="6" t="s">
        <v>1576</v>
      </c>
      <c r="D479" s="6" t="str">
        <f>"刘丽秋"</f>
        <v>刘丽秋</v>
      </c>
      <c r="E479" s="6" t="str">
        <f t="shared" si="40"/>
        <v>女</v>
      </c>
      <c r="F479" s="7" t="s">
        <v>1676</v>
      </c>
    </row>
    <row r="480" spans="1:6" ht="20.100000000000001" customHeight="1" x14ac:dyDescent="0.15">
      <c r="A480" s="5">
        <v>477</v>
      </c>
      <c r="B480" s="6" t="str">
        <f>"30482021060216403675645"</f>
        <v>30482021060216403675645</v>
      </c>
      <c r="C480" s="6" t="s">
        <v>1576</v>
      </c>
      <c r="D480" s="6" t="str">
        <f>"李璐"</f>
        <v>李璐</v>
      </c>
      <c r="E480" s="6" t="str">
        <f t="shared" si="40"/>
        <v>女</v>
      </c>
      <c r="F480" s="7" t="s">
        <v>44</v>
      </c>
    </row>
    <row r="481" spans="1:6" ht="20.100000000000001" customHeight="1" x14ac:dyDescent="0.15">
      <c r="A481" s="5">
        <v>478</v>
      </c>
      <c r="B481" s="6" t="str">
        <f>"30482021060216432075677"</f>
        <v>30482021060216432075677</v>
      </c>
      <c r="C481" s="6" t="s">
        <v>1576</v>
      </c>
      <c r="D481" s="6" t="str">
        <f>"陈亚姑"</f>
        <v>陈亚姑</v>
      </c>
      <c r="E481" s="6" t="str">
        <f t="shared" si="40"/>
        <v>女</v>
      </c>
      <c r="F481" s="7" t="s">
        <v>1266</v>
      </c>
    </row>
    <row r="482" spans="1:6" ht="20.100000000000001" customHeight="1" x14ac:dyDescent="0.15">
      <c r="A482" s="5">
        <v>479</v>
      </c>
      <c r="B482" s="6" t="str">
        <f>"30482021060216470575701"</f>
        <v>30482021060216470575701</v>
      </c>
      <c r="C482" s="6" t="s">
        <v>1576</v>
      </c>
      <c r="D482" s="6" t="str">
        <f>"陈蕊"</f>
        <v>陈蕊</v>
      </c>
      <c r="E482" s="6" t="str">
        <f t="shared" si="40"/>
        <v>女</v>
      </c>
      <c r="F482" s="7" t="s">
        <v>1721</v>
      </c>
    </row>
    <row r="483" spans="1:6" ht="20.100000000000001" customHeight="1" x14ac:dyDescent="0.15">
      <c r="A483" s="5">
        <v>480</v>
      </c>
      <c r="B483" s="6" t="str">
        <f>"30482021060216501075735"</f>
        <v>30482021060216501075735</v>
      </c>
      <c r="C483" s="6" t="s">
        <v>1576</v>
      </c>
      <c r="D483" s="6" t="str">
        <f>"康慧琳"</f>
        <v>康慧琳</v>
      </c>
      <c r="E483" s="6" t="str">
        <f t="shared" si="40"/>
        <v>女</v>
      </c>
      <c r="F483" s="7" t="s">
        <v>1722</v>
      </c>
    </row>
    <row r="484" spans="1:6" ht="20.100000000000001" customHeight="1" x14ac:dyDescent="0.15">
      <c r="A484" s="5">
        <v>481</v>
      </c>
      <c r="B484" s="6" t="str">
        <f>"30482021060216542375770"</f>
        <v>30482021060216542375770</v>
      </c>
      <c r="C484" s="6" t="s">
        <v>1576</v>
      </c>
      <c r="D484" s="6" t="str">
        <f>"林绿"</f>
        <v>林绿</v>
      </c>
      <c r="E484" s="6" t="str">
        <f t="shared" si="40"/>
        <v>女</v>
      </c>
      <c r="F484" s="7" t="s">
        <v>1723</v>
      </c>
    </row>
    <row r="485" spans="1:6" ht="20.100000000000001" customHeight="1" x14ac:dyDescent="0.15">
      <c r="A485" s="5">
        <v>482</v>
      </c>
      <c r="B485" s="6" t="str">
        <f>"30482021060216550675778"</f>
        <v>30482021060216550675778</v>
      </c>
      <c r="C485" s="6" t="s">
        <v>1576</v>
      </c>
      <c r="D485" s="6" t="str">
        <f>"刘兰兰"</f>
        <v>刘兰兰</v>
      </c>
      <c r="E485" s="6" t="str">
        <f t="shared" si="40"/>
        <v>女</v>
      </c>
      <c r="F485" s="7" t="s">
        <v>1724</v>
      </c>
    </row>
    <row r="486" spans="1:6" ht="20.100000000000001" customHeight="1" x14ac:dyDescent="0.15">
      <c r="A486" s="5">
        <v>483</v>
      </c>
      <c r="B486" s="6" t="str">
        <f>"30482021060216593275811"</f>
        <v>30482021060216593275811</v>
      </c>
      <c r="C486" s="6" t="s">
        <v>1576</v>
      </c>
      <c r="D486" s="6" t="str">
        <f>"李娴"</f>
        <v>李娴</v>
      </c>
      <c r="E486" s="6" t="str">
        <f t="shared" si="40"/>
        <v>女</v>
      </c>
      <c r="F486" s="7" t="s">
        <v>1228</v>
      </c>
    </row>
    <row r="487" spans="1:6" ht="20.100000000000001" customHeight="1" x14ac:dyDescent="0.15">
      <c r="A487" s="5">
        <v>484</v>
      </c>
      <c r="B487" s="6" t="str">
        <f>"30482021060217001975815"</f>
        <v>30482021060217001975815</v>
      </c>
      <c r="C487" s="6" t="s">
        <v>1576</v>
      </c>
      <c r="D487" s="6" t="str">
        <f>"利钰"</f>
        <v>利钰</v>
      </c>
      <c r="E487" s="6" t="str">
        <f t="shared" si="40"/>
        <v>女</v>
      </c>
      <c r="F487" s="7" t="s">
        <v>77</v>
      </c>
    </row>
    <row r="488" spans="1:6" ht="20.100000000000001" customHeight="1" x14ac:dyDescent="0.15">
      <c r="A488" s="5">
        <v>485</v>
      </c>
      <c r="B488" s="6" t="str">
        <f>"30482021060217042575856"</f>
        <v>30482021060217042575856</v>
      </c>
      <c r="C488" s="6" t="s">
        <v>1576</v>
      </c>
      <c r="D488" s="6" t="str">
        <f>"王梅"</f>
        <v>王梅</v>
      </c>
      <c r="E488" s="6" t="str">
        <f t="shared" si="40"/>
        <v>女</v>
      </c>
      <c r="F488" s="7" t="s">
        <v>160</v>
      </c>
    </row>
    <row r="489" spans="1:6" ht="20.100000000000001" customHeight="1" x14ac:dyDescent="0.15">
      <c r="A489" s="5">
        <v>486</v>
      </c>
      <c r="B489" s="6" t="str">
        <f>"30482021060217050975865"</f>
        <v>30482021060217050975865</v>
      </c>
      <c r="C489" s="6" t="s">
        <v>1576</v>
      </c>
      <c r="D489" s="6" t="str">
        <f>"蒙颖"</f>
        <v>蒙颖</v>
      </c>
      <c r="E489" s="6" t="str">
        <f t="shared" si="40"/>
        <v>女</v>
      </c>
      <c r="F489" s="7" t="s">
        <v>1680</v>
      </c>
    </row>
    <row r="490" spans="1:6" ht="20.100000000000001" customHeight="1" x14ac:dyDescent="0.15">
      <c r="A490" s="5">
        <v>487</v>
      </c>
      <c r="B490" s="6" t="str">
        <f>"30482021060217160075974"</f>
        <v>30482021060217160075974</v>
      </c>
      <c r="C490" s="6" t="s">
        <v>1576</v>
      </c>
      <c r="D490" s="6" t="str">
        <f>"何贤政"</f>
        <v>何贤政</v>
      </c>
      <c r="E490" s="6" t="str">
        <f>"男"</f>
        <v>男</v>
      </c>
      <c r="F490" s="7" t="s">
        <v>642</v>
      </c>
    </row>
    <row r="491" spans="1:6" ht="20.100000000000001" customHeight="1" x14ac:dyDescent="0.15">
      <c r="A491" s="5">
        <v>488</v>
      </c>
      <c r="B491" s="6" t="str">
        <f>"30482021060217191176013"</f>
        <v>30482021060217191176013</v>
      </c>
      <c r="C491" s="6" t="s">
        <v>1576</v>
      </c>
      <c r="D491" s="6" t="str">
        <f>"符万方"</f>
        <v>符万方</v>
      </c>
      <c r="E491" s="6" t="str">
        <f t="shared" ref="E491:E504" si="41">"女"</f>
        <v>女</v>
      </c>
      <c r="F491" s="7" t="s">
        <v>158</v>
      </c>
    </row>
    <row r="492" spans="1:6" ht="20.100000000000001" customHeight="1" x14ac:dyDescent="0.15">
      <c r="A492" s="5">
        <v>489</v>
      </c>
      <c r="B492" s="6" t="str">
        <f>"30482021060217213276028"</f>
        <v>30482021060217213276028</v>
      </c>
      <c r="C492" s="6" t="s">
        <v>1576</v>
      </c>
      <c r="D492" s="6" t="str">
        <f>"冯海银"</f>
        <v>冯海银</v>
      </c>
      <c r="E492" s="6" t="str">
        <f t="shared" si="41"/>
        <v>女</v>
      </c>
      <c r="F492" s="7" t="s">
        <v>1168</v>
      </c>
    </row>
    <row r="493" spans="1:6" ht="20.100000000000001" customHeight="1" x14ac:dyDescent="0.15">
      <c r="A493" s="5">
        <v>490</v>
      </c>
      <c r="B493" s="6" t="str">
        <f>"30482021060217281176091"</f>
        <v>30482021060217281176091</v>
      </c>
      <c r="C493" s="6" t="s">
        <v>1576</v>
      </c>
      <c r="D493" s="6" t="str">
        <f>"符树磊"</f>
        <v>符树磊</v>
      </c>
      <c r="E493" s="6" t="str">
        <f t="shared" si="41"/>
        <v>女</v>
      </c>
      <c r="F493" s="7" t="s">
        <v>1725</v>
      </c>
    </row>
    <row r="494" spans="1:6" ht="20.100000000000001" customHeight="1" x14ac:dyDescent="0.15">
      <c r="A494" s="5">
        <v>491</v>
      </c>
      <c r="B494" s="6" t="str">
        <f>"30482021060217283576096"</f>
        <v>30482021060217283576096</v>
      </c>
      <c r="C494" s="6" t="s">
        <v>1576</v>
      </c>
      <c r="D494" s="6" t="str">
        <f>"陈欢欢"</f>
        <v>陈欢欢</v>
      </c>
      <c r="E494" s="6" t="str">
        <f t="shared" si="41"/>
        <v>女</v>
      </c>
      <c r="F494" s="7" t="s">
        <v>1394</v>
      </c>
    </row>
    <row r="495" spans="1:6" ht="20.100000000000001" customHeight="1" x14ac:dyDescent="0.15">
      <c r="A495" s="5">
        <v>492</v>
      </c>
      <c r="B495" s="6" t="str">
        <f>"30482021060217341776134"</f>
        <v>30482021060217341776134</v>
      </c>
      <c r="C495" s="6" t="s">
        <v>1576</v>
      </c>
      <c r="D495" s="6" t="str">
        <f>"罗孙娜"</f>
        <v>罗孙娜</v>
      </c>
      <c r="E495" s="6" t="str">
        <f t="shared" si="41"/>
        <v>女</v>
      </c>
      <c r="F495" s="7" t="s">
        <v>1726</v>
      </c>
    </row>
    <row r="496" spans="1:6" ht="20.100000000000001" customHeight="1" x14ac:dyDescent="0.15">
      <c r="A496" s="5">
        <v>493</v>
      </c>
      <c r="B496" s="6" t="str">
        <f>"30482021060217362776155"</f>
        <v>30482021060217362776155</v>
      </c>
      <c r="C496" s="6" t="s">
        <v>1576</v>
      </c>
      <c r="D496" s="6" t="str">
        <f>"冯艳青"</f>
        <v>冯艳青</v>
      </c>
      <c r="E496" s="6" t="str">
        <f t="shared" si="41"/>
        <v>女</v>
      </c>
      <c r="F496" s="7" t="s">
        <v>1727</v>
      </c>
    </row>
    <row r="497" spans="1:6" ht="20.100000000000001" customHeight="1" x14ac:dyDescent="0.15">
      <c r="A497" s="5">
        <v>494</v>
      </c>
      <c r="B497" s="6" t="str">
        <f>"30482021060217393876176"</f>
        <v>30482021060217393876176</v>
      </c>
      <c r="C497" s="6" t="s">
        <v>1576</v>
      </c>
      <c r="D497" s="6" t="str">
        <f>"曾环"</f>
        <v>曾环</v>
      </c>
      <c r="E497" s="6" t="str">
        <f t="shared" si="41"/>
        <v>女</v>
      </c>
      <c r="F497" s="7" t="s">
        <v>1728</v>
      </c>
    </row>
    <row r="498" spans="1:6" ht="20.100000000000001" customHeight="1" x14ac:dyDescent="0.15">
      <c r="A498" s="5">
        <v>495</v>
      </c>
      <c r="B498" s="6" t="str">
        <f>"30482021060217505076260"</f>
        <v>30482021060217505076260</v>
      </c>
      <c r="C498" s="6" t="s">
        <v>1576</v>
      </c>
      <c r="D498" s="6" t="str">
        <f>"郑霞霞"</f>
        <v>郑霞霞</v>
      </c>
      <c r="E498" s="6" t="str">
        <f t="shared" si="41"/>
        <v>女</v>
      </c>
      <c r="F498" s="7" t="s">
        <v>280</v>
      </c>
    </row>
    <row r="499" spans="1:6" ht="20.100000000000001" customHeight="1" x14ac:dyDescent="0.15">
      <c r="A499" s="5">
        <v>496</v>
      </c>
      <c r="B499" s="6" t="str">
        <f>"30482021060217555376297"</f>
        <v>30482021060217555376297</v>
      </c>
      <c r="C499" s="6" t="s">
        <v>1576</v>
      </c>
      <c r="D499" s="6" t="str">
        <f>"杨丽娜"</f>
        <v>杨丽娜</v>
      </c>
      <c r="E499" s="6" t="str">
        <f t="shared" si="41"/>
        <v>女</v>
      </c>
      <c r="F499" s="7" t="s">
        <v>766</v>
      </c>
    </row>
    <row r="500" spans="1:6" ht="20.100000000000001" customHeight="1" x14ac:dyDescent="0.15">
      <c r="A500" s="5">
        <v>497</v>
      </c>
      <c r="B500" s="6" t="str">
        <f>"30482021060217570076304"</f>
        <v>30482021060217570076304</v>
      </c>
      <c r="C500" s="6" t="s">
        <v>1576</v>
      </c>
      <c r="D500" s="6" t="str">
        <f>"郑冰丽"</f>
        <v>郑冰丽</v>
      </c>
      <c r="E500" s="6" t="str">
        <f t="shared" si="41"/>
        <v>女</v>
      </c>
      <c r="F500" s="7" t="s">
        <v>1280</v>
      </c>
    </row>
    <row r="501" spans="1:6" ht="20.100000000000001" customHeight="1" x14ac:dyDescent="0.15">
      <c r="A501" s="5">
        <v>498</v>
      </c>
      <c r="B501" s="6" t="str">
        <f>"30482021060217595476324"</f>
        <v>30482021060217595476324</v>
      </c>
      <c r="C501" s="6" t="s">
        <v>1576</v>
      </c>
      <c r="D501" s="6" t="str">
        <f>"陈晓虹"</f>
        <v>陈晓虹</v>
      </c>
      <c r="E501" s="6" t="str">
        <f t="shared" si="41"/>
        <v>女</v>
      </c>
      <c r="F501" s="7" t="s">
        <v>985</v>
      </c>
    </row>
    <row r="502" spans="1:6" ht="20.100000000000001" customHeight="1" x14ac:dyDescent="0.15">
      <c r="A502" s="5">
        <v>499</v>
      </c>
      <c r="B502" s="6" t="str">
        <f>"30482021060218044476370"</f>
        <v>30482021060218044476370</v>
      </c>
      <c r="C502" s="6" t="s">
        <v>1576</v>
      </c>
      <c r="D502" s="6" t="str">
        <f>"邢维婷"</f>
        <v>邢维婷</v>
      </c>
      <c r="E502" s="6" t="str">
        <f t="shared" si="41"/>
        <v>女</v>
      </c>
      <c r="F502" s="7" t="s">
        <v>736</v>
      </c>
    </row>
    <row r="503" spans="1:6" ht="20.100000000000001" customHeight="1" x14ac:dyDescent="0.15">
      <c r="A503" s="5">
        <v>500</v>
      </c>
      <c r="B503" s="6" t="str">
        <f>"30482021060218103276409"</f>
        <v>30482021060218103276409</v>
      </c>
      <c r="C503" s="6" t="s">
        <v>1576</v>
      </c>
      <c r="D503" s="6" t="str">
        <f>"张耀妍"</f>
        <v>张耀妍</v>
      </c>
      <c r="E503" s="6" t="str">
        <f t="shared" si="41"/>
        <v>女</v>
      </c>
      <c r="F503" s="7" t="s">
        <v>21</v>
      </c>
    </row>
    <row r="504" spans="1:6" ht="20.100000000000001" customHeight="1" x14ac:dyDescent="0.15">
      <c r="A504" s="5">
        <v>501</v>
      </c>
      <c r="B504" s="6" t="str">
        <f>"30482021060218181776453"</f>
        <v>30482021060218181776453</v>
      </c>
      <c r="C504" s="6" t="s">
        <v>1576</v>
      </c>
      <c r="D504" s="6" t="str">
        <f>"陈丹"</f>
        <v>陈丹</v>
      </c>
      <c r="E504" s="6" t="str">
        <f t="shared" si="41"/>
        <v>女</v>
      </c>
      <c r="F504" s="7" t="s">
        <v>1479</v>
      </c>
    </row>
    <row r="505" spans="1:6" ht="20.100000000000001" customHeight="1" x14ac:dyDescent="0.15">
      <c r="A505" s="5">
        <v>502</v>
      </c>
      <c r="B505" s="6" t="str">
        <f>"30482021060218233576489"</f>
        <v>30482021060218233576489</v>
      </c>
      <c r="C505" s="6" t="s">
        <v>1576</v>
      </c>
      <c r="D505" s="6" t="str">
        <f>"符伟"</f>
        <v>符伟</v>
      </c>
      <c r="E505" s="6" t="str">
        <f>"男"</f>
        <v>男</v>
      </c>
      <c r="F505" s="7" t="s">
        <v>1729</v>
      </c>
    </row>
    <row r="506" spans="1:6" ht="20.100000000000001" customHeight="1" x14ac:dyDescent="0.15">
      <c r="A506" s="5">
        <v>503</v>
      </c>
      <c r="B506" s="6" t="str">
        <f>"30482021060218244976498"</f>
        <v>30482021060218244976498</v>
      </c>
      <c r="C506" s="6" t="s">
        <v>1576</v>
      </c>
      <c r="D506" s="6" t="str">
        <f>"范衍杨"</f>
        <v>范衍杨</v>
      </c>
      <c r="E506" s="6" t="str">
        <f t="shared" ref="E506:E519" si="42">"女"</f>
        <v>女</v>
      </c>
      <c r="F506" s="7" t="s">
        <v>496</v>
      </c>
    </row>
    <row r="507" spans="1:6" ht="20.100000000000001" customHeight="1" x14ac:dyDescent="0.15">
      <c r="A507" s="5">
        <v>504</v>
      </c>
      <c r="B507" s="6" t="str">
        <f>"30482021060218245676499"</f>
        <v>30482021060218245676499</v>
      </c>
      <c r="C507" s="6" t="s">
        <v>1576</v>
      </c>
      <c r="D507" s="6" t="str">
        <f>"谢琼妹"</f>
        <v>谢琼妹</v>
      </c>
      <c r="E507" s="6" t="str">
        <f t="shared" si="42"/>
        <v>女</v>
      </c>
      <c r="F507" s="7" t="s">
        <v>350</v>
      </c>
    </row>
    <row r="508" spans="1:6" ht="20.100000000000001" customHeight="1" x14ac:dyDescent="0.15">
      <c r="A508" s="5">
        <v>505</v>
      </c>
      <c r="B508" s="6" t="str">
        <f>"30482021060218325076563"</f>
        <v>30482021060218325076563</v>
      </c>
      <c r="C508" s="6" t="s">
        <v>1576</v>
      </c>
      <c r="D508" s="6" t="str">
        <f>"刘妍"</f>
        <v>刘妍</v>
      </c>
      <c r="E508" s="6" t="str">
        <f t="shared" si="42"/>
        <v>女</v>
      </c>
      <c r="F508" s="7" t="s">
        <v>782</v>
      </c>
    </row>
    <row r="509" spans="1:6" ht="20.100000000000001" customHeight="1" x14ac:dyDescent="0.15">
      <c r="A509" s="5">
        <v>506</v>
      </c>
      <c r="B509" s="6" t="str">
        <f>"30482021060218372676590"</f>
        <v>30482021060218372676590</v>
      </c>
      <c r="C509" s="6" t="s">
        <v>1576</v>
      </c>
      <c r="D509" s="6" t="str">
        <f>"朱奕霞"</f>
        <v>朱奕霞</v>
      </c>
      <c r="E509" s="6" t="str">
        <f t="shared" si="42"/>
        <v>女</v>
      </c>
      <c r="F509" s="7" t="s">
        <v>796</v>
      </c>
    </row>
    <row r="510" spans="1:6" ht="20.100000000000001" customHeight="1" x14ac:dyDescent="0.15">
      <c r="A510" s="5">
        <v>507</v>
      </c>
      <c r="B510" s="6" t="str">
        <f>"30482021060218374176593"</f>
        <v>30482021060218374176593</v>
      </c>
      <c r="C510" s="6" t="s">
        <v>1576</v>
      </c>
      <c r="D510" s="6" t="str">
        <f>"陈慧玉"</f>
        <v>陈慧玉</v>
      </c>
      <c r="E510" s="6" t="str">
        <f t="shared" si="42"/>
        <v>女</v>
      </c>
      <c r="F510" s="7" t="s">
        <v>893</v>
      </c>
    </row>
    <row r="511" spans="1:6" ht="20.100000000000001" customHeight="1" x14ac:dyDescent="0.15">
      <c r="A511" s="5">
        <v>508</v>
      </c>
      <c r="B511" s="6" t="str">
        <f>"30482021060218380876596"</f>
        <v>30482021060218380876596</v>
      </c>
      <c r="C511" s="6" t="s">
        <v>1576</v>
      </c>
      <c r="D511" s="6" t="str">
        <f>"张珠韵"</f>
        <v>张珠韵</v>
      </c>
      <c r="E511" s="6" t="str">
        <f t="shared" si="42"/>
        <v>女</v>
      </c>
      <c r="F511" s="7" t="s">
        <v>157</v>
      </c>
    </row>
    <row r="512" spans="1:6" ht="20.100000000000001" customHeight="1" x14ac:dyDescent="0.15">
      <c r="A512" s="5">
        <v>509</v>
      </c>
      <c r="B512" s="6" t="str">
        <f>"30482021060218381176597"</f>
        <v>30482021060218381176597</v>
      </c>
      <c r="C512" s="6" t="s">
        <v>1576</v>
      </c>
      <c r="D512" s="6" t="str">
        <f>"梁秀美"</f>
        <v>梁秀美</v>
      </c>
      <c r="E512" s="6" t="str">
        <f t="shared" si="42"/>
        <v>女</v>
      </c>
      <c r="F512" s="7" t="s">
        <v>1730</v>
      </c>
    </row>
    <row r="513" spans="1:6" ht="20.100000000000001" customHeight="1" x14ac:dyDescent="0.15">
      <c r="A513" s="5">
        <v>510</v>
      </c>
      <c r="B513" s="6" t="str">
        <f>"30482021060218471876653"</f>
        <v>30482021060218471876653</v>
      </c>
      <c r="C513" s="6" t="s">
        <v>1576</v>
      </c>
      <c r="D513" s="6" t="str">
        <f>"秦凰萍"</f>
        <v>秦凰萍</v>
      </c>
      <c r="E513" s="6" t="str">
        <f t="shared" si="42"/>
        <v>女</v>
      </c>
      <c r="F513" s="7" t="s">
        <v>1294</v>
      </c>
    </row>
    <row r="514" spans="1:6" ht="20.100000000000001" customHeight="1" x14ac:dyDescent="0.15">
      <c r="A514" s="5">
        <v>511</v>
      </c>
      <c r="B514" s="6" t="str">
        <f>"30482021060218553376716"</f>
        <v>30482021060218553376716</v>
      </c>
      <c r="C514" s="6" t="s">
        <v>1576</v>
      </c>
      <c r="D514" s="6" t="str">
        <f>"吴金惠"</f>
        <v>吴金惠</v>
      </c>
      <c r="E514" s="6" t="str">
        <f t="shared" si="42"/>
        <v>女</v>
      </c>
      <c r="F514" s="7" t="s">
        <v>635</v>
      </c>
    </row>
    <row r="515" spans="1:6" ht="20.100000000000001" customHeight="1" x14ac:dyDescent="0.15">
      <c r="A515" s="5">
        <v>512</v>
      </c>
      <c r="B515" s="6" t="str">
        <f>"30482021060219024176759"</f>
        <v>30482021060219024176759</v>
      </c>
      <c r="C515" s="6" t="s">
        <v>1576</v>
      </c>
      <c r="D515" s="6" t="str">
        <f>"钟家芬"</f>
        <v>钟家芬</v>
      </c>
      <c r="E515" s="6" t="str">
        <f t="shared" si="42"/>
        <v>女</v>
      </c>
      <c r="F515" s="7" t="s">
        <v>1731</v>
      </c>
    </row>
    <row r="516" spans="1:6" ht="20.100000000000001" customHeight="1" x14ac:dyDescent="0.15">
      <c r="A516" s="5">
        <v>513</v>
      </c>
      <c r="B516" s="6" t="str">
        <f>"30482021060219033076766"</f>
        <v>30482021060219033076766</v>
      </c>
      <c r="C516" s="6" t="s">
        <v>1576</v>
      </c>
      <c r="D516" s="6" t="str">
        <f>"孙琳"</f>
        <v>孙琳</v>
      </c>
      <c r="E516" s="6" t="str">
        <f t="shared" si="42"/>
        <v>女</v>
      </c>
      <c r="F516" s="7" t="s">
        <v>290</v>
      </c>
    </row>
    <row r="517" spans="1:6" ht="20.100000000000001" customHeight="1" x14ac:dyDescent="0.15">
      <c r="A517" s="5">
        <v>514</v>
      </c>
      <c r="B517" s="6" t="str">
        <f>"30482021060219072776791"</f>
        <v>30482021060219072776791</v>
      </c>
      <c r="C517" s="6" t="s">
        <v>1576</v>
      </c>
      <c r="D517" s="6" t="str">
        <f>"陆海娟"</f>
        <v>陆海娟</v>
      </c>
      <c r="E517" s="6" t="str">
        <f t="shared" si="42"/>
        <v>女</v>
      </c>
      <c r="F517" s="7" t="s">
        <v>1732</v>
      </c>
    </row>
    <row r="518" spans="1:6" ht="20.100000000000001" customHeight="1" x14ac:dyDescent="0.15">
      <c r="A518" s="5">
        <v>515</v>
      </c>
      <c r="B518" s="6" t="str">
        <f>"30482021060219174376850"</f>
        <v>30482021060219174376850</v>
      </c>
      <c r="C518" s="6" t="s">
        <v>1576</v>
      </c>
      <c r="D518" s="6" t="str">
        <f>"丘晓燕"</f>
        <v>丘晓燕</v>
      </c>
      <c r="E518" s="6" t="str">
        <f t="shared" si="42"/>
        <v>女</v>
      </c>
      <c r="F518" s="7" t="s">
        <v>1185</v>
      </c>
    </row>
    <row r="519" spans="1:6" ht="20.100000000000001" customHeight="1" x14ac:dyDescent="0.15">
      <c r="A519" s="5">
        <v>516</v>
      </c>
      <c r="B519" s="6" t="str">
        <f>"30482021060219240076892"</f>
        <v>30482021060219240076892</v>
      </c>
      <c r="C519" s="6" t="s">
        <v>1576</v>
      </c>
      <c r="D519" s="6" t="str">
        <f>"林雪慧"</f>
        <v>林雪慧</v>
      </c>
      <c r="E519" s="6" t="str">
        <f t="shared" si="42"/>
        <v>女</v>
      </c>
      <c r="F519" s="7" t="s">
        <v>1379</v>
      </c>
    </row>
    <row r="520" spans="1:6" ht="20.100000000000001" customHeight="1" x14ac:dyDescent="0.15">
      <c r="A520" s="5">
        <v>517</v>
      </c>
      <c r="B520" s="6" t="str">
        <f>"30482021060219310176948"</f>
        <v>30482021060219310176948</v>
      </c>
      <c r="C520" s="6" t="s">
        <v>1576</v>
      </c>
      <c r="D520" s="6" t="str">
        <f>"郑京伟"</f>
        <v>郑京伟</v>
      </c>
      <c r="E520" s="6" t="str">
        <f>"男"</f>
        <v>男</v>
      </c>
      <c r="F520" s="7" t="s">
        <v>1733</v>
      </c>
    </row>
    <row r="521" spans="1:6" ht="20.100000000000001" customHeight="1" x14ac:dyDescent="0.15">
      <c r="A521" s="5">
        <v>518</v>
      </c>
      <c r="B521" s="6" t="str">
        <f>"30482021060219340976971"</f>
        <v>30482021060219340976971</v>
      </c>
      <c r="C521" s="6" t="s">
        <v>1576</v>
      </c>
      <c r="D521" s="6" t="str">
        <f>"许环媛"</f>
        <v>许环媛</v>
      </c>
      <c r="E521" s="6" t="str">
        <f t="shared" ref="E521:E539" si="43">"女"</f>
        <v>女</v>
      </c>
      <c r="F521" s="7" t="s">
        <v>29</v>
      </c>
    </row>
    <row r="522" spans="1:6" ht="20.100000000000001" customHeight="1" x14ac:dyDescent="0.15">
      <c r="A522" s="5">
        <v>519</v>
      </c>
      <c r="B522" s="6" t="str">
        <f>"30482021060219383877009"</f>
        <v>30482021060219383877009</v>
      </c>
      <c r="C522" s="6" t="s">
        <v>1576</v>
      </c>
      <c r="D522" s="6" t="str">
        <f>"蔚晓君"</f>
        <v>蔚晓君</v>
      </c>
      <c r="E522" s="6" t="str">
        <f t="shared" si="43"/>
        <v>女</v>
      </c>
      <c r="F522" s="7" t="s">
        <v>700</v>
      </c>
    </row>
    <row r="523" spans="1:6" ht="20.100000000000001" customHeight="1" x14ac:dyDescent="0.15">
      <c r="A523" s="5">
        <v>520</v>
      </c>
      <c r="B523" s="6" t="str">
        <f>"30482021060219402877030"</f>
        <v>30482021060219402877030</v>
      </c>
      <c r="C523" s="6" t="s">
        <v>1576</v>
      </c>
      <c r="D523" s="6" t="str">
        <f>"黄春燕"</f>
        <v>黄春燕</v>
      </c>
      <c r="E523" s="6" t="str">
        <f t="shared" si="43"/>
        <v>女</v>
      </c>
      <c r="F523" s="7" t="s">
        <v>1734</v>
      </c>
    </row>
    <row r="524" spans="1:6" ht="20.100000000000001" customHeight="1" x14ac:dyDescent="0.15">
      <c r="A524" s="5">
        <v>521</v>
      </c>
      <c r="B524" s="6" t="str">
        <f>"30482021060219425677045"</f>
        <v>30482021060219425677045</v>
      </c>
      <c r="C524" s="6" t="s">
        <v>1576</v>
      </c>
      <c r="D524" s="6" t="str">
        <f>"周丽雅"</f>
        <v>周丽雅</v>
      </c>
      <c r="E524" s="6" t="str">
        <f t="shared" si="43"/>
        <v>女</v>
      </c>
      <c r="F524" s="7" t="s">
        <v>456</v>
      </c>
    </row>
    <row r="525" spans="1:6" ht="20.100000000000001" customHeight="1" x14ac:dyDescent="0.15">
      <c r="A525" s="5">
        <v>522</v>
      </c>
      <c r="B525" s="6" t="str">
        <f>"30482021060219495677102"</f>
        <v>30482021060219495677102</v>
      </c>
      <c r="C525" s="6" t="s">
        <v>1576</v>
      </c>
      <c r="D525" s="6" t="str">
        <f>"梁朝莲"</f>
        <v>梁朝莲</v>
      </c>
      <c r="E525" s="6" t="str">
        <f t="shared" si="43"/>
        <v>女</v>
      </c>
      <c r="F525" s="7" t="s">
        <v>586</v>
      </c>
    </row>
    <row r="526" spans="1:6" ht="20.100000000000001" customHeight="1" x14ac:dyDescent="0.15">
      <c r="A526" s="5">
        <v>523</v>
      </c>
      <c r="B526" s="6" t="str">
        <f>"30482021060219551377148"</f>
        <v>30482021060219551377148</v>
      </c>
      <c r="C526" s="6" t="s">
        <v>1576</v>
      </c>
      <c r="D526" s="6" t="str">
        <f>"王爱花"</f>
        <v>王爱花</v>
      </c>
      <c r="E526" s="6" t="str">
        <f t="shared" si="43"/>
        <v>女</v>
      </c>
      <c r="F526" s="7" t="s">
        <v>1168</v>
      </c>
    </row>
    <row r="527" spans="1:6" ht="20.100000000000001" customHeight="1" x14ac:dyDescent="0.15">
      <c r="A527" s="5">
        <v>524</v>
      </c>
      <c r="B527" s="6" t="str">
        <f>"30482021060220014677207"</f>
        <v>30482021060220014677207</v>
      </c>
      <c r="C527" s="6" t="s">
        <v>1576</v>
      </c>
      <c r="D527" s="6" t="str">
        <f>"陈嘉丽"</f>
        <v>陈嘉丽</v>
      </c>
      <c r="E527" s="6" t="str">
        <f t="shared" si="43"/>
        <v>女</v>
      </c>
      <c r="F527" s="7" t="s">
        <v>1348</v>
      </c>
    </row>
    <row r="528" spans="1:6" ht="20.100000000000001" customHeight="1" x14ac:dyDescent="0.15">
      <c r="A528" s="5">
        <v>525</v>
      </c>
      <c r="B528" s="6" t="str">
        <f>"30482021060220041277228"</f>
        <v>30482021060220041277228</v>
      </c>
      <c r="C528" s="6" t="s">
        <v>1576</v>
      </c>
      <c r="D528" s="6" t="str">
        <f>"冼恩嫚"</f>
        <v>冼恩嫚</v>
      </c>
      <c r="E528" s="6" t="str">
        <f t="shared" si="43"/>
        <v>女</v>
      </c>
      <c r="F528" s="7" t="s">
        <v>1735</v>
      </c>
    </row>
    <row r="529" spans="1:6" ht="20.100000000000001" customHeight="1" x14ac:dyDescent="0.15">
      <c r="A529" s="5">
        <v>526</v>
      </c>
      <c r="B529" s="6" t="str">
        <f>"30482021060220135977296"</f>
        <v>30482021060220135977296</v>
      </c>
      <c r="C529" s="6" t="s">
        <v>1576</v>
      </c>
      <c r="D529" s="6" t="str">
        <f>"韦海明"</f>
        <v>韦海明</v>
      </c>
      <c r="E529" s="6" t="str">
        <f t="shared" si="43"/>
        <v>女</v>
      </c>
      <c r="F529" s="7" t="s">
        <v>1736</v>
      </c>
    </row>
    <row r="530" spans="1:6" ht="20.100000000000001" customHeight="1" x14ac:dyDescent="0.15">
      <c r="A530" s="5">
        <v>527</v>
      </c>
      <c r="B530" s="6" t="str">
        <f>"30482021060220151077305"</f>
        <v>30482021060220151077305</v>
      </c>
      <c r="C530" s="6" t="s">
        <v>1576</v>
      </c>
      <c r="D530" s="6" t="str">
        <f>"黄嘉嘉"</f>
        <v>黄嘉嘉</v>
      </c>
      <c r="E530" s="6" t="str">
        <f t="shared" si="43"/>
        <v>女</v>
      </c>
      <c r="F530" s="7" t="s">
        <v>1737</v>
      </c>
    </row>
    <row r="531" spans="1:6" ht="20.100000000000001" customHeight="1" x14ac:dyDescent="0.15">
      <c r="A531" s="5">
        <v>528</v>
      </c>
      <c r="B531" s="6" t="str">
        <f>"30482021060220153677308"</f>
        <v>30482021060220153677308</v>
      </c>
      <c r="C531" s="6" t="s">
        <v>1576</v>
      </c>
      <c r="D531" s="6" t="str">
        <f>"王盈"</f>
        <v>王盈</v>
      </c>
      <c r="E531" s="6" t="str">
        <f t="shared" si="43"/>
        <v>女</v>
      </c>
      <c r="F531" s="7" t="s">
        <v>423</v>
      </c>
    </row>
    <row r="532" spans="1:6" ht="20.100000000000001" customHeight="1" x14ac:dyDescent="0.15">
      <c r="A532" s="5">
        <v>529</v>
      </c>
      <c r="B532" s="6" t="str">
        <f>"30482021060220210077359"</f>
        <v>30482021060220210077359</v>
      </c>
      <c r="C532" s="6" t="s">
        <v>1576</v>
      </c>
      <c r="D532" s="6" t="str">
        <f>"王秋波"</f>
        <v>王秋波</v>
      </c>
      <c r="E532" s="6" t="str">
        <f t="shared" si="43"/>
        <v>女</v>
      </c>
      <c r="F532" s="7" t="s">
        <v>1738</v>
      </c>
    </row>
    <row r="533" spans="1:6" ht="20.100000000000001" customHeight="1" x14ac:dyDescent="0.15">
      <c r="A533" s="5">
        <v>530</v>
      </c>
      <c r="B533" s="6" t="str">
        <f>"30482021060220212177362"</f>
        <v>30482021060220212177362</v>
      </c>
      <c r="C533" s="6" t="s">
        <v>1576</v>
      </c>
      <c r="D533" s="6" t="str">
        <f>"徐玉姣"</f>
        <v>徐玉姣</v>
      </c>
      <c r="E533" s="6" t="str">
        <f t="shared" si="43"/>
        <v>女</v>
      </c>
      <c r="F533" s="7" t="s">
        <v>107</v>
      </c>
    </row>
    <row r="534" spans="1:6" ht="20.100000000000001" customHeight="1" x14ac:dyDescent="0.15">
      <c r="A534" s="5">
        <v>531</v>
      </c>
      <c r="B534" s="6" t="str">
        <f>"30482021060220273177421"</f>
        <v>30482021060220273177421</v>
      </c>
      <c r="C534" s="6" t="s">
        <v>1576</v>
      </c>
      <c r="D534" s="6" t="str">
        <f>"林佳婷"</f>
        <v>林佳婷</v>
      </c>
      <c r="E534" s="6" t="str">
        <f t="shared" si="43"/>
        <v>女</v>
      </c>
      <c r="F534" s="7" t="s">
        <v>319</v>
      </c>
    </row>
    <row r="535" spans="1:6" ht="20.100000000000001" customHeight="1" x14ac:dyDescent="0.15">
      <c r="A535" s="5">
        <v>532</v>
      </c>
      <c r="B535" s="6" t="str">
        <f>"30482021060220275577425"</f>
        <v>30482021060220275577425</v>
      </c>
      <c r="C535" s="6" t="s">
        <v>1576</v>
      </c>
      <c r="D535" s="6" t="str">
        <f>"王敏"</f>
        <v>王敏</v>
      </c>
      <c r="E535" s="6" t="str">
        <f t="shared" si="43"/>
        <v>女</v>
      </c>
      <c r="F535" s="7" t="s">
        <v>783</v>
      </c>
    </row>
    <row r="536" spans="1:6" ht="20.100000000000001" customHeight="1" x14ac:dyDescent="0.15">
      <c r="A536" s="5">
        <v>533</v>
      </c>
      <c r="B536" s="6" t="str">
        <f>"30482021060220290377434"</f>
        <v>30482021060220290377434</v>
      </c>
      <c r="C536" s="6" t="s">
        <v>1576</v>
      </c>
      <c r="D536" s="6" t="str">
        <f>"陈海娜"</f>
        <v>陈海娜</v>
      </c>
      <c r="E536" s="6" t="str">
        <f t="shared" si="43"/>
        <v>女</v>
      </c>
      <c r="F536" s="7" t="s">
        <v>258</v>
      </c>
    </row>
    <row r="537" spans="1:6" ht="20.100000000000001" customHeight="1" x14ac:dyDescent="0.15">
      <c r="A537" s="5">
        <v>534</v>
      </c>
      <c r="B537" s="6" t="str">
        <f>"30482021060220372577513"</f>
        <v>30482021060220372577513</v>
      </c>
      <c r="C537" s="6" t="s">
        <v>1576</v>
      </c>
      <c r="D537" s="6" t="str">
        <f>"黄火娜"</f>
        <v>黄火娜</v>
      </c>
      <c r="E537" s="6" t="str">
        <f t="shared" si="43"/>
        <v>女</v>
      </c>
      <c r="F537" s="7" t="s">
        <v>1450</v>
      </c>
    </row>
    <row r="538" spans="1:6" ht="20.100000000000001" customHeight="1" x14ac:dyDescent="0.15">
      <c r="A538" s="5">
        <v>535</v>
      </c>
      <c r="B538" s="6" t="str">
        <f>"30482021060220494877619"</f>
        <v>30482021060220494877619</v>
      </c>
      <c r="C538" s="6" t="s">
        <v>1576</v>
      </c>
      <c r="D538" s="6" t="str">
        <f>"杨祖英"</f>
        <v>杨祖英</v>
      </c>
      <c r="E538" s="6" t="str">
        <f t="shared" si="43"/>
        <v>女</v>
      </c>
      <c r="F538" s="7" t="s">
        <v>547</v>
      </c>
    </row>
    <row r="539" spans="1:6" ht="20.100000000000001" customHeight="1" x14ac:dyDescent="0.15">
      <c r="A539" s="5">
        <v>536</v>
      </c>
      <c r="B539" s="6" t="str">
        <f>"30482021060220510977628"</f>
        <v>30482021060220510977628</v>
      </c>
      <c r="C539" s="6" t="s">
        <v>1576</v>
      </c>
      <c r="D539" s="6" t="str">
        <f>"冯茹婷"</f>
        <v>冯茹婷</v>
      </c>
      <c r="E539" s="6" t="str">
        <f t="shared" si="43"/>
        <v>女</v>
      </c>
      <c r="F539" s="7" t="s">
        <v>875</v>
      </c>
    </row>
    <row r="540" spans="1:6" ht="20.100000000000001" customHeight="1" x14ac:dyDescent="0.15">
      <c r="A540" s="5">
        <v>537</v>
      </c>
      <c r="B540" s="6" t="str">
        <f>"30482021060220551177666"</f>
        <v>30482021060220551177666</v>
      </c>
      <c r="C540" s="6" t="s">
        <v>1576</v>
      </c>
      <c r="D540" s="6" t="str">
        <f>"杨英震"</f>
        <v>杨英震</v>
      </c>
      <c r="E540" s="6" t="str">
        <f>"男"</f>
        <v>男</v>
      </c>
      <c r="F540" s="7" t="s">
        <v>1739</v>
      </c>
    </row>
    <row r="541" spans="1:6" ht="20.100000000000001" customHeight="1" x14ac:dyDescent="0.15">
      <c r="A541" s="5">
        <v>538</v>
      </c>
      <c r="B541" s="6" t="str">
        <f>"30482021060221033977734"</f>
        <v>30482021060221033977734</v>
      </c>
      <c r="C541" s="6" t="s">
        <v>1576</v>
      </c>
      <c r="D541" s="6" t="str">
        <f>"关义侠"</f>
        <v>关义侠</v>
      </c>
      <c r="E541" s="6" t="str">
        <f t="shared" ref="E541:E560" si="44">"女"</f>
        <v>女</v>
      </c>
      <c r="F541" s="7" t="s">
        <v>1740</v>
      </c>
    </row>
    <row r="542" spans="1:6" ht="20.100000000000001" customHeight="1" x14ac:dyDescent="0.15">
      <c r="A542" s="5">
        <v>539</v>
      </c>
      <c r="B542" s="6" t="str">
        <f>"30482021060221034877738"</f>
        <v>30482021060221034877738</v>
      </c>
      <c r="C542" s="6" t="s">
        <v>1576</v>
      </c>
      <c r="D542" s="6" t="str">
        <f>"孔海娇"</f>
        <v>孔海娇</v>
      </c>
      <c r="E542" s="6" t="str">
        <f t="shared" si="44"/>
        <v>女</v>
      </c>
      <c r="F542" s="7" t="s">
        <v>1512</v>
      </c>
    </row>
    <row r="543" spans="1:6" ht="20.100000000000001" customHeight="1" x14ac:dyDescent="0.15">
      <c r="A543" s="5">
        <v>540</v>
      </c>
      <c r="B543" s="6" t="str">
        <f>"30482021060221074177763"</f>
        <v>30482021060221074177763</v>
      </c>
      <c r="C543" s="6" t="s">
        <v>1576</v>
      </c>
      <c r="D543" s="6" t="str">
        <f>"王美君"</f>
        <v>王美君</v>
      </c>
      <c r="E543" s="6" t="str">
        <f t="shared" si="44"/>
        <v>女</v>
      </c>
      <c r="F543" s="7" t="s">
        <v>43</v>
      </c>
    </row>
    <row r="544" spans="1:6" ht="20.100000000000001" customHeight="1" x14ac:dyDescent="0.15">
      <c r="A544" s="5">
        <v>541</v>
      </c>
      <c r="B544" s="6" t="str">
        <f>"30482021060221093477775"</f>
        <v>30482021060221093477775</v>
      </c>
      <c r="C544" s="6" t="s">
        <v>1576</v>
      </c>
      <c r="D544" s="6" t="str">
        <f>"文惠"</f>
        <v>文惠</v>
      </c>
      <c r="E544" s="6" t="str">
        <f t="shared" si="44"/>
        <v>女</v>
      </c>
      <c r="F544" s="7" t="s">
        <v>651</v>
      </c>
    </row>
    <row r="545" spans="1:6" ht="20.100000000000001" customHeight="1" x14ac:dyDescent="0.15">
      <c r="A545" s="5">
        <v>542</v>
      </c>
      <c r="B545" s="6" t="str">
        <f>"30482021060221121377800"</f>
        <v>30482021060221121377800</v>
      </c>
      <c r="C545" s="6" t="s">
        <v>1576</v>
      </c>
      <c r="D545" s="6" t="str">
        <f>"苏妙铃"</f>
        <v>苏妙铃</v>
      </c>
      <c r="E545" s="6" t="str">
        <f t="shared" si="44"/>
        <v>女</v>
      </c>
      <c r="F545" s="7" t="s">
        <v>463</v>
      </c>
    </row>
    <row r="546" spans="1:6" ht="20.100000000000001" customHeight="1" x14ac:dyDescent="0.15">
      <c r="A546" s="5">
        <v>543</v>
      </c>
      <c r="B546" s="6" t="str">
        <f>"30482021060221135077813"</f>
        <v>30482021060221135077813</v>
      </c>
      <c r="C546" s="6" t="s">
        <v>1576</v>
      </c>
      <c r="D546" s="6" t="str">
        <f>"郑伟虹"</f>
        <v>郑伟虹</v>
      </c>
      <c r="E546" s="6" t="str">
        <f t="shared" si="44"/>
        <v>女</v>
      </c>
      <c r="F546" s="7" t="s">
        <v>927</v>
      </c>
    </row>
    <row r="547" spans="1:6" ht="20.100000000000001" customHeight="1" x14ac:dyDescent="0.15">
      <c r="A547" s="5">
        <v>544</v>
      </c>
      <c r="B547" s="6" t="str">
        <f>"30482021060221145077822"</f>
        <v>30482021060221145077822</v>
      </c>
      <c r="C547" s="6" t="s">
        <v>1576</v>
      </c>
      <c r="D547" s="6" t="str">
        <f>"吴英榕"</f>
        <v>吴英榕</v>
      </c>
      <c r="E547" s="6" t="str">
        <f t="shared" si="44"/>
        <v>女</v>
      </c>
      <c r="F547" s="7" t="s">
        <v>37</v>
      </c>
    </row>
    <row r="548" spans="1:6" ht="20.100000000000001" customHeight="1" x14ac:dyDescent="0.15">
      <c r="A548" s="5">
        <v>545</v>
      </c>
      <c r="B548" s="6" t="str">
        <f>"30482021060221230477899"</f>
        <v>30482021060221230477899</v>
      </c>
      <c r="C548" s="6" t="s">
        <v>1576</v>
      </c>
      <c r="D548" s="6" t="str">
        <f>"黄保转"</f>
        <v>黄保转</v>
      </c>
      <c r="E548" s="6" t="str">
        <f t="shared" si="44"/>
        <v>女</v>
      </c>
      <c r="F548" s="7" t="s">
        <v>1741</v>
      </c>
    </row>
    <row r="549" spans="1:6" ht="20.100000000000001" customHeight="1" x14ac:dyDescent="0.15">
      <c r="A549" s="5">
        <v>546</v>
      </c>
      <c r="B549" s="6" t="str">
        <f>"30482021060221232377901"</f>
        <v>30482021060221232377901</v>
      </c>
      <c r="C549" s="6" t="s">
        <v>1576</v>
      </c>
      <c r="D549" s="6" t="str">
        <f>"李丽萍"</f>
        <v>李丽萍</v>
      </c>
      <c r="E549" s="6" t="str">
        <f t="shared" si="44"/>
        <v>女</v>
      </c>
      <c r="F549" s="7" t="s">
        <v>1742</v>
      </c>
    </row>
    <row r="550" spans="1:6" ht="20.100000000000001" customHeight="1" x14ac:dyDescent="0.15">
      <c r="A550" s="5">
        <v>547</v>
      </c>
      <c r="B550" s="6" t="str">
        <f>"30482021060221331677977"</f>
        <v>30482021060221331677977</v>
      </c>
      <c r="C550" s="6" t="s">
        <v>1576</v>
      </c>
      <c r="D550" s="6" t="str">
        <f>"黄潇"</f>
        <v>黄潇</v>
      </c>
      <c r="E550" s="6" t="str">
        <f t="shared" si="44"/>
        <v>女</v>
      </c>
      <c r="F550" s="7" t="s">
        <v>1743</v>
      </c>
    </row>
    <row r="551" spans="1:6" ht="20.100000000000001" customHeight="1" x14ac:dyDescent="0.15">
      <c r="A551" s="5">
        <v>548</v>
      </c>
      <c r="B551" s="6" t="str">
        <f>"30482021060221344477990"</f>
        <v>30482021060221344477990</v>
      </c>
      <c r="C551" s="6" t="s">
        <v>1576</v>
      </c>
      <c r="D551" s="6" t="str">
        <f>"徐晓春"</f>
        <v>徐晓春</v>
      </c>
      <c r="E551" s="6" t="str">
        <f t="shared" si="44"/>
        <v>女</v>
      </c>
      <c r="F551" s="7" t="s">
        <v>1608</v>
      </c>
    </row>
    <row r="552" spans="1:6" ht="20.100000000000001" customHeight="1" x14ac:dyDescent="0.15">
      <c r="A552" s="5">
        <v>549</v>
      </c>
      <c r="B552" s="6" t="str">
        <f>"30482021060221361378005"</f>
        <v>30482021060221361378005</v>
      </c>
      <c r="C552" s="6" t="s">
        <v>1576</v>
      </c>
      <c r="D552" s="6" t="str">
        <f>"林秋杏"</f>
        <v>林秋杏</v>
      </c>
      <c r="E552" s="6" t="str">
        <f t="shared" si="44"/>
        <v>女</v>
      </c>
      <c r="F552" s="7" t="s">
        <v>1744</v>
      </c>
    </row>
    <row r="553" spans="1:6" ht="20.100000000000001" customHeight="1" x14ac:dyDescent="0.15">
      <c r="A553" s="5">
        <v>550</v>
      </c>
      <c r="B553" s="6" t="str">
        <f>"30482021060221415578040"</f>
        <v>30482021060221415578040</v>
      </c>
      <c r="C553" s="6" t="s">
        <v>1576</v>
      </c>
      <c r="D553" s="6" t="str">
        <f>"曾娜"</f>
        <v>曾娜</v>
      </c>
      <c r="E553" s="6" t="str">
        <f t="shared" si="44"/>
        <v>女</v>
      </c>
      <c r="F553" s="7" t="s">
        <v>1745</v>
      </c>
    </row>
    <row r="554" spans="1:6" ht="20.100000000000001" customHeight="1" x14ac:dyDescent="0.15">
      <c r="A554" s="5">
        <v>551</v>
      </c>
      <c r="B554" s="6" t="str">
        <f>"30482021060222073978246"</f>
        <v>30482021060222073978246</v>
      </c>
      <c r="C554" s="6" t="s">
        <v>1576</v>
      </c>
      <c r="D554" s="6" t="str">
        <f>"廖丽妹"</f>
        <v>廖丽妹</v>
      </c>
      <c r="E554" s="6" t="str">
        <f t="shared" si="44"/>
        <v>女</v>
      </c>
      <c r="F554" s="7" t="s">
        <v>1366</v>
      </c>
    </row>
    <row r="555" spans="1:6" ht="20.100000000000001" customHeight="1" x14ac:dyDescent="0.15">
      <c r="A555" s="5">
        <v>552</v>
      </c>
      <c r="B555" s="6" t="str">
        <f>"30482021060222092878256"</f>
        <v>30482021060222092878256</v>
      </c>
      <c r="C555" s="6" t="s">
        <v>1576</v>
      </c>
      <c r="D555" s="6" t="str">
        <f>"王来环"</f>
        <v>王来环</v>
      </c>
      <c r="E555" s="6" t="str">
        <f t="shared" si="44"/>
        <v>女</v>
      </c>
      <c r="F555" s="7" t="s">
        <v>549</v>
      </c>
    </row>
    <row r="556" spans="1:6" ht="20.100000000000001" customHeight="1" x14ac:dyDescent="0.15">
      <c r="A556" s="5">
        <v>553</v>
      </c>
      <c r="B556" s="6" t="str">
        <f>"30482021060222100378258"</f>
        <v>30482021060222100378258</v>
      </c>
      <c r="C556" s="6" t="s">
        <v>1576</v>
      </c>
      <c r="D556" s="6" t="str">
        <f>"许玉虹"</f>
        <v>许玉虹</v>
      </c>
      <c r="E556" s="6" t="str">
        <f t="shared" si="44"/>
        <v>女</v>
      </c>
      <c r="F556" s="7" t="s">
        <v>1478</v>
      </c>
    </row>
    <row r="557" spans="1:6" ht="20.100000000000001" customHeight="1" x14ac:dyDescent="0.15">
      <c r="A557" s="5">
        <v>554</v>
      </c>
      <c r="B557" s="6" t="str">
        <f>"30482021060222100978260"</f>
        <v>30482021060222100978260</v>
      </c>
      <c r="C557" s="6" t="s">
        <v>1576</v>
      </c>
      <c r="D557" s="6" t="str">
        <f>"邱宇"</f>
        <v>邱宇</v>
      </c>
      <c r="E557" s="6" t="str">
        <f t="shared" si="44"/>
        <v>女</v>
      </c>
      <c r="F557" s="7" t="s">
        <v>122</v>
      </c>
    </row>
    <row r="558" spans="1:6" ht="20.100000000000001" customHeight="1" x14ac:dyDescent="0.15">
      <c r="A558" s="5">
        <v>555</v>
      </c>
      <c r="B558" s="6" t="str">
        <f>"30482021060222101678262"</f>
        <v>30482021060222101678262</v>
      </c>
      <c r="C558" s="6" t="s">
        <v>1576</v>
      </c>
      <c r="D558" s="6" t="str">
        <f>"邢筱云"</f>
        <v>邢筱云</v>
      </c>
      <c r="E558" s="6" t="str">
        <f t="shared" si="44"/>
        <v>女</v>
      </c>
      <c r="F558" s="7" t="s">
        <v>64</v>
      </c>
    </row>
    <row r="559" spans="1:6" ht="20.100000000000001" customHeight="1" x14ac:dyDescent="0.15">
      <c r="A559" s="5">
        <v>556</v>
      </c>
      <c r="B559" s="6" t="str">
        <f>"30482021060222101878263"</f>
        <v>30482021060222101878263</v>
      </c>
      <c r="C559" s="6" t="s">
        <v>1576</v>
      </c>
      <c r="D559" s="6" t="str">
        <f>"刘强霞"</f>
        <v>刘强霞</v>
      </c>
      <c r="E559" s="6" t="str">
        <f t="shared" si="44"/>
        <v>女</v>
      </c>
      <c r="F559" s="7" t="s">
        <v>27</v>
      </c>
    </row>
    <row r="560" spans="1:6" ht="20.100000000000001" customHeight="1" x14ac:dyDescent="0.15">
      <c r="A560" s="5">
        <v>557</v>
      </c>
      <c r="B560" s="6" t="str">
        <f>"30482021060222233978368"</f>
        <v>30482021060222233978368</v>
      </c>
      <c r="C560" s="6" t="s">
        <v>1576</v>
      </c>
      <c r="D560" s="6" t="str">
        <f>"麦笃萍"</f>
        <v>麦笃萍</v>
      </c>
      <c r="E560" s="6" t="str">
        <f t="shared" si="44"/>
        <v>女</v>
      </c>
      <c r="F560" s="7" t="s">
        <v>1446</v>
      </c>
    </row>
    <row r="561" spans="1:6" ht="20.100000000000001" customHeight="1" x14ac:dyDescent="0.15">
      <c r="A561" s="5">
        <v>558</v>
      </c>
      <c r="B561" s="6" t="str">
        <f>"30482021060222250478376"</f>
        <v>30482021060222250478376</v>
      </c>
      <c r="C561" s="6" t="s">
        <v>1576</v>
      </c>
      <c r="D561" s="6" t="str">
        <f>"林明福"</f>
        <v>林明福</v>
      </c>
      <c r="E561" s="6" t="str">
        <f>"男"</f>
        <v>男</v>
      </c>
      <c r="F561" s="7" t="s">
        <v>1746</v>
      </c>
    </row>
    <row r="562" spans="1:6" ht="20.100000000000001" customHeight="1" x14ac:dyDescent="0.15">
      <c r="A562" s="5">
        <v>559</v>
      </c>
      <c r="B562" s="6" t="str">
        <f>"30482021060222290778416"</f>
        <v>30482021060222290778416</v>
      </c>
      <c r="C562" s="6" t="s">
        <v>1576</v>
      </c>
      <c r="D562" s="6" t="str">
        <f>"吴思颖"</f>
        <v>吴思颖</v>
      </c>
      <c r="E562" s="6" t="str">
        <f t="shared" ref="E562:E578" si="45">"女"</f>
        <v>女</v>
      </c>
      <c r="F562" s="7" t="s">
        <v>1369</v>
      </c>
    </row>
    <row r="563" spans="1:6" ht="20.100000000000001" customHeight="1" x14ac:dyDescent="0.15">
      <c r="A563" s="5">
        <v>560</v>
      </c>
      <c r="B563" s="6" t="str">
        <f>"30482021060222292178420"</f>
        <v>30482021060222292178420</v>
      </c>
      <c r="C563" s="6" t="s">
        <v>1576</v>
      </c>
      <c r="D563" s="6" t="str">
        <f>"林雪弟"</f>
        <v>林雪弟</v>
      </c>
      <c r="E563" s="6" t="str">
        <f t="shared" si="45"/>
        <v>女</v>
      </c>
      <c r="F563" s="7" t="s">
        <v>1747</v>
      </c>
    </row>
    <row r="564" spans="1:6" ht="20.100000000000001" customHeight="1" x14ac:dyDescent="0.15">
      <c r="A564" s="5">
        <v>561</v>
      </c>
      <c r="B564" s="6" t="str">
        <f>"30482021060222403178507"</f>
        <v>30482021060222403178507</v>
      </c>
      <c r="C564" s="6" t="s">
        <v>1576</v>
      </c>
      <c r="D564" s="6" t="str">
        <f>"罗天蝉"</f>
        <v>罗天蝉</v>
      </c>
      <c r="E564" s="6" t="str">
        <f t="shared" si="45"/>
        <v>女</v>
      </c>
      <c r="F564" s="7" t="s">
        <v>631</v>
      </c>
    </row>
    <row r="565" spans="1:6" ht="20.100000000000001" customHeight="1" x14ac:dyDescent="0.15">
      <c r="A565" s="5">
        <v>562</v>
      </c>
      <c r="B565" s="6" t="str">
        <f>"30482021060222464078553"</f>
        <v>30482021060222464078553</v>
      </c>
      <c r="C565" s="6" t="s">
        <v>1576</v>
      </c>
      <c r="D565" s="6" t="str">
        <f>"郑向虹"</f>
        <v>郑向虹</v>
      </c>
      <c r="E565" s="6" t="str">
        <f t="shared" si="45"/>
        <v>女</v>
      </c>
      <c r="F565" s="7" t="s">
        <v>556</v>
      </c>
    </row>
    <row r="566" spans="1:6" ht="20.100000000000001" customHeight="1" x14ac:dyDescent="0.15">
      <c r="A566" s="5">
        <v>563</v>
      </c>
      <c r="B566" s="6" t="str">
        <f>"30482021060222510578587"</f>
        <v>30482021060222510578587</v>
      </c>
      <c r="C566" s="6" t="s">
        <v>1576</v>
      </c>
      <c r="D566" s="6" t="str">
        <f>"许琳"</f>
        <v>许琳</v>
      </c>
      <c r="E566" s="6" t="str">
        <f t="shared" si="45"/>
        <v>女</v>
      </c>
      <c r="F566" s="7" t="s">
        <v>409</v>
      </c>
    </row>
    <row r="567" spans="1:6" ht="20.100000000000001" customHeight="1" x14ac:dyDescent="0.15">
      <c r="A567" s="5">
        <v>564</v>
      </c>
      <c r="B567" s="6" t="str">
        <f>"30482021060222580278635"</f>
        <v>30482021060222580278635</v>
      </c>
      <c r="C567" s="6" t="s">
        <v>1576</v>
      </c>
      <c r="D567" s="6" t="str">
        <f>"黄钟娇"</f>
        <v>黄钟娇</v>
      </c>
      <c r="E567" s="6" t="str">
        <f t="shared" si="45"/>
        <v>女</v>
      </c>
      <c r="F567" s="7" t="s">
        <v>1748</v>
      </c>
    </row>
    <row r="568" spans="1:6" ht="20.100000000000001" customHeight="1" x14ac:dyDescent="0.15">
      <c r="A568" s="5">
        <v>565</v>
      </c>
      <c r="B568" s="6" t="str">
        <f>"30482021060223064878695"</f>
        <v>30482021060223064878695</v>
      </c>
      <c r="C568" s="6" t="s">
        <v>1576</v>
      </c>
      <c r="D568" s="6" t="str">
        <f>"陈霏"</f>
        <v>陈霏</v>
      </c>
      <c r="E568" s="6" t="str">
        <f t="shared" si="45"/>
        <v>女</v>
      </c>
      <c r="F568" s="7" t="s">
        <v>1179</v>
      </c>
    </row>
    <row r="569" spans="1:6" ht="20.100000000000001" customHeight="1" x14ac:dyDescent="0.15">
      <c r="A569" s="5">
        <v>566</v>
      </c>
      <c r="B569" s="6" t="str">
        <f>"30482021060223133178733"</f>
        <v>30482021060223133178733</v>
      </c>
      <c r="C569" s="6" t="s">
        <v>1576</v>
      </c>
      <c r="D569" s="6" t="str">
        <f>"陈玎"</f>
        <v>陈玎</v>
      </c>
      <c r="E569" s="6" t="str">
        <f t="shared" si="45"/>
        <v>女</v>
      </c>
      <c r="F569" s="7" t="s">
        <v>165</v>
      </c>
    </row>
    <row r="570" spans="1:6" ht="20.100000000000001" customHeight="1" x14ac:dyDescent="0.15">
      <c r="A570" s="5">
        <v>567</v>
      </c>
      <c r="B570" s="6" t="str">
        <f>"30482021060223200678766"</f>
        <v>30482021060223200678766</v>
      </c>
      <c r="C570" s="6" t="s">
        <v>1576</v>
      </c>
      <c r="D570" s="6" t="str">
        <f>"黄向华"</f>
        <v>黄向华</v>
      </c>
      <c r="E570" s="6" t="str">
        <f t="shared" si="45"/>
        <v>女</v>
      </c>
      <c r="F570" s="7" t="s">
        <v>526</v>
      </c>
    </row>
    <row r="571" spans="1:6" ht="20.100000000000001" customHeight="1" x14ac:dyDescent="0.15">
      <c r="A571" s="5">
        <v>568</v>
      </c>
      <c r="B571" s="6" t="str">
        <f>"30482021060223311678836"</f>
        <v>30482021060223311678836</v>
      </c>
      <c r="C571" s="6" t="s">
        <v>1576</v>
      </c>
      <c r="D571" s="6" t="str">
        <f>"文琼妹"</f>
        <v>文琼妹</v>
      </c>
      <c r="E571" s="6" t="str">
        <f t="shared" si="45"/>
        <v>女</v>
      </c>
      <c r="F571" s="7" t="s">
        <v>71</v>
      </c>
    </row>
    <row r="572" spans="1:6" ht="20.100000000000001" customHeight="1" x14ac:dyDescent="0.15">
      <c r="A572" s="5">
        <v>569</v>
      </c>
      <c r="B572" s="6" t="str">
        <f>"30482021060223325578842"</f>
        <v>30482021060223325578842</v>
      </c>
      <c r="C572" s="6" t="s">
        <v>1576</v>
      </c>
      <c r="D572" s="6" t="str">
        <f>"周海丽"</f>
        <v>周海丽</v>
      </c>
      <c r="E572" s="6" t="str">
        <f t="shared" si="45"/>
        <v>女</v>
      </c>
      <c r="F572" s="7" t="s">
        <v>66</v>
      </c>
    </row>
    <row r="573" spans="1:6" ht="20.100000000000001" customHeight="1" x14ac:dyDescent="0.15">
      <c r="A573" s="5">
        <v>570</v>
      </c>
      <c r="B573" s="6" t="str">
        <f>"30482021060223373878867"</f>
        <v>30482021060223373878867</v>
      </c>
      <c r="C573" s="6" t="s">
        <v>1576</v>
      </c>
      <c r="D573" s="6" t="str">
        <f>"吴海亿"</f>
        <v>吴海亿</v>
      </c>
      <c r="E573" s="6" t="str">
        <f t="shared" si="45"/>
        <v>女</v>
      </c>
      <c r="F573" s="7" t="s">
        <v>318</v>
      </c>
    </row>
    <row r="574" spans="1:6" ht="20.100000000000001" customHeight="1" x14ac:dyDescent="0.15">
      <c r="A574" s="5">
        <v>571</v>
      </c>
      <c r="B574" s="6" t="str">
        <f>"30482021060223402778877"</f>
        <v>30482021060223402778877</v>
      </c>
      <c r="C574" s="6" t="s">
        <v>1576</v>
      </c>
      <c r="D574" s="6" t="str">
        <f>"谢玲丹"</f>
        <v>谢玲丹</v>
      </c>
      <c r="E574" s="6" t="str">
        <f t="shared" si="45"/>
        <v>女</v>
      </c>
      <c r="F574" s="7" t="s">
        <v>637</v>
      </c>
    </row>
    <row r="575" spans="1:6" ht="20.100000000000001" customHeight="1" x14ac:dyDescent="0.15">
      <c r="A575" s="5">
        <v>572</v>
      </c>
      <c r="B575" s="6" t="str">
        <f>"30482021060300553679079"</f>
        <v>30482021060300553679079</v>
      </c>
      <c r="C575" s="6" t="s">
        <v>1576</v>
      </c>
      <c r="D575" s="6" t="str">
        <f>"刘如欣"</f>
        <v>刘如欣</v>
      </c>
      <c r="E575" s="6" t="str">
        <f t="shared" si="45"/>
        <v>女</v>
      </c>
      <c r="F575" s="7" t="s">
        <v>58</v>
      </c>
    </row>
    <row r="576" spans="1:6" ht="20.100000000000001" customHeight="1" x14ac:dyDescent="0.15">
      <c r="A576" s="5">
        <v>573</v>
      </c>
      <c r="B576" s="6" t="str">
        <f>"30482021060301110879093"</f>
        <v>30482021060301110879093</v>
      </c>
      <c r="C576" s="6" t="s">
        <v>1576</v>
      </c>
      <c r="D576" s="6" t="str">
        <f>"吴方燕"</f>
        <v>吴方燕</v>
      </c>
      <c r="E576" s="6" t="str">
        <f t="shared" si="45"/>
        <v>女</v>
      </c>
      <c r="F576" s="7" t="s">
        <v>1749</v>
      </c>
    </row>
    <row r="577" spans="1:6" ht="20.100000000000001" customHeight="1" x14ac:dyDescent="0.15">
      <c r="A577" s="5">
        <v>574</v>
      </c>
      <c r="B577" s="6" t="str">
        <f>"30482021060302041779128"</f>
        <v>30482021060302041779128</v>
      </c>
      <c r="C577" s="6" t="s">
        <v>1576</v>
      </c>
      <c r="D577" s="6" t="str">
        <f>"胡晶晶"</f>
        <v>胡晶晶</v>
      </c>
      <c r="E577" s="6" t="str">
        <f t="shared" si="45"/>
        <v>女</v>
      </c>
      <c r="F577" s="7" t="s">
        <v>1058</v>
      </c>
    </row>
    <row r="578" spans="1:6" ht="20.100000000000001" customHeight="1" x14ac:dyDescent="0.15">
      <c r="A578" s="5">
        <v>575</v>
      </c>
      <c r="B578" s="6" t="str">
        <f>"30482021060307502879233"</f>
        <v>30482021060307502879233</v>
      </c>
      <c r="C578" s="6" t="s">
        <v>1576</v>
      </c>
      <c r="D578" s="6" t="str">
        <f>"符式娜"</f>
        <v>符式娜</v>
      </c>
      <c r="E578" s="6" t="str">
        <f t="shared" si="45"/>
        <v>女</v>
      </c>
      <c r="F578" s="7" t="s">
        <v>292</v>
      </c>
    </row>
    <row r="579" spans="1:6" ht="20.100000000000001" customHeight="1" x14ac:dyDescent="0.15">
      <c r="A579" s="5">
        <v>576</v>
      </c>
      <c r="B579" s="6" t="str">
        <f>"30482021060307543479245"</f>
        <v>30482021060307543479245</v>
      </c>
      <c r="C579" s="6" t="s">
        <v>1576</v>
      </c>
      <c r="D579" s="6" t="str">
        <f>"陈亚孝"</f>
        <v>陈亚孝</v>
      </c>
      <c r="E579" s="6" t="str">
        <f>"男"</f>
        <v>男</v>
      </c>
      <c r="F579" s="7" t="s">
        <v>1750</v>
      </c>
    </row>
    <row r="580" spans="1:6" ht="20.100000000000001" customHeight="1" x14ac:dyDescent="0.15">
      <c r="A580" s="5">
        <v>577</v>
      </c>
      <c r="B580" s="6" t="str">
        <f>"30482021060308031979272"</f>
        <v>30482021060308031979272</v>
      </c>
      <c r="C580" s="6" t="s">
        <v>1576</v>
      </c>
      <c r="D580" s="6" t="str">
        <f>"洪世军"</f>
        <v>洪世军</v>
      </c>
      <c r="E580" s="6" t="str">
        <f>"男"</f>
        <v>男</v>
      </c>
      <c r="F580" s="7" t="s">
        <v>1751</v>
      </c>
    </row>
    <row r="581" spans="1:6" ht="20.100000000000001" customHeight="1" x14ac:dyDescent="0.15">
      <c r="A581" s="5">
        <v>578</v>
      </c>
      <c r="B581" s="6" t="str">
        <f>"30482021060308193679375"</f>
        <v>30482021060308193679375</v>
      </c>
      <c r="C581" s="6" t="s">
        <v>1576</v>
      </c>
      <c r="D581" s="6" t="str">
        <f>"李向玉"</f>
        <v>李向玉</v>
      </c>
      <c r="E581" s="6" t="str">
        <f t="shared" ref="E581:E584" si="46">"女"</f>
        <v>女</v>
      </c>
      <c r="F581" s="7" t="s">
        <v>370</v>
      </c>
    </row>
    <row r="582" spans="1:6" ht="20.100000000000001" customHeight="1" x14ac:dyDescent="0.15">
      <c r="A582" s="5">
        <v>579</v>
      </c>
      <c r="B582" s="6" t="str">
        <f>"30482021060308250179422"</f>
        <v>30482021060308250179422</v>
      </c>
      <c r="C582" s="6" t="s">
        <v>1576</v>
      </c>
      <c r="D582" s="6" t="str">
        <f>"裴子音"</f>
        <v>裴子音</v>
      </c>
      <c r="E582" s="6" t="str">
        <f t="shared" si="46"/>
        <v>女</v>
      </c>
      <c r="F582" s="7" t="s">
        <v>136</v>
      </c>
    </row>
    <row r="583" spans="1:6" ht="20.100000000000001" customHeight="1" x14ac:dyDescent="0.15">
      <c r="A583" s="5">
        <v>580</v>
      </c>
      <c r="B583" s="6" t="str">
        <f>"30482021060308355879516"</f>
        <v>30482021060308355879516</v>
      </c>
      <c r="C583" s="6" t="s">
        <v>1576</v>
      </c>
      <c r="D583" s="6" t="str">
        <f>"莫小芳"</f>
        <v>莫小芳</v>
      </c>
      <c r="E583" s="6" t="str">
        <f t="shared" si="46"/>
        <v>女</v>
      </c>
      <c r="F583" s="7" t="s">
        <v>1752</v>
      </c>
    </row>
    <row r="584" spans="1:6" ht="20.100000000000001" customHeight="1" x14ac:dyDescent="0.15">
      <c r="A584" s="5">
        <v>581</v>
      </c>
      <c r="B584" s="6" t="str">
        <f>"30482021060309095279921"</f>
        <v>30482021060309095279921</v>
      </c>
      <c r="C584" s="6" t="s">
        <v>1576</v>
      </c>
      <c r="D584" s="6" t="str">
        <f>"李英杰"</f>
        <v>李英杰</v>
      </c>
      <c r="E584" s="6" t="str">
        <f t="shared" si="46"/>
        <v>女</v>
      </c>
      <c r="F584" s="7" t="s">
        <v>345</v>
      </c>
    </row>
    <row r="585" spans="1:6" ht="20.100000000000001" customHeight="1" x14ac:dyDescent="0.15">
      <c r="A585" s="5">
        <v>582</v>
      </c>
      <c r="B585" s="6" t="str">
        <f>"30482021060309144279980"</f>
        <v>30482021060309144279980</v>
      </c>
      <c r="C585" s="6" t="s">
        <v>1576</v>
      </c>
      <c r="D585" s="6" t="str">
        <f>"曾令荞"</f>
        <v>曾令荞</v>
      </c>
      <c r="E585" s="6" t="str">
        <f>"男"</f>
        <v>男</v>
      </c>
      <c r="F585" s="7" t="s">
        <v>1753</v>
      </c>
    </row>
    <row r="586" spans="1:6" ht="20.100000000000001" customHeight="1" x14ac:dyDescent="0.15">
      <c r="A586" s="5">
        <v>583</v>
      </c>
      <c r="B586" s="6" t="str">
        <f>"30482021060309232780104"</f>
        <v>30482021060309232780104</v>
      </c>
      <c r="C586" s="6" t="s">
        <v>1576</v>
      </c>
      <c r="D586" s="6" t="str">
        <f>"杨天珠"</f>
        <v>杨天珠</v>
      </c>
      <c r="E586" s="6" t="str">
        <f t="shared" ref="E586:E593" si="47">"女"</f>
        <v>女</v>
      </c>
      <c r="F586" s="7" t="s">
        <v>455</v>
      </c>
    </row>
    <row r="587" spans="1:6" ht="20.100000000000001" customHeight="1" x14ac:dyDescent="0.15">
      <c r="A587" s="5">
        <v>584</v>
      </c>
      <c r="B587" s="6" t="str">
        <f>"30482021060309342480282"</f>
        <v>30482021060309342480282</v>
      </c>
      <c r="C587" s="6" t="s">
        <v>1576</v>
      </c>
      <c r="D587" s="6" t="str">
        <f>"陈秋可"</f>
        <v>陈秋可</v>
      </c>
      <c r="E587" s="6" t="str">
        <f t="shared" si="47"/>
        <v>女</v>
      </c>
      <c r="F587" s="7" t="s">
        <v>1281</v>
      </c>
    </row>
    <row r="588" spans="1:6" ht="20.100000000000001" customHeight="1" x14ac:dyDescent="0.15">
      <c r="A588" s="5">
        <v>585</v>
      </c>
      <c r="B588" s="6" t="str">
        <f>"30482021060309392580349"</f>
        <v>30482021060309392580349</v>
      </c>
      <c r="C588" s="6" t="s">
        <v>1576</v>
      </c>
      <c r="D588" s="6" t="str">
        <f>"莫巨明"</f>
        <v>莫巨明</v>
      </c>
      <c r="E588" s="6" t="str">
        <f>"男"</f>
        <v>男</v>
      </c>
      <c r="F588" s="7" t="s">
        <v>1129</v>
      </c>
    </row>
    <row r="589" spans="1:6" ht="20.100000000000001" customHeight="1" x14ac:dyDescent="0.15">
      <c r="A589" s="5">
        <v>586</v>
      </c>
      <c r="B589" s="6" t="str">
        <f>"30482021060309401580362"</f>
        <v>30482021060309401580362</v>
      </c>
      <c r="C589" s="6" t="s">
        <v>1576</v>
      </c>
      <c r="D589" s="6" t="str">
        <f>"韩宜"</f>
        <v>韩宜</v>
      </c>
      <c r="E589" s="6" t="str">
        <f t="shared" si="47"/>
        <v>女</v>
      </c>
      <c r="F589" s="7" t="s">
        <v>1754</v>
      </c>
    </row>
    <row r="590" spans="1:6" ht="20.100000000000001" customHeight="1" x14ac:dyDescent="0.15">
      <c r="A590" s="5">
        <v>587</v>
      </c>
      <c r="B590" s="6" t="str">
        <f>"30482021060309481280477"</f>
        <v>30482021060309481280477</v>
      </c>
      <c r="C590" s="6" t="s">
        <v>1576</v>
      </c>
      <c r="D590" s="6" t="str">
        <f>"李施晓"</f>
        <v>李施晓</v>
      </c>
      <c r="E590" s="6" t="str">
        <f t="shared" si="47"/>
        <v>女</v>
      </c>
      <c r="F590" s="7" t="s">
        <v>12</v>
      </c>
    </row>
    <row r="591" spans="1:6" ht="20.100000000000001" customHeight="1" x14ac:dyDescent="0.15">
      <c r="A591" s="5">
        <v>588</v>
      </c>
      <c r="B591" s="6" t="str">
        <f>"30482021060309483480482"</f>
        <v>30482021060309483480482</v>
      </c>
      <c r="C591" s="6" t="s">
        <v>1576</v>
      </c>
      <c r="D591" s="6" t="str">
        <f>"林海秋"</f>
        <v>林海秋</v>
      </c>
      <c r="E591" s="6" t="str">
        <f t="shared" si="47"/>
        <v>女</v>
      </c>
      <c r="F591" s="7" t="s">
        <v>1755</v>
      </c>
    </row>
    <row r="592" spans="1:6" ht="20.100000000000001" customHeight="1" x14ac:dyDescent="0.15">
      <c r="A592" s="5">
        <v>589</v>
      </c>
      <c r="B592" s="6" t="str">
        <f>"30482021060309590980669"</f>
        <v>30482021060309590980669</v>
      </c>
      <c r="C592" s="6" t="s">
        <v>1576</v>
      </c>
      <c r="D592" s="6" t="str">
        <f>"王诗梦"</f>
        <v>王诗梦</v>
      </c>
      <c r="E592" s="6" t="str">
        <f t="shared" si="47"/>
        <v>女</v>
      </c>
      <c r="F592" s="7" t="s">
        <v>335</v>
      </c>
    </row>
    <row r="593" spans="1:6" ht="20.100000000000001" customHeight="1" x14ac:dyDescent="0.15">
      <c r="A593" s="5">
        <v>590</v>
      </c>
      <c r="B593" s="6" t="str">
        <f>"30482021060310062680782"</f>
        <v>30482021060310062680782</v>
      </c>
      <c r="C593" s="6" t="s">
        <v>1576</v>
      </c>
      <c r="D593" s="6" t="str">
        <f>"黄小娟"</f>
        <v>黄小娟</v>
      </c>
      <c r="E593" s="6" t="str">
        <f t="shared" si="47"/>
        <v>女</v>
      </c>
      <c r="F593" s="7" t="s">
        <v>1372</v>
      </c>
    </row>
    <row r="594" spans="1:6" ht="20.100000000000001" customHeight="1" x14ac:dyDescent="0.15">
      <c r="A594" s="5">
        <v>591</v>
      </c>
      <c r="B594" s="6" t="str">
        <f>"30482021060310063180784"</f>
        <v>30482021060310063180784</v>
      </c>
      <c r="C594" s="6" t="s">
        <v>1576</v>
      </c>
      <c r="D594" s="6" t="str">
        <f>"符朝兴"</f>
        <v>符朝兴</v>
      </c>
      <c r="E594" s="6" t="str">
        <f>"男"</f>
        <v>男</v>
      </c>
      <c r="F594" s="7" t="s">
        <v>1756</v>
      </c>
    </row>
    <row r="595" spans="1:6" ht="20.100000000000001" customHeight="1" x14ac:dyDescent="0.15">
      <c r="A595" s="5">
        <v>592</v>
      </c>
      <c r="B595" s="6" t="str">
        <f>"30482021060310104280855"</f>
        <v>30482021060310104280855</v>
      </c>
      <c r="C595" s="6" t="s">
        <v>1576</v>
      </c>
      <c r="D595" s="6" t="str">
        <f>"凌家妮"</f>
        <v>凌家妮</v>
      </c>
      <c r="E595" s="6" t="str">
        <f t="shared" ref="E595:E617" si="48">"女"</f>
        <v>女</v>
      </c>
      <c r="F595" s="7" t="s">
        <v>403</v>
      </c>
    </row>
    <row r="596" spans="1:6" ht="20.100000000000001" customHeight="1" x14ac:dyDescent="0.15">
      <c r="A596" s="5">
        <v>593</v>
      </c>
      <c r="B596" s="6" t="str">
        <f>"30482021060310134280908"</f>
        <v>30482021060310134280908</v>
      </c>
      <c r="C596" s="6" t="s">
        <v>1576</v>
      </c>
      <c r="D596" s="6" t="str">
        <f>"梁曼"</f>
        <v>梁曼</v>
      </c>
      <c r="E596" s="6" t="str">
        <f t="shared" si="48"/>
        <v>女</v>
      </c>
      <c r="F596" s="7" t="s">
        <v>160</v>
      </c>
    </row>
    <row r="597" spans="1:6" ht="20.100000000000001" customHeight="1" x14ac:dyDescent="0.15">
      <c r="A597" s="5">
        <v>594</v>
      </c>
      <c r="B597" s="6" t="str">
        <f>"30482021060310224781060"</f>
        <v>30482021060310224781060</v>
      </c>
      <c r="C597" s="6" t="s">
        <v>1576</v>
      </c>
      <c r="D597" s="6" t="str">
        <f>"王佳琦"</f>
        <v>王佳琦</v>
      </c>
      <c r="E597" s="6" t="str">
        <f t="shared" si="48"/>
        <v>女</v>
      </c>
      <c r="F597" s="7" t="s">
        <v>1268</v>
      </c>
    </row>
    <row r="598" spans="1:6" ht="20.100000000000001" customHeight="1" x14ac:dyDescent="0.15">
      <c r="A598" s="5">
        <v>595</v>
      </c>
      <c r="B598" s="6" t="str">
        <f>"30482021060310253181095"</f>
        <v>30482021060310253181095</v>
      </c>
      <c r="C598" s="6" t="s">
        <v>1576</v>
      </c>
      <c r="D598" s="6" t="str">
        <f>"王兰珍"</f>
        <v>王兰珍</v>
      </c>
      <c r="E598" s="6" t="str">
        <f t="shared" si="48"/>
        <v>女</v>
      </c>
      <c r="F598" s="7" t="s">
        <v>1099</v>
      </c>
    </row>
    <row r="599" spans="1:6" ht="20.100000000000001" customHeight="1" x14ac:dyDescent="0.15">
      <c r="A599" s="5">
        <v>596</v>
      </c>
      <c r="B599" s="6" t="str">
        <f>"30482021060310315681188"</f>
        <v>30482021060310315681188</v>
      </c>
      <c r="C599" s="6" t="s">
        <v>1576</v>
      </c>
      <c r="D599" s="6" t="str">
        <f>"黄贞"</f>
        <v>黄贞</v>
      </c>
      <c r="E599" s="6" t="str">
        <f t="shared" si="48"/>
        <v>女</v>
      </c>
      <c r="F599" s="7" t="s">
        <v>915</v>
      </c>
    </row>
    <row r="600" spans="1:6" ht="20.100000000000001" customHeight="1" x14ac:dyDescent="0.15">
      <c r="A600" s="5">
        <v>597</v>
      </c>
      <c r="B600" s="6" t="str">
        <f>"30482021060310350481244"</f>
        <v>30482021060310350481244</v>
      </c>
      <c r="C600" s="6" t="s">
        <v>1576</v>
      </c>
      <c r="D600" s="6" t="str">
        <f>"韩云"</f>
        <v>韩云</v>
      </c>
      <c r="E600" s="6" t="str">
        <f t="shared" si="48"/>
        <v>女</v>
      </c>
      <c r="F600" s="7" t="s">
        <v>53</v>
      </c>
    </row>
    <row r="601" spans="1:6" ht="20.100000000000001" customHeight="1" x14ac:dyDescent="0.15">
      <c r="A601" s="5">
        <v>598</v>
      </c>
      <c r="B601" s="6" t="str">
        <f>"30482021060310360981264"</f>
        <v>30482021060310360981264</v>
      </c>
      <c r="C601" s="6" t="s">
        <v>1576</v>
      </c>
      <c r="D601" s="6" t="str">
        <f>"陈会清"</f>
        <v>陈会清</v>
      </c>
      <c r="E601" s="6" t="str">
        <f t="shared" si="48"/>
        <v>女</v>
      </c>
      <c r="F601" s="7" t="s">
        <v>527</v>
      </c>
    </row>
    <row r="602" spans="1:6" ht="20.100000000000001" customHeight="1" x14ac:dyDescent="0.15">
      <c r="A602" s="5">
        <v>599</v>
      </c>
      <c r="B602" s="6" t="str">
        <f>"30482021060310361181267"</f>
        <v>30482021060310361181267</v>
      </c>
      <c r="C602" s="6" t="s">
        <v>1576</v>
      </c>
      <c r="D602" s="6" t="str">
        <f>"何守菊"</f>
        <v>何守菊</v>
      </c>
      <c r="E602" s="6" t="str">
        <f t="shared" si="48"/>
        <v>女</v>
      </c>
      <c r="F602" s="7" t="s">
        <v>1638</v>
      </c>
    </row>
    <row r="603" spans="1:6" ht="20.100000000000001" customHeight="1" x14ac:dyDescent="0.15">
      <c r="A603" s="5">
        <v>600</v>
      </c>
      <c r="B603" s="6" t="str">
        <f>"30482021060310370681286"</f>
        <v>30482021060310370681286</v>
      </c>
      <c r="C603" s="6" t="s">
        <v>1576</v>
      </c>
      <c r="D603" s="6" t="str">
        <f>"梁又云"</f>
        <v>梁又云</v>
      </c>
      <c r="E603" s="6" t="str">
        <f t="shared" si="48"/>
        <v>女</v>
      </c>
      <c r="F603" s="7" t="s">
        <v>788</v>
      </c>
    </row>
    <row r="604" spans="1:6" ht="20.100000000000001" customHeight="1" x14ac:dyDescent="0.15">
      <c r="A604" s="5">
        <v>601</v>
      </c>
      <c r="B604" s="6" t="str">
        <f>"30482021060310432981377"</f>
        <v>30482021060310432981377</v>
      </c>
      <c r="C604" s="6" t="s">
        <v>1576</v>
      </c>
      <c r="D604" s="6" t="str">
        <f>"李秀波"</f>
        <v>李秀波</v>
      </c>
      <c r="E604" s="6" t="str">
        <f t="shared" si="48"/>
        <v>女</v>
      </c>
      <c r="F604" s="7" t="s">
        <v>556</v>
      </c>
    </row>
    <row r="605" spans="1:6" ht="20.100000000000001" customHeight="1" x14ac:dyDescent="0.15">
      <c r="A605" s="5">
        <v>602</v>
      </c>
      <c r="B605" s="6" t="str">
        <f>"30482021060310485981479"</f>
        <v>30482021060310485981479</v>
      </c>
      <c r="C605" s="6" t="s">
        <v>1576</v>
      </c>
      <c r="D605" s="6" t="str">
        <f>"文坤妍"</f>
        <v>文坤妍</v>
      </c>
      <c r="E605" s="6" t="str">
        <f t="shared" si="48"/>
        <v>女</v>
      </c>
      <c r="F605" s="7" t="s">
        <v>573</v>
      </c>
    </row>
    <row r="606" spans="1:6" ht="20.100000000000001" customHeight="1" x14ac:dyDescent="0.15">
      <c r="A606" s="5">
        <v>603</v>
      </c>
      <c r="B606" s="6" t="str">
        <f>"30482021060310523081533"</f>
        <v>30482021060310523081533</v>
      </c>
      <c r="C606" s="6" t="s">
        <v>1576</v>
      </c>
      <c r="D606" s="6" t="str">
        <f>"林小丽"</f>
        <v>林小丽</v>
      </c>
      <c r="E606" s="6" t="str">
        <f t="shared" si="48"/>
        <v>女</v>
      </c>
      <c r="F606" s="7" t="s">
        <v>1757</v>
      </c>
    </row>
    <row r="607" spans="1:6" ht="20.100000000000001" customHeight="1" x14ac:dyDescent="0.15">
      <c r="A607" s="5">
        <v>604</v>
      </c>
      <c r="B607" s="6" t="str">
        <f>"30482021060310592981655"</f>
        <v>30482021060310592981655</v>
      </c>
      <c r="C607" s="6" t="s">
        <v>1576</v>
      </c>
      <c r="D607" s="6" t="str">
        <f>"符华芳"</f>
        <v>符华芳</v>
      </c>
      <c r="E607" s="6" t="str">
        <f t="shared" si="48"/>
        <v>女</v>
      </c>
      <c r="F607" s="7" t="s">
        <v>1450</v>
      </c>
    </row>
    <row r="608" spans="1:6" ht="20.100000000000001" customHeight="1" x14ac:dyDescent="0.15">
      <c r="A608" s="5">
        <v>605</v>
      </c>
      <c r="B608" s="6" t="str">
        <f>"30482021060311045481752"</f>
        <v>30482021060311045481752</v>
      </c>
      <c r="C608" s="6" t="s">
        <v>1576</v>
      </c>
      <c r="D608" s="6" t="str">
        <f>"邓雪桃"</f>
        <v>邓雪桃</v>
      </c>
      <c r="E608" s="6" t="str">
        <f t="shared" si="48"/>
        <v>女</v>
      </c>
      <c r="F608" s="7" t="s">
        <v>363</v>
      </c>
    </row>
    <row r="609" spans="1:6" ht="20.100000000000001" customHeight="1" x14ac:dyDescent="0.15">
      <c r="A609" s="5">
        <v>606</v>
      </c>
      <c r="B609" s="6" t="str">
        <f>"30482021060311050981760"</f>
        <v>30482021060311050981760</v>
      </c>
      <c r="C609" s="6" t="s">
        <v>1576</v>
      </c>
      <c r="D609" s="6" t="str">
        <f>"符玉媚"</f>
        <v>符玉媚</v>
      </c>
      <c r="E609" s="6" t="str">
        <f t="shared" si="48"/>
        <v>女</v>
      </c>
      <c r="F609" s="7" t="s">
        <v>81</v>
      </c>
    </row>
    <row r="610" spans="1:6" ht="20.100000000000001" customHeight="1" x14ac:dyDescent="0.15">
      <c r="A610" s="5">
        <v>607</v>
      </c>
      <c r="B610" s="6" t="str">
        <f>"30482021060311102581837"</f>
        <v>30482021060311102581837</v>
      </c>
      <c r="C610" s="6" t="s">
        <v>1576</v>
      </c>
      <c r="D610" s="6" t="str">
        <f>"李艳萍"</f>
        <v>李艳萍</v>
      </c>
      <c r="E610" s="6" t="str">
        <f t="shared" si="48"/>
        <v>女</v>
      </c>
      <c r="F610" s="7" t="s">
        <v>1317</v>
      </c>
    </row>
    <row r="611" spans="1:6" ht="20.100000000000001" customHeight="1" x14ac:dyDescent="0.15">
      <c r="A611" s="5">
        <v>608</v>
      </c>
      <c r="B611" s="6" t="str">
        <f>"30482021060311221181992"</f>
        <v>30482021060311221181992</v>
      </c>
      <c r="C611" s="6" t="s">
        <v>1576</v>
      </c>
      <c r="D611" s="6" t="str">
        <f>"陈菊"</f>
        <v>陈菊</v>
      </c>
      <c r="E611" s="6" t="str">
        <f t="shared" si="48"/>
        <v>女</v>
      </c>
      <c r="F611" s="7" t="s">
        <v>1758</v>
      </c>
    </row>
    <row r="612" spans="1:6" ht="20.100000000000001" customHeight="1" x14ac:dyDescent="0.15">
      <c r="A612" s="5">
        <v>609</v>
      </c>
      <c r="B612" s="6" t="str">
        <f>"30482021060311273082052"</f>
        <v>30482021060311273082052</v>
      </c>
      <c r="C612" s="6" t="s">
        <v>1576</v>
      </c>
      <c r="D612" s="6" t="str">
        <f>"羊妹"</f>
        <v>羊妹</v>
      </c>
      <c r="E612" s="6" t="str">
        <f t="shared" si="48"/>
        <v>女</v>
      </c>
      <c r="F612" s="7" t="s">
        <v>1759</v>
      </c>
    </row>
    <row r="613" spans="1:6" ht="20.100000000000001" customHeight="1" x14ac:dyDescent="0.15">
      <c r="A613" s="5">
        <v>610</v>
      </c>
      <c r="B613" s="6" t="str">
        <f>"30482021060311335782130"</f>
        <v>30482021060311335782130</v>
      </c>
      <c r="C613" s="6" t="s">
        <v>1576</v>
      </c>
      <c r="D613" s="6" t="str">
        <f>"翁尉虹"</f>
        <v>翁尉虹</v>
      </c>
      <c r="E613" s="6" t="str">
        <f t="shared" si="48"/>
        <v>女</v>
      </c>
      <c r="F613" s="7" t="s">
        <v>1114</v>
      </c>
    </row>
    <row r="614" spans="1:6" ht="20.100000000000001" customHeight="1" x14ac:dyDescent="0.15">
      <c r="A614" s="5">
        <v>611</v>
      </c>
      <c r="B614" s="6" t="str">
        <f>"30482021060311491982304"</f>
        <v>30482021060311491982304</v>
      </c>
      <c r="C614" s="6" t="s">
        <v>1576</v>
      </c>
      <c r="D614" s="6" t="str">
        <f>"庄婵"</f>
        <v>庄婵</v>
      </c>
      <c r="E614" s="6" t="str">
        <f t="shared" si="48"/>
        <v>女</v>
      </c>
      <c r="F614" s="7" t="s">
        <v>345</v>
      </c>
    </row>
    <row r="615" spans="1:6" ht="20.100000000000001" customHeight="1" x14ac:dyDescent="0.15">
      <c r="A615" s="5">
        <v>612</v>
      </c>
      <c r="B615" s="6" t="str">
        <f>"30482021060312020082451"</f>
        <v>30482021060312020082451</v>
      </c>
      <c r="C615" s="6" t="s">
        <v>1576</v>
      </c>
      <c r="D615" s="6" t="str">
        <f>"林慧瑜"</f>
        <v>林慧瑜</v>
      </c>
      <c r="E615" s="6" t="str">
        <f t="shared" si="48"/>
        <v>女</v>
      </c>
      <c r="F615" s="7" t="s">
        <v>357</v>
      </c>
    </row>
    <row r="616" spans="1:6" ht="20.100000000000001" customHeight="1" x14ac:dyDescent="0.15">
      <c r="A616" s="5">
        <v>613</v>
      </c>
      <c r="B616" s="6" t="str">
        <f>"30482021060312054482487"</f>
        <v>30482021060312054482487</v>
      </c>
      <c r="C616" s="6" t="s">
        <v>1576</v>
      </c>
      <c r="D616" s="6" t="str">
        <f>"王芳"</f>
        <v>王芳</v>
      </c>
      <c r="E616" s="6" t="str">
        <f t="shared" si="48"/>
        <v>女</v>
      </c>
      <c r="F616" s="7" t="s">
        <v>891</v>
      </c>
    </row>
    <row r="617" spans="1:6" ht="20.100000000000001" customHeight="1" x14ac:dyDescent="0.15">
      <c r="A617" s="5">
        <v>614</v>
      </c>
      <c r="B617" s="6" t="str">
        <f>"30482021060312063082492"</f>
        <v>30482021060312063082492</v>
      </c>
      <c r="C617" s="6" t="s">
        <v>1576</v>
      </c>
      <c r="D617" s="6" t="str">
        <f>"王阳超"</f>
        <v>王阳超</v>
      </c>
      <c r="E617" s="6" t="str">
        <f t="shared" si="48"/>
        <v>女</v>
      </c>
      <c r="F617" s="7" t="s">
        <v>1634</v>
      </c>
    </row>
    <row r="618" spans="1:6" ht="20.100000000000001" customHeight="1" x14ac:dyDescent="0.15">
      <c r="A618" s="5">
        <v>615</v>
      </c>
      <c r="B618" s="6" t="str">
        <f>"30482021060312095382524"</f>
        <v>30482021060312095382524</v>
      </c>
      <c r="C618" s="6" t="s">
        <v>1576</v>
      </c>
      <c r="D618" s="6" t="str">
        <f>"王政太"</f>
        <v>王政太</v>
      </c>
      <c r="E618" s="6" t="str">
        <f>"男"</f>
        <v>男</v>
      </c>
      <c r="F618" s="7" t="s">
        <v>1760</v>
      </c>
    </row>
    <row r="619" spans="1:6" ht="20.100000000000001" customHeight="1" x14ac:dyDescent="0.15">
      <c r="A619" s="5">
        <v>616</v>
      </c>
      <c r="B619" s="6" t="str">
        <f>"30482021060312113582541"</f>
        <v>30482021060312113582541</v>
      </c>
      <c r="C619" s="6" t="s">
        <v>1576</v>
      </c>
      <c r="D619" s="6" t="str">
        <f>"张世波"</f>
        <v>张世波</v>
      </c>
      <c r="E619" s="6" t="str">
        <f t="shared" ref="E619:E623" si="49">"女"</f>
        <v>女</v>
      </c>
      <c r="F619" s="7" t="s">
        <v>1706</v>
      </c>
    </row>
    <row r="620" spans="1:6" ht="20.100000000000001" customHeight="1" x14ac:dyDescent="0.15">
      <c r="A620" s="5">
        <v>617</v>
      </c>
      <c r="B620" s="6" t="str">
        <f>"30482021060312121582547"</f>
        <v>30482021060312121582547</v>
      </c>
      <c r="C620" s="6" t="s">
        <v>1576</v>
      </c>
      <c r="D620" s="6" t="str">
        <f>"徐新华"</f>
        <v>徐新华</v>
      </c>
      <c r="E620" s="6" t="str">
        <f t="shared" si="49"/>
        <v>女</v>
      </c>
      <c r="F620" s="7" t="s">
        <v>1761</v>
      </c>
    </row>
    <row r="621" spans="1:6" ht="20.100000000000001" customHeight="1" x14ac:dyDescent="0.15">
      <c r="A621" s="5">
        <v>618</v>
      </c>
      <c r="B621" s="6" t="str">
        <f>"30482021060312184282594"</f>
        <v>30482021060312184282594</v>
      </c>
      <c r="C621" s="6" t="s">
        <v>1576</v>
      </c>
      <c r="D621" s="6" t="str">
        <f>"韩秀玉"</f>
        <v>韩秀玉</v>
      </c>
      <c r="E621" s="6" t="str">
        <f t="shared" si="49"/>
        <v>女</v>
      </c>
      <c r="F621" s="7" t="s">
        <v>1596</v>
      </c>
    </row>
    <row r="622" spans="1:6" ht="20.100000000000001" customHeight="1" x14ac:dyDescent="0.15">
      <c r="A622" s="5">
        <v>619</v>
      </c>
      <c r="B622" s="6" t="str">
        <f>"30482021060312190882604"</f>
        <v>30482021060312190882604</v>
      </c>
      <c r="C622" s="6" t="s">
        <v>1576</v>
      </c>
      <c r="D622" s="6" t="str">
        <f>"叶朝娜"</f>
        <v>叶朝娜</v>
      </c>
      <c r="E622" s="6" t="str">
        <f t="shared" si="49"/>
        <v>女</v>
      </c>
      <c r="F622" s="7" t="s">
        <v>650</v>
      </c>
    </row>
    <row r="623" spans="1:6" ht="20.100000000000001" customHeight="1" x14ac:dyDescent="0.15">
      <c r="A623" s="5">
        <v>620</v>
      </c>
      <c r="B623" s="6" t="str">
        <f>"30482021060312192682610"</f>
        <v>30482021060312192682610</v>
      </c>
      <c r="C623" s="6" t="s">
        <v>1576</v>
      </c>
      <c r="D623" s="6" t="str">
        <f>"薛小荣"</f>
        <v>薛小荣</v>
      </c>
      <c r="E623" s="6" t="str">
        <f t="shared" si="49"/>
        <v>女</v>
      </c>
      <c r="F623" s="7" t="s">
        <v>1159</v>
      </c>
    </row>
    <row r="624" spans="1:6" ht="20.100000000000001" customHeight="1" x14ac:dyDescent="0.15">
      <c r="A624" s="5">
        <v>621</v>
      </c>
      <c r="B624" s="6" t="str">
        <f>"30482021060312252982669"</f>
        <v>30482021060312252982669</v>
      </c>
      <c r="C624" s="6" t="s">
        <v>1576</v>
      </c>
      <c r="D624" s="6" t="str">
        <f>"严冬霖"</f>
        <v>严冬霖</v>
      </c>
      <c r="E624" s="6" t="str">
        <f>"男"</f>
        <v>男</v>
      </c>
      <c r="F624" s="7" t="s">
        <v>1104</v>
      </c>
    </row>
    <row r="625" spans="1:6" ht="20.100000000000001" customHeight="1" x14ac:dyDescent="0.15">
      <c r="A625" s="5">
        <v>622</v>
      </c>
      <c r="B625" s="6" t="str">
        <f>"30482021060312255482672"</f>
        <v>30482021060312255482672</v>
      </c>
      <c r="C625" s="6" t="s">
        <v>1576</v>
      </c>
      <c r="D625" s="6" t="str">
        <f>"王花"</f>
        <v>王花</v>
      </c>
      <c r="E625" s="6" t="str">
        <f t="shared" ref="E625:E637" si="50">"女"</f>
        <v>女</v>
      </c>
      <c r="F625" s="7" t="s">
        <v>382</v>
      </c>
    </row>
    <row r="626" spans="1:6" ht="20.100000000000001" customHeight="1" x14ac:dyDescent="0.15">
      <c r="A626" s="5">
        <v>623</v>
      </c>
      <c r="B626" s="6" t="str">
        <f>"30482021060312382282799"</f>
        <v>30482021060312382282799</v>
      </c>
      <c r="C626" s="6" t="s">
        <v>1576</v>
      </c>
      <c r="D626" s="6" t="str">
        <f>"任琳琳"</f>
        <v>任琳琳</v>
      </c>
      <c r="E626" s="6" t="str">
        <f t="shared" si="50"/>
        <v>女</v>
      </c>
      <c r="F626" s="7" t="s">
        <v>1392</v>
      </c>
    </row>
    <row r="627" spans="1:6" ht="20.100000000000001" customHeight="1" x14ac:dyDescent="0.15">
      <c r="A627" s="5">
        <v>624</v>
      </c>
      <c r="B627" s="6" t="str">
        <f>"30482021060312433182857"</f>
        <v>30482021060312433182857</v>
      </c>
      <c r="C627" s="6" t="s">
        <v>1576</v>
      </c>
      <c r="D627" s="6" t="str">
        <f>"黄冬竹"</f>
        <v>黄冬竹</v>
      </c>
      <c r="E627" s="6" t="str">
        <f t="shared" si="50"/>
        <v>女</v>
      </c>
      <c r="F627" s="7" t="s">
        <v>965</v>
      </c>
    </row>
    <row r="628" spans="1:6" ht="20.100000000000001" customHeight="1" x14ac:dyDescent="0.15">
      <c r="A628" s="5">
        <v>625</v>
      </c>
      <c r="B628" s="6" t="str">
        <f>"30482021060312551282961"</f>
        <v>30482021060312551282961</v>
      </c>
      <c r="C628" s="6" t="s">
        <v>1576</v>
      </c>
      <c r="D628" s="6" t="str">
        <f>"王玉云"</f>
        <v>王玉云</v>
      </c>
      <c r="E628" s="6" t="str">
        <f t="shared" si="50"/>
        <v>女</v>
      </c>
      <c r="F628" s="7" t="s">
        <v>1599</v>
      </c>
    </row>
    <row r="629" spans="1:6" ht="20.100000000000001" customHeight="1" x14ac:dyDescent="0.15">
      <c r="A629" s="5">
        <v>626</v>
      </c>
      <c r="B629" s="6" t="str">
        <f>"30482021060312554782969"</f>
        <v>30482021060312554782969</v>
      </c>
      <c r="C629" s="6" t="s">
        <v>1576</v>
      </c>
      <c r="D629" s="6" t="str">
        <f>"庄惠云"</f>
        <v>庄惠云</v>
      </c>
      <c r="E629" s="6" t="str">
        <f t="shared" si="50"/>
        <v>女</v>
      </c>
      <c r="F629" s="7" t="s">
        <v>1762</v>
      </c>
    </row>
    <row r="630" spans="1:6" ht="20.100000000000001" customHeight="1" x14ac:dyDescent="0.15">
      <c r="A630" s="5">
        <v>627</v>
      </c>
      <c r="B630" s="6" t="str">
        <f>"30482021060313094583089"</f>
        <v>30482021060313094583089</v>
      </c>
      <c r="C630" s="6" t="s">
        <v>1576</v>
      </c>
      <c r="D630" s="6" t="str">
        <f>"何欣欣"</f>
        <v>何欣欣</v>
      </c>
      <c r="E630" s="6" t="str">
        <f t="shared" si="50"/>
        <v>女</v>
      </c>
      <c r="F630" s="7" t="s">
        <v>454</v>
      </c>
    </row>
    <row r="631" spans="1:6" ht="20.100000000000001" customHeight="1" x14ac:dyDescent="0.15">
      <c r="A631" s="5">
        <v>628</v>
      </c>
      <c r="B631" s="6" t="str">
        <f>"30482021060313110483106"</f>
        <v>30482021060313110483106</v>
      </c>
      <c r="C631" s="6" t="s">
        <v>1576</v>
      </c>
      <c r="D631" s="6" t="str">
        <f>"符碚"</f>
        <v>符碚</v>
      </c>
      <c r="E631" s="6" t="str">
        <f t="shared" si="50"/>
        <v>女</v>
      </c>
      <c r="F631" s="7" t="s">
        <v>233</v>
      </c>
    </row>
    <row r="632" spans="1:6" ht="20.100000000000001" customHeight="1" x14ac:dyDescent="0.15">
      <c r="A632" s="5">
        <v>629</v>
      </c>
      <c r="B632" s="6" t="str">
        <f>"30482021060313215183214"</f>
        <v>30482021060313215183214</v>
      </c>
      <c r="C632" s="6" t="s">
        <v>1576</v>
      </c>
      <c r="D632" s="6" t="str">
        <f>"程妹"</f>
        <v>程妹</v>
      </c>
      <c r="E632" s="6" t="str">
        <f t="shared" si="50"/>
        <v>女</v>
      </c>
      <c r="F632" s="7" t="s">
        <v>456</v>
      </c>
    </row>
    <row r="633" spans="1:6" ht="20.100000000000001" customHeight="1" x14ac:dyDescent="0.15">
      <c r="A633" s="5">
        <v>630</v>
      </c>
      <c r="B633" s="6" t="str">
        <f>"30482021060313525383413"</f>
        <v>30482021060313525383413</v>
      </c>
      <c r="C633" s="6" t="s">
        <v>1576</v>
      </c>
      <c r="D633" s="6" t="str">
        <f>"徐庄岚"</f>
        <v>徐庄岚</v>
      </c>
      <c r="E633" s="6" t="str">
        <f t="shared" si="50"/>
        <v>女</v>
      </c>
      <c r="F633" s="7" t="s">
        <v>313</v>
      </c>
    </row>
    <row r="634" spans="1:6" ht="20.100000000000001" customHeight="1" x14ac:dyDescent="0.15">
      <c r="A634" s="5">
        <v>631</v>
      </c>
      <c r="B634" s="6" t="str">
        <f>"30482021060314062183525"</f>
        <v>30482021060314062183525</v>
      </c>
      <c r="C634" s="6" t="s">
        <v>1576</v>
      </c>
      <c r="D634" s="6" t="str">
        <f>"云惠敏 "</f>
        <v xml:space="preserve">云惠敏 </v>
      </c>
      <c r="E634" s="6" t="str">
        <f t="shared" si="50"/>
        <v>女</v>
      </c>
      <c r="F634" s="7" t="s">
        <v>11</v>
      </c>
    </row>
    <row r="635" spans="1:6" ht="20.100000000000001" customHeight="1" x14ac:dyDescent="0.15">
      <c r="A635" s="5">
        <v>632</v>
      </c>
      <c r="B635" s="6" t="str">
        <f>"30482021060314333983753"</f>
        <v>30482021060314333983753</v>
      </c>
      <c r="C635" s="6" t="s">
        <v>1576</v>
      </c>
      <c r="D635" s="6" t="str">
        <f>"羊菊香"</f>
        <v>羊菊香</v>
      </c>
      <c r="E635" s="6" t="str">
        <f t="shared" si="50"/>
        <v>女</v>
      </c>
      <c r="F635" s="7" t="s">
        <v>1763</v>
      </c>
    </row>
    <row r="636" spans="1:6" ht="20.100000000000001" customHeight="1" x14ac:dyDescent="0.15">
      <c r="A636" s="5">
        <v>633</v>
      </c>
      <c r="B636" s="6" t="str">
        <f>"30482021060314400583825"</f>
        <v>30482021060314400583825</v>
      </c>
      <c r="C636" s="6" t="s">
        <v>1576</v>
      </c>
      <c r="D636" s="6" t="str">
        <f>"李日美"</f>
        <v>李日美</v>
      </c>
      <c r="E636" s="6" t="str">
        <f t="shared" si="50"/>
        <v>女</v>
      </c>
      <c r="F636" s="7" t="s">
        <v>244</v>
      </c>
    </row>
    <row r="637" spans="1:6" ht="20.100000000000001" customHeight="1" x14ac:dyDescent="0.15">
      <c r="A637" s="5">
        <v>634</v>
      </c>
      <c r="B637" s="6" t="str">
        <f>"30482021060314431883857"</f>
        <v>30482021060314431883857</v>
      </c>
      <c r="C637" s="6" t="s">
        <v>1576</v>
      </c>
      <c r="D637" s="6" t="str">
        <f>"陈月兰"</f>
        <v>陈月兰</v>
      </c>
      <c r="E637" s="6" t="str">
        <f t="shared" si="50"/>
        <v>女</v>
      </c>
      <c r="F637" s="7" t="s">
        <v>1254</v>
      </c>
    </row>
    <row r="638" spans="1:6" ht="20.100000000000001" customHeight="1" x14ac:dyDescent="0.15">
      <c r="A638" s="5">
        <v>635</v>
      </c>
      <c r="B638" s="6" t="str">
        <f>"30482021060314465783894"</f>
        <v>30482021060314465783894</v>
      </c>
      <c r="C638" s="6" t="s">
        <v>1576</v>
      </c>
      <c r="D638" s="6" t="str">
        <f>"陈垂俊"</f>
        <v>陈垂俊</v>
      </c>
      <c r="E638" s="6" t="str">
        <f>"男"</f>
        <v>男</v>
      </c>
      <c r="F638" s="7" t="s">
        <v>1764</v>
      </c>
    </row>
    <row r="639" spans="1:6" ht="20.100000000000001" customHeight="1" x14ac:dyDescent="0.15">
      <c r="A639" s="5">
        <v>636</v>
      </c>
      <c r="B639" s="6" t="str">
        <f>"30482021060314471483897"</f>
        <v>30482021060314471483897</v>
      </c>
      <c r="C639" s="6" t="s">
        <v>1576</v>
      </c>
      <c r="D639" s="6" t="str">
        <f>"梁昌叶"</f>
        <v>梁昌叶</v>
      </c>
      <c r="E639" s="6" t="str">
        <f t="shared" ref="E639:E643" si="51">"女"</f>
        <v>女</v>
      </c>
      <c r="F639" s="7" t="s">
        <v>1200</v>
      </c>
    </row>
    <row r="640" spans="1:6" ht="20.100000000000001" customHeight="1" x14ac:dyDescent="0.15">
      <c r="A640" s="5">
        <v>637</v>
      </c>
      <c r="B640" s="6" t="str">
        <f>"30482021060314555784015"</f>
        <v>30482021060314555784015</v>
      </c>
      <c r="C640" s="6" t="s">
        <v>1576</v>
      </c>
      <c r="D640" s="6" t="str">
        <f>"曾和"</f>
        <v>曾和</v>
      </c>
      <c r="E640" s="6" t="str">
        <f t="shared" si="51"/>
        <v>女</v>
      </c>
      <c r="F640" s="7" t="s">
        <v>1172</v>
      </c>
    </row>
    <row r="641" spans="1:6" ht="20.100000000000001" customHeight="1" x14ac:dyDescent="0.15">
      <c r="A641" s="5">
        <v>638</v>
      </c>
      <c r="B641" s="6" t="str">
        <f>"30482021060315005584065"</f>
        <v>30482021060315005584065</v>
      </c>
      <c r="C641" s="6" t="s">
        <v>1576</v>
      </c>
      <c r="D641" s="6" t="str">
        <f>"王雅婷"</f>
        <v>王雅婷</v>
      </c>
      <c r="E641" s="6" t="str">
        <f t="shared" si="51"/>
        <v>女</v>
      </c>
      <c r="F641" s="7" t="s">
        <v>160</v>
      </c>
    </row>
    <row r="642" spans="1:6" ht="20.100000000000001" customHeight="1" x14ac:dyDescent="0.15">
      <c r="A642" s="5">
        <v>639</v>
      </c>
      <c r="B642" s="6" t="str">
        <f>"30482021060315071884151"</f>
        <v>30482021060315071884151</v>
      </c>
      <c r="C642" s="6" t="s">
        <v>1576</v>
      </c>
      <c r="D642" s="6" t="str">
        <f>"韩雪云"</f>
        <v>韩雪云</v>
      </c>
      <c r="E642" s="6" t="str">
        <f t="shared" si="51"/>
        <v>女</v>
      </c>
      <c r="F642" s="7" t="s">
        <v>890</v>
      </c>
    </row>
    <row r="643" spans="1:6" ht="20.100000000000001" customHeight="1" x14ac:dyDescent="0.15">
      <c r="A643" s="5">
        <v>640</v>
      </c>
      <c r="B643" s="6" t="str">
        <f>"30482021060315250384373"</f>
        <v>30482021060315250384373</v>
      </c>
      <c r="C643" s="6" t="s">
        <v>1576</v>
      </c>
      <c r="D643" s="6" t="str">
        <f>"苏英芳"</f>
        <v>苏英芳</v>
      </c>
      <c r="E643" s="6" t="str">
        <f t="shared" si="51"/>
        <v>女</v>
      </c>
      <c r="F643" s="7" t="s">
        <v>355</v>
      </c>
    </row>
    <row r="644" spans="1:6" ht="20.100000000000001" customHeight="1" x14ac:dyDescent="0.15">
      <c r="A644" s="5">
        <v>641</v>
      </c>
      <c r="B644" s="6" t="str">
        <f>"30482021060315262784393"</f>
        <v>30482021060315262784393</v>
      </c>
      <c r="C644" s="6" t="s">
        <v>1576</v>
      </c>
      <c r="D644" s="6" t="str">
        <f>"李选杰"</f>
        <v>李选杰</v>
      </c>
      <c r="E644" s="6" t="str">
        <f t="shared" ref="E644:E648" si="52">"男"</f>
        <v>男</v>
      </c>
      <c r="F644" s="7" t="s">
        <v>1765</v>
      </c>
    </row>
    <row r="645" spans="1:6" ht="20.100000000000001" customHeight="1" x14ac:dyDescent="0.15">
      <c r="A645" s="5">
        <v>642</v>
      </c>
      <c r="B645" s="6" t="str">
        <f>"30482021060315265584398"</f>
        <v>30482021060315265584398</v>
      </c>
      <c r="C645" s="6" t="s">
        <v>1576</v>
      </c>
      <c r="D645" s="6" t="str">
        <f>"何艺娟"</f>
        <v>何艺娟</v>
      </c>
      <c r="E645" s="6" t="str">
        <f t="shared" ref="E645:E665" si="53">"女"</f>
        <v>女</v>
      </c>
      <c r="F645" s="7" t="s">
        <v>322</v>
      </c>
    </row>
    <row r="646" spans="1:6" ht="20.100000000000001" customHeight="1" x14ac:dyDescent="0.15">
      <c r="A646" s="5">
        <v>643</v>
      </c>
      <c r="B646" s="6" t="str">
        <f>"30482021060315331584496"</f>
        <v>30482021060315331584496</v>
      </c>
      <c r="C646" s="6" t="s">
        <v>1576</v>
      </c>
      <c r="D646" s="6" t="str">
        <f>"郭易侨"</f>
        <v>郭易侨</v>
      </c>
      <c r="E646" s="6" t="str">
        <f t="shared" si="52"/>
        <v>男</v>
      </c>
      <c r="F646" s="7" t="s">
        <v>1017</v>
      </c>
    </row>
    <row r="647" spans="1:6" ht="20.100000000000001" customHeight="1" x14ac:dyDescent="0.15">
      <c r="A647" s="5">
        <v>644</v>
      </c>
      <c r="B647" s="6" t="str">
        <f>"30482021060315393084591"</f>
        <v>30482021060315393084591</v>
      </c>
      <c r="C647" s="6" t="s">
        <v>1576</v>
      </c>
      <c r="D647" s="6" t="str">
        <f>"许江"</f>
        <v>许江</v>
      </c>
      <c r="E647" s="6" t="str">
        <f t="shared" si="53"/>
        <v>女</v>
      </c>
      <c r="F647" s="7" t="s">
        <v>1766</v>
      </c>
    </row>
    <row r="648" spans="1:6" ht="20.100000000000001" customHeight="1" x14ac:dyDescent="0.15">
      <c r="A648" s="5">
        <v>645</v>
      </c>
      <c r="B648" s="6" t="str">
        <f>"30482021060315401884607"</f>
        <v>30482021060315401884607</v>
      </c>
      <c r="C648" s="6" t="s">
        <v>1576</v>
      </c>
      <c r="D648" s="6" t="str">
        <f>"吕诗随"</f>
        <v>吕诗随</v>
      </c>
      <c r="E648" s="6" t="str">
        <f t="shared" si="52"/>
        <v>男</v>
      </c>
      <c r="F648" s="7" t="s">
        <v>1767</v>
      </c>
    </row>
    <row r="649" spans="1:6" ht="20.100000000000001" customHeight="1" x14ac:dyDescent="0.15">
      <c r="A649" s="5">
        <v>646</v>
      </c>
      <c r="B649" s="6" t="str">
        <f>"30482021060315425684638"</f>
        <v>30482021060315425684638</v>
      </c>
      <c r="C649" s="6" t="s">
        <v>1576</v>
      </c>
      <c r="D649" s="6" t="str">
        <f>"陈楚茹"</f>
        <v>陈楚茹</v>
      </c>
      <c r="E649" s="6" t="str">
        <f t="shared" si="53"/>
        <v>女</v>
      </c>
      <c r="F649" s="7" t="s">
        <v>1768</v>
      </c>
    </row>
    <row r="650" spans="1:6" ht="20.100000000000001" customHeight="1" x14ac:dyDescent="0.15">
      <c r="A650" s="5">
        <v>647</v>
      </c>
      <c r="B650" s="6" t="str">
        <f>"30482021060315450884672"</f>
        <v>30482021060315450884672</v>
      </c>
      <c r="C650" s="6" t="s">
        <v>1576</v>
      </c>
      <c r="D650" s="6" t="str">
        <f>"黄海云"</f>
        <v>黄海云</v>
      </c>
      <c r="E650" s="6" t="str">
        <f t="shared" si="53"/>
        <v>女</v>
      </c>
      <c r="F650" s="7" t="s">
        <v>891</v>
      </c>
    </row>
    <row r="651" spans="1:6" ht="20.100000000000001" customHeight="1" x14ac:dyDescent="0.15">
      <c r="A651" s="5">
        <v>648</v>
      </c>
      <c r="B651" s="6" t="str">
        <f>"30482021060315464884699"</f>
        <v>30482021060315464884699</v>
      </c>
      <c r="C651" s="6" t="s">
        <v>1576</v>
      </c>
      <c r="D651" s="6" t="str">
        <f>"李慧慧"</f>
        <v>李慧慧</v>
      </c>
      <c r="E651" s="6" t="str">
        <f t="shared" si="53"/>
        <v>女</v>
      </c>
      <c r="F651" s="7" t="s">
        <v>56</v>
      </c>
    </row>
    <row r="652" spans="1:6" ht="20.100000000000001" customHeight="1" x14ac:dyDescent="0.15">
      <c r="A652" s="5">
        <v>649</v>
      </c>
      <c r="B652" s="6" t="str">
        <f>"30482021060315582684857"</f>
        <v>30482021060315582684857</v>
      </c>
      <c r="C652" s="6" t="s">
        <v>1576</v>
      </c>
      <c r="D652" s="6" t="str">
        <f>"蔡彩金"</f>
        <v>蔡彩金</v>
      </c>
      <c r="E652" s="6" t="str">
        <f t="shared" si="53"/>
        <v>女</v>
      </c>
      <c r="F652" s="7" t="s">
        <v>1627</v>
      </c>
    </row>
    <row r="653" spans="1:6" ht="20.100000000000001" customHeight="1" x14ac:dyDescent="0.15">
      <c r="A653" s="5">
        <v>650</v>
      </c>
      <c r="B653" s="6" t="str">
        <f>"30482021060316031684916"</f>
        <v>30482021060316031684916</v>
      </c>
      <c r="C653" s="6" t="s">
        <v>1576</v>
      </c>
      <c r="D653" s="6" t="str">
        <f>"林成叶"</f>
        <v>林成叶</v>
      </c>
      <c r="E653" s="6" t="str">
        <f t="shared" si="53"/>
        <v>女</v>
      </c>
      <c r="F653" s="7" t="s">
        <v>1769</v>
      </c>
    </row>
    <row r="654" spans="1:6" ht="20.100000000000001" customHeight="1" x14ac:dyDescent="0.15">
      <c r="A654" s="5">
        <v>651</v>
      </c>
      <c r="B654" s="6" t="str">
        <f>"30482021060316105785009"</f>
        <v>30482021060316105785009</v>
      </c>
      <c r="C654" s="6" t="s">
        <v>1576</v>
      </c>
      <c r="D654" s="6" t="str">
        <f>"吴带竹"</f>
        <v>吴带竹</v>
      </c>
      <c r="E654" s="6" t="str">
        <f t="shared" si="53"/>
        <v>女</v>
      </c>
      <c r="F654" s="7" t="s">
        <v>552</v>
      </c>
    </row>
    <row r="655" spans="1:6" ht="20.100000000000001" customHeight="1" x14ac:dyDescent="0.15">
      <c r="A655" s="5">
        <v>652</v>
      </c>
      <c r="B655" s="6" t="str">
        <f>"30482021060316153385066"</f>
        <v>30482021060316153385066</v>
      </c>
      <c r="C655" s="6" t="s">
        <v>1576</v>
      </c>
      <c r="D655" s="6" t="str">
        <f>"王丽婷"</f>
        <v>王丽婷</v>
      </c>
      <c r="E655" s="6" t="str">
        <f t="shared" si="53"/>
        <v>女</v>
      </c>
      <c r="F655" s="7" t="s">
        <v>291</v>
      </c>
    </row>
    <row r="656" spans="1:6" ht="20.100000000000001" customHeight="1" x14ac:dyDescent="0.15">
      <c r="A656" s="5">
        <v>653</v>
      </c>
      <c r="B656" s="6" t="str">
        <f>"30482021060316225585151"</f>
        <v>30482021060316225585151</v>
      </c>
      <c r="C656" s="6" t="s">
        <v>1576</v>
      </c>
      <c r="D656" s="6" t="str">
        <f>"符菲菲"</f>
        <v>符菲菲</v>
      </c>
      <c r="E656" s="6" t="str">
        <f t="shared" si="53"/>
        <v>女</v>
      </c>
      <c r="F656" s="7" t="s">
        <v>956</v>
      </c>
    </row>
    <row r="657" spans="1:6" ht="20.100000000000001" customHeight="1" x14ac:dyDescent="0.15">
      <c r="A657" s="5">
        <v>654</v>
      </c>
      <c r="B657" s="6" t="str">
        <f>"30482021060316330085268"</f>
        <v>30482021060316330085268</v>
      </c>
      <c r="C657" s="6" t="s">
        <v>1576</v>
      </c>
      <c r="D657" s="6" t="str">
        <f>"何贵玲"</f>
        <v>何贵玲</v>
      </c>
      <c r="E657" s="6" t="str">
        <f t="shared" si="53"/>
        <v>女</v>
      </c>
      <c r="F657" s="7" t="s">
        <v>203</v>
      </c>
    </row>
    <row r="658" spans="1:6" ht="20.100000000000001" customHeight="1" x14ac:dyDescent="0.15">
      <c r="A658" s="5">
        <v>655</v>
      </c>
      <c r="B658" s="6" t="str">
        <f>"30482021060316334785274"</f>
        <v>30482021060316334785274</v>
      </c>
      <c r="C658" s="6" t="s">
        <v>1576</v>
      </c>
      <c r="D658" s="6" t="str">
        <f>"黄艳梅"</f>
        <v>黄艳梅</v>
      </c>
      <c r="E658" s="6" t="str">
        <f t="shared" si="53"/>
        <v>女</v>
      </c>
      <c r="F658" s="7" t="s">
        <v>1565</v>
      </c>
    </row>
    <row r="659" spans="1:6" ht="20.100000000000001" customHeight="1" x14ac:dyDescent="0.15">
      <c r="A659" s="5">
        <v>656</v>
      </c>
      <c r="B659" s="6" t="str">
        <f>"30482021060316574685565"</f>
        <v>30482021060316574685565</v>
      </c>
      <c r="C659" s="6" t="s">
        <v>1576</v>
      </c>
      <c r="D659" s="6" t="str">
        <f>"王槐微"</f>
        <v>王槐微</v>
      </c>
      <c r="E659" s="6" t="str">
        <f t="shared" si="53"/>
        <v>女</v>
      </c>
      <c r="F659" s="7" t="s">
        <v>1721</v>
      </c>
    </row>
    <row r="660" spans="1:6" ht="20.100000000000001" customHeight="1" x14ac:dyDescent="0.15">
      <c r="A660" s="5">
        <v>657</v>
      </c>
      <c r="B660" s="6" t="str">
        <f>"30482021060317140085743"</f>
        <v>30482021060317140085743</v>
      </c>
      <c r="C660" s="6" t="s">
        <v>1576</v>
      </c>
      <c r="D660" s="6" t="str">
        <f>"王春玉"</f>
        <v>王春玉</v>
      </c>
      <c r="E660" s="6" t="str">
        <f t="shared" si="53"/>
        <v>女</v>
      </c>
      <c r="F660" s="7" t="s">
        <v>1770</v>
      </c>
    </row>
    <row r="661" spans="1:6" ht="20.100000000000001" customHeight="1" x14ac:dyDescent="0.15">
      <c r="A661" s="5">
        <v>658</v>
      </c>
      <c r="B661" s="6" t="str">
        <f>"30482021060317290185896"</f>
        <v>30482021060317290185896</v>
      </c>
      <c r="C661" s="6" t="s">
        <v>1576</v>
      </c>
      <c r="D661" s="6" t="str">
        <f>"梁冬苗"</f>
        <v>梁冬苗</v>
      </c>
      <c r="E661" s="6" t="str">
        <f t="shared" si="53"/>
        <v>女</v>
      </c>
      <c r="F661" s="7" t="s">
        <v>622</v>
      </c>
    </row>
    <row r="662" spans="1:6" ht="20.100000000000001" customHeight="1" x14ac:dyDescent="0.15">
      <c r="A662" s="5">
        <v>659</v>
      </c>
      <c r="B662" s="6" t="str">
        <f>"30482021060317353485959"</f>
        <v>30482021060317353485959</v>
      </c>
      <c r="C662" s="6" t="s">
        <v>1576</v>
      </c>
      <c r="D662" s="6" t="str">
        <f>"王小芳"</f>
        <v>王小芳</v>
      </c>
      <c r="E662" s="6" t="str">
        <f t="shared" si="53"/>
        <v>女</v>
      </c>
      <c r="F662" s="7" t="s">
        <v>1389</v>
      </c>
    </row>
    <row r="663" spans="1:6" ht="20.100000000000001" customHeight="1" x14ac:dyDescent="0.15">
      <c r="A663" s="5">
        <v>660</v>
      </c>
      <c r="B663" s="6" t="str">
        <f>"30482021060317385885998"</f>
        <v>30482021060317385885998</v>
      </c>
      <c r="C663" s="6" t="s">
        <v>1576</v>
      </c>
      <c r="D663" s="6" t="str">
        <f>"邓丽春"</f>
        <v>邓丽春</v>
      </c>
      <c r="E663" s="6" t="str">
        <f t="shared" si="53"/>
        <v>女</v>
      </c>
      <c r="F663" s="7" t="s">
        <v>341</v>
      </c>
    </row>
    <row r="664" spans="1:6" ht="20.100000000000001" customHeight="1" x14ac:dyDescent="0.15">
      <c r="A664" s="5">
        <v>661</v>
      </c>
      <c r="B664" s="6" t="str">
        <f>"30482021060317520186135"</f>
        <v>30482021060317520186135</v>
      </c>
      <c r="C664" s="6" t="s">
        <v>1576</v>
      </c>
      <c r="D664" s="6" t="str">
        <f>"陈燕燕"</f>
        <v>陈燕燕</v>
      </c>
      <c r="E664" s="6" t="str">
        <f t="shared" si="53"/>
        <v>女</v>
      </c>
      <c r="F664" s="7" t="s">
        <v>1546</v>
      </c>
    </row>
    <row r="665" spans="1:6" ht="20.100000000000001" customHeight="1" x14ac:dyDescent="0.15">
      <c r="A665" s="5">
        <v>662</v>
      </c>
      <c r="B665" s="6" t="str">
        <f>"30482021060318130286294"</f>
        <v>30482021060318130286294</v>
      </c>
      <c r="C665" s="6" t="s">
        <v>1576</v>
      </c>
      <c r="D665" s="6" t="str">
        <f>"韩莉丽"</f>
        <v>韩莉丽</v>
      </c>
      <c r="E665" s="6" t="str">
        <f t="shared" si="53"/>
        <v>女</v>
      </c>
      <c r="F665" s="7" t="s">
        <v>414</v>
      </c>
    </row>
    <row r="666" spans="1:6" ht="20.100000000000001" customHeight="1" x14ac:dyDescent="0.15">
      <c r="A666" s="5">
        <v>663</v>
      </c>
      <c r="B666" s="6" t="str">
        <f>"30482021060318290486448"</f>
        <v>30482021060318290486448</v>
      </c>
      <c r="C666" s="6" t="s">
        <v>1576</v>
      </c>
      <c r="D666" s="6" t="str">
        <f>"梁日康"</f>
        <v>梁日康</v>
      </c>
      <c r="E666" s="6" t="str">
        <f>"男"</f>
        <v>男</v>
      </c>
      <c r="F666" s="7" t="s">
        <v>1771</v>
      </c>
    </row>
    <row r="667" spans="1:6" ht="20.100000000000001" customHeight="1" x14ac:dyDescent="0.15">
      <c r="A667" s="5">
        <v>664</v>
      </c>
      <c r="B667" s="6" t="str">
        <f>"30482021060318293486452"</f>
        <v>30482021060318293486452</v>
      </c>
      <c r="C667" s="6" t="s">
        <v>1576</v>
      </c>
      <c r="D667" s="6" t="str">
        <f>"陈月玲"</f>
        <v>陈月玲</v>
      </c>
      <c r="E667" s="6" t="str">
        <f t="shared" ref="E667:E676" si="54">"女"</f>
        <v>女</v>
      </c>
      <c r="F667" s="7" t="s">
        <v>1651</v>
      </c>
    </row>
    <row r="668" spans="1:6" ht="20.100000000000001" customHeight="1" x14ac:dyDescent="0.15">
      <c r="A668" s="5">
        <v>665</v>
      </c>
      <c r="B668" s="6" t="str">
        <f>"30482021060318460886593"</f>
        <v>30482021060318460886593</v>
      </c>
      <c r="C668" s="6" t="s">
        <v>1576</v>
      </c>
      <c r="D668" s="6" t="str">
        <f>"李丽宇"</f>
        <v>李丽宇</v>
      </c>
      <c r="E668" s="6" t="str">
        <f t="shared" si="54"/>
        <v>女</v>
      </c>
      <c r="F668" s="7" t="s">
        <v>788</v>
      </c>
    </row>
    <row r="669" spans="1:6" ht="20.100000000000001" customHeight="1" x14ac:dyDescent="0.15">
      <c r="A669" s="5">
        <v>666</v>
      </c>
      <c r="B669" s="6" t="str">
        <f>"30482021060318461786596"</f>
        <v>30482021060318461786596</v>
      </c>
      <c r="C669" s="6" t="s">
        <v>1576</v>
      </c>
      <c r="D669" s="6" t="str">
        <f>"游莉莉"</f>
        <v>游莉莉</v>
      </c>
      <c r="E669" s="6" t="str">
        <f t="shared" si="54"/>
        <v>女</v>
      </c>
      <c r="F669" s="7" t="s">
        <v>1392</v>
      </c>
    </row>
    <row r="670" spans="1:6" ht="20.100000000000001" customHeight="1" x14ac:dyDescent="0.15">
      <c r="A670" s="5">
        <v>667</v>
      </c>
      <c r="B670" s="6" t="str">
        <f>"30482021060318472186605"</f>
        <v>30482021060318472186605</v>
      </c>
      <c r="C670" s="6" t="s">
        <v>1576</v>
      </c>
      <c r="D670" s="6" t="str">
        <f>"刘亚强"</f>
        <v>刘亚强</v>
      </c>
      <c r="E670" s="6" t="str">
        <f t="shared" si="54"/>
        <v>女</v>
      </c>
      <c r="F670" s="7" t="s">
        <v>57</v>
      </c>
    </row>
    <row r="671" spans="1:6" ht="20.100000000000001" customHeight="1" x14ac:dyDescent="0.15">
      <c r="A671" s="5">
        <v>668</v>
      </c>
      <c r="B671" s="6" t="str">
        <f>"30482021060318542486674"</f>
        <v>30482021060318542486674</v>
      </c>
      <c r="C671" s="6" t="s">
        <v>1576</v>
      </c>
      <c r="D671" s="6" t="str">
        <f>"李妤"</f>
        <v>李妤</v>
      </c>
      <c r="E671" s="6" t="str">
        <f t="shared" si="54"/>
        <v>女</v>
      </c>
      <c r="F671" s="7" t="s">
        <v>415</v>
      </c>
    </row>
    <row r="672" spans="1:6" ht="20.100000000000001" customHeight="1" x14ac:dyDescent="0.15">
      <c r="A672" s="5">
        <v>669</v>
      </c>
      <c r="B672" s="6" t="str">
        <f>"30482021060319013486726"</f>
        <v>30482021060319013486726</v>
      </c>
      <c r="C672" s="6" t="s">
        <v>1576</v>
      </c>
      <c r="D672" s="6" t="str">
        <f>"董先先"</f>
        <v>董先先</v>
      </c>
      <c r="E672" s="6" t="str">
        <f t="shared" si="54"/>
        <v>女</v>
      </c>
      <c r="F672" s="7" t="s">
        <v>316</v>
      </c>
    </row>
    <row r="673" spans="1:6" ht="20.100000000000001" customHeight="1" x14ac:dyDescent="0.15">
      <c r="A673" s="5">
        <v>670</v>
      </c>
      <c r="B673" s="6" t="str">
        <f>"30482021060319345086997"</f>
        <v>30482021060319345086997</v>
      </c>
      <c r="C673" s="6" t="s">
        <v>1576</v>
      </c>
      <c r="D673" s="6" t="str">
        <f>"王霜"</f>
        <v>王霜</v>
      </c>
      <c r="E673" s="6" t="str">
        <f t="shared" si="54"/>
        <v>女</v>
      </c>
      <c r="F673" s="7" t="s">
        <v>790</v>
      </c>
    </row>
    <row r="674" spans="1:6" ht="20.100000000000001" customHeight="1" x14ac:dyDescent="0.15">
      <c r="A674" s="5">
        <v>671</v>
      </c>
      <c r="B674" s="6" t="str">
        <f>"30482021060319362787011"</f>
        <v>30482021060319362787011</v>
      </c>
      <c r="C674" s="6" t="s">
        <v>1576</v>
      </c>
      <c r="D674" s="6" t="str">
        <f>"林诗婷"</f>
        <v>林诗婷</v>
      </c>
      <c r="E674" s="6" t="str">
        <f t="shared" si="54"/>
        <v>女</v>
      </c>
      <c r="F674" s="7" t="s">
        <v>456</v>
      </c>
    </row>
    <row r="675" spans="1:6" ht="20.100000000000001" customHeight="1" x14ac:dyDescent="0.15">
      <c r="A675" s="5">
        <v>672</v>
      </c>
      <c r="B675" s="6" t="str">
        <f>"30482021060320163987394"</f>
        <v>30482021060320163987394</v>
      </c>
      <c r="C675" s="6" t="s">
        <v>1576</v>
      </c>
      <c r="D675" s="6" t="str">
        <f>"苏丽雪"</f>
        <v>苏丽雪</v>
      </c>
      <c r="E675" s="6" t="str">
        <f t="shared" si="54"/>
        <v>女</v>
      </c>
      <c r="F675" s="7" t="s">
        <v>1772</v>
      </c>
    </row>
    <row r="676" spans="1:6" ht="20.100000000000001" customHeight="1" x14ac:dyDescent="0.15">
      <c r="A676" s="5">
        <v>673</v>
      </c>
      <c r="B676" s="6" t="str">
        <f>"30482021060320352287609"</f>
        <v>30482021060320352287609</v>
      </c>
      <c r="C676" s="6" t="s">
        <v>1576</v>
      </c>
      <c r="D676" s="6" t="str">
        <f>"符秀红"</f>
        <v>符秀红</v>
      </c>
      <c r="E676" s="6" t="str">
        <f t="shared" si="54"/>
        <v>女</v>
      </c>
      <c r="F676" s="7" t="s">
        <v>750</v>
      </c>
    </row>
    <row r="677" spans="1:6" ht="20.100000000000001" customHeight="1" x14ac:dyDescent="0.15">
      <c r="A677" s="5">
        <v>674</v>
      </c>
      <c r="B677" s="6" t="str">
        <f>"30482021060320361887620"</f>
        <v>30482021060320361887620</v>
      </c>
      <c r="C677" s="6" t="s">
        <v>1576</v>
      </c>
      <c r="D677" s="6" t="str">
        <f>"孔祥楠"</f>
        <v>孔祥楠</v>
      </c>
      <c r="E677" s="6" t="str">
        <f>"男"</f>
        <v>男</v>
      </c>
      <c r="F677" s="7" t="s">
        <v>1773</v>
      </c>
    </row>
    <row r="678" spans="1:6" ht="20.100000000000001" customHeight="1" x14ac:dyDescent="0.15">
      <c r="A678" s="5">
        <v>675</v>
      </c>
      <c r="B678" s="6" t="str">
        <f>"30482021060320410187670"</f>
        <v>30482021060320410187670</v>
      </c>
      <c r="C678" s="6" t="s">
        <v>1576</v>
      </c>
      <c r="D678" s="6" t="str">
        <f>"梁玉祯"</f>
        <v>梁玉祯</v>
      </c>
      <c r="E678" s="6" t="str">
        <f t="shared" ref="E678:E695" si="55">"女"</f>
        <v>女</v>
      </c>
      <c r="F678" s="7" t="s">
        <v>1774</v>
      </c>
    </row>
    <row r="679" spans="1:6" ht="20.100000000000001" customHeight="1" x14ac:dyDescent="0.15">
      <c r="A679" s="5">
        <v>676</v>
      </c>
      <c r="B679" s="6" t="str">
        <f>"30482021060320442887715"</f>
        <v>30482021060320442887715</v>
      </c>
      <c r="C679" s="6" t="s">
        <v>1576</v>
      </c>
      <c r="D679" s="6" t="str">
        <f>"周德志"</f>
        <v>周德志</v>
      </c>
      <c r="E679" s="6" t="str">
        <f>"男"</f>
        <v>男</v>
      </c>
      <c r="F679" s="7" t="s">
        <v>1775</v>
      </c>
    </row>
    <row r="680" spans="1:6" ht="20.100000000000001" customHeight="1" x14ac:dyDescent="0.15">
      <c r="A680" s="5">
        <v>677</v>
      </c>
      <c r="B680" s="6" t="str">
        <f>"30482021060320480387759"</f>
        <v>30482021060320480387759</v>
      </c>
      <c r="C680" s="6" t="s">
        <v>1576</v>
      </c>
      <c r="D680" s="6" t="str">
        <f>"潘燕丽"</f>
        <v>潘燕丽</v>
      </c>
      <c r="E680" s="6" t="str">
        <f t="shared" si="55"/>
        <v>女</v>
      </c>
      <c r="F680" s="7" t="s">
        <v>1478</v>
      </c>
    </row>
    <row r="681" spans="1:6" ht="20.100000000000001" customHeight="1" x14ac:dyDescent="0.15">
      <c r="A681" s="5">
        <v>678</v>
      </c>
      <c r="B681" s="6" t="str">
        <f>"30482021060320514487799"</f>
        <v>30482021060320514487799</v>
      </c>
      <c r="C681" s="6" t="s">
        <v>1576</v>
      </c>
      <c r="D681" s="6" t="str">
        <f>"符少巧"</f>
        <v>符少巧</v>
      </c>
      <c r="E681" s="6" t="str">
        <f t="shared" si="55"/>
        <v>女</v>
      </c>
      <c r="F681" s="7" t="s">
        <v>1776</v>
      </c>
    </row>
    <row r="682" spans="1:6" ht="20.100000000000001" customHeight="1" x14ac:dyDescent="0.15">
      <c r="A682" s="5">
        <v>679</v>
      </c>
      <c r="B682" s="6" t="str">
        <f>"30482021060321022287939"</f>
        <v>30482021060321022287939</v>
      </c>
      <c r="C682" s="6" t="s">
        <v>1576</v>
      </c>
      <c r="D682" s="6" t="str">
        <f>"汤表莉"</f>
        <v>汤表莉</v>
      </c>
      <c r="E682" s="6" t="str">
        <f t="shared" si="55"/>
        <v>女</v>
      </c>
      <c r="F682" s="7" t="s">
        <v>1399</v>
      </c>
    </row>
    <row r="683" spans="1:6" ht="20.100000000000001" customHeight="1" x14ac:dyDescent="0.15">
      <c r="A683" s="5">
        <v>680</v>
      </c>
      <c r="B683" s="6" t="str">
        <f>"30482021060321071087999"</f>
        <v>30482021060321071087999</v>
      </c>
      <c r="C683" s="6" t="s">
        <v>1576</v>
      </c>
      <c r="D683" s="6" t="str">
        <f>"吴艳萍"</f>
        <v>吴艳萍</v>
      </c>
      <c r="E683" s="6" t="str">
        <f t="shared" si="55"/>
        <v>女</v>
      </c>
      <c r="F683" s="7" t="s">
        <v>1777</v>
      </c>
    </row>
    <row r="684" spans="1:6" ht="20.100000000000001" customHeight="1" x14ac:dyDescent="0.15">
      <c r="A684" s="5">
        <v>681</v>
      </c>
      <c r="B684" s="6" t="str">
        <f>"30482021060321185988126"</f>
        <v>30482021060321185988126</v>
      </c>
      <c r="C684" s="6" t="s">
        <v>1576</v>
      </c>
      <c r="D684" s="6" t="str">
        <f>"潘孝萍"</f>
        <v>潘孝萍</v>
      </c>
      <c r="E684" s="6" t="str">
        <f t="shared" si="55"/>
        <v>女</v>
      </c>
      <c r="F684" s="7" t="s">
        <v>659</v>
      </c>
    </row>
    <row r="685" spans="1:6" ht="20.100000000000001" customHeight="1" x14ac:dyDescent="0.15">
      <c r="A685" s="5">
        <v>682</v>
      </c>
      <c r="B685" s="6" t="str">
        <f>"30482021060321221688158"</f>
        <v>30482021060321221688158</v>
      </c>
      <c r="C685" s="6" t="s">
        <v>1576</v>
      </c>
      <c r="D685" s="6" t="str">
        <f>"韩恋"</f>
        <v>韩恋</v>
      </c>
      <c r="E685" s="6" t="str">
        <f t="shared" si="55"/>
        <v>女</v>
      </c>
      <c r="F685" s="7" t="s">
        <v>985</v>
      </c>
    </row>
    <row r="686" spans="1:6" ht="20.100000000000001" customHeight="1" x14ac:dyDescent="0.15">
      <c r="A686" s="5">
        <v>683</v>
      </c>
      <c r="B686" s="6" t="str">
        <f>"30482021060321230188166"</f>
        <v>30482021060321230188166</v>
      </c>
      <c r="C686" s="6" t="s">
        <v>1576</v>
      </c>
      <c r="D686" s="6" t="str">
        <f>"黄慧"</f>
        <v>黄慧</v>
      </c>
      <c r="E686" s="6" t="str">
        <f t="shared" si="55"/>
        <v>女</v>
      </c>
      <c r="F686" s="7" t="s">
        <v>1778</v>
      </c>
    </row>
    <row r="687" spans="1:6" ht="20.100000000000001" customHeight="1" x14ac:dyDescent="0.15">
      <c r="A687" s="5">
        <v>684</v>
      </c>
      <c r="B687" s="6" t="str">
        <f>"30482021060321272188216"</f>
        <v>30482021060321272188216</v>
      </c>
      <c r="C687" s="6" t="s">
        <v>1576</v>
      </c>
      <c r="D687" s="6" t="str">
        <f>"蔡伟兰"</f>
        <v>蔡伟兰</v>
      </c>
      <c r="E687" s="6" t="str">
        <f t="shared" si="55"/>
        <v>女</v>
      </c>
      <c r="F687" s="7" t="s">
        <v>291</v>
      </c>
    </row>
    <row r="688" spans="1:6" ht="20.100000000000001" customHeight="1" x14ac:dyDescent="0.15">
      <c r="A688" s="5">
        <v>685</v>
      </c>
      <c r="B688" s="6" t="str">
        <f>"30482021060321272288217"</f>
        <v>30482021060321272288217</v>
      </c>
      <c r="C688" s="6" t="s">
        <v>1576</v>
      </c>
      <c r="D688" s="6" t="str">
        <f>"王小映"</f>
        <v>王小映</v>
      </c>
      <c r="E688" s="6" t="str">
        <f t="shared" si="55"/>
        <v>女</v>
      </c>
      <c r="F688" s="7" t="s">
        <v>1611</v>
      </c>
    </row>
    <row r="689" spans="1:6" ht="20.100000000000001" customHeight="1" x14ac:dyDescent="0.15">
      <c r="A689" s="5">
        <v>686</v>
      </c>
      <c r="B689" s="6" t="str">
        <f>"30482021060321393388360"</f>
        <v>30482021060321393388360</v>
      </c>
      <c r="C689" s="6" t="s">
        <v>1576</v>
      </c>
      <c r="D689" s="6" t="str">
        <f>"张蕾"</f>
        <v>张蕾</v>
      </c>
      <c r="E689" s="6" t="str">
        <f t="shared" si="55"/>
        <v>女</v>
      </c>
      <c r="F689" s="7" t="s">
        <v>1027</v>
      </c>
    </row>
    <row r="690" spans="1:6" ht="20.100000000000001" customHeight="1" x14ac:dyDescent="0.15">
      <c r="A690" s="5">
        <v>687</v>
      </c>
      <c r="B690" s="6" t="str">
        <f>"30482021060321394988364"</f>
        <v>30482021060321394988364</v>
      </c>
      <c r="C690" s="6" t="s">
        <v>1576</v>
      </c>
      <c r="D690" s="6" t="str">
        <f>"李徐苗"</f>
        <v>李徐苗</v>
      </c>
      <c r="E690" s="6" t="str">
        <f t="shared" si="55"/>
        <v>女</v>
      </c>
      <c r="F690" s="7" t="s">
        <v>987</v>
      </c>
    </row>
    <row r="691" spans="1:6" ht="20.100000000000001" customHeight="1" x14ac:dyDescent="0.15">
      <c r="A691" s="5">
        <v>688</v>
      </c>
      <c r="B691" s="6" t="str">
        <f>"30482021060321564188558"</f>
        <v>30482021060321564188558</v>
      </c>
      <c r="C691" s="6" t="s">
        <v>1576</v>
      </c>
      <c r="D691" s="6" t="str">
        <f>"李丽莎"</f>
        <v>李丽莎</v>
      </c>
      <c r="E691" s="6" t="str">
        <f t="shared" si="55"/>
        <v>女</v>
      </c>
      <c r="F691" s="7" t="s">
        <v>160</v>
      </c>
    </row>
    <row r="692" spans="1:6" ht="20.100000000000001" customHeight="1" x14ac:dyDescent="0.15">
      <c r="A692" s="5">
        <v>689</v>
      </c>
      <c r="B692" s="6" t="str">
        <f>"30482021060322110788727"</f>
        <v>30482021060322110788727</v>
      </c>
      <c r="C692" s="6" t="s">
        <v>1576</v>
      </c>
      <c r="D692" s="6" t="str">
        <f>"林香"</f>
        <v>林香</v>
      </c>
      <c r="E692" s="6" t="str">
        <f t="shared" si="55"/>
        <v>女</v>
      </c>
      <c r="F692" s="7" t="s">
        <v>1779</v>
      </c>
    </row>
    <row r="693" spans="1:6" ht="20.100000000000001" customHeight="1" x14ac:dyDescent="0.15">
      <c r="A693" s="5">
        <v>690</v>
      </c>
      <c r="B693" s="6" t="str">
        <f>"30482021060322451189097"</f>
        <v>30482021060322451189097</v>
      </c>
      <c r="C693" s="6" t="s">
        <v>1576</v>
      </c>
      <c r="D693" s="6" t="str">
        <f>"薛秋花"</f>
        <v>薛秋花</v>
      </c>
      <c r="E693" s="6" t="str">
        <f t="shared" si="55"/>
        <v>女</v>
      </c>
      <c r="F693" s="7" t="s">
        <v>927</v>
      </c>
    </row>
    <row r="694" spans="1:6" ht="20.100000000000001" customHeight="1" x14ac:dyDescent="0.15">
      <c r="A694" s="5">
        <v>691</v>
      </c>
      <c r="B694" s="6" t="str">
        <f>"30482021060322482489128"</f>
        <v>30482021060322482489128</v>
      </c>
      <c r="C694" s="6" t="s">
        <v>1576</v>
      </c>
      <c r="D694" s="6" t="str">
        <f>"陈海珠"</f>
        <v>陈海珠</v>
      </c>
      <c r="E694" s="6" t="str">
        <f t="shared" si="55"/>
        <v>女</v>
      </c>
      <c r="F694" s="7" t="s">
        <v>483</v>
      </c>
    </row>
    <row r="695" spans="1:6" ht="20.100000000000001" customHeight="1" x14ac:dyDescent="0.15">
      <c r="A695" s="5">
        <v>692</v>
      </c>
      <c r="B695" s="6" t="str">
        <f>"30482021060322491989133"</f>
        <v>30482021060322491989133</v>
      </c>
      <c r="C695" s="6" t="s">
        <v>1576</v>
      </c>
      <c r="D695" s="6" t="str">
        <f>"刘新宁"</f>
        <v>刘新宁</v>
      </c>
      <c r="E695" s="6" t="str">
        <f t="shared" si="55"/>
        <v>女</v>
      </c>
      <c r="F695" s="7" t="s">
        <v>771</v>
      </c>
    </row>
    <row r="696" spans="1:6" ht="20.100000000000001" customHeight="1" x14ac:dyDescent="0.15">
      <c r="A696" s="5">
        <v>693</v>
      </c>
      <c r="B696" s="6" t="str">
        <f>"30482021060322572189217"</f>
        <v>30482021060322572189217</v>
      </c>
      <c r="C696" s="6" t="s">
        <v>1576</v>
      </c>
      <c r="D696" s="6" t="str">
        <f>"朱芳泰"</f>
        <v>朱芳泰</v>
      </c>
      <c r="E696" s="6" t="str">
        <f>"男"</f>
        <v>男</v>
      </c>
      <c r="F696" s="7" t="s">
        <v>1780</v>
      </c>
    </row>
    <row r="697" spans="1:6" ht="20.100000000000001" customHeight="1" x14ac:dyDescent="0.15">
      <c r="A697" s="5">
        <v>694</v>
      </c>
      <c r="B697" s="6" t="str">
        <f>"30482021060322572589221"</f>
        <v>30482021060322572589221</v>
      </c>
      <c r="C697" s="6" t="s">
        <v>1576</v>
      </c>
      <c r="D697" s="6" t="str">
        <f>"陈丽香"</f>
        <v>陈丽香</v>
      </c>
      <c r="E697" s="6" t="str">
        <f t="shared" ref="E697:E705" si="56">"女"</f>
        <v>女</v>
      </c>
      <c r="F697" s="7" t="s">
        <v>1367</v>
      </c>
    </row>
    <row r="698" spans="1:6" ht="20.100000000000001" customHeight="1" x14ac:dyDescent="0.15">
      <c r="A698" s="5">
        <v>695</v>
      </c>
      <c r="B698" s="6" t="str">
        <f>"30482021060323130189361"</f>
        <v>30482021060323130189361</v>
      </c>
      <c r="C698" s="6" t="s">
        <v>1576</v>
      </c>
      <c r="D698" s="6" t="str">
        <f>"吴金玉"</f>
        <v>吴金玉</v>
      </c>
      <c r="E698" s="6" t="str">
        <f t="shared" si="56"/>
        <v>女</v>
      </c>
      <c r="F698" s="7" t="s">
        <v>239</v>
      </c>
    </row>
    <row r="699" spans="1:6" ht="20.100000000000001" customHeight="1" x14ac:dyDescent="0.15">
      <c r="A699" s="5">
        <v>696</v>
      </c>
      <c r="B699" s="6" t="str">
        <f>"30482021060323161489383"</f>
        <v>30482021060323161489383</v>
      </c>
      <c r="C699" s="6" t="s">
        <v>1576</v>
      </c>
      <c r="D699" s="6" t="str">
        <f>"吴曼谊"</f>
        <v>吴曼谊</v>
      </c>
      <c r="E699" s="6" t="str">
        <f t="shared" si="56"/>
        <v>女</v>
      </c>
      <c r="F699" s="7" t="s">
        <v>1470</v>
      </c>
    </row>
    <row r="700" spans="1:6" ht="20.100000000000001" customHeight="1" x14ac:dyDescent="0.15">
      <c r="A700" s="5">
        <v>697</v>
      </c>
      <c r="B700" s="6" t="str">
        <f>"30482021060323282889472"</f>
        <v>30482021060323282889472</v>
      </c>
      <c r="C700" s="6" t="s">
        <v>1576</v>
      </c>
      <c r="D700" s="6" t="str">
        <f>"倪金娇"</f>
        <v>倪金娇</v>
      </c>
      <c r="E700" s="6" t="str">
        <f t="shared" si="56"/>
        <v>女</v>
      </c>
      <c r="F700" s="7" t="s">
        <v>252</v>
      </c>
    </row>
    <row r="701" spans="1:6" ht="20.100000000000001" customHeight="1" x14ac:dyDescent="0.15">
      <c r="A701" s="5">
        <v>698</v>
      </c>
      <c r="B701" s="6" t="str">
        <f>"30482021060323320989490"</f>
        <v>30482021060323320989490</v>
      </c>
      <c r="C701" s="6" t="s">
        <v>1576</v>
      </c>
      <c r="D701" s="6" t="str">
        <f>"王丹"</f>
        <v>王丹</v>
      </c>
      <c r="E701" s="6" t="str">
        <f t="shared" si="56"/>
        <v>女</v>
      </c>
      <c r="F701" s="7" t="s">
        <v>495</v>
      </c>
    </row>
    <row r="702" spans="1:6" ht="20.100000000000001" customHeight="1" x14ac:dyDescent="0.15">
      <c r="A702" s="5">
        <v>699</v>
      </c>
      <c r="B702" s="6" t="str">
        <f>"30482021060400001189660"</f>
        <v>30482021060400001189660</v>
      </c>
      <c r="C702" s="6" t="s">
        <v>1576</v>
      </c>
      <c r="D702" s="6" t="str">
        <f>"符爱金"</f>
        <v>符爱金</v>
      </c>
      <c r="E702" s="6" t="str">
        <f t="shared" si="56"/>
        <v>女</v>
      </c>
      <c r="F702" s="7" t="s">
        <v>384</v>
      </c>
    </row>
    <row r="703" spans="1:6" ht="20.100000000000001" customHeight="1" x14ac:dyDescent="0.15">
      <c r="A703" s="5">
        <v>700</v>
      </c>
      <c r="B703" s="6" t="str">
        <f>"30482021060400060489683"</f>
        <v>30482021060400060489683</v>
      </c>
      <c r="C703" s="6" t="s">
        <v>1576</v>
      </c>
      <c r="D703" s="6" t="str">
        <f>"吴生慧"</f>
        <v>吴生慧</v>
      </c>
      <c r="E703" s="6" t="str">
        <f t="shared" si="56"/>
        <v>女</v>
      </c>
      <c r="F703" s="7" t="s">
        <v>1399</v>
      </c>
    </row>
    <row r="704" spans="1:6" ht="20.100000000000001" customHeight="1" x14ac:dyDescent="0.15">
      <c r="A704" s="5">
        <v>701</v>
      </c>
      <c r="B704" s="6" t="str">
        <f>"30482021060400373589787"</f>
        <v>30482021060400373589787</v>
      </c>
      <c r="C704" s="6" t="s">
        <v>1576</v>
      </c>
      <c r="D704" s="6" t="str">
        <f>"林方婷"</f>
        <v>林方婷</v>
      </c>
      <c r="E704" s="6" t="str">
        <f t="shared" si="56"/>
        <v>女</v>
      </c>
      <c r="F704" s="7" t="s">
        <v>899</v>
      </c>
    </row>
    <row r="705" spans="1:6" ht="20.100000000000001" customHeight="1" x14ac:dyDescent="0.15">
      <c r="A705" s="5">
        <v>702</v>
      </c>
      <c r="B705" s="6" t="str">
        <f>"30482021060407330990064"</f>
        <v>30482021060407330990064</v>
      </c>
      <c r="C705" s="6" t="s">
        <v>1576</v>
      </c>
      <c r="D705" s="6" t="str">
        <f>"符茵茵"</f>
        <v>符茵茵</v>
      </c>
      <c r="E705" s="6" t="str">
        <f t="shared" si="56"/>
        <v>女</v>
      </c>
      <c r="F705" s="7" t="s">
        <v>1233</v>
      </c>
    </row>
    <row r="706" spans="1:6" ht="20.100000000000001" customHeight="1" x14ac:dyDescent="0.15">
      <c r="A706" s="5">
        <v>703</v>
      </c>
      <c r="B706" s="6" t="str">
        <f>"30482021060407334590065"</f>
        <v>30482021060407334590065</v>
      </c>
      <c r="C706" s="6" t="s">
        <v>1576</v>
      </c>
      <c r="D706" s="6" t="str">
        <f>"林芳亮"</f>
        <v>林芳亮</v>
      </c>
      <c r="E706" s="6" t="str">
        <f>"男"</f>
        <v>男</v>
      </c>
      <c r="F706" s="7" t="s">
        <v>1781</v>
      </c>
    </row>
    <row r="707" spans="1:6" ht="20.100000000000001" customHeight="1" x14ac:dyDescent="0.15">
      <c r="A707" s="5">
        <v>704</v>
      </c>
      <c r="B707" s="6" t="str">
        <f>"30482021060407394190077"</f>
        <v>30482021060407394190077</v>
      </c>
      <c r="C707" s="6" t="s">
        <v>1576</v>
      </c>
      <c r="D707" s="6" t="str">
        <f>"蔡雄艳"</f>
        <v>蔡雄艳</v>
      </c>
      <c r="E707" s="6" t="str">
        <f t="shared" ref="E707:E735" si="57">"女"</f>
        <v>女</v>
      </c>
      <c r="F707" s="7" t="s">
        <v>731</v>
      </c>
    </row>
    <row r="708" spans="1:6" ht="20.100000000000001" customHeight="1" x14ac:dyDescent="0.15">
      <c r="A708" s="5">
        <v>705</v>
      </c>
      <c r="B708" s="6" t="str">
        <f>"30482021060407553990118"</f>
        <v>30482021060407553990118</v>
      </c>
      <c r="C708" s="6" t="s">
        <v>1576</v>
      </c>
      <c r="D708" s="6" t="str">
        <f>"李清秀"</f>
        <v>李清秀</v>
      </c>
      <c r="E708" s="6" t="str">
        <f t="shared" si="57"/>
        <v>女</v>
      </c>
      <c r="F708" s="7" t="s">
        <v>1782</v>
      </c>
    </row>
    <row r="709" spans="1:6" ht="20.100000000000001" customHeight="1" x14ac:dyDescent="0.15">
      <c r="A709" s="5">
        <v>706</v>
      </c>
      <c r="B709" s="6" t="str">
        <f>"30482021060408342890329"</f>
        <v>30482021060408342890329</v>
      </c>
      <c r="C709" s="6" t="s">
        <v>1576</v>
      </c>
      <c r="D709" s="6" t="str">
        <f>"方其财"</f>
        <v>方其财</v>
      </c>
      <c r="E709" s="6" t="str">
        <f t="shared" si="57"/>
        <v>女</v>
      </c>
      <c r="F709" s="7" t="s">
        <v>1783</v>
      </c>
    </row>
    <row r="710" spans="1:6" ht="20.100000000000001" customHeight="1" x14ac:dyDescent="0.15">
      <c r="A710" s="5">
        <v>707</v>
      </c>
      <c r="B710" s="6" t="str">
        <f>"30482021060408375690362"</f>
        <v>30482021060408375690362</v>
      </c>
      <c r="C710" s="6" t="s">
        <v>1576</v>
      </c>
      <c r="D710" s="6" t="str">
        <f>"赵爱菊"</f>
        <v>赵爱菊</v>
      </c>
      <c r="E710" s="6" t="str">
        <f t="shared" si="57"/>
        <v>女</v>
      </c>
      <c r="F710" s="7" t="s">
        <v>300</v>
      </c>
    </row>
    <row r="711" spans="1:6" ht="20.100000000000001" customHeight="1" x14ac:dyDescent="0.15">
      <c r="A711" s="5">
        <v>708</v>
      </c>
      <c r="B711" s="6" t="str">
        <f>"30482021060408381890364"</f>
        <v>30482021060408381890364</v>
      </c>
      <c r="C711" s="6" t="s">
        <v>1576</v>
      </c>
      <c r="D711" s="6" t="str">
        <f>"邓华清"</f>
        <v>邓华清</v>
      </c>
      <c r="E711" s="6" t="str">
        <f t="shared" si="57"/>
        <v>女</v>
      </c>
      <c r="F711" s="7" t="s">
        <v>105</v>
      </c>
    </row>
    <row r="712" spans="1:6" ht="20.100000000000001" customHeight="1" x14ac:dyDescent="0.15">
      <c r="A712" s="5">
        <v>709</v>
      </c>
      <c r="B712" s="6" t="str">
        <f>"30482021060408440790426"</f>
        <v>30482021060408440790426</v>
      </c>
      <c r="C712" s="6" t="s">
        <v>1576</v>
      </c>
      <c r="D712" s="6" t="str">
        <f>"李志蕊"</f>
        <v>李志蕊</v>
      </c>
      <c r="E712" s="6" t="str">
        <f t="shared" si="57"/>
        <v>女</v>
      </c>
      <c r="F712" s="7" t="s">
        <v>490</v>
      </c>
    </row>
    <row r="713" spans="1:6" ht="20.100000000000001" customHeight="1" x14ac:dyDescent="0.15">
      <c r="A713" s="5">
        <v>710</v>
      </c>
      <c r="B713" s="6" t="str">
        <f>"30482021060408482690470"</f>
        <v>30482021060408482690470</v>
      </c>
      <c r="C713" s="6" t="s">
        <v>1576</v>
      </c>
      <c r="D713" s="6" t="str">
        <f>"钟秋月"</f>
        <v>钟秋月</v>
      </c>
      <c r="E713" s="6" t="str">
        <f t="shared" si="57"/>
        <v>女</v>
      </c>
      <c r="F713" s="7" t="s">
        <v>1047</v>
      </c>
    </row>
    <row r="714" spans="1:6" ht="20.100000000000001" customHeight="1" x14ac:dyDescent="0.15">
      <c r="A714" s="5">
        <v>711</v>
      </c>
      <c r="B714" s="6" t="str">
        <f>"30482021060409051290640"</f>
        <v>30482021060409051290640</v>
      </c>
      <c r="C714" s="6" t="s">
        <v>1576</v>
      </c>
      <c r="D714" s="6" t="str">
        <f>"羊小妹"</f>
        <v>羊小妹</v>
      </c>
      <c r="E714" s="6" t="str">
        <f t="shared" si="57"/>
        <v>女</v>
      </c>
      <c r="F714" s="7" t="s">
        <v>396</v>
      </c>
    </row>
    <row r="715" spans="1:6" ht="20.100000000000001" customHeight="1" x14ac:dyDescent="0.15">
      <c r="A715" s="5">
        <v>712</v>
      </c>
      <c r="B715" s="6" t="str">
        <f>"30482021060409141790735"</f>
        <v>30482021060409141790735</v>
      </c>
      <c r="C715" s="6" t="s">
        <v>1576</v>
      </c>
      <c r="D715" s="6" t="str">
        <f>"许岸"</f>
        <v>许岸</v>
      </c>
      <c r="E715" s="6" t="str">
        <f t="shared" si="57"/>
        <v>女</v>
      </c>
      <c r="F715" s="7" t="s">
        <v>955</v>
      </c>
    </row>
    <row r="716" spans="1:6" ht="20.100000000000001" customHeight="1" x14ac:dyDescent="0.15">
      <c r="A716" s="5">
        <v>713</v>
      </c>
      <c r="B716" s="6" t="str">
        <f>"30482021060409205290819"</f>
        <v>30482021060409205290819</v>
      </c>
      <c r="C716" s="6" t="s">
        <v>1576</v>
      </c>
      <c r="D716" s="6" t="str">
        <f>"刘芬琳"</f>
        <v>刘芬琳</v>
      </c>
      <c r="E716" s="6" t="str">
        <f t="shared" si="57"/>
        <v>女</v>
      </c>
      <c r="F716" s="7" t="s">
        <v>1198</v>
      </c>
    </row>
    <row r="717" spans="1:6" ht="20.100000000000001" customHeight="1" x14ac:dyDescent="0.15">
      <c r="A717" s="5">
        <v>714</v>
      </c>
      <c r="B717" s="6" t="str">
        <f>"30482021060409383991015"</f>
        <v>30482021060409383991015</v>
      </c>
      <c r="C717" s="6" t="s">
        <v>1576</v>
      </c>
      <c r="D717" s="6" t="str">
        <f>"许宇雪"</f>
        <v>许宇雪</v>
      </c>
      <c r="E717" s="6" t="str">
        <f t="shared" si="57"/>
        <v>女</v>
      </c>
      <c r="F717" s="7" t="s">
        <v>1784</v>
      </c>
    </row>
    <row r="718" spans="1:6" ht="20.100000000000001" customHeight="1" x14ac:dyDescent="0.15">
      <c r="A718" s="5">
        <v>715</v>
      </c>
      <c r="B718" s="6" t="str">
        <f>"30482021060409460091100"</f>
        <v>30482021060409460091100</v>
      </c>
      <c r="C718" s="6" t="s">
        <v>1576</v>
      </c>
      <c r="D718" s="6" t="str">
        <f>"李惠子"</f>
        <v>李惠子</v>
      </c>
      <c r="E718" s="6" t="str">
        <f t="shared" si="57"/>
        <v>女</v>
      </c>
      <c r="F718" s="7" t="s">
        <v>152</v>
      </c>
    </row>
    <row r="719" spans="1:6" ht="20.100000000000001" customHeight="1" x14ac:dyDescent="0.15">
      <c r="A719" s="5">
        <v>716</v>
      </c>
      <c r="B719" s="6" t="str">
        <f>"30482021060409571691237"</f>
        <v>30482021060409571691237</v>
      </c>
      <c r="C719" s="6" t="s">
        <v>1576</v>
      </c>
      <c r="D719" s="6" t="str">
        <f>"陈华芳"</f>
        <v>陈华芳</v>
      </c>
      <c r="E719" s="6" t="str">
        <f t="shared" si="57"/>
        <v>女</v>
      </c>
      <c r="F719" s="7" t="s">
        <v>898</v>
      </c>
    </row>
    <row r="720" spans="1:6" ht="20.100000000000001" customHeight="1" x14ac:dyDescent="0.15">
      <c r="A720" s="5">
        <v>717</v>
      </c>
      <c r="B720" s="6" t="str">
        <f>"30482021060410020491286"</f>
        <v>30482021060410020491286</v>
      </c>
      <c r="C720" s="6" t="s">
        <v>1576</v>
      </c>
      <c r="D720" s="6" t="str">
        <f>"张晓颖"</f>
        <v>张晓颖</v>
      </c>
      <c r="E720" s="6" t="str">
        <f t="shared" si="57"/>
        <v>女</v>
      </c>
      <c r="F720" s="7" t="s">
        <v>1510</v>
      </c>
    </row>
    <row r="721" spans="1:6" ht="20.100000000000001" customHeight="1" x14ac:dyDescent="0.15">
      <c r="A721" s="5">
        <v>718</v>
      </c>
      <c r="B721" s="6" t="str">
        <f>"30482021060410044291317"</f>
        <v>30482021060410044291317</v>
      </c>
      <c r="C721" s="6" t="s">
        <v>1576</v>
      </c>
      <c r="D721" s="6" t="str">
        <f>"高婕"</f>
        <v>高婕</v>
      </c>
      <c r="E721" s="6" t="str">
        <f t="shared" si="57"/>
        <v>女</v>
      </c>
      <c r="F721" s="7" t="s">
        <v>1785</v>
      </c>
    </row>
    <row r="722" spans="1:6" ht="20.100000000000001" customHeight="1" x14ac:dyDescent="0.15">
      <c r="A722" s="5">
        <v>719</v>
      </c>
      <c r="B722" s="6" t="str">
        <f>"30482021060410063991352"</f>
        <v>30482021060410063991352</v>
      </c>
      <c r="C722" s="6" t="s">
        <v>1576</v>
      </c>
      <c r="D722" s="6" t="str">
        <f>"林儒玲"</f>
        <v>林儒玲</v>
      </c>
      <c r="E722" s="6" t="str">
        <f t="shared" si="57"/>
        <v>女</v>
      </c>
      <c r="F722" s="7" t="s">
        <v>1786</v>
      </c>
    </row>
    <row r="723" spans="1:6" ht="20.100000000000001" customHeight="1" x14ac:dyDescent="0.15">
      <c r="A723" s="5">
        <v>720</v>
      </c>
      <c r="B723" s="6" t="str">
        <f>"30482021060410110491410"</f>
        <v>30482021060410110491410</v>
      </c>
      <c r="C723" s="6" t="s">
        <v>1576</v>
      </c>
      <c r="D723" s="6" t="str">
        <f>"李黑姑"</f>
        <v>李黑姑</v>
      </c>
      <c r="E723" s="6" t="str">
        <f t="shared" si="57"/>
        <v>女</v>
      </c>
      <c r="F723" s="7" t="s">
        <v>287</v>
      </c>
    </row>
    <row r="724" spans="1:6" ht="20.100000000000001" customHeight="1" x14ac:dyDescent="0.15">
      <c r="A724" s="5">
        <v>721</v>
      </c>
      <c r="B724" s="6" t="str">
        <f>"30482021060410244091628"</f>
        <v>30482021060410244091628</v>
      </c>
      <c r="C724" s="6" t="s">
        <v>1576</v>
      </c>
      <c r="D724" s="6" t="str">
        <f>"薛振婉"</f>
        <v>薛振婉</v>
      </c>
      <c r="E724" s="6" t="str">
        <f t="shared" si="57"/>
        <v>女</v>
      </c>
      <c r="F724" s="7" t="s">
        <v>1787</v>
      </c>
    </row>
    <row r="725" spans="1:6" ht="20.100000000000001" customHeight="1" x14ac:dyDescent="0.15">
      <c r="A725" s="5">
        <v>722</v>
      </c>
      <c r="B725" s="6" t="str">
        <f>"30482021060410315391723"</f>
        <v>30482021060410315391723</v>
      </c>
      <c r="C725" s="6" t="s">
        <v>1576</v>
      </c>
      <c r="D725" s="6" t="str">
        <f>"林惠"</f>
        <v>林惠</v>
      </c>
      <c r="E725" s="6" t="str">
        <f t="shared" si="57"/>
        <v>女</v>
      </c>
      <c r="F725" s="7" t="s">
        <v>665</v>
      </c>
    </row>
    <row r="726" spans="1:6" ht="20.100000000000001" customHeight="1" x14ac:dyDescent="0.15">
      <c r="A726" s="5">
        <v>723</v>
      </c>
      <c r="B726" s="6" t="str">
        <f>"30482021060410392391826"</f>
        <v>30482021060410392391826</v>
      </c>
      <c r="C726" s="6" t="s">
        <v>1576</v>
      </c>
      <c r="D726" s="6" t="str">
        <f>"郑文静"</f>
        <v>郑文静</v>
      </c>
      <c r="E726" s="6" t="str">
        <f t="shared" si="57"/>
        <v>女</v>
      </c>
      <c r="F726" s="7" t="s">
        <v>137</v>
      </c>
    </row>
    <row r="727" spans="1:6" ht="20.100000000000001" customHeight="1" x14ac:dyDescent="0.15">
      <c r="A727" s="5">
        <v>724</v>
      </c>
      <c r="B727" s="6" t="str">
        <f>"30482021060410400191835"</f>
        <v>30482021060410400191835</v>
      </c>
      <c r="C727" s="6" t="s">
        <v>1576</v>
      </c>
      <c r="D727" s="6" t="str">
        <f>"周尹茹"</f>
        <v>周尹茹</v>
      </c>
      <c r="E727" s="6" t="str">
        <f t="shared" si="57"/>
        <v>女</v>
      </c>
      <c r="F727" s="7" t="s">
        <v>1788</v>
      </c>
    </row>
    <row r="728" spans="1:6" ht="20.100000000000001" customHeight="1" x14ac:dyDescent="0.15">
      <c r="A728" s="5">
        <v>725</v>
      </c>
      <c r="B728" s="6" t="str">
        <f>"30482021060410584092321"</f>
        <v>30482021060410584092321</v>
      </c>
      <c r="C728" s="6" t="s">
        <v>1576</v>
      </c>
      <c r="D728" s="6" t="str">
        <f>"林芳芳"</f>
        <v>林芳芳</v>
      </c>
      <c r="E728" s="6" t="str">
        <f t="shared" si="57"/>
        <v>女</v>
      </c>
      <c r="F728" s="7" t="s">
        <v>1789</v>
      </c>
    </row>
    <row r="729" spans="1:6" ht="20.100000000000001" customHeight="1" x14ac:dyDescent="0.15">
      <c r="A729" s="5">
        <v>726</v>
      </c>
      <c r="B729" s="6" t="str">
        <f>"30482021060411005292610"</f>
        <v>30482021060411005292610</v>
      </c>
      <c r="C729" s="6" t="s">
        <v>1576</v>
      </c>
      <c r="D729" s="6" t="str">
        <f>"何妃"</f>
        <v>何妃</v>
      </c>
      <c r="E729" s="6" t="str">
        <f t="shared" si="57"/>
        <v>女</v>
      </c>
      <c r="F729" s="7" t="s">
        <v>1616</v>
      </c>
    </row>
    <row r="730" spans="1:6" ht="20.100000000000001" customHeight="1" x14ac:dyDescent="0.15">
      <c r="A730" s="5">
        <v>727</v>
      </c>
      <c r="B730" s="6" t="str">
        <f>"30482021060411060792770"</f>
        <v>30482021060411060792770</v>
      </c>
      <c r="C730" s="6" t="s">
        <v>1576</v>
      </c>
      <c r="D730" s="6" t="str">
        <f>"谢昊霖"</f>
        <v>谢昊霖</v>
      </c>
      <c r="E730" s="6" t="str">
        <f t="shared" si="57"/>
        <v>女</v>
      </c>
      <c r="F730" s="7" t="s">
        <v>777</v>
      </c>
    </row>
    <row r="731" spans="1:6" ht="20.100000000000001" customHeight="1" x14ac:dyDescent="0.15">
      <c r="A731" s="5">
        <v>728</v>
      </c>
      <c r="B731" s="6" t="str">
        <f>"30482021060411101192836"</f>
        <v>30482021060411101192836</v>
      </c>
      <c r="C731" s="6" t="s">
        <v>1576</v>
      </c>
      <c r="D731" s="6" t="str">
        <f>"谢琼慧"</f>
        <v>谢琼慧</v>
      </c>
      <c r="E731" s="6" t="str">
        <f t="shared" si="57"/>
        <v>女</v>
      </c>
      <c r="F731" s="7" t="s">
        <v>1790</v>
      </c>
    </row>
    <row r="732" spans="1:6" ht="20.100000000000001" customHeight="1" x14ac:dyDescent="0.15">
      <c r="A732" s="5">
        <v>729</v>
      </c>
      <c r="B732" s="6" t="str">
        <f>"30482021060411283893044"</f>
        <v>30482021060411283893044</v>
      </c>
      <c r="C732" s="6" t="s">
        <v>1576</v>
      </c>
      <c r="D732" s="6" t="str">
        <f>"吴瑞云"</f>
        <v>吴瑞云</v>
      </c>
      <c r="E732" s="6" t="str">
        <f t="shared" si="57"/>
        <v>女</v>
      </c>
      <c r="F732" s="7" t="s">
        <v>401</v>
      </c>
    </row>
    <row r="733" spans="1:6" ht="20.100000000000001" customHeight="1" x14ac:dyDescent="0.15">
      <c r="A733" s="5">
        <v>730</v>
      </c>
      <c r="B733" s="6" t="str">
        <f>"30482021060411291493052"</f>
        <v>30482021060411291493052</v>
      </c>
      <c r="C733" s="6" t="s">
        <v>1576</v>
      </c>
      <c r="D733" s="6" t="str">
        <f>"陈小钰"</f>
        <v>陈小钰</v>
      </c>
      <c r="E733" s="6" t="str">
        <f t="shared" si="57"/>
        <v>女</v>
      </c>
      <c r="F733" s="7" t="s">
        <v>34</v>
      </c>
    </row>
    <row r="734" spans="1:6" ht="20.100000000000001" customHeight="1" x14ac:dyDescent="0.15">
      <c r="A734" s="5">
        <v>731</v>
      </c>
      <c r="B734" s="6" t="str">
        <f>"30482021060411294793061"</f>
        <v>30482021060411294793061</v>
      </c>
      <c r="C734" s="6" t="s">
        <v>1576</v>
      </c>
      <c r="D734" s="6" t="str">
        <f>"张晓浪"</f>
        <v>张晓浪</v>
      </c>
      <c r="E734" s="6" t="str">
        <f t="shared" si="57"/>
        <v>女</v>
      </c>
      <c r="F734" s="7" t="s">
        <v>400</v>
      </c>
    </row>
    <row r="735" spans="1:6" ht="20.100000000000001" customHeight="1" x14ac:dyDescent="0.15">
      <c r="A735" s="5">
        <v>732</v>
      </c>
      <c r="B735" s="6" t="str">
        <f>"30482021060411340193113"</f>
        <v>30482021060411340193113</v>
      </c>
      <c r="C735" s="6" t="s">
        <v>1576</v>
      </c>
      <c r="D735" s="6" t="str">
        <f>"陈金凡"</f>
        <v>陈金凡</v>
      </c>
      <c r="E735" s="6" t="str">
        <f t="shared" si="57"/>
        <v>女</v>
      </c>
      <c r="F735" s="7" t="s">
        <v>311</v>
      </c>
    </row>
    <row r="736" spans="1:6" ht="20.100000000000001" customHeight="1" x14ac:dyDescent="0.15">
      <c r="A736" s="5">
        <v>733</v>
      </c>
      <c r="B736" s="6" t="str">
        <f>"30482021060411463193217"</f>
        <v>30482021060411463193217</v>
      </c>
      <c r="C736" s="6" t="s">
        <v>1576</v>
      </c>
      <c r="D736" s="6" t="str">
        <f>"李杰"</f>
        <v>李杰</v>
      </c>
      <c r="E736" s="6" t="str">
        <f>"男"</f>
        <v>男</v>
      </c>
      <c r="F736" s="7" t="s">
        <v>1791</v>
      </c>
    </row>
    <row r="737" spans="1:6" ht="20.100000000000001" customHeight="1" x14ac:dyDescent="0.15">
      <c r="A737" s="5">
        <v>734</v>
      </c>
      <c r="B737" s="6" t="str">
        <f>"30482021060411495693253"</f>
        <v>30482021060411495693253</v>
      </c>
      <c r="C737" s="6" t="s">
        <v>1576</v>
      </c>
      <c r="D737" s="6" t="str">
        <f>"陈艳丽"</f>
        <v>陈艳丽</v>
      </c>
      <c r="E737" s="6" t="str">
        <f t="shared" ref="E737:E765" si="58">"女"</f>
        <v>女</v>
      </c>
      <c r="F737" s="7" t="s">
        <v>1553</v>
      </c>
    </row>
    <row r="738" spans="1:6" ht="20.100000000000001" customHeight="1" x14ac:dyDescent="0.15">
      <c r="A738" s="5">
        <v>735</v>
      </c>
      <c r="B738" s="6" t="str">
        <f>"30482021060412015793359"</f>
        <v>30482021060412015793359</v>
      </c>
      <c r="C738" s="6" t="s">
        <v>1576</v>
      </c>
      <c r="D738" s="6" t="str">
        <f>"李正一"</f>
        <v>李正一</v>
      </c>
      <c r="E738" s="6" t="str">
        <f t="shared" si="58"/>
        <v>女</v>
      </c>
      <c r="F738" s="7" t="s">
        <v>709</v>
      </c>
    </row>
    <row r="739" spans="1:6" ht="20.100000000000001" customHeight="1" x14ac:dyDescent="0.15">
      <c r="A739" s="5">
        <v>736</v>
      </c>
      <c r="B739" s="6" t="str">
        <f>"30482021060412025693367"</f>
        <v>30482021060412025693367</v>
      </c>
      <c r="C739" s="6" t="s">
        <v>1576</v>
      </c>
      <c r="D739" s="6" t="str">
        <f>"洪蔚柳"</f>
        <v>洪蔚柳</v>
      </c>
      <c r="E739" s="6" t="str">
        <f t="shared" si="58"/>
        <v>女</v>
      </c>
      <c r="F739" s="7" t="s">
        <v>1273</v>
      </c>
    </row>
    <row r="740" spans="1:6" ht="20.100000000000001" customHeight="1" x14ac:dyDescent="0.15">
      <c r="A740" s="5">
        <v>737</v>
      </c>
      <c r="B740" s="6" t="str">
        <f>"30482021060412093593436"</f>
        <v>30482021060412093593436</v>
      </c>
      <c r="C740" s="6" t="s">
        <v>1576</v>
      </c>
      <c r="D740" s="6" t="str">
        <f>"吴忠妍"</f>
        <v>吴忠妍</v>
      </c>
      <c r="E740" s="6" t="str">
        <f t="shared" si="58"/>
        <v>女</v>
      </c>
      <c r="F740" s="7" t="s">
        <v>602</v>
      </c>
    </row>
    <row r="741" spans="1:6" ht="20.100000000000001" customHeight="1" x14ac:dyDescent="0.15">
      <c r="A741" s="5">
        <v>738</v>
      </c>
      <c r="B741" s="6" t="str">
        <f>"30482021060412370193754"</f>
        <v>30482021060412370193754</v>
      </c>
      <c r="C741" s="6" t="s">
        <v>1576</v>
      </c>
      <c r="D741" s="6" t="str">
        <f>"王欢"</f>
        <v>王欢</v>
      </c>
      <c r="E741" s="6" t="str">
        <f t="shared" si="58"/>
        <v>女</v>
      </c>
      <c r="F741" s="7" t="s">
        <v>1373</v>
      </c>
    </row>
    <row r="742" spans="1:6" ht="20.100000000000001" customHeight="1" x14ac:dyDescent="0.15">
      <c r="A742" s="5">
        <v>739</v>
      </c>
      <c r="B742" s="6" t="str">
        <f>"30482021060412435293814"</f>
        <v>30482021060412435293814</v>
      </c>
      <c r="C742" s="6" t="s">
        <v>1576</v>
      </c>
      <c r="D742" s="6" t="str">
        <f>"董采旭"</f>
        <v>董采旭</v>
      </c>
      <c r="E742" s="6" t="str">
        <f t="shared" si="58"/>
        <v>女</v>
      </c>
      <c r="F742" s="7" t="s">
        <v>1792</v>
      </c>
    </row>
    <row r="743" spans="1:6" ht="20.100000000000001" customHeight="1" x14ac:dyDescent="0.15">
      <c r="A743" s="5">
        <v>740</v>
      </c>
      <c r="B743" s="6" t="str">
        <f>"30482021060412485893876"</f>
        <v>30482021060412485893876</v>
      </c>
      <c r="C743" s="6" t="s">
        <v>1576</v>
      </c>
      <c r="D743" s="6" t="str">
        <f>"林妃妃"</f>
        <v>林妃妃</v>
      </c>
      <c r="E743" s="6" t="str">
        <f t="shared" si="58"/>
        <v>女</v>
      </c>
      <c r="F743" s="7" t="s">
        <v>1793</v>
      </c>
    </row>
    <row r="744" spans="1:6" ht="20.100000000000001" customHeight="1" x14ac:dyDescent="0.15">
      <c r="A744" s="5">
        <v>741</v>
      </c>
      <c r="B744" s="6" t="str">
        <f>"30482021060412495193896"</f>
        <v>30482021060412495193896</v>
      </c>
      <c r="C744" s="6" t="s">
        <v>1576</v>
      </c>
      <c r="D744" s="6" t="str">
        <f>"王小儿"</f>
        <v>王小儿</v>
      </c>
      <c r="E744" s="6" t="str">
        <f t="shared" si="58"/>
        <v>女</v>
      </c>
      <c r="F744" s="7" t="s">
        <v>1142</v>
      </c>
    </row>
    <row r="745" spans="1:6" ht="20.100000000000001" customHeight="1" x14ac:dyDescent="0.15">
      <c r="A745" s="5">
        <v>742</v>
      </c>
      <c r="B745" s="6" t="str">
        <f>"30482021060412533493929"</f>
        <v>30482021060412533493929</v>
      </c>
      <c r="C745" s="6" t="s">
        <v>1576</v>
      </c>
      <c r="D745" s="6" t="str">
        <f>"文子慧"</f>
        <v>文子慧</v>
      </c>
      <c r="E745" s="6" t="str">
        <f t="shared" si="58"/>
        <v>女</v>
      </c>
      <c r="F745" s="7" t="s">
        <v>955</v>
      </c>
    </row>
    <row r="746" spans="1:6" ht="20.100000000000001" customHeight="1" x14ac:dyDescent="0.15">
      <c r="A746" s="5">
        <v>743</v>
      </c>
      <c r="B746" s="6" t="str">
        <f>"30482021060412561493963"</f>
        <v>30482021060412561493963</v>
      </c>
      <c r="C746" s="6" t="s">
        <v>1576</v>
      </c>
      <c r="D746" s="6" t="str">
        <f>"陈丹汝"</f>
        <v>陈丹汝</v>
      </c>
      <c r="E746" s="6" t="str">
        <f t="shared" si="58"/>
        <v>女</v>
      </c>
      <c r="F746" s="7" t="s">
        <v>1794</v>
      </c>
    </row>
    <row r="747" spans="1:6" ht="20.100000000000001" customHeight="1" x14ac:dyDescent="0.15">
      <c r="A747" s="5">
        <v>744</v>
      </c>
      <c r="B747" s="6" t="str">
        <f>"30482021060413003894018"</f>
        <v>30482021060413003894018</v>
      </c>
      <c r="C747" s="6" t="s">
        <v>1576</v>
      </c>
      <c r="D747" s="6" t="str">
        <f>"郑小丽"</f>
        <v>郑小丽</v>
      </c>
      <c r="E747" s="6" t="str">
        <f t="shared" si="58"/>
        <v>女</v>
      </c>
      <c r="F747" s="7" t="s">
        <v>176</v>
      </c>
    </row>
    <row r="748" spans="1:6" ht="20.100000000000001" customHeight="1" x14ac:dyDescent="0.15">
      <c r="A748" s="5">
        <v>745</v>
      </c>
      <c r="B748" s="6" t="str">
        <f>"30482021060413080494115"</f>
        <v>30482021060413080494115</v>
      </c>
      <c r="C748" s="6" t="s">
        <v>1576</v>
      </c>
      <c r="D748" s="6" t="str">
        <f>"王秀颖"</f>
        <v>王秀颖</v>
      </c>
      <c r="E748" s="6" t="str">
        <f t="shared" si="58"/>
        <v>女</v>
      </c>
      <c r="F748" s="7" t="s">
        <v>30</v>
      </c>
    </row>
    <row r="749" spans="1:6" ht="20.100000000000001" customHeight="1" x14ac:dyDescent="0.15">
      <c r="A749" s="5">
        <v>746</v>
      </c>
      <c r="B749" s="6" t="str">
        <f>"30482021060413323794336"</f>
        <v>30482021060413323794336</v>
      </c>
      <c r="C749" s="6" t="s">
        <v>1576</v>
      </c>
      <c r="D749" s="6" t="str">
        <f>"文荟"</f>
        <v>文荟</v>
      </c>
      <c r="E749" s="6" t="str">
        <f t="shared" si="58"/>
        <v>女</v>
      </c>
      <c r="F749" s="7" t="s">
        <v>1795</v>
      </c>
    </row>
    <row r="750" spans="1:6" ht="20.100000000000001" customHeight="1" x14ac:dyDescent="0.15">
      <c r="A750" s="5">
        <v>747</v>
      </c>
      <c r="B750" s="6" t="str">
        <f>"30482021060413393094393"</f>
        <v>30482021060413393094393</v>
      </c>
      <c r="C750" s="6" t="s">
        <v>1576</v>
      </c>
      <c r="D750" s="6" t="str">
        <f>"叶晓洁"</f>
        <v>叶晓洁</v>
      </c>
      <c r="E750" s="6" t="str">
        <f t="shared" si="58"/>
        <v>女</v>
      </c>
      <c r="F750" s="7" t="s">
        <v>1796</v>
      </c>
    </row>
    <row r="751" spans="1:6" ht="20.100000000000001" customHeight="1" x14ac:dyDescent="0.15">
      <c r="A751" s="5">
        <v>748</v>
      </c>
      <c r="B751" s="6" t="str">
        <f>"30482021060413462894466"</f>
        <v>30482021060413462894466</v>
      </c>
      <c r="C751" s="6" t="s">
        <v>1576</v>
      </c>
      <c r="D751" s="6" t="str">
        <f>"杜雪琳"</f>
        <v>杜雪琳</v>
      </c>
      <c r="E751" s="6" t="str">
        <f t="shared" si="58"/>
        <v>女</v>
      </c>
      <c r="F751" s="7" t="s">
        <v>1797</v>
      </c>
    </row>
    <row r="752" spans="1:6" ht="20.100000000000001" customHeight="1" x14ac:dyDescent="0.15">
      <c r="A752" s="5">
        <v>749</v>
      </c>
      <c r="B752" s="6" t="str">
        <f>"30482021060414005894600"</f>
        <v>30482021060414005894600</v>
      </c>
      <c r="C752" s="6" t="s">
        <v>1576</v>
      </c>
      <c r="D752" s="6" t="str">
        <f>"陈婷"</f>
        <v>陈婷</v>
      </c>
      <c r="E752" s="6" t="str">
        <f t="shared" si="58"/>
        <v>女</v>
      </c>
      <c r="F752" s="7" t="s">
        <v>759</v>
      </c>
    </row>
    <row r="753" spans="1:6" ht="20.100000000000001" customHeight="1" x14ac:dyDescent="0.15">
      <c r="A753" s="5">
        <v>750</v>
      </c>
      <c r="B753" s="6" t="str">
        <f>"30482021060414010994601"</f>
        <v>30482021060414010994601</v>
      </c>
      <c r="C753" s="6" t="s">
        <v>1576</v>
      </c>
      <c r="D753" s="6" t="str">
        <f>"覃欣如"</f>
        <v>覃欣如</v>
      </c>
      <c r="E753" s="6" t="str">
        <f t="shared" si="58"/>
        <v>女</v>
      </c>
      <c r="F753" s="7" t="s">
        <v>223</v>
      </c>
    </row>
    <row r="754" spans="1:6" ht="20.100000000000001" customHeight="1" x14ac:dyDescent="0.15">
      <c r="A754" s="5">
        <v>751</v>
      </c>
      <c r="B754" s="6" t="str">
        <f>"30482021060414125395168"</f>
        <v>30482021060414125395168</v>
      </c>
      <c r="C754" s="6" t="s">
        <v>1576</v>
      </c>
      <c r="D754" s="6" t="str">
        <f>"王辉琴"</f>
        <v>王辉琴</v>
      </c>
      <c r="E754" s="6" t="str">
        <f t="shared" si="58"/>
        <v>女</v>
      </c>
      <c r="F754" s="7" t="s">
        <v>1237</v>
      </c>
    </row>
    <row r="755" spans="1:6" ht="20.100000000000001" customHeight="1" x14ac:dyDescent="0.15">
      <c r="A755" s="5">
        <v>752</v>
      </c>
      <c r="B755" s="6" t="str">
        <f>"30482021060414550495821"</f>
        <v>30482021060414550495821</v>
      </c>
      <c r="C755" s="6" t="s">
        <v>1576</v>
      </c>
      <c r="D755" s="6" t="str">
        <f>"黄丽塔"</f>
        <v>黄丽塔</v>
      </c>
      <c r="E755" s="6" t="str">
        <f t="shared" si="58"/>
        <v>女</v>
      </c>
      <c r="F755" s="7" t="s">
        <v>649</v>
      </c>
    </row>
    <row r="756" spans="1:6" ht="20.100000000000001" customHeight="1" x14ac:dyDescent="0.15">
      <c r="A756" s="5">
        <v>753</v>
      </c>
      <c r="B756" s="6" t="str">
        <f>"30482021060414595095892"</f>
        <v>30482021060414595095892</v>
      </c>
      <c r="C756" s="6" t="s">
        <v>1576</v>
      </c>
      <c r="D756" s="6" t="str">
        <f>"钟丽洁"</f>
        <v>钟丽洁</v>
      </c>
      <c r="E756" s="6" t="str">
        <f t="shared" si="58"/>
        <v>女</v>
      </c>
      <c r="F756" s="7" t="s">
        <v>1798</v>
      </c>
    </row>
    <row r="757" spans="1:6" ht="20.100000000000001" customHeight="1" x14ac:dyDescent="0.15">
      <c r="A757" s="5">
        <v>754</v>
      </c>
      <c r="B757" s="6" t="str">
        <f>"30482021060415095296032"</f>
        <v>30482021060415095296032</v>
      </c>
      <c r="C757" s="6" t="s">
        <v>1576</v>
      </c>
      <c r="D757" s="6" t="str">
        <f>"卓小白"</f>
        <v>卓小白</v>
      </c>
      <c r="E757" s="6" t="str">
        <f t="shared" si="58"/>
        <v>女</v>
      </c>
      <c r="F757" s="7" t="s">
        <v>554</v>
      </c>
    </row>
    <row r="758" spans="1:6" ht="20.100000000000001" customHeight="1" x14ac:dyDescent="0.15">
      <c r="A758" s="5">
        <v>755</v>
      </c>
      <c r="B758" s="6" t="str">
        <f>"30482021060415281796308"</f>
        <v>30482021060415281796308</v>
      </c>
      <c r="C758" s="6" t="s">
        <v>1576</v>
      </c>
      <c r="D758" s="6" t="str">
        <f>"李月华"</f>
        <v>李月华</v>
      </c>
      <c r="E758" s="6" t="str">
        <f t="shared" si="58"/>
        <v>女</v>
      </c>
      <c r="F758" s="7" t="s">
        <v>1799</v>
      </c>
    </row>
    <row r="759" spans="1:6" ht="20.100000000000001" customHeight="1" x14ac:dyDescent="0.15">
      <c r="A759" s="5">
        <v>756</v>
      </c>
      <c r="B759" s="6" t="str">
        <f>"30482021060415331096388"</f>
        <v>30482021060415331096388</v>
      </c>
      <c r="C759" s="6" t="s">
        <v>1576</v>
      </c>
      <c r="D759" s="6" t="str">
        <f>"徐丽娜"</f>
        <v>徐丽娜</v>
      </c>
      <c r="E759" s="6" t="str">
        <f t="shared" si="58"/>
        <v>女</v>
      </c>
      <c r="F759" s="7" t="s">
        <v>571</v>
      </c>
    </row>
    <row r="760" spans="1:6" ht="20.100000000000001" customHeight="1" x14ac:dyDescent="0.15">
      <c r="A760" s="5">
        <v>757</v>
      </c>
      <c r="B760" s="6" t="str">
        <f>"30482021060415464996584"</f>
        <v>30482021060415464996584</v>
      </c>
      <c r="C760" s="6" t="s">
        <v>1576</v>
      </c>
      <c r="D760" s="6" t="str">
        <f>"许梦珍"</f>
        <v>许梦珍</v>
      </c>
      <c r="E760" s="6" t="str">
        <f t="shared" si="58"/>
        <v>女</v>
      </c>
      <c r="F760" s="7" t="s">
        <v>1277</v>
      </c>
    </row>
    <row r="761" spans="1:6" ht="20.100000000000001" customHeight="1" x14ac:dyDescent="0.15">
      <c r="A761" s="5">
        <v>758</v>
      </c>
      <c r="B761" s="6" t="str">
        <f>"30482021060416112996879"</f>
        <v>30482021060416112996879</v>
      </c>
      <c r="C761" s="6" t="s">
        <v>1576</v>
      </c>
      <c r="D761" s="6" t="str">
        <f>"刘茹杏"</f>
        <v>刘茹杏</v>
      </c>
      <c r="E761" s="6" t="str">
        <f t="shared" si="58"/>
        <v>女</v>
      </c>
      <c r="F761" s="7" t="s">
        <v>383</v>
      </c>
    </row>
    <row r="762" spans="1:6" ht="20.100000000000001" customHeight="1" x14ac:dyDescent="0.15">
      <c r="A762" s="5">
        <v>759</v>
      </c>
      <c r="B762" s="6" t="str">
        <f>"30482021060416154996950"</f>
        <v>30482021060416154996950</v>
      </c>
      <c r="C762" s="6" t="s">
        <v>1576</v>
      </c>
      <c r="D762" s="6" t="str">
        <f>"甘晨星"</f>
        <v>甘晨星</v>
      </c>
      <c r="E762" s="6" t="str">
        <f t="shared" si="58"/>
        <v>女</v>
      </c>
      <c r="F762" s="7" t="s">
        <v>1184</v>
      </c>
    </row>
    <row r="763" spans="1:6" ht="20.100000000000001" customHeight="1" x14ac:dyDescent="0.15">
      <c r="A763" s="5">
        <v>760</v>
      </c>
      <c r="B763" s="6" t="str">
        <f>"30482021060416410797292"</f>
        <v>30482021060416410797292</v>
      </c>
      <c r="C763" s="6" t="s">
        <v>1576</v>
      </c>
      <c r="D763" s="6" t="str">
        <f>"梁泰"</f>
        <v>梁泰</v>
      </c>
      <c r="E763" s="6" t="str">
        <f t="shared" si="58"/>
        <v>女</v>
      </c>
      <c r="F763" s="7" t="s">
        <v>1800</v>
      </c>
    </row>
    <row r="764" spans="1:6" ht="20.100000000000001" customHeight="1" x14ac:dyDescent="0.15">
      <c r="A764" s="5">
        <v>761</v>
      </c>
      <c r="B764" s="6" t="str">
        <f>"30482021060416412297295"</f>
        <v>30482021060416412297295</v>
      </c>
      <c r="C764" s="6" t="s">
        <v>1576</v>
      </c>
      <c r="D764" s="6" t="str">
        <f>"吴小红"</f>
        <v>吴小红</v>
      </c>
      <c r="E764" s="6" t="str">
        <f t="shared" si="58"/>
        <v>女</v>
      </c>
      <c r="F764" s="7" t="s">
        <v>1695</v>
      </c>
    </row>
    <row r="765" spans="1:6" ht="20.100000000000001" customHeight="1" x14ac:dyDescent="0.15">
      <c r="A765" s="5">
        <v>762</v>
      </c>
      <c r="B765" s="6" t="str">
        <f>"30482021060416471697364"</f>
        <v>30482021060416471697364</v>
      </c>
      <c r="C765" s="6" t="s">
        <v>1576</v>
      </c>
      <c r="D765" s="6" t="str">
        <f>"麦慧霞"</f>
        <v>麦慧霞</v>
      </c>
      <c r="E765" s="6" t="str">
        <f t="shared" si="58"/>
        <v>女</v>
      </c>
      <c r="F765" s="7" t="s">
        <v>931</v>
      </c>
    </row>
    <row r="766" spans="1:6" ht="20.100000000000001" customHeight="1" x14ac:dyDescent="0.15">
      <c r="A766" s="5">
        <v>763</v>
      </c>
      <c r="B766" s="6" t="str">
        <f>"30482021060416481197378"</f>
        <v>30482021060416481197378</v>
      </c>
      <c r="C766" s="6" t="s">
        <v>1576</v>
      </c>
      <c r="D766" s="6" t="str">
        <f>"李儒"</f>
        <v>李儒</v>
      </c>
      <c r="E766" s="6" t="str">
        <f>"男"</f>
        <v>男</v>
      </c>
      <c r="F766" s="7" t="s">
        <v>1801</v>
      </c>
    </row>
    <row r="767" spans="1:6" ht="20.100000000000001" customHeight="1" x14ac:dyDescent="0.15">
      <c r="A767" s="5">
        <v>764</v>
      </c>
      <c r="B767" s="6" t="str">
        <f>"30482021060417152597720"</f>
        <v>30482021060417152597720</v>
      </c>
      <c r="C767" s="6" t="s">
        <v>1576</v>
      </c>
      <c r="D767" s="6" t="str">
        <f>"周园"</f>
        <v>周园</v>
      </c>
      <c r="E767" s="6" t="str">
        <f t="shared" ref="E767:E775" si="59">"女"</f>
        <v>女</v>
      </c>
      <c r="F767" s="7" t="s">
        <v>386</v>
      </c>
    </row>
    <row r="768" spans="1:6" ht="20.100000000000001" customHeight="1" x14ac:dyDescent="0.15">
      <c r="A768" s="5">
        <v>765</v>
      </c>
      <c r="B768" s="6" t="str">
        <f>"30482021060417163597739"</f>
        <v>30482021060417163597739</v>
      </c>
      <c r="C768" s="6" t="s">
        <v>1576</v>
      </c>
      <c r="D768" s="6" t="str">
        <f>"郑庭宝"</f>
        <v>郑庭宝</v>
      </c>
      <c r="E768" s="6" t="str">
        <f>"男"</f>
        <v>男</v>
      </c>
      <c r="F768" s="7" t="s">
        <v>1025</v>
      </c>
    </row>
    <row r="769" spans="1:6" ht="20.100000000000001" customHeight="1" x14ac:dyDescent="0.15">
      <c r="A769" s="5">
        <v>766</v>
      </c>
      <c r="B769" s="6" t="str">
        <f>"30482021060417175097760"</f>
        <v>30482021060417175097760</v>
      </c>
      <c r="C769" s="6" t="s">
        <v>1576</v>
      </c>
      <c r="D769" s="6" t="str">
        <f>"王永莲"</f>
        <v>王永莲</v>
      </c>
      <c r="E769" s="6" t="str">
        <f t="shared" si="59"/>
        <v>女</v>
      </c>
      <c r="F769" s="7" t="s">
        <v>1802</v>
      </c>
    </row>
    <row r="770" spans="1:6" ht="20.100000000000001" customHeight="1" x14ac:dyDescent="0.15">
      <c r="A770" s="5">
        <v>767</v>
      </c>
      <c r="B770" s="6" t="str">
        <f>"30482021060417433298114"</f>
        <v>30482021060417433298114</v>
      </c>
      <c r="C770" s="6" t="s">
        <v>1576</v>
      </c>
      <c r="D770" s="6" t="str">
        <f>"梁玉珍"</f>
        <v>梁玉珍</v>
      </c>
      <c r="E770" s="6" t="str">
        <f t="shared" si="59"/>
        <v>女</v>
      </c>
      <c r="F770" s="7" t="s">
        <v>1803</v>
      </c>
    </row>
    <row r="771" spans="1:6" ht="20.100000000000001" customHeight="1" x14ac:dyDescent="0.15">
      <c r="A771" s="5">
        <v>768</v>
      </c>
      <c r="B771" s="6" t="str">
        <f>"30482021060417440598125"</f>
        <v>30482021060417440598125</v>
      </c>
      <c r="C771" s="6" t="s">
        <v>1576</v>
      </c>
      <c r="D771" s="6" t="str">
        <f>"符苑菲"</f>
        <v>符苑菲</v>
      </c>
      <c r="E771" s="6" t="str">
        <f t="shared" si="59"/>
        <v>女</v>
      </c>
      <c r="F771" s="7" t="s">
        <v>527</v>
      </c>
    </row>
    <row r="772" spans="1:6" ht="20.100000000000001" customHeight="1" x14ac:dyDescent="0.15">
      <c r="A772" s="5">
        <v>769</v>
      </c>
      <c r="B772" s="6" t="str">
        <f>"30482021060418013498279"</f>
        <v>30482021060418013498279</v>
      </c>
      <c r="C772" s="6" t="s">
        <v>1576</v>
      </c>
      <c r="D772" s="6" t="str">
        <f>"王恩瑄"</f>
        <v>王恩瑄</v>
      </c>
      <c r="E772" s="6" t="str">
        <f t="shared" si="59"/>
        <v>女</v>
      </c>
      <c r="F772" s="7" t="s">
        <v>111</v>
      </c>
    </row>
    <row r="773" spans="1:6" ht="20.100000000000001" customHeight="1" x14ac:dyDescent="0.15">
      <c r="A773" s="5">
        <v>770</v>
      </c>
      <c r="B773" s="6" t="str">
        <f>"30482021060418135298342"</f>
        <v>30482021060418135298342</v>
      </c>
      <c r="C773" s="6" t="s">
        <v>1576</v>
      </c>
      <c r="D773" s="6" t="str">
        <f>"许永兰"</f>
        <v>许永兰</v>
      </c>
      <c r="E773" s="6" t="str">
        <f t="shared" si="59"/>
        <v>女</v>
      </c>
      <c r="F773" s="7" t="s">
        <v>1804</v>
      </c>
    </row>
    <row r="774" spans="1:6" ht="20.100000000000001" customHeight="1" x14ac:dyDescent="0.15">
      <c r="A774" s="5">
        <v>771</v>
      </c>
      <c r="B774" s="6" t="str">
        <f>"30482021060418244498377"</f>
        <v>30482021060418244498377</v>
      </c>
      <c r="C774" s="6" t="s">
        <v>1576</v>
      </c>
      <c r="D774" s="6" t="str">
        <f>"胡莉芬"</f>
        <v>胡莉芬</v>
      </c>
      <c r="E774" s="6" t="str">
        <f t="shared" si="59"/>
        <v>女</v>
      </c>
      <c r="F774" s="7" t="s">
        <v>1250</v>
      </c>
    </row>
    <row r="775" spans="1:6" ht="20.100000000000001" customHeight="1" x14ac:dyDescent="0.15">
      <c r="A775" s="5">
        <v>772</v>
      </c>
      <c r="B775" s="6" t="str">
        <f>"30482021060418265898384"</f>
        <v>30482021060418265898384</v>
      </c>
      <c r="C775" s="6" t="s">
        <v>1576</v>
      </c>
      <c r="D775" s="6" t="str">
        <f>"陈帆"</f>
        <v>陈帆</v>
      </c>
      <c r="E775" s="6" t="str">
        <f t="shared" si="59"/>
        <v>女</v>
      </c>
      <c r="F775" s="7" t="s">
        <v>71</v>
      </c>
    </row>
    <row r="776" spans="1:6" ht="20.100000000000001" customHeight="1" x14ac:dyDescent="0.15">
      <c r="A776" s="5">
        <v>773</v>
      </c>
      <c r="B776" s="6" t="str">
        <f>"30482021060418361698407"</f>
        <v>30482021060418361698407</v>
      </c>
      <c r="C776" s="6" t="s">
        <v>1576</v>
      </c>
      <c r="D776" s="6" t="str">
        <f>"符发琼"</f>
        <v>符发琼</v>
      </c>
      <c r="E776" s="6" t="str">
        <f t="shared" ref="E776:E781" si="60">"男"</f>
        <v>男</v>
      </c>
      <c r="F776" s="7" t="s">
        <v>1100</v>
      </c>
    </row>
    <row r="777" spans="1:6" ht="20.100000000000001" customHeight="1" x14ac:dyDescent="0.15">
      <c r="A777" s="5">
        <v>774</v>
      </c>
      <c r="B777" s="6" t="str">
        <f>"30482021060418361698409"</f>
        <v>30482021060418361698409</v>
      </c>
      <c r="C777" s="6" t="s">
        <v>1576</v>
      </c>
      <c r="D777" s="6" t="str">
        <f>"曾小晋"</f>
        <v>曾小晋</v>
      </c>
      <c r="E777" s="6" t="str">
        <f t="shared" ref="E777:E782" si="61">"女"</f>
        <v>女</v>
      </c>
      <c r="F777" s="7" t="s">
        <v>58</v>
      </c>
    </row>
    <row r="778" spans="1:6" ht="20.100000000000001" customHeight="1" x14ac:dyDescent="0.15">
      <c r="A778" s="5">
        <v>775</v>
      </c>
      <c r="B778" s="6" t="str">
        <f>"30482021060418413198431"</f>
        <v>30482021060418413198431</v>
      </c>
      <c r="C778" s="6" t="s">
        <v>1576</v>
      </c>
      <c r="D778" s="6" t="str">
        <f>"吕智院"</f>
        <v>吕智院</v>
      </c>
      <c r="E778" s="6" t="str">
        <f t="shared" si="60"/>
        <v>男</v>
      </c>
      <c r="F778" s="7" t="s">
        <v>1805</v>
      </c>
    </row>
    <row r="779" spans="1:6" ht="20.100000000000001" customHeight="1" x14ac:dyDescent="0.15">
      <c r="A779" s="5">
        <v>776</v>
      </c>
      <c r="B779" s="6" t="str">
        <f>"30482021060418471798445"</f>
        <v>30482021060418471798445</v>
      </c>
      <c r="C779" s="6" t="s">
        <v>1576</v>
      </c>
      <c r="D779" s="6" t="str">
        <f>"邢诗雅"</f>
        <v>邢诗雅</v>
      </c>
      <c r="E779" s="6" t="str">
        <f t="shared" si="61"/>
        <v>女</v>
      </c>
      <c r="F779" s="7" t="s">
        <v>1806</v>
      </c>
    </row>
    <row r="780" spans="1:6" ht="20.100000000000001" customHeight="1" x14ac:dyDescent="0.15">
      <c r="A780" s="5">
        <v>777</v>
      </c>
      <c r="B780" s="6" t="str">
        <f>"30482021060419220699173"</f>
        <v>30482021060419220699173</v>
      </c>
      <c r="C780" s="6" t="s">
        <v>1576</v>
      </c>
      <c r="D780" s="6" t="str">
        <f>"陈泽胜"</f>
        <v>陈泽胜</v>
      </c>
      <c r="E780" s="6" t="str">
        <f t="shared" si="60"/>
        <v>男</v>
      </c>
      <c r="F780" s="7" t="s">
        <v>999</v>
      </c>
    </row>
    <row r="781" spans="1:6" ht="20.100000000000001" customHeight="1" x14ac:dyDescent="0.15">
      <c r="A781" s="5">
        <v>778</v>
      </c>
      <c r="B781" s="6" t="str">
        <f>"30482021060419374399219"</f>
        <v>30482021060419374399219</v>
      </c>
      <c r="C781" s="6" t="s">
        <v>1576</v>
      </c>
      <c r="D781" s="6" t="str">
        <f>"郭枝茂"</f>
        <v>郭枝茂</v>
      </c>
      <c r="E781" s="6" t="str">
        <f t="shared" si="60"/>
        <v>男</v>
      </c>
      <c r="F781" s="7" t="s">
        <v>1807</v>
      </c>
    </row>
    <row r="782" spans="1:6" ht="20.100000000000001" customHeight="1" x14ac:dyDescent="0.15">
      <c r="A782" s="5">
        <v>779</v>
      </c>
      <c r="B782" s="6" t="str">
        <f>"30482021060419511999274"</f>
        <v>30482021060419511999274</v>
      </c>
      <c r="C782" s="6" t="s">
        <v>1576</v>
      </c>
      <c r="D782" s="6" t="str">
        <f>"邢慧"</f>
        <v>邢慧</v>
      </c>
      <c r="E782" s="6" t="str">
        <f t="shared" si="61"/>
        <v>女</v>
      </c>
      <c r="F782" s="7" t="s">
        <v>54</v>
      </c>
    </row>
    <row r="783" spans="1:6" ht="20.100000000000001" customHeight="1" x14ac:dyDescent="0.15">
      <c r="A783" s="5">
        <v>780</v>
      </c>
      <c r="B783" s="6" t="str">
        <f>"30482021060420002099297"</f>
        <v>30482021060420002099297</v>
      </c>
      <c r="C783" s="6" t="s">
        <v>1576</v>
      </c>
      <c r="D783" s="6" t="str">
        <f>"黄肖可"</f>
        <v>黄肖可</v>
      </c>
      <c r="E783" s="6" t="str">
        <f>"男"</f>
        <v>男</v>
      </c>
      <c r="F783" s="7" t="s">
        <v>1808</v>
      </c>
    </row>
    <row r="784" spans="1:6" ht="20.100000000000001" customHeight="1" x14ac:dyDescent="0.15">
      <c r="A784" s="5">
        <v>781</v>
      </c>
      <c r="B784" s="6" t="str">
        <f>"30482021060420081799326"</f>
        <v>30482021060420081799326</v>
      </c>
      <c r="C784" s="6" t="s">
        <v>1576</v>
      </c>
      <c r="D784" s="6" t="str">
        <f>"梁晓丹"</f>
        <v>梁晓丹</v>
      </c>
      <c r="E784" s="6" t="str">
        <f t="shared" ref="E784:E798" si="62">"女"</f>
        <v>女</v>
      </c>
      <c r="F784" s="7" t="s">
        <v>627</v>
      </c>
    </row>
    <row r="785" spans="1:6" ht="20.100000000000001" customHeight="1" x14ac:dyDescent="0.15">
      <c r="A785" s="5">
        <v>782</v>
      </c>
      <c r="B785" s="6" t="str">
        <f>"30482021060420114099338"</f>
        <v>30482021060420114099338</v>
      </c>
      <c r="C785" s="6" t="s">
        <v>1576</v>
      </c>
      <c r="D785" s="6" t="str">
        <f>"曾敏琴"</f>
        <v>曾敏琴</v>
      </c>
      <c r="E785" s="6" t="str">
        <f t="shared" si="62"/>
        <v>女</v>
      </c>
      <c r="F785" s="7" t="s">
        <v>1408</v>
      </c>
    </row>
    <row r="786" spans="1:6" ht="20.100000000000001" customHeight="1" x14ac:dyDescent="0.15">
      <c r="A786" s="5">
        <v>783</v>
      </c>
      <c r="B786" s="6" t="str">
        <f>"30482021060420145999349"</f>
        <v>30482021060420145999349</v>
      </c>
      <c r="C786" s="6" t="s">
        <v>1576</v>
      </c>
      <c r="D786" s="6" t="str">
        <f>"唐小丽"</f>
        <v>唐小丽</v>
      </c>
      <c r="E786" s="6" t="str">
        <f t="shared" si="62"/>
        <v>女</v>
      </c>
      <c r="F786" s="7" t="s">
        <v>235</v>
      </c>
    </row>
    <row r="787" spans="1:6" ht="20.100000000000001" customHeight="1" x14ac:dyDescent="0.15">
      <c r="A787" s="5">
        <v>784</v>
      </c>
      <c r="B787" s="6" t="str">
        <f>"30482021060420321599400"</f>
        <v>30482021060420321599400</v>
      </c>
      <c r="C787" s="6" t="s">
        <v>1576</v>
      </c>
      <c r="D787" s="6" t="str">
        <f>"薛婆转"</f>
        <v>薛婆转</v>
      </c>
      <c r="E787" s="6" t="str">
        <f t="shared" si="62"/>
        <v>女</v>
      </c>
      <c r="F787" s="7" t="s">
        <v>357</v>
      </c>
    </row>
    <row r="788" spans="1:6" ht="20.100000000000001" customHeight="1" x14ac:dyDescent="0.15">
      <c r="A788" s="5">
        <v>785</v>
      </c>
      <c r="B788" s="6" t="str">
        <f>"30482021060420444999455"</f>
        <v>30482021060420444999455</v>
      </c>
      <c r="C788" s="6" t="s">
        <v>1576</v>
      </c>
      <c r="D788" s="6" t="str">
        <f>"曾永秀"</f>
        <v>曾永秀</v>
      </c>
      <c r="E788" s="6" t="str">
        <f t="shared" si="62"/>
        <v>女</v>
      </c>
      <c r="F788" s="7" t="s">
        <v>1708</v>
      </c>
    </row>
    <row r="789" spans="1:6" ht="20.100000000000001" customHeight="1" x14ac:dyDescent="0.15">
      <c r="A789" s="5">
        <v>786</v>
      </c>
      <c r="B789" s="6" t="str">
        <f>"30482021060421334999604"</f>
        <v>30482021060421334999604</v>
      </c>
      <c r="C789" s="6" t="s">
        <v>1576</v>
      </c>
      <c r="D789" s="6" t="str">
        <f>"胡正汝"</f>
        <v>胡正汝</v>
      </c>
      <c r="E789" s="6" t="str">
        <f t="shared" si="62"/>
        <v>女</v>
      </c>
      <c r="F789" s="7" t="s">
        <v>684</v>
      </c>
    </row>
    <row r="790" spans="1:6" ht="20.100000000000001" customHeight="1" x14ac:dyDescent="0.15">
      <c r="A790" s="5">
        <v>787</v>
      </c>
      <c r="B790" s="6" t="str">
        <f>"30482021060421444599634"</f>
        <v>30482021060421444599634</v>
      </c>
      <c r="C790" s="6" t="s">
        <v>1576</v>
      </c>
      <c r="D790" s="6" t="str">
        <f>"周教女"</f>
        <v>周教女</v>
      </c>
      <c r="E790" s="6" t="str">
        <f t="shared" si="62"/>
        <v>女</v>
      </c>
      <c r="F790" s="7" t="s">
        <v>1558</v>
      </c>
    </row>
    <row r="791" spans="1:6" ht="20.100000000000001" customHeight="1" x14ac:dyDescent="0.15">
      <c r="A791" s="5">
        <v>788</v>
      </c>
      <c r="B791" s="6" t="str">
        <f>"30482021060422141699714"</f>
        <v>30482021060422141699714</v>
      </c>
      <c r="C791" s="6" t="s">
        <v>1576</v>
      </c>
      <c r="D791" s="6" t="str">
        <f>"邢维思"</f>
        <v>邢维思</v>
      </c>
      <c r="E791" s="6" t="str">
        <f t="shared" si="62"/>
        <v>女</v>
      </c>
      <c r="F791" s="7" t="s">
        <v>1809</v>
      </c>
    </row>
    <row r="792" spans="1:6" ht="20.100000000000001" customHeight="1" x14ac:dyDescent="0.15">
      <c r="A792" s="5">
        <v>789</v>
      </c>
      <c r="B792" s="6" t="str">
        <f>"30482021060422323799771"</f>
        <v>30482021060422323799771</v>
      </c>
      <c r="C792" s="6" t="s">
        <v>1576</v>
      </c>
      <c r="D792" s="6" t="str">
        <f>"孙芳焕"</f>
        <v>孙芳焕</v>
      </c>
      <c r="E792" s="6" t="str">
        <f t="shared" si="62"/>
        <v>女</v>
      </c>
      <c r="F792" s="7" t="s">
        <v>1810</v>
      </c>
    </row>
    <row r="793" spans="1:6" ht="20.100000000000001" customHeight="1" x14ac:dyDescent="0.15">
      <c r="A793" s="5">
        <v>790</v>
      </c>
      <c r="B793" s="6" t="str">
        <f>"30482021060422375599793"</f>
        <v>30482021060422375599793</v>
      </c>
      <c r="C793" s="6" t="s">
        <v>1576</v>
      </c>
      <c r="D793" s="6" t="str">
        <f>"王小转"</f>
        <v>王小转</v>
      </c>
      <c r="E793" s="6" t="str">
        <f t="shared" si="62"/>
        <v>女</v>
      </c>
      <c r="F793" s="7" t="s">
        <v>1485</v>
      </c>
    </row>
    <row r="794" spans="1:6" ht="20.100000000000001" customHeight="1" x14ac:dyDescent="0.15">
      <c r="A794" s="5">
        <v>791</v>
      </c>
      <c r="B794" s="6" t="str">
        <f>"30482021060422390899798"</f>
        <v>30482021060422390899798</v>
      </c>
      <c r="C794" s="6" t="s">
        <v>1576</v>
      </c>
      <c r="D794" s="6" t="str">
        <f>"王莉"</f>
        <v>王莉</v>
      </c>
      <c r="E794" s="6" t="str">
        <f t="shared" si="62"/>
        <v>女</v>
      </c>
      <c r="F794" s="7" t="s">
        <v>1184</v>
      </c>
    </row>
    <row r="795" spans="1:6" ht="20.100000000000001" customHeight="1" x14ac:dyDescent="0.15">
      <c r="A795" s="5">
        <v>792</v>
      </c>
      <c r="B795" s="6" t="str">
        <f>"30482021060422511699834"</f>
        <v>30482021060422511699834</v>
      </c>
      <c r="C795" s="6" t="s">
        <v>1576</v>
      </c>
      <c r="D795" s="6" t="str">
        <f>"王少环"</f>
        <v>王少环</v>
      </c>
      <c r="E795" s="6" t="str">
        <f t="shared" si="62"/>
        <v>女</v>
      </c>
      <c r="F795" s="7" t="s">
        <v>88</v>
      </c>
    </row>
    <row r="796" spans="1:6" ht="20.100000000000001" customHeight="1" x14ac:dyDescent="0.15">
      <c r="A796" s="5">
        <v>793</v>
      </c>
      <c r="B796" s="6" t="str">
        <f>"30482021060422521799836"</f>
        <v>30482021060422521799836</v>
      </c>
      <c r="C796" s="6" t="s">
        <v>1576</v>
      </c>
      <c r="D796" s="6" t="str">
        <f>"王转"</f>
        <v>王转</v>
      </c>
      <c r="E796" s="6" t="str">
        <f t="shared" si="62"/>
        <v>女</v>
      </c>
      <c r="F796" s="7" t="s">
        <v>942</v>
      </c>
    </row>
    <row r="797" spans="1:6" ht="20.100000000000001" customHeight="1" x14ac:dyDescent="0.15">
      <c r="A797" s="5">
        <v>794</v>
      </c>
      <c r="B797" s="6" t="str">
        <f>"30482021060423234899920"</f>
        <v>30482021060423234899920</v>
      </c>
      <c r="C797" s="6" t="s">
        <v>1576</v>
      </c>
      <c r="D797" s="6" t="str">
        <f>"王晓敏"</f>
        <v>王晓敏</v>
      </c>
      <c r="E797" s="6" t="str">
        <f t="shared" si="62"/>
        <v>女</v>
      </c>
      <c r="F797" s="7" t="s">
        <v>798</v>
      </c>
    </row>
    <row r="798" spans="1:6" ht="20.100000000000001" customHeight="1" x14ac:dyDescent="0.15">
      <c r="A798" s="5">
        <v>795</v>
      </c>
      <c r="B798" s="6" t="str">
        <f>"30482021060423330699943"</f>
        <v>30482021060423330699943</v>
      </c>
      <c r="C798" s="6" t="s">
        <v>1576</v>
      </c>
      <c r="D798" s="6" t="str">
        <f>"黄荣娟"</f>
        <v>黄荣娟</v>
      </c>
      <c r="E798" s="6" t="str">
        <f t="shared" si="62"/>
        <v>女</v>
      </c>
      <c r="F798" s="7" t="s">
        <v>1779</v>
      </c>
    </row>
    <row r="799" spans="1:6" ht="20.100000000000001" customHeight="1" x14ac:dyDescent="0.15">
      <c r="A799" s="5">
        <v>796</v>
      </c>
      <c r="B799" s="6" t="str">
        <f>"304820210605011003100047"</f>
        <v>304820210605011003100047</v>
      </c>
      <c r="C799" s="6" t="s">
        <v>1576</v>
      </c>
      <c r="D799" s="6" t="str">
        <f>"黄悦"</f>
        <v>黄悦</v>
      </c>
      <c r="E799" s="6" t="str">
        <f>"男"</f>
        <v>男</v>
      </c>
      <c r="F799" s="7" t="s">
        <v>1811</v>
      </c>
    </row>
    <row r="800" spans="1:6" ht="20.100000000000001" customHeight="1" x14ac:dyDescent="0.15">
      <c r="A800" s="5">
        <v>797</v>
      </c>
      <c r="B800" s="6" t="str">
        <f>"304820210605075636100135"</f>
        <v>304820210605075636100135</v>
      </c>
      <c r="C800" s="6" t="s">
        <v>1576</v>
      </c>
      <c r="D800" s="6" t="str">
        <f>"陈卓"</f>
        <v>陈卓</v>
      </c>
      <c r="E800" s="6" t="str">
        <f t="shared" ref="E800:E814" si="63">"女"</f>
        <v>女</v>
      </c>
      <c r="F800" s="7" t="s">
        <v>91</v>
      </c>
    </row>
    <row r="801" spans="1:6" ht="20.100000000000001" customHeight="1" x14ac:dyDescent="0.15">
      <c r="A801" s="5">
        <v>798</v>
      </c>
      <c r="B801" s="6" t="str">
        <f>"304820210605080925100148"</f>
        <v>304820210605080925100148</v>
      </c>
      <c r="C801" s="6" t="s">
        <v>1576</v>
      </c>
      <c r="D801" s="6" t="str">
        <f>"颜晓丹"</f>
        <v>颜晓丹</v>
      </c>
      <c r="E801" s="6" t="str">
        <f t="shared" si="63"/>
        <v>女</v>
      </c>
      <c r="F801" s="7" t="s">
        <v>373</v>
      </c>
    </row>
    <row r="802" spans="1:6" ht="20.100000000000001" customHeight="1" x14ac:dyDescent="0.15">
      <c r="A802" s="5">
        <v>799</v>
      </c>
      <c r="B802" s="6" t="str">
        <f>"304820210605081446100152"</f>
        <v>304820210605081446100152</v>
      </c>
      <c r="C802" s="6" t="s">
        <v>1576</v>
      </c>
      <c r="D802" s="6" t="str">
        <f>"容培培"</f>
        <v>容培培</v>
      </c>
      <c r="E802" s="6" t="str">
        <f t="shared" si="63"/>
        <v>女</v>
      </c>
      <c r="F802" s="7" t="s">
        <v>930</v>
      </c>
    </row>
    <row r="803" spans="1:6" ht="20.100000000000001" customHeight="1" x14ac:dyDescent="0.15">
      <c r="A803" s="5">
        <v>800</v>
      </c>
      <c r="B803" s="6" t="str">
        <f>"304820210605083644100180"</f>
        <v>304820210605083644100180</v>
      </c>
      <c r="C803" s="6" t="s">
        <v>1576</v>
      </c>
      <c r="D803" s="6" t="str">
        <f>"陈水萍"</f>
        <v>陈水萍</v>
      </c>
      <c r="E803" s="6" t="str">
        <f t="shared" si="63"/>
        <v>女</v>
      </c>
      <c r="F803" s="7" t="s">
        <v>1233</v>
      </c>
    </row>
    <row r="804" spans="1:6" ht="20.100000000000001" customHeight="1" x14ac:dyDescent="0.15">
      <c r="A804" s="5">
        <v>801</v>
      </c>
      <c r="B804" s="6" t="str">
        <f>"304820210605094243100310"</f>
        <v>304820210605094243100310</v>
      </c>
      <c r="C804" s="6" t="s">
        <v>1576</v>
      </c>
      <c r="D804" s="6" t="str">
        <f>"陈玲"</f>
        <v>陈玲</v>
      </c>
      <c r="E804" s="6" t="str">
        <f t="shared" si="63"/>
        <v>女</v>
      </c>
      <c r="F804" s="7" t="s">
        <v>1812</v>
      </c>
    </row>
    <row r="805" spans="1:6" ht="20.100000000000001" customHeight="1" x14ac:dyDescent="0.15">
      <c r="A805" s="5">
        <v>802</v>
      </c>
      <c r="B805" s="6" t="str">
        <f>"304820210605100904100374"</f>
        <v>304820210605100904100374</v>
      </c>
      <c r="C805" s="6" t="s">
        <v>1576</v>
      </c>
      <c r="D805" s="6" t="str">
        <f>"林台丽"</f>
        <v>林台丽</v>
      </c>
      <c r="E805" s="6" t="str">
        <f t="shared" si="63"/>
        <v>女</v>
      </c>
      <c r="F805" s="7" t="s">
        <v>184</v>
      </c>
    </row>
    <row r="806" spans="1:6" ht="20.100000000000001" customHeight="1" x14ac:dyDescent="0.15">
      <c r="A806" s="5">
        <v>803</v>
      </c>
      <c r="B806" s="6" t="str">
        <f>"304820210605101850100404"</f>
        <v>304820210605101850100404</v>
      </c>
      <c r="C806" s="6" t="s">
        <v>1576</v>
      </c>
      <c r="D806" s="6" t="str">
        <f>"吴阿明"</f>
        <v>吴阿明</v>
      </c>
      <c r="E806" s="6" t="str">
        <f t="shared" si="63"/>
        <v>女</v>
      </c>
      <c r="F806" s="7" t="s">
        <v>1813</v>
      </c>
    </row>
    <row r="807" spans="1:6" ht="20.100000000000001" customHeight="1" x14ac:dyDescent="0.15">
      <c r="A807" s="5">
        <v>804</v>
      </c>
      <c r="B807" s="6" t="str">
        <f>"304820210605102527100424"</f>
        <v>304820210605102527100424</v>
      </c>
      <c r="C807" s="6" t="s">
        <v>1576</v>
      </c>
      <c r="D807" s="6" t="str">
        <f>"劳咪咪"</f>
        <v>劳咪咪</v>
      </c>
      <c r="E807" s="6" t="str">
        <f t="shared" si="63"/>
        <v>女</v>
      </c>
      <c r="F807" s="7" t="s">
        <v>1814</v>
      </c>
    </row>
    <row r="808" spans="1:6" ht="20.100000000000001" customHeight="1" x14ac:dyDescent="0.15">
      <c r="A808" s="5">
        <v>805</v>
      </c>
      <c r="B808" s="6" t="str">
        <f>"304820210605104315100480"</f>
        <v>304820210605104315100480</v>
      </c>
      <c r="C808" s="6" t="s">
        <v>1576</v>
      </c>
      <c r="D808" s="6" t="str">
        <f>"赵月"</f>
        <v>赵月</v>
      </c>
      <c r="E808" s="6" t="str">
        <f t="shared" si="63"/>
        <v>女</v>
      </c>
      <c r="F808" s="7" t="s">
        <v>1815</v>
      </c>
    </row>
    <row r="809" spans="1:6" ht="20.100000000000001" customHeight="1" x14ac:dyDescent="0.15">
      <c r="A809" s="5">
        <v>806</v>
      </c>
      <c r="B809" s="6" t="str">
        <f>"304820210605111758100597"</f>
        <v>304820210605111758100597</v>
      </c>
      <c r="C809" s="6" t="s">
        <v>1576</v>
      </c>
      <c r="D809" s="6" t="str">
        <f>"麦贤曼"</f>
        <v>麦贤曼</v>
      </c>
      <c r="E809" s="6" t="str">
        <f t="shared" si="63"/>
        <v>女</v>
      </c>
      <c r="F809" s="7" t="s">
        <v>372</v>
      </c>
    </row>
    <row r="810" spans="1:6" ht="20.100000000000001" customHeight="1" x14ac:dyDescent="0.15">
      <c r="A810" s="5">
        <v>807</v>
      </c>
      <c r="B810" s="6" t="str">
        <f>"304820210605113056100635"</f>
        <v>304820210605113056100635</v>
      </c>
      <c r="C810" s="6" t="s">
        <v>1576</v>
      </c>
      <c r="D810" s="6" t="str">
        <f>"欧瑜珍"</f>
        <v>欧瑜珍</v>
      </c>
      <c r="E810" s="6" t="str">
        <f t="shared" si="63"/>
        <v>女</v>
      </c>
      <c r="F810" s="7" t="s">
        <v>798</v>
      </c>
    </row>
    <row r="811" spans="1:6" ht="20.100000000000001" customHeight="1" x14ac:dyDescent="0.15">
      <c r="A811" s="5">
        <v>808</v>
      </c>
      <c r="B811" s="6" t="str">
        <f>"304820210605120039100721"</f>
        <v>304820210605120039100721</v>
      </c>
      <c r="C811" s="6" t="s">
        <v>1576</v>
      </c>
      <c r="D811" s="6" t="str">
        <f>"李玉君"</f>
        <v>李玉君</v>
      </c>
      <c r="E811" s="6" t="str">
        <f t="shared" si="63"/>
        <v>女</v>
      </c>
      <c r="F811" s="7" t="s">
        <v>765</v>
      </c>
    </row>
    <row r="812" spans="1:6" ht="20.100000000000001" customHeight="1" x14ac:dyDescent="0.15">
      <c r="A812" s="5">
        <v>809</v>
      </c>
      <c r="B812" s="6" t="str">
        <f>"304820210605120726100734"</f>
        <v>304820210605120726100734</v>
      </c>
      <c r="C812" s="6" t="s">
        <v>1576</v>
      </c>
      <c r="D812" s="6" t="str">
        <f>"潘新柳"</f>
        <v>潘新柳</v>
      </c>
      <c r="E812" s="6" t="str">
        <f t="shared" si="63"/>
        <v>女</v>
      </c>
      <c r="F812" s="7" t="s">
        <v>1816</v>
      </c>
    </row>
    <row r="813" spans="1:6" ht="20.100000000000001" customHeight="1" x14ac:dyDescent="0.15">
      <c r="A813" s="5">
        <v>810</v>
      </c>
      <c r="B813" s="6" t="str">
        <f>"304820210605121643100763"</f>
        <v>304820210605121643100763</v>
      </c>
      <c r="C813" s="6" t="s">
        <v>1576</v>
      </c>
      <c r="D813" s="6" t="str">
        <f>"钟秋梅"</f>
        <v>钟秋梅</v>
      </c>
      <c r="E813" s="6" t="str">
        <f t="shared" si="63"/>
        <v>女</v>
      </c>
      <c r="F813" s="7" t="s">
        <v>1529</v>
      </c>
    </row>
    <row r="814" spans="1:6" ht="20.100000000000001" customHeight="1" x14ac:dyDescent="0.15">
      <c r="A814" s="5">
        <v>811</v>
      </c>
      <c r="B814" s="6" t="str">
        <f>"304820210605121916100771"</f>
        <v>304820210605121916100771</v>
      </c>
      <c r="C814" s="6" t="s">
        <v>1576</v>
      </c>
      <c r="D814" s="6" t="str">
        <f>"李佳慧"</f>
        <v>李佳慧</v>
      </c>
      <c r="E814" s="6" t="str">
        <f t="shared" si="63"/>
        <v>女</v>
      </c>
      <c r="F814" s="7" t="s">
        <v>778</v>
      </c>
    </row>
    <row r="815" spans="1:6" ht="20.100000000000001" customHeight="1" x14ac:dyDescent="0.15">
      <c r="A815" s="5">
        <v>812</v>
      </c>
      <c r="B815" s="6" t="str">
        <f>"304820210605122245100776"</f>
        <v>304820210605122245100776</v>
      </c>
      <c r="C815" s="6" t="s">
        <v>1576</v>
      </c>
      <c r="D815" s="6" t="str">
        <f>"吴世雍"</f>
        <v>吴世雍</v>
      </c>
      <c r="E815" s="6" t="str">
        <f>"男"</f>
        <v>男</v>
      </c>
      <c r="F815" s="7" t="s">
        <v>1817</v>
      </c>
    </row>
    <row r="816" spans="1:6" ht="20.100000000000001" customHeight="1" x14ac:dyDescent="0.15">
      <c r="A816" s="5">
        <v>813</v>
      </c>
      <c r="B816" s="6" t="str">
        <f>"304820210605123143100796"</f>
        <v>304820210605123143100796</v>
      </c>
      <c r="C816" s="6" t="s">
        <v>1576</v>
      </c>
      <c r="D816" s="6" t="str">
        <f>"梁娟"</f>
        <v>梁娟</v>
      </c>
      <c r="E816" s="6" t="str">
        <f t="shared" ref="E816:E820" si="64">"女"</f>
        <v>女</v>
      </c>
      <c r="F816" s="7" t="s">
        <v>276</v>
      </c>
    </row>
    <row r="817" spans="1:6" ht="20.100000000000001" customHeight="1" x14ac:dyDescent="0.15">
      <c r="A817" s="5">
        <v>814</v>
      </c>
      <c r="B817" s="6" t="str">
        <f>"304820210605124641100825"</f>
        <v>304820210605124641100825</v>
      </c>
      <c r="C817" s="6" t="s">
        <v>1576</v>
      </c>
      <c r="D817" s="6" t="str">
        <f>"曹儒虹"</f>
        <v>曹儒虹</v>
      </c>
      <c r="E817" s="6" t="str">
        <f t="shared" si="64"/>
        <v>女</v>
      </c>
      <c r="F817" s="7" t="s">
        <v>345</v>
      </c>
    </row>
    <row r="818" spans="1:6" ht="20.100000000000001" customHeight="1" x14ac:dyDescent="0.15">
      <c r="A818" s="5">
        <v>815</v>
      </c>
      <c r="B818" s="6" t="str">
        <f>"304820210605130456100861"</f>
        <v>304820210605130456100861</v>
      </c>
      <c r="C818" s="6" t="s">
        <v>1576</v>
      </c>
      <c r="D818" s="6" t="str">
        <f>"吴春苗"</f>
        <v>吴春苗</v>
      </c>
      <c r="E818" s="6" t="str">
        <f t="shared" si="64"/>
        <v>女</v>
      </c>
      <c r="F818" s="7" t="s">
        <v>140</v>
      </c>
    </row>
    <row r="819" spans="1:6" ht="20.100000000000001" customHeight="1" x14ac:dyDescent="0.15">
      <c r="A819" s="5">
        <v>816</v>
      </c>
      <c r="B819" s="6" t="str">
        <f>"304820210605130957100875"</f>
        <v>304820210605130957100875</v>
      </c>
      <c r="C819" s="6" t="s">
        <v>1576</v>
      </c>
      <c r="D819" s="6" t="str">
        <f>"王艳姗"</f>
        <v>王艳姗</v>
      </c>
      <c r="E819" s="6" t="str">
        <f t="shared" si="64"/>
        <v>女</v>
      </c>
      <c r="F819" s="7" t="s">
        <v>44</v>
      </c>
    </row>
    <row r="820" spans="1:6" ht="20.100000000000001" customHeight="1" x14ac:dyDescent="0.15">
      <c r="A820" s="5">
        <v>817</v>
      </c>
      <c r="B820" s="6" t="str">
        <f>"304820210605131527100889"</f>
        <v>304820210605131527100889</v>
      </c>
      <c r="C820" s="6" t="s">
        <v>1576</v>
      </c>
      <c r="D820" s="6" t="str">
        <f>"全业业"</f>
        <v>全业业</v>
      </c>
      <c r="E820" s="6" t="str">
        <f t="shared" si="64"/>
        <v>女</v>
      </c>
      <c r="F820" s="7" t="s">
        <v>634</v>
      </c>
    </row>
    <row r="821" spans="1:6" ht="20.100000000000001" customHeight="1" x14ac:dyDescent="0.15">
      <c r="A821" s="5">
        <v>818</v>
      </c>
      <c r="B821" s="6" t="str">
        <f>"304820210605132135100901"</f>
        <v>304820210605132135100901</v>
      </c>
      <c r="C821" s="6" t="s">
        <v>1576</v>
      </c>
      <c r="D821" s="6" t="str">
        <f>"张宏祥"</f>
        <v>张宏祥</v>
      </c>
      <c r="E821" s="6" t="str">
        <f>"男"</f>
        <v>男</v>
      </c>
      <c r="F821" s="7" t="s">
        <v>1818</v>
      </c>
    </row>
    <row r="822" spans="1:6" ht="20.100000000000001" customHeight="1" x14ac:dyDescent="0.15">
      <c r="A822" s="5">
        <v>819</v>
      </c>
      <c r="B822" s="6" t="str">
        <f>"304820210605133647100932"</f>
        <v>304820210605133647100932</v>
      </c>
      <c r="C822" s="6" t="s">
        <v>1576</v>
      </c>
      <c r="D822" s="6" t="str">
        <f>"张早淑"</f>
        <v>张早淑</v>
      </c>
      <c r="E822" s="6" t="str">
        <f t="shared" ref="E822:E824" si="65">"女"</f>
        <v>女</v>
      </c>
      <c r="F822" s="7" t="s">
        <v>797</v>
      </c>
    </row>
    <row r="823" spans="1:6" ht="20.100000000000001" customHeight="1" x14ac:dyDescent="0.15">
      <c r="A823" s="5">
        <v>820</v>
      </c>
      <c r="B823" s="6" t="str">
        <f>"304820210605134307100953"</f>
        <v>304820210605134307100953</v>
      </c>
      <c r="C823" s="6" t="s">
        <v>1576</v>
      </c>
      <c r="D823" s="6" t="str">
        <f>"许俊莉"</f>
        <v>许俊莉</v>
      </c>
      <c r="E823" s="6" t="str">
        <f t="shared" si="65"/>
        <v>女</v>
      </c>
      <c r="F823" s="7" t="s">
        <v>788</v>
      </c>
    </row>
    <row r="824" spans="1:6" ht="20.100000000000001" customHeight="1" x14ac:dyDescent="0.15">
      <c r="A824" s="5">
        <v>821</v>
      </c>
      <c r="B824" s="6" t="str">
        <f>"304820210605141416101033"</f>
        <v>304820210605141416101033</v>
      </c>
      <c r="C824" s="6" t="s">
        <v>1576</v>
      </c>
      <c r="D824" s="6" t="str">
        <f>"王爱蕊"</f>
        <v>王爱蕊</v>
      </c>
      <c r="E824" s="6" t="str">
        <f t="shared" si="65"/>
        <v>女</v>
      </c>
      <c r="F824" s="7" t="s">
        <v>61</v>
      </c>
    </row>
    <row r="825" spans="1:6" ht="20.100000000000001" customHeight="1" x14ac:dyDescent="0.15">
      <c r="A825" s="5">
        <v>822</v>
      </c>
      <c r="B825" s="6" t="str">
        <f>"304820210605141527101036"</f>
        <v>304820210605141527101036</v>
      </c>
      <c r="C825" s="6" t="s">
        <v>1576</v>
      </c>
      <c r="D825" s="6" t="str">
        <f>"曾文"</f>
        <v>曾文</v>
      </c>
      <c r="E825" s="6" t="str">
        <f>"男"</f>
        <v>男</v>
      </c>
      <c r="F825" s="7" t="s">
        <v>1819</v>
      </c>
    </row>
    <row r="826" spans="1:6" ht="20.100000000000001" customHeight="1" x14ac:dyDescent="0.15">
      <c r="A826" s="5">
        <v>823</v>
      </c>
      <c r="B826" s="6" t="str">
        <f>"304820210605142403101059"</f>
        <v>304820210605142403101059</v>
      </c>
      <c r="C826" s="6" t="s">
        <v>1576</v>
      </c>
      <c r="D826" s="6" t="str">
        <f>"杨丽诗"</f>
        <v>杨丽诗</v>
      </c>
      <c r="E826" s="6" t="str">
        <f t="shared" ref="E826:E831" si="66">"女"</f>
        <v>女</v>
      </c>
      <c r="F826" s="7" t="s">
        <v>225</v>
      </c>
    </row>
    <row r="827" spans="1:6" ht="20.100000000000001" customHeight="1" x14ac:dyDescent="0.15">
      <c r="A827" s="5">
        <v>824</v>
      </c>
      <c r="B827" s="6" t="str">
        <f>"304820210605150118101161"</f>
        <v>304820210605150118101161</v>
      </c>
      <c r="C827" s="6" t="s">
        <v>1576</v>
      </c>
      <c r="D827" s="6" t="str">
        <f>"许汝萍"</f>
        <v>许汝萍</v>
      </c>
      <c r="E827" s="6" t="str">
        <f t="shared" si="66"/>
        <v>女</v>
      </c>
      <c r="F827" s="7" t="s">
        <v>1389</v>
      </c>
    </row>
    <row r="828" spans="1:6" ht="20.100000000000001" customHeight="1" x14ac:dyDescent="0.15">
      <c r="A828" s="5">
        <v>825</v>
      </c>
      <c r="B828" s="6" t="str">
        <f>"304820210605150648101181"</f>
        <v>304820210605150648101181</v>
      </c>
      <c r="C828" s="6" t="s">
        <v>1576</v>
      </c>
      <c r="D828" s="6" t="str">
        <f>"黄治英"</f>
        <v>黄治英</v>
      </c>
      <c r="E828" s="6" t="str">
        <f t="shared" si="66"/>
        <v>女</v>
      </c>
      <c r="F828" s="7" t="s">
        <v>1820</v>
      </c>
    </row>
    <row r="829" spans="1:6" ht="20.100000000000001" customHeight="1" x14ac:dyDescent="0.15">
      <c r="A829" s="5">
        <v>826</v>
      </c>
      <c r="B829" s="6" t="str">
        <f>"304820210605153725101262"</f>
        <v>304820210605153725101262</v>
      </c>
      <c r="C829" s="6" t="s">
        <v>1576</v>
      </c>
      <c r="D829" s="6" t="str">
        <f>"黄琼蝶"</f>
        <v>黄琼蝶</v>
      </c>
      <c r="E829" s="6" t="str">
        <f t="shared" si="66"/>
        <v>女</v>
      </c>
      <c r="F829" s="7" t="s">
        <v>1478</v>
      </c>
    </row>
    <row r="830" spans="1:6" ht="20.100000000000001" customHeight="1" x14ac:dyDescent="0.15">
      <c r="A830" s="5">
        <v>827</v>
      </c>
      <c r="B830" s="6" t="str">
        <f>"304820210605153804101263"</f>
        <v>304820210605153804101263</v>
      </c>
      <c r="C830" s="6" t="s">
        <v>1576</v>
      </c>
      <c r="D830" s="6" t="str">
        <f>"吴亚琴"</f>
        <v>吴亚琴</v>
      </c>
      <c r="E830" s="6" t="str">
        <f t="shared" si="66"/>
        <v>女</v>
      </c>
      <c r="F830" s="7" t="s">
        <v>923</v>
      </c>
    </row>
    <row r="831" spans="1:6" ht="20.100000000000001" customHeight="1" x14ac:dyDescent="0.15">
      <c r="A831" s="5">
        <v>828</v>
      </c>
      <c r="B831" s="6" t="str">
        <f>"304820210605154244101275"</f>
        <v>304820210605154244101275</v>
      </c>
      <c r="C831" s="6" t="s">
        <v>1576</v>
      </c>
      <c r="D831" s="6" t="str">
        <f>"李柳凤"</f>
        <v>李柳凤</v>
      </c>
      <c r="E831" s="6" t="str">
        <f t="shared" si="66"/>
        <v>女</v>
      </c>
      <c r="F831" s="7" t="s">
        <v>1821</v>
      </c>
    </row>
    <row r="832" spans="1:6" ht="20.100000000000001" customHeight="1" x14ac:dyDescent="0.15">
      <c r="A832" s="5">
        <v>829</v>
      </c>
      <c r="B832" s="6" t="str">
        <f>"304820210605154901101287"</f>
        <v>304820210605154901101287</v>
      </c>
      <c r="C832" s="6" t="s">
        <v>1576</v>
      </c>
      <c r="D832" s="6" t="str">
        <f>"符祝绵"</f>
        <v>符祝绵</v>
      </c>
      <c r="E832" s="6" t="str">
        <f>"男"</f>
        <v>男</v>
      </c>
      <c r="F832" s="7" t="s">
        <v>1822</v>
      </c>
    </row>
    <row r="833" spans="1:6" ht="20.100000000000001" customHeight="1" x14ac:dyDescent="0.15">
      <c r="A833" s="5">
        <v>830</v>
      </c>
      <c r="B833" s="6" t="str">
        <f>"304820210605155533101305"</f>
        <v>304820210605155533101305</v>
      </c>
      <c r="C833" s="6" t="s">
        <v>1576</v>
      </c>
      <c r="D833" s="6" t="str">
        <f>"李绪成"</f>
        <v>李绪成</v>
      </c>
      <c r="E833" s="6" t="str">
        <f>"男"</f>
        <v>男</v>
      </c>
      <c r="F833" s="7" t="s">
        <v>1823</v>
      </c>
    </row>
    <row r="834" spans="1:6" ht="20.100000000000001" customHeight="1" x14ac:dyDescent="0.15">
      <c r="A834" s="5">
        <v>831</v>
      </c>
      <c r="B834" s="6" t="str">
        <f>"304820210605161124101351"</f>
        <v>304820210605161124101351</v>
      </c>
      <c r="C834" s="6" t="s">
        <v>1576</v>
      </c>
      <c r="D834" s="6" t="str">
        <f>"何雪娇"</f>
        <v>何雪娇</v>
      </c>
      <c r="E834" s="6" t="str">
        <f t="shared" ref="E834:E841" si="67">"女"</f>
        <v>女</v>
      </c>
      <c r="F834" s="7" t="s">
        <v>1824</v>
      </c>
    </row>
    <row r="835" spans="1:6" ht="20.100000000000001" customHeight="1" x14ac:dyDescent="0.15">
      <c r="A835" s="5">
        <v>832</v>
      </c>
      <c r="B835" s="6" t="str">
        <f>"304820210605163442101425"</f>
        <v>304820210605163442101425</v>
      </c>
      <c r="C835" s="6" t="s">
        <v>1576</v>
      </c>
      <c r="D835" s="6" t="str">
        <f>"王梦"</f>
        <v>王梦</v>
      </c>
      <c r="E835" s="6" t="str">
        <f t="shared" si="67"/>
        <v>女</v>
      </c>
      <c r="F835" s="7" t="s">
        <v>1825</v>
      </c>
    </row>
    <row r="836" spans="1:6" ht="20.100000000000001" customHeight="1" x14ac:dyDescent="0.15">
      <c r="A836" s="5">
        <v>833</v>
      </c>
      <c r="B836" s="6" t="str">
        <f>"304820210605163939101436"</f>
        <v>304820210605163939101436</v>
      </c>
      <c r="C836" s="6" t="s">
        <v>1576</v>
      </c>
      <c r="D836" s="6" t="str">
        <f>"陈和云"</f>
        <v>陈和云</v>
      </c>
      <c r="E836" s="6" t="str">
        <f t="shared" si="67"/>
        <v>女</v>
      </c>
      <c r="F836" s="7" t="s">
        <v>1826</v>
      </c>
    </row>
    <row r="837" spans="1:6" ht="20.100000000000001" customHeight="1" x14ac:dyDescent="0.15">
      <c r="A837" s="5">
        <v>834</v>
      </c>
      <c r="B837" s="6" t="str">
        <f>"304820210605165341101471"</f>
        <v>304820210605165341101471</v>
      </c>
      <c r="C837" s="6" t="s">
        <v>1576</v>
      </c>
      <c r="D837" s="6" t="str">
        <f>"陈娇虹"</f>
        <v>陈娇虹</v>
      </c>
      <c r="E837" s="6" t="str">
        <f t="shared" si="67"/>
        <v>女</v>
      </c>
      <c r="F837" s="7" t="s">
        <v>1827</v>
      </c>
    </row>
    <row r="838" spans="1:6" ht="20.100000000000001" customHeight="1" x14ac:dyDescent="0.15">
      <c r="A838" s="5">
        <v>835</v>
      </c>
      <c r="B838" s="6" t="str">
        <f>"304820210605170636101514"</f>
        <v>304820210605170636101514</v>
      </c>
      <c r="C838" s="6" t="s">
        <v>1576</v>
      </c>
      <c r="D838" s="6" t="str">
        <f>"吴清雅"</f>
        <v>吴清雅</v>
      </c>
      <c r="E838" s="6" t="str">
        <f t="shared" si="67"/>
        <v>女</v>
      </c>
      <c r="F838" s="7" t="s">
        <v>1450</v>
      </c>
    </row>
    <row r="839" spans="1:6" ht="20.100000000000001" customHeight="1" x14ac:dyDescent="0.15">
      <c r="A839" s="5">
        <v>836</v>
      </c>
      <c r="B839" s="6" t="str">
        <f>"304820210605172406101568"</f>
        <v>304820210605172406101568</v>
      </c>
      <c r="C839" s="6" t="s">
        <v>1576</v>
      </c>
      <c r="D839" s="6" t="str">
        <f>"董吉芬"</f>
        <v>董吉芬</v>
      </c>
      <c r="E839" s="6" t="str">
        <f t="shared" si="67"/>
        <v>女</v>
      </c>
      <c r="F839" s="7" t="s">
        <v>1651</v>
      </c>
    </row>
    <row r="840" spans="1:6" ht="20.100000000000001" customHeight="1" x14ac:dyDescent="0.15">
      <c r="A840" s="5">
        <v>837</v>
      </c>
      <c r="B840" s="6" t="str">
        <f>"304820210605173402101599"</f>
        <v>304820210605173402101599</v>
      </c>
      <c r="C840" s="6" t="s">
        <v>1576</v>
      </c>
      <c r="D840" s="6" t="str">
        <f>"邢玉兰"</f>
        <v>邢玉兰</v>
      </c>
      <c r="E840" s="6" t="str">
        <f t="shared" si="67"/>
        <v>女</v>
      </c>
      <c r="F840" s="7" t="s">
        <v>77</v>
      </c>
    </row>
    <row r="841" spans="1:6" ht="20.100000000000001" customHeight="1" x14ac:dyDescent="0.15">
      <c r="A841" s="5">
        <v>838</v>
      </c>
      <c r="B841" s="6" t="str">
        <f>"304820210605174149101621"</f>
        <v>304820210605174149101621</v>
      </c>
      <c r="C841" s="6" t="s">
        <v>1576</v>
      </c>
      <c r="D841" s="6" t="str">
        <f>"虞佳菲"</f>
        <v>虞佳菲</v>
      </c>
      <c r="E841" s="6" t="str">
        <f t="shared" si="67"/>
        <v>女</v>
      </c>
      <c r="F841" s="7" t="s">
        <v>605</v>
      </c>
    </row>
    <row r="842" spans="1:6" ht="20.100000000000001" customHeight="1" x14ac:dyDescent="0.15">
      <c r="A842" s="5">
        <v>839</v>
      </c>
      <c r="B842" s="6" t="str">
        <f>"304820210605175513101653"</f>
        <v>304820210605175513101653</v>
      </c>
      <c r="C842" s="6" t="s">
        <v>1576</v>
      </c>
      <c r="D842" s="6" t="str">
        <f>"陈俊华"</f>
        <v>陈俊华</v>
      </c>
      <c r="E842" s="6" t="str">
        <f>"男"</f>
        <v>男</v>
      </c>
      <c r="F842" s="7" t="s">
        <v>1828</v>
      </c>
    </row>
    <row r="843" spans="1:6" ht="20.100000000000001" customHeight="1" x14ac:dyDescent="0.15">
      <c r="A843" s="5">
        <v>840</v>
      </c>
      <c r="B843" s="6" t="str">
        <f>"304820210605180245101674"</f>
        <v>304820210605180245101674</v>
      </c>
      <c r="C843" s="6" t="s">
        <v>1576</v>
      </c>
      <c r="D843" s="6" t="str">
        <f>"吴小琦"</f>
        <v>吴小琦</v>
      </c>
      <c r="E843" s="6" t="str">
        <f t="shared" ref="E843:E875" si="68">"女"</f>
        <v>女</v>
      </c>
      <c r="F843" s="7" t="s">
        <v>634</v>
      </c>
    </row>
    <row r="844" spans="1:6" ht="20.100000000000001" customHeight="1" x14ac:dyDescent="0.15">
      <c r="A844" s="5">
        <v>841</v>
      </c>
      <c r="B844" s="6" t="str">
        <f>"304820210605180541101680"</f>
        <v>304820210605180541101680</v>
      </c>
      <c r="C844" s="6" t="s">
        <v>1576</v>
      </c>
      <c r="D844" s="6" t="str">
        <f>"李兴乾"</f>
        <v>李兴乾</v>
      </c>
      <c r="E844" s="6" t="str">
        <f t="shared" si="68"/>
        <v>女</v>
      </c>
      <c r="F844" s="7" t="s">
        <v>690</v>
      </c>
    </row>
    <row r="845" spans="1:6" ht="20.100000000000001" customHeight="1" x14ac:dyDescent="0.15">
      <c r="A845" s="5">
        <v>842</v>
      </c>
      <c r="B845" s="6" t="str">
        <f>"304820210605183453101759"</f>
        <v>304820210605183453101759</v>
      </c>
      <c r="C845" s="6" t="s">
        <v>1576</v>
      </c>
      <c r="D845" s="6" t="str">
        <f>"钟秒"</f>
        <v>钟秒</v>
      </c>
      <c r="E845" s="6" t="str">
        <f t="shared" si="68"/>
        <v>女</v>
      </c>
      <c r="F845" s="7" t="s">
        <v>1408</v>
      </c>
    </row>
    <row r="846" spans="1:6" ht="20.100000000000001" customHeight="1" x14ac:dyDescent="0.15">
      <c r="A846" s="5">
        <v>843</v>
      </c>
      <c r="B846" s="6" t="str">
        <f>"304820210605183512101761"</f>
        <v>304820210605183512101761</v>
      </c>
      <c r="C846" s="6" t="s">
        <v>1576</v>
      </c>
      <c r="D846" s="6" t="str">
        <f>"罗琼欣"</f>
        <v>罗琼欣</v>
      </c>
      <c r="E846" s="6" t="str">
        <f t="shared" si="68"/>
        <v>女</v>
      </c>
      <c r="F846" s="7" t="s">
        <v>1565</v>
      </c>
    </row>
    <row r="847" spans="1:6" ht="20.100000000000001" customHeight="1" x14ac:dyDescent="0.15">
      <c r="A847" s="5">
        <v>844</v>
      </c>
      <c r="B847" s="6" t="str">
        <f>"304820210605184916101788"</f>
        <v>304820210605184916101788</v>
      </c>
      <c r="C847" s="6" t="s">
        <v>1576</v>
      </c>
      <c r="D847" s="6" t="str">
        <f>"麦艳菲"</f>
        <v>麦艳菲</v>
      </c>
      <c r="E847" s="6" t="str">
        <f t="shared" si="68"/>
        <v>女</v>
      </c>
      <c r="F847" s="7" t="s">
        <v>1055</v>
      </c>
    </row>
    <row r="848" spans="1:6" ht="20.100000000000001" customHeight="1" x14ac:dyDescent="0.15">
      <c r="A848" s="5">
        <v>845</v>
      </c>
      <c r="B848" s="6" t="str">
        <f>"304820210605185805101805"</f>
        <v>304820210605185805101805</v>
      </c>
      <c r="C848" s="6" t="s">
        <v>1576</v>
      </c>
      <c r="D848" s="6" t="str">
        <f>"符玉美"</f>
        <v>符玉美</v>
      </c>
      <c r="E848" s="6" t="str">
        <f t="shared" si="68"/>
        <v>女</v>
      </c>
      <c r="F848" s="7" t="s">
        <v>1829</v>
      </c>
    </row>
    <row r="849" spans="1:6" ht="20.100000000000001" customHeight="1" x14ac:dyDescent="0.15">
      <c r="A849" s="5">
        <v>846</v>
      </c>
      <c r="B849" s="6" t="str">
        <f>"304820210605190014101810"</f>
        <v>304820210605190014101810</v>
      </c>
      <c r="C849" s="6" t="s">
        <v>1576</v>
      </c>
      <c r="D849" s="6" t="str">
        <f>"郭坤女"</f>
        <v>郭坤女</v>
      </c>
      <c r="E849" s="6" t="str">
        <f t="shared" si="68"/>
        <v>女</v>
      </c>
      <c r="F849" s="7" t="s">
        <v>637</v>
      </c>
    </row>
    <row r="850" spans="1:6" ht="20.100000000000001" customHeight="1" x14ac:dyDescent="0.15">
      <c r="A850" s="5">
        <v>847</v>
      </c>
      <c r="B850" s="6" t="str">
        <f>"304820210605200829101971"</f>
        <v>304820210605200829101971</v>
      </c>
      <c r="C850" s="6" t="s">
        <v>1576</v>
      </c>
      <c r="D850" s="6" t="str">
        <f>"李三梅"</f>
        <v>李三梅</v>
      </c>
      <c r="E850" s="6" t="str">
        <f t="shared" si="68"/>
        <v>女</v>
      </c>
      <c r="F850" s="7" t="s">
        <v>1599</v>
      </c>
    </row>
    <row r="851" spans="1:6" ht="20.100000000000001" customHeight="1" x14ac:dyDescent="0.15">
      <c r="A851" s="5">
        <v>848</v>
      </c>
      <c r="B851" s="6" t="str">
        <f>"304820210605202701102006"</f>
        <v>304820210605202701102006</v>
      </c>
      <c r="C851" s="6" t="s">
        <v>1576</v>
      </c>
      <c r="D851" s="6" t="str">
        <f>"杨紫环"</f>
        <v>杨紫环</v>
      </c>
      <c r="E851" s="6" t="str">
        <f t="shared" si="68"/>
        <v>女</v>
      </c>
      <c r="F851" s="7" t="s">
        <v>757</v>
      </c>
    </row>
    <row r="852" spans="1:6" ht="20.100000000000001" customHeight="1" x14ac:dyDescent="0.15">
      <c r="A852" s="5">
        <v>849</v>
      </c>
      <c r="B852" s="6" t="str">
        <f>"304820210605202747102008"</f>
        <v>304820210605202747102008</v>
      </c>
      <c r="C852" s="6" t="s">
        <v>1576</v>
      </c>
      <c r="D852" s="6" t="str">
        <f>"陈绵姑"</f>
        <v>陈绵姑</v>
      </c>
      <c r="E852" s="6" t="str">
        <f t="shared" si="68"/>
        <v>女</v>
      </c>
      <c r="F852" s="7" t="s">
        <v>659</v>
      </c>
    </row>
    <row r="853" spans="1:6" ht="20.100000000000001" customHeight="1" x14ac:dyDescent="0.15">
      <c r="A853" s="5">
        <v>850</v>
      </c>
      <c r="B853" s="6" t="str">
        <f>"304820210605203300102025"</f>
        <v>304820210605203300102025</v>
      </c>
      <c r="C853" s="6" t="s">
        <v>1576</v>
      </c>
      <c r="D853" s="6" t="str">
        <f>"陈嘉欣"</f>
        <v>陈嘉欣</v>
      </c>
      <c r="E853" s="6" t="str">
        <f t="shared" si="68"/>
        <v>女</v>
      </c>
      <c r="F853" s="7" t="s">
        <v>1211</v>
      </c>
    </row>
    <row r="854" spans="1:6" ht="20.100000000000001" customHeight="1" x14ac:dyDescent="0.15">
      <c r="A854" s="5">
        <v>851</v>
      </c>
      <c r="B854" s="6" t="str">
        <f>"304820210605205034102075"</f>
        <v>304820210605205034102075</v>
      </c>
      <c r="C854" s="6" t="s">
        <v>1576</v>
      </c>
      <c r="D854" s="6" t="str">
        <f>"符燕萍"</f>
        <v>符燕萍</v>
      </c>
      <c r="E854" s="6" t="str">
        <f t="shared" si="68"/>
        <v>女</v>
      </c>
      <c r="F854" s="7" t="s">
        <v>1222</v>
      </c>
    </row>
    <row r="855" spans="1:6" ht="20.100000000000001" customHeight="1" x14ac:dyDescent="0.15">
      <c r="A855" s="5">
        <v>852</v>
      </c>
      <c r="B855" s="6" t="str">
        <f>"304820210605214525102239"</f>
        <v>304820210605214525102239</v>
      </c>
      <c r="C855" s="6" t="s">
        <v>1576</v>
      </c>
      <c r="D855" s="6" t="str">
        <f>"蔡冰倩"</f>
        <v>蔡冰倩</v>
      </c>
      <c r="E855" s="6" t="str">
        <f t="shared" si="68"/>
        <v>女</v>
      </c>
      <c r="F855" s="7" t="s">
        <v>619</v>
      </c>
    </row>
    <row r="856" spans="1:6" ht="20.100000000000001" customHeight="1" x14ac:dyDescent="0.15">
      <c r="A856" s="5">
        <v>853</v>
      </c>
      <c r="B856" s="6" t="str">
        <f>"304820210605215725102279"</f>
        <v>304820210605215725102279</v>
      </c>
      <c r="C856" s="6" t="s">
        <v>1576</v>
      </c>
      <c r="D856" s="6" t="str">
        <f>"肖盼"</f>
        <v>肖盼</v>
      </c>
      <c r="E856" s="6" t="str">
        <f t="shared" si="68"/>
        <v>女</v>
      </c>
      <c r="F856" s="7" t="s">
        <v>38</v>
      </c>
    </row>
    <row r="857" spans="1:6" ht="20.100000000000001" customHeight="1" x14ac:dyDescent="0.15">
      <c r="A857" s="5">
        <v>854</v>
      </c>
      <c r="B857" s="6" t="str">
        <f>"304820210605221012102310"</f>
        <v>304820210605221012102310</v>
      </c>
      <c r="C857" s="6" t="s">
        <v>1576</v>
      </c>
      <c r="D857" s="6" t="str">
        <f>"苏红霞"</f>
        <v>苏红霞</v>
      </c>
      <c r="E857" s="6" t="str">
        <f t="shared" si="68"/>
        <v>女</v>
      </c>
      <c r="F857" s="7" t="s">
        <v>122</v>
      </c>
    </row>
    <row r="858" spans="1:6" ht="20.100000000000001" customHeight="1" x14ac:dyDescent="0.15">
      <c r="A858" s="5">
        <v>855</v>
      </c>
      <c r="B858" s="6" t="str">
        <f>"304820210605221227102318"</f>
        <v>304820210605221227102318</v>
      </c>
      <c r="C858" s="6" t="s">
        <v>1576</v>
      </c>
      <c r="D858" s="6" t="str">
        <f>"符冬婷"</f>
        <v>符冬婷</v>
      </c>
      <c r="E858" s="6" t="str">
        <f t="shared" si="68"/>
        <v>女</v>
      </c>
      <c r="F858" s="7" t="s">
        <v>122</v>
      </c>
    </row>
    <row r="859" spans="1:6" ht="20.100000000000001" customHeight="1" x14ac:dyDescent="0.15">
      <c r="A859" s="5">
        <v>856</v>
      </c>
      <c r="B859" s="6" t="str">
        <f>"304820210605223501102390"</f>
        <v>304820210605223501102390</v>
      </c>
      <c r="C859" s="6" t="s">
        <v>1576</v>
      </c>
      <c r="D859" s="6" t="str">
        <f>"李青云"</f>
        <v>李青云</v>
      </c>
      <c r="E859" s="6" t="str">
        <f t="shared" si="68"/>
        <v>女</v>
      </c>
      <c r="F859" s="7" t="s">
        <v>858</v>
      </c>
    </row>
    <row r="860" spans="1:6" ht="20.100000000000001" customHeight="1" x14ac:dyDescent="0.15">
      <c r="A860" s="5">
        <v>857</v>
      </c>
      <c r="B860" s="6" t="str">
        <f>"304820210605223644102393"</f>
        <v>304820210605223644102393</v>
      </c>
      <c r="C860" s="6" t="s">
        <v>1576</v>
      </c>
      <c r="D860" s="6" t="str">
        <f>"林明艳"</f>
        <v>林明艳</v>
      </c>
      <c r="E860" s="6" t="str">
        <f t="shared" si="68"/>
        <v>女</v>
      </c>
      <c r="F860" s="7" t="s">
        <v>609</v>
      </c>
    </row>
    <row r="861" spans="1:6" ht="20.100000000000001" customHeight="1" x14ac:dyDescent="0.15">
      <c r="A861" s="5">
        <v>858</v>
      </c>
      <c r="B861" s="6" t="str">
        <f>"304820210605231055102476"</f>
        <v>304820210605231055102476</v>
      </c>
      <c r="C861" s="6" t="s">
        <v>1576</v>
      </c>
      <c r="D861" s="6" t="str">
        <f>"陈雪"</f>
        <v>陈雪</v>
      </c>
      <c r="E861" s="6" t="str">
        <f t="shared" si="68"/>
        <v>女</v>
      </c>
      <c r="F861" s="7" t="s">
        <v>1187</v>
      </c>
    </row>
    <row r="862" spans="1:6" ht="20.100000000000001" customHeight="1" x14ac:dyDescent="0.15">
      <c r="A862" s="5">
        <v>859</v>
      </c>
      <c r="B862" s="6" t="str">
        <f>"304820210605234018102531"</f>
        <v>304820210605234018102531</v>
      </c>
      <c r="C862" s="6" t="s">
        <v>1576</v>
      </c>
      <c r="D862" s="6" t="str">
        <f>"苏柳羽"</f>
        <v>苏柳羽</v>
      </c>
      <c r="E862" s="6" t="str">
        <f t="shared" si="68"/>
        <v>女</v>
      </c>
      <c r="F862" s="7" t="s">
        <v>147</v>
      </c>
    </row>
    <row r="863" spans="1:6" ht="20.100000000000001" customHeight="1" x14ac:dyDescent="0.15">
      <c r="A863" s="5">
        <v>860</v>
      </c>
      <c r="B863" s="6" t="str">
        <f>"304820210605234436102535"</f>
        <v>304820210605234436102535</v>
      </c>
      <c r="C863" s="6" t="s">
        <v>1576</v>
      </c>
      <c r="D863" s="6" t="str">
        <f>"王海芳"</f>
        <v>王海芳</v>
      </c>
      <c r="E863" s="6" t="str">
        <f t="shared" si="68"/>
        <v>女</v>
      </c>
      <c r="F863" s="7" t="s">
        <v>250</v>
      </c>
    </row>
    <row r="864" spans="1:6" ht="20.100000000000001" customHeight="1" x14ac:dyDescent="0.15">
      <c r="A864" s="5">
        <v>861</v>
      </c>
      <c r="B864" s="6" t="str">
        <f>"304820210605234831102541"</f>
        <v>304820210605234831102541</v>
      </c>
      <c r="C864" s="6" t="s">
        <v>1576</v>
      </c>
      <c r="D864" s="6" t="str">
        <f>"郭秀春"</f>
        <v>郭秀春</v>
      </c>
      <c r="E864" s="6" t="str">
        <f t="shared" si="68"/>
        <v>女</v>
      </c>
      <c r="F864" s="7" t="s">
        <v>1620</v>
      </c>
    </row>
    <row r="865" spans="1:6" ht="20.100000000000001" customHeight="1" x14ac:dyDescent="0.15">
      <c r="A865" s="5">
        <v>862</v>
      </c>
      <c r="B865" s="6" t="str">
        <f>"304820210605234855102543"</f>
        <v>304820210605234855102543</v>
      </c>
      <c r="C865" s="6" t="s">
        <v>1576</v>
      </c>
      <c r="D865" s="6" t="str">
        <f>"陈昭羽"</f>
        <v>陈昭羽</v>
      </c>
      <c r="E865" s="6" t="str">
        <f t="shared" si="68"/>
        <v>女</v>
      </c>
      <c r="F865" s="7" t="s">
        <v>396</v>
      </c>
    </row>
    <row r="866" spans="1:6" ht="20.100000000000001" customHeight="1" x14ac:dyDescent="0.15">
      <c r="A866" s="5">
        <v>863</v>
      </c>
      <c r="B866" s="6" t="str">
        <f>"304820210605235208102549"</f>
        <v>304820210605235208102549</v>
      </c>
      <c r="C866" s="6" t="s">
        <v>1576</v>
      </c>
      <c r="D866" s="6" t="str">
        <f>"林建慈"</f>
        <v>林建慈</v>
      </c>
      <c r="E866" s="6" t="str">
        <f t="shared" si="68"/>
        <v>女</v>
      </c>
      <c r="F866" s="7" t="s">
        <v>1830</v>
      </c>
    </row>
    <row r="867" spans="1:6" ht="20.100000000000001" customHeight="1" x14ac:dyDescent="0.15">
      <c r="A867" s="5">
        <v>864</v>
      </c>
      <c r="B867" s="6" t="str">
        <f>"304820210605235345102552"</f>
        <v>304820210605235345102552</v>
      </c>
      <c r="C867" s="6" t="s">
        <v>1576</v>
      </c>
      <c r="D867" s="6" t="str">
        <f>"王梅"</f>
        <v>王梅</v>
      </c>
      <c r="E867" s="6" t="str">
        <f t="shared" si="68"/>
        <v>女</v>
      </c>
      <c r="F867" s="7" t="s">
        <v>634</v>
      </c>
    </row>
    <row r="868" spans="1:6" ht="20.100000000000001" customHeight="1" x14ac:dyDescent="0.15">
      <c r="A868" s="5">
        <v>865</v>
      </c>
      <c r="B868" s="6" t="str">
        <f>"304820210606000813102572"</f>
        <v>304820210606000813102572</v>
      </c>
      <c r="C868" s="6" t="s">
        <v>1576</v>
      </c>
      <c r="D868" s="6" t="str">
        <f>"陈飞越"</f>
        <v>陈飞越</v>
      </c>
      <c r="E868" s="6" t="str">
        <f t="shared" si="68"/>
        <v>女</v>
      </c>
      <c r="F868" s="7" t="s">
        <v>1159</v>
      </c>
    </row>
    <row r="869" spans="1:6" ht="20.100000000000001" customHeight="1" x14ac:dyDescent="0.15">
      <c r="A869" s="5">
        <v>866</v>
      </c>
      <c r="B869" s="6" t="str">
        <f>"304820210606001217102579"</f>
        <v>304820210606001217102579</v>
      </c>
      <c r="C869" s="6" t="s">
        <v>1576</v>
      </c>
      <c r="D869" s="6" t="str">
        <f>"唐海玲"</f>
        <v>唐海玲</v>
      </c>
      <c r="E869" s="6" t="str">
        <f t="shared" si="68"/>
        <v>女</v>
      </c>
      <c r="F869" s="7" t="s">
        <v>293</v>
      </c>
    </row>
    <row r="870" spans="1:6" ht="20.100000000000001" customHeight="1" x14ac:dyDescent="0.15">
      <c r="A870" s="5">
        <v>867</v>
      </c>
      <c r="B870" s="6" t="str">
        <f>"304820210606001839102585"</f>
        <v>304820210606001839102585</v>
      </c>
      <c r="C870" s="6" t="s">
        <v>1576</v>
      </c>
      <c r="D870" s="6" t="str">
        <f>"林芬"</f>
        <v>林芬</v>
      </c>
      <c r="E870" s="6" t="str">
        <f t="shared" si="68"/>
        <v>女</v>
      </c>
      <c r="F870" s="7" t="s">
        <v>386</v>
      </c>
    </row>
    <row r="871" spans="1:6" ht="20.100000000000001" customHeight="1" x14ac:dyDescent="0.15">
      <c r="A871" s="5">
        <v>868</v>
      </c>
      <c r="B871" s="6" t="str">
        <f>"304820210606093641102863"</f>
        <v>304820210606093641102863</v>
      </c>
      <c r="C871" s="6" t="s">
        <v>1576</v>
      </c>
      <c r="D871" s="6" t="str">
        <f>"邓惠丹"</f>
        <v>邓惠丹</v>
      </c>
      <c r="E871" s="6" t="str">
        <f t="shared" si="68"/>
        <v>女</v>
      </c>
      <c r="F871" s="7" t="s">
        <v>1280</v>
      </c>
    </row>
    <row r="872" spans="1:6" ht="20.100000000000001" customHeight="1" x14ac:dyDescent="0.15">
      <c r="A872" s="5">
        <v>869</v>
      </c>
      <c r="B872" s="6" t="str">
        <f>"304820210606093824102866"</f>
        <v>304820210606093824102866</v>
      </c>
      <c r="C872" s="6" t="s">
        <v>1576</v>
      </c>
      <c r="D872" s="6" t="str">
        <f>"李敏"</f>
        <v>李敏</v>
      </c>
      <c r="E872" s="6" t="str">
        <f t="shared" si="68"/>
        <v>女</v>
      </c>
      <c r="F872" s="7" t="s">
        <v>1831</v>
      </c>
    </row>
    <row r="873" spans="1:6" ht="20.100000000000001" customHeight="1" x14ac:dyDescent="0.15">
      <c r="A873" s="5">
        <v>870</v>
      </c>
      <c r="B873" s="6" t="str">
        <f>"304820210606102140102991"</f>
        <v>304820210606102140102991</v>
      </c>
      <c r="C873" s="6" t="s">
        <v>1576</v>
      </c>
      <c r="D873" s="6" t="str">
        <f>"谭春旦"</f>
        <v>谭春旦</v>
      </c>
      <c r="E873" s="6" t="str">
        <f t="shared" si="68"/>
        <v>女</v>
      </c>
      <c r="F873" s="7" t="s">
        <v>887</v>
      </c>
    </row>
    <row r="874" spans="1:6" ht="20.100000000000001" customHeight="1" x14ac:dyDescent="0.15">
      <c r="A874" s="5">
        <v>871</v>
      </c>
      <c r="B874" s="6" t="str">
        <f>"304820210606104839103078"</f>
        <v>304820210606104839103078</v>
      </c>
      <c r="C874" s="6" t="s">
        <v>1576</v>
      </c>
      <c r="D874" s="6" t="str">
        <f>"黄园园"</f>
        <v>黄园园</v>
      </c>
      <c r="E874" s="6" t="str">
        <f t="shared" si="68"/>
        <v>女</v>
      </c>
      <c r="F874" s="7" t="s">
        <v>1832</v>
      </c>
    </row>
    <row r="875" spans="1:6" ht="20.100000000000001" customHeight="1" x14ac:dyDescent="0.15">
      <c r="A875" s="5">
        <v>872</v>
      </c>
      <c r="B875" s="6" t="str">
        <f>"304820210606105041103086"</f>
        <v>304820210606105041103086</v>
      </c>
      <c r="C875" s="6" t="s">
        <v>1576</v>
      </c>
      <c r="D875" s="6" t="str">
        <f>"孟柳青"</f>
        <v>孟柳青</v>
      </c>
      <c r="E875" s="6" t="str">
        <f t="shared" si="68"/>
        <v>女</v>
      </c>
      <c r="F875" s="7" t="s">
        <v>1192</v>
      </c>
    </row>
    <row r="876" spans="1:6" ht="20.100000000000001" customHeight="1" x14ac:dyDescent="0.15">
      <c r="A876" s="5">
        <v>873</v>
      </c>
      <c r="B876" s="6" t="str">
        <f>"304820210606105048103088"</f>
        <v>304820210606105048103088</v>
      </c>
      <c r="C876" s="6" t="s">
        <v>1576</v>
      </c>
      <c r="D876" s="6" t="str">
        <f>"谢发城"</f>
        <v>谢发城</v>
      </c>
      <c r="E876" s="6" t="str">
        <f>"男"</f>
        <v>男</v>
      </c>
      <c r="F876" s="7" t="s">
        <v>1125</v>
      </c>
    </row>
    <row r="877" spans="1:6" ht="20.100000000000001" customHeight="1" x14ac:dyDescent="0.15">
      <c r="A877" s="5">
        <v>874</v>
      </c>
      <c r="B877" s="6" t="str">
        <f>"304820210606105101103089"</f>
        <v>304820210606105101103089</v>
      </c>
      <c r="C877" s="6" t="s">
        <v>1576</v>
      </c>
      <c r="D877" s="6" t="str">
        <f>"王紫薇"</f>
        <v>王紫薇</v>
      </c>
      <c r="E877" s="6" t="str">
        <f t="shared" ref="E877:E895" si="69">"女"</f>
        <v>女</v>
      </c>
      <c r="F877" s="7" t="s">
        <v>1833</v>
      </c>
    </row>
    <row r="878" spans="1:6" ht="20.100000000000001" customHeight="1" x14ac:dyDescent="0.15">
      <c r="A878" s="5">
        <v>875</v>
      </c>
      <c r="B878" s="6" t="str">
        <f>"304820210606105457103102"</f>
        <v>304820210606105457103102</v>
      </c>
      <c r="C878" s="6" t="s">
        <v>1576</v>
      </c>
      <c r="D878" s="6" t="str">
        <f>"张小玉"</f>
        <v>张小玉</v>
      </c>
      <c r="E878" s="6" t="str">
        <f t="shared" si="69"/>
        <v>女</v>
      </c>
      <c r="F878" s="7" t="s">
        <v>362</v>
      </c>
    </row>
    <row r="879" spans="1:6" ht="20.100000000000001" customHeight="1" x14ac:dyDescent="0.15">
      <c r="A879" s="5">
        <v>876</v>
      </c>
      <c r="B879" s="6" t="str">
        <f>"304820210606105905103113"</f>
        <v>304820210606105905103113</v>
      </c>
      <c r="C879" s="6" t="s">
        <v>1576</v>
      </c>
      <c r="D879" s="6" t="str">
        <f>"纪长铭"</f>
        <v>纪长铭</v>
      </c>
      <c r="E879" s="6" t="str">
        <f>"男"</f>
        <v>男</v>
      </c>
      <c r="F879" s="7" t="s">
        <v>1834</v>
      </c>
    </row>
    <row r="880" spans="1:6" ht="20.100000000000001" customHeight="1" x14ac:dyDescent="0.15">
      <c r="A880" s="5">
        <v>877</v>
      </c>
      <c r="B880" s="6" t="str">
        <f>"304820210606110148103121"</f>
        <v>304820210606110148103121</v>
      </c>
      <c r="C880" s="6" t="s">
        <v>1576</v>
      </c>
      <c r="D880" s="6" t="str">
        <f>"符妹弟"</f>
        <v>符妹弟</v>
      </c>
      <c r="E880" s="6" t="str">
        <f t="shared" si="69"/>
        <v>女</v>
      </c>
      <c r="F880" s="7" t="s">
        <v>1236</v>
      </c>
    </row>
    <row r="881" spans="1:6" ht="20.100000000000001" customHeight="1" x14ac:dyDescent="0.15">
      <c r="A881" s="5">
        <v>878</v>
      </c>
      <c r="B881" s="6" t="str">
        <f>"304820210606113818103230"</f>
        <v>304820210606113818103230</v>
      </c>
      <c r="C881" s="6" t="s">
        <v>1576</v>
      </c>
      <c r="D881" s="6" t="str">
        <f>"黄美芬"</f>
        <v>黄美芬</v>
      </c>
      <c r="E881" s="6" t="str">
        <f t="shared" si="69"/>
        <v>女</v>
      </c>
      <c r="F881" s="7" t="s">
        <v>433</v>
      </c>
    </row>
    <row r="882" spans="1:6" ht="20.100000000000001" customHeight="1" x14ac:dyDescent="0.15">
      <c r="A882" s="5">
        <v>879</v>
      </c>
      <c r="B882" s="6" t="str">
        <f>"304820210606114254103246"</f>
        <v>304820210606114254103246</v>
      </c>
      <c r="C882" s="6" t="s">
        <v>1576</v>
      </c>
      <c r="D882" s="6" t="str">
        <f>"林晓晓"</f>
        <v>林晓晓</v>
      </c>
      <c r="E882" s="6" t="str">
        <f t="shared" si="69"/>
        <v>女</v>
      </c>
      <c r="F882" s="7" t="s">
        <v>114</v>
      </c>
    </row>
    <row r="883" spans="1:6" ht="20.100000000000001" customHeight="1" x14ac:dyDescent="0.15">
      <c r="A883" s="5">
        <v>880</v>
      </c>
      <c r="B883" s="6" t="str">
        <f>"304820210606115422103284"</f>
        <v>304820210606115422103284</v>
      </c>
      <c r="C883" s="6" t="s">
        <v>1576</v>
      </c>
      <c r="D883" s="6" t="str">
        <f>"赵淑珍"</f>
        <v>赵淑珍</v>
      </c>
      <c r="E883" s="6" t="str">
        <f t="shared" si="69"/>
        <v>女</v>
      </c>
      <c r="F883" s="7" t="s">
        <v>1835</v>
      </c>
    </row>
    <row r="884" spans="1:6" ht="20.100000000000001" customHeight="1" x14ac:dyDescent="0.15">
      <c r="A884" s="5">
        <v>881</v>
      </c>
      <c r="B884" s="6" t="str">
        <f>"304820210606120652103329"</f>
        <v>304820210606120652103329</v>
      </c>
      <c r="C884" s="6" t="s">
        <v>1576</v>
      </c>
      <c r="D884" s="6" t="str">
        <f>"陈惠完"</f>
        <v>陈惠完</v>
      </c>
      <c r="E884" s="6" t="str">
        <f t="shared" si="69"/>
        <v>女</v>
      </c>
      <c r="F884" s="7" t="s">
        <v>191</v>
      </c>
    </row>
    <row r="885" spans="1:6" ht="20.100000000000001" customHeight="1" x14ac:dyDescent="0.15">
      <c r="A885" s="5">
        <v>882</v>
      </c>
      <c r="B885" s="6" t="str">
        <f>"304820210606123520103406"</f>
        <v>304820210606123520103406</v>
      </c>
      <c r="C885" s="6" t="s">
        <v>1576</v>
      </c>
      <c r="D885" s="6" t="str">
        <f>"郭皇妹"</f>
        <v>郭皇妹</v>
      </c>
      <c r="E885" s="6" t="str">
        <f t="shared" si="69"/>
        <v>女</v>
      </c>
      <c r="F885" s="7" t="s">
        <v>1641</v>
      </c>
    </row>
    <row r="886" spans="1:6" ht="20.100000000000001" customHeight="1" x14ac:dyDescent="0.15">
      <c r="A886" s="5">
        <v>883</v>
      </c>
      <c r="B886" s="6" t="str">
        <f>"304820210606124107103417"</f>
        <v>304820210606124107103417</v>
      </c>
      <c r="C886" s="6" t="s">
        <v>1576</v>
      </c>
      <c r="D886" s="6" t="str">
        <f>"李美玉"</f>
        <v>李美玉</v>
      </c>
      <c r="E886" s="6" t="str">
        <f t="shared" si="69"/>
        <v>女</v>
      </c>
      <c r="F886" s="7" t="s">
        <v>1204</v>
      </c>
    </row>
    <row r="887" spans="1:6" ht="20.100000000000001" customHeight="1" x14ac:dyDescent="0.15">
      <c r="A887" s="5">
        <v>884</v>
      </c>
      <c r="B887" s="6" t="str">
        <f>"304820210606131200103504"</f>
        <v>304820210606131200103504</v>
      </c>
      <c r="C887" s="6" t="s">
        <v>1576</v>
      </c>
      <c r="D887" s="6" t="str">
        <f>"时芳芳"</f>
        <v>时芳芳</v>
      </c>
      <c r="E887" s="6" t="str">
        <f t="shared" si="69"/>
        <v>女</v>
      </c>
      <c r="F887" s="7" t="s">
        <v>325</v>
      </c>
    </row>
    <row r="888" spans="1:6" ht="20.100000000000001" customHeight="1" x14ac:dyDescent="0.15">
      <c r="A888" s="5">
        <v>885</v>
      </c>
      <c r="B888" s="6" t="str">
        <f>"304820210606131316103510"</f>
        <v>304820210606131316103510</v>
      </c>
      <c r="C888" s="6" t="s">
        <v>1576</v>
      </c>
      <c r="D888" s="6" t="str">
        <f>"郑传男"</f>
        <v>郑传男</v>
      </c>
      <c r="E888" s="6" t="str">
        <f t="shared" si="69"/>
        <v>女</v>
      </c>
      <c r="F888" s="7" t="s">
        <v>1836</v>
      </c>
    </row>
    <row r="889" spans="1:6" ht="20.100000000000001" customHeight="1" x14ac:dyDescent="0.15">
      <c r="A889" s="5">
        <v>886</v>
      </c>
      <c r="B889" s="6" t="str">
        <f>"304820210606133838103581"</f>
        <v>304820210606133838103581</v>
      </c>
      <c r="C889" s="6" t="s">
        <v>1576</v>
      </c>
      <c r="D889" s="6" t="str">
        <f>"李州燕"</f>
        <v>李州燕</v>
      </c>
      <c r="E889" s="6" t="str">
        <f t="shared" si="69"/>
        <v>女</v>
      </c>
      <c r="F889" s="7" t="s">
        <v>1837</v>
      </c>
    </row>
    <row r="890" spans="1:6" ht="20.100000000000001" customHeight="1" x14ac:dyDescent="0.15">
      <c r="A890" s="5">
        <v>887</v>
      </c>
      <c r="B890" s="6" t="str">
        <f>"304820210606134044103586"</f>
        <v>304820210606134044103586</v>
      </c>
      <c r="C890" s="6" t="s">
        <v>1576</v>
      </c>
      <c r="D890" s="6" t="str">
        <f>"陈亚咪"</f>
        <v>陈亚咪</v>
      </c>
      <c r="E890" s="6" t="str">
        <f t="shared" si="69"/>
        <v>女</v>
      </c>
      <c r="F890" s="7" t="s">
        <v>111</v>
      </c>
    </row>
    <row r="891" spans="1:6" ht="20.100000000000001" customHeight="1" x14ac:dyDescent="0.15">
      <c r="A891" s="5">
        <v>888</v>
      </c>
      <c r="B891" s="6" t="str">
        <f>"304820210606134344103599"</f>
        <v>304820210606134344103599</v>
      </c>
      <c r="C891" s="6" t="s">
        <v>1576</v>
      </c>
      <c r="D891" s="6" t="str">
        <f>"岑春平"</f>
        <v>岑春平</v>
      </c>
      <c r="E891" s="6" t="str">
        <f t="shared" si="69"/>
        <v>女</v>
      </c>
      <c r="F891" s="7" t="s">
        <v>1838</v>
      </c>
    </row>
    <row r="892" spans="1:6" ht="20.100000000000001" customHeight="1" x14ac:dyDescent="0.15">
      <c r="A892" s="5">
        <v>889</v>
      </c>
      <c r="B892" s="6" t="str">
        <f>"304820210606135101103617"</f>
        <v>304820210606135101103617</v>
      </c>
      <c r="C892" s="6" t="s">
        <v>1576</v>
      </c>
      <c r="D892" s="6" t="str">
        <f>"陈小雪"</f>
        <v>陈小雪</v>
      </c>
      <c r="E892" s="6" t="str">
        <f t="shared" si="69"/>
        <v>女</v>
      </c>
      <c r="F892" s="7" t="s">
        <v>326</v>
      </c>
    </row>
    <row r="893" spans="1:6" ht="20.100000000000001" customHeight="1" x14ac:dyDescent="0.15">
      <c r="A893" s="5">
        <v>890</v>
      </c>
      <c r="B893" s="6" t="str">
        <f>"304820210606142529103720"</f>
        <v>304820210606142529103720</v>
      </c>
      <c r="C893" s="6" t="s">
        <v>1576</v>
      </c>
      <c r="D893" s="6" t="str">
        <f>"陈素妮"</f>
        <v>陈素妮</v>
      </c>
      <c r="E893" s="6" t="str">
        <f t="shared" si="69"/>
        <v>女</v>
      </c>
      <c r="F893" s="7" t="s">
        <v>1350</v>
      </c>
    </row>
    <row r="894" spans="1:6" ht="20.100000000000001" customHeight="1" x14ac:dyDescent="0.15">
      <c r="A894" s="5">
        <v>891</v>
      </c>
      <c r="B894" s="6" t="str">
        <f>"304820210606142653103724"</f>
        <v>304820210606142653103724</v>
      </c>
      <c r="C894" s="6" t="s">
        <v>1576</v>
      </c>
      <c r="D894" s="6" t="str">
        <f>"周柳妍"</f>
        <v>周柳妍</v>
      </c>
      <c r="E894" s="6" t="str">
        <f t="shared" si="69"/>
        <v>女</v>
      </c>
      <c r="F894" s="7" t="s">
        <v>915</v>
      </c>
    </row>
    <row r="895" spans="1:6" ht="20.100000000000001" customHeight="1" x14ac:dyDescent="0.15">
      <c r="A895" s="5">
        <v>892</v>
      </c>
      <c r="B895" s="6" t="str">
        <f>"304820210606150457103804"</f>
        <v>304820210606150457103804</v>
      </c>
      <c r="C895" s="6" t="s">
        <v>1576</v>
      </c>
      <c r="D895" s="6" t="str">
        <f>"柳美娟"</f>
        <v>柳美娟</v>
      </c>
      <c r="E895" s="6" t="str">
        <f t="shared" si="69"/>
        <v>女</v>
      </c>
      <c r="F895" s="7" t="s">
        <v>1169</v>
      </c>
    </row>
    <row r="896" spans="1:6" ht="20.100000000000001" customHeight="1" x14ac:dyDescent="0.15">
      <c r="A896" s="5">
        <v>893</v>
      </c>
      <c r="B896" s="6" t="str">
        <f>"304820210606151152103821"</f>
        <v>304820210606151152103821</v>
      </c>
      <c r="C896" s="6" t="s">
        <v>1576</v>
      </c>
      <c r="D896" s="6" t="str">
        <f>"文品"</f>
        <v>文品</v>
      </c>
      <c r="E896" s="6" t="str">
        <f>"男"</f>
        <v>男</v>
      </c>
      <c r="F896" s="7" t="s">
        <v>1839</v>
      </c>
    </row>
    <row r="897" spans="1:6" ht="20.100000000000001" customHeight="1" x14ac:dyDescent="0.15">
      <c r="A897" s="5">
        <v>894</v>
      </c>
      <c r="B897" s="6" t="str">
        <f>"304820210606152141103848"</f>
        <v>304820210606152141103848</v>
      </c>
      <c r="C897" s="6" t="s">
        <v>1576</v>
      </c>
      <c r="D897" s="6" t="str">
        <f>"王方浪"</f>
        <v>王方浪</v>
      </c>
      <c r="E897" s="6" t="str">
        <f t="shared" ref="E897:E907" si="70">"女"</f>
        <v>女</v>
      </c>
      <c r="F897" s="7" t="s">
        <v>1840</v>
      </c>
    </row>
    <row r="898" spans="1:6" ht="20.100000000000001" customHeight="1" x14ac:dyDescent="0.15">
      <c r="A898" s="5">
        <v>895</v>
      </c>
      <c r="B898" s="6" t="str">
        <f>"304820210606153221103884"</f>
        <v>304820210606153221103884</v>
      </c>
      <c r="C898" s="6" t="s">
        <v>1576</v>
      </c>
      <c r="D898" s="6" t="str">
        <f>"李京栗"</f>
        <v>李京栗</v>
      </c>
      <c r="E898" s="6" t="str">
        <f t="shared" si="70"/>
        <v>女</v>
      </c>
      <c r="F898" s="7" t="s">
        <v>1102</v>
      </c>
    </row>
    <row r="899" spans="1:6" ht="20.100000000000001" customHeight="1" x14ac:dyDescent="0.15">
      <c r="A899" s="5">
        <v>896</v>
      </c>
      <c r="B899" s="6" t="str">
        <f>"304820210606153701103897"</f>
        <v>304820210606153701103897</v>
      </c>
      <c r="C899" s="6" t="s">
        <v>1576</v>
      </c>
      <c r="D899" s="6" t="str">
        <f>"陈泽文"</f>
        <v>陈泽文</v>
      </c>
      <c r="E899" s="6" t="str">
        <f>"男"</f>
        <v>男</v>
      </c>
      <c r="F899" s="7" t="s">
        <v>1841</v>
      </c>
    </row>
    <row r="900" spans="1:6" ht="20.100000000000001" customHeight="1" x14ac:dyDescent="0.15">
      <c r="A900" s="5">
        <v>897</v>
      </c>
      <c r="B900" s="6" t="str">
        <f>"304820210606153728103899"</f>
        <v>304820210606153728103899</v>
      </c>
      <c r="C900" s="6" t="s">
        <v>1576</v>
      </c>
      <c r="D900" s="6" t="str">
        <f>"王基娇"</f>
        <v>王基娇</v>
      </c>
      <c r="E900" s="6" t="str">
        <f t="shared" si="70"/>
        <v>女</v>
      </c>
      <c r="F900" s="7" t="s">
        <v>1842</v>
      </c>
    </row>
    <row r="901" spans="1:6" ht="20.100000000000001" customHeight="1" x14ac:dyDescent="0.15">
      <c r="A901" s="5">
        <v>898</v>
      </c>
      <c r="B901" s="6" t="str">
        <f>"304820210606154737103945"</f>
        <v>304820210606154737103945</v>
      </c>
      <c r="C901" s="6" t="s">
        <v>1576</v>
      </c>
      <c r="D901" s="6" t="str">
        <f>"严丽芳"</f>
        <v>严丽芳</v>
      </c>
      <c r="E901" s="6" t="str">
        <f t="shared" si="70"/>
        <v>女</v>
      </c>
      <c r="F901" s="7" t="s">
        <v>483</v>
      </c>
    </row>
    <row r="902" spans="1:6" ht="20.100000000000001" customHeight="1" x14ac:dyDescent="0.15">
      <c r="A902" s="5">
        <v>899</v>
      </c>
      <c r="B902" s="6" t="str">
        <f>"304820210606161159104012"</f>
        <v>304820210606161159104012</v>
      </c>
      <c r="C902" s="6" t="s">
        <v>1576</v>
      </c>
      <c r="D902" s="6" t="str">
        <f>"温小梅"</f>
        <v>温小梅</v>
      </c>
      <c r="E902" s="6" t="str">
        <f t="shared" si="70"/>
        <v>女</v>
      </c>
      <c r="F902" s="7" t="s">
        <v>1206</v>
      </c>
    </row>
    <row r="903" spans="1:6" ht="20.100000000000001" customHeight="1" x14ac:dyDescent="0.15">
      <c r="A903" s="5">
        <v>900</v>
      </c>
      <c r="B903" s="6" t="str">
        <f>"304820210606161955104037"</f>
        <v>304820210606161955104037</v>
      </c>
      <c r="C903" s="6" t="s">
        <v>1576</v>
      </c>
      <c r="D903" s="6" t="str">
        <f>"周玉燕"</f>
        <v>周玉燕</v>
      </c>
      <c r="E903" s="6" t="str">
        <f t="shared" si="70"/>
        <v>女</v>
      </c>
      <c r="F903" s="7" t="s">
        <v>1180</v>
      </c>
    </row>
    <row r="904" spans="1:6" ht="20.100000000000001" customHeight="1" x14ac:dyDescent="0.15">
      <c r="A904" s="5">
        <v>901</v>
      </c>
      <c r="B904" s="6" t="str">
        <f>"304820210606162110104044"</f>
        <v>304820210606162110104044</v>
      </c>
      <c r="C904" s="6" t="s">
        <v>1576</v>
      </c>
      <c r="D904" s="6" t="str">
        <f>"陈川虹"</f>
        <v>陈川虹</v>
      </c>
      <c r="E904" s="6" t="str">
        <f t="shared" si="70"/>
        <v>女</v>
      </c>
      <c r="F904" s="7" t="s">
        <v>985</v>
      </c>
    </row>
    <row r="905" spans="1:6" ht="20.100000000000001" customHeight="1" x14ac:dyDescent="0.15">
      <c r="A905" s="5">
        <v>902</v>
      </c>
      <c r="B905" s="6" t="str">
        <f>"304820210606170611104211"</f>
        <v>304820210606170611104211</v>
      </c>
      <c r="C905" s="6" t="s">
        <v>1576</v>
      </c>
      <c r="D905" s="6" t="str">
        <f>"邹宇春"</f>
        <v>邹宇春</v>
      </c>
      <c r="E905" s="6" t="str">
        <f t="shared" si="70"/>
        <v>女</v>
      </c>
      <c r="F905" s="7" t="s">
        <v>345</v>
      </c>
    </row>
    <row r="906" spans="1:6" ht="20.100000000000001" customHeight="1" x14ac:dyDescent="0.15">
      <c r="A906" s="5">
        <v>903</v>
      </c>
      <c r="B906" s="6" t="str">
        <f>"304820210606171249104227"</f>
        <v>304820210606171249104227</v>
      </c>
      <c r="C906" s="6" t="s">
        <v>1576</v>
      </c>
      <c r="D906" s="6" t="str">
        <f>"卓怀珍"</f>
        <v>卓怀珍</v>
      </c>
      <c r="E906" s="6" t="str">
        <f t="shared" si="70"/>
        <v>女</v>
      </c>
      <c r="F906" s="7" t="s">
        <v>462</v>
      </c>
    </row>
    <row r="907" spans="1:6" ht="20.100000000000001" customHeight="1" x14ac:dyDescent="0.15">
      <c r="A907" s="5">
        <v>904</v>
      </c>
      <c r="B907" s="6" t="str">
        <f>"304820210606171339104233"</f>
        <v>304820210606171339104233</v>
      </c>
      <c r="C907" s="6" t="s">
        <v>1576</v>
      </c>
      <c r="D907" s="6" t="str">
        <f>"曹玉婉"</f>
        <v>曹玉婉</v>
      </c>
      <c r="E907" s="6" t="str">
        <f t="shared" si="70"/>
        <v>女</v>
      </c>
      <c r="F907" s="7" t="s">
        <v>43</v>
      </c>
    </row>
    <row r="908" spans="1:6" ht="20.100000000000001" customHeight="1" x14ac:dyDescent="0.15">
      <c r="A908" s="5">
        <v>905</v>
      </c>
      <c r="B908" s="6" t="str">
        <f>"304820210606172519104279"</f>
        <v>304820210606172519104279</v>
      </c>
      <c r="C908" s="6" t="s">
        <v>1576</v>
      </c>
      <c r="D908" s="6" t="str">
        <f>"高建龙"</f>
        <v>高建龙</v>
      </c>
      <c r="E908" s="6" t="str">
        <f>"男"</f>
        <v>男</v>
      </c>
      <c r="F908" s="7" t="s">
        <v>1843</v>
      </c>
    </row>
    <row r="909" spans="1:6" ht="20.100000000000001" customHeight="1" x14ac:dyDescent="0.15">
      <c r="A909" s="5">
        <v>906</v>
      </c>
      <c r="B909" s="6" t="str">
        <f>"304820210606182601104433"</f>
        <v>304820210606182601104433</v>
      </c>
      <c r="C909" s="6" t="s">
        <v>1576</v>
      </c>
      <c r="D909" s="6" t="str">
        <f>"邢楠楠"</f>
        <v>邢楠楠</v>
      </c>
      <c r="E909" s="6" t="str">
        <f t="shared" ref="E909:E917" si="71">"女"</f>
        <v>女</v>
      </c>
      <c r="F909" s="7" t="s">
        <v>56</v>
      </c>
    </row>
    <row r="910" spans="1:6" ht="20.100000000000001" customHeight="1" x14ac:dyDescent="0.15">
      <c r="A910" s="5">
        <v>907</v>
      </c>
      <c r="B910" s="6" t="str">
        <f>"304820210606190113104486"</f>
        <v>304820210606190113104486</v>
      </c>
      <c r="C910" s="6" t="s">
        <v>1576</v>
      </c>
      <c r="D910" s="6" t="str">
        <f>"李秋妹"</f>
        <v>李秋妹</v>
      </c>
      <c r="E910" s="6" t="str">
        <f t="shared" si="71"/>
        <v>女</v>
      </c>
      <c r="F910" s="7" t="s">
        <v>32</v>
      </c>
    </row>
    <row r="911" spans="1:6" ht="20.100000000000001" customHeight="1" x14ac:dyDescent="0.15">
      <c r="A911" s="5">
        <v>908</v>
      </c>
      <c r="B911" s="6" t="str">
        <f>"304820210606191010104501"</f>
        <v>304820210606191010104501</v>
      </c>
      <c r="C911" s="6" t="s">
        <v>1576</v>
      </c>
      <c r="D911" s="6" t="str">
        <f>"蒙泽霞"</f>
        <v>蒙泽霞</v>
      </c>
      <c r="E911" s="6" t="str">
        <f t="shared" si="71"/>
        <v>女</v>
      </c>
      <c r="F911" s="7" t="s">
        <v>138</v>
      </c>
    </row>
    <row r="912" spans="1:6" ht="20.100000000000001" customHeight="1" x14ac:dyDescent="0.15">
      <c r="A912" s="5">
        <v>909</v>
      </c>
      <c r="B912" s="6" t="str">
        <f>"304820210606193334104546"</f>
        <v>304820210606193334104546</v>
      </c>
      <c r="C912" s="6" t="s">
        <v>1576</v>
      </c>
      <c r="D912" s="6" t="str">
        <f>"凌玉"</f>
        <v>凌玉</v>
      </c>
      <c r="E912" s="6" t="str">
        <f t="shared" si="71"/>
        <v>女</v>
      </c>
      <c r="F912" s="7" t="s">
        <v>552</v>
      </c>
    </row>
    <row r="913" spans="1:6" ht="20.100000000000001" customHeight="1" x14ac:dyDescent="0.15">
      <c r="A913" s="5">
        <v>910</v>
      </c>
      <c r="B913" s="6" t="str">
        <f>"304820210606193645104552"</f>
        <v>304820210606193645104552</v>
      </c>
      <c r="C913" s="6" t="s">
        <v>1576</v>
      </c>
      <c r="D913" s="6" t="str">
        <f>"洪真荣"</f>
        <v>洪真荣</v>
      </c>
      <c r="E913" s="6" t="str">
        <f t="shared" si="71"/>
        <v>女</v>
      </c>
      <c r="F913" s="7" t="s">
        <v>1844</v>
      </c>
    </row>
    <row r="914" spans="1:6" ht="20.100000000000001" customHeight="1" x14ac:dyDescent="0.15">
      <c r="A914" s="5">
        <v>911</v>
      </c>
      <c r="B914" s="6" t="str">
        <f>"304820210606194145104562"</f>
        <v>304820210606194145104562</v>
      </c>
      <c r="C914" s="6" t="s">
        <v>1576</v>
      </c>
      <c r="D914" s="6" t="str">
        <f>"谢思思"</f>
        <v>谢思思</v>
      </c>
      <c r="E914" s="6" t="str">
        <f t="shared" si="71"/>
        <v>女</v>
      </c>
      <c r="F914" s="7" t="s">
        <v>1352</v>
      </c>
    </row>
    <row r="915" spans="1:6" ht="20.100000000000001" customHeight="1" x14ac:dyDescent="0.15">
      <c r="A915" s="5">
        <v>912</v>
      </c>
      <c r="B915" s="6" t="str">
        <f>"304820210606195945104581"</f>
        <v>304820210606195945104581</v>
      </c>
      <c r="C915" s="6" t="s">
        <v>1576</v>
      </c>
      <c r="D915" s="6" t="str">
        <f>"郭璤莹"</f>
        <v>郭璤莹</v>
      </c>
      <c r="E915" s="6" t="str">
        <f t="shared" si="71"/>
        <v>女</v>
      </c>
      <c r="F915" s="7" t="s">
        <v>155</v>
      </c>
    </row>
    <row r="916" spans="1:6" ht="20.100000000000001" customHeight="1" x14ac:dyDescent="0.15">
      <c r="A916" s="5">
        <v>913</v>
      </c>
      <c r="B916" s="6" t="str">
        <f>"304820210606200501104589"</f>
        <v>304820210606200501104589</v>
      </c>
      <c r="C916" s="6" t="s">
        <v>1576</v>
      </c>
      <c r="D916" s="6" t="str">
        <f>"黎茹"</f>
        <v>黎茹</v>
      </c>
      <c r="E916" s="6" t="str">
        <f t="shared" si="71"/>
        <v>女</v>
      </c>
      <c r="F916" s="7" t="s">
        <v>1845</v>
      </c>
    </row>
    <row r="917" spans="1:6" ht="20.100000000000001" customHeight="1" x14ac:dyDescent="0.15">
      <c r="A917" s="5">
        <v>914</v>
      </c>
      <c r="B917" s="6" t="str">
        <f>"304820210606201822104618"</f>
        <v>304820210606201822104618</v>
      </c>
      <c r="C917" s="6" t="s">
        <v>1576</v>
      </c>
      <c r="D917" s="6" t="str">
        <f>"周夏妃"</f>
        <v>周夏妃</v>
      </c>
      <c r="E917" s="6" t="str">
        <f t="shared" si="71"/>
        <v>女</v>
      </c>
      <c r="F917" s="7" t="s">
        <v>527</v>
      </c>
    </row>
    <row r="918" spans="1:6" ht="20.100000000000001" customHeight="1" x14ac:dyDescent="0.15">
      <c r="A918" s="5">
        <v>915</v>
      </c>
      <c r="B918" s="6" t="str">
        <f>"304820210606202054104622"</f>
        <v>304820210606202054104622</v>
      </c>
      <c r="C918" s="6" t="s">
        <v>1576</v>
      </c>
      <c r="D918" s="6" t="str">
        <f>"黎经川"</f>
        <v>黎经川</v>
      </c>
      <c r="E918" s="6" t="str">
        <f>"男"</f>
        <v>男</v>
      </c>
      <c r="F918" s="7" t="s">
        <v>1846</v>
      </c>
    </row>
    <row r="919" spans="1:6" ht="20.100000000000001" customHeight="1" x14ac:dyDescent="0.15">
      <c r="A919" s="5">
        <v>916</v>
      </c>
      <c r="B919" s="6" t="str">
        <f>"304820210606203244104649"</f>
        <v>304820210606203244104649</v>
      </c>
      <c r="C919" s="6" t="s">
        <v>1576</v>
      </c>
      <c r="D919" s="6" t="str">
        <f>"李静"</f>
        <v>李静</v>
      </c>
      <c r="E919" s="6" t="str">
        <f t="shared" ref="E919:E921" si="72">"女"</f>
        <v>女</v>
      </c>
      <c r="F919" s="7" t="s">
        <v>1176</v>
      </c>
    </row>
    <row r="920" spans="1:6" ht="20.100000000000001" customHeight="1" x14ac:dyDescent="0.15">
      <c r="A920" s="5">
        <v>917</v>
      </c>
      <c r="B920" s="6" t="str">
        <f>"304820210606203831104667"</f>
        <v>304820210606203831104667</v>
      </c>
      <c r="C920" s="6" t="s">
        <v>1576</v>
      </c>
      <c r="D920" s="6" t="str">
        <f>"钟珍波"</f>
        <v>钟珍波</v>
      </c>
      <c r="E920" s="6" t="str">
        <f t="shared" si="72"/>
        <v>女</v>
      </c>
      <c r="F920" s="7" t="s">
        <v>1847</v>
      </c>
    </row>
    <row r="921" spans="1:6" ht="20.100000000000001" customHeight="1" x14ac:dyDescent="0.15">
      <c r="A921" s="5">
        <v>918</v>
      </c>
      <c r="B921" s="6" t="str">
        <f>"304820210606205019104701"</f>
        <v>304820210606205019104701</v>
      </c>
      <c r="C921" s="6" t="s">
        <v>1576</v>
      </c>
      <c r="D921" s="6" t="str">
        <f>"谢珊瑚"</f>
        <v>谢珊瑚</v>
      </c>
      <c r="E921" s="6" t="str">
        <f t="shared" si="72"/>
        <v>女</v>
      </c>
      <c r="F921" s="7" t="s">
        <v>706</v>
      </c>
    </row>
    <row r="922" spans="1:6" ht="20.100000000000001" customHeight="1" x14ac:dyDescent="0.15">
      <c r="A922" s="5">
        <v>919</v>
      </c>
      <c r="B922" s="6" t="str">
        <f>"304820210606205052104703"</f>
        <v>304820210606205052104703</v>
      </c>
      <c r="C922" s="6" t="s">
        <v>1576</v>
      </c>
      <c r="D922" s="6" t="str">
        <f>"王伟"</f>
        <v>王伟</v>
      </c>
      <c r="E922" s="6" t="str">
        <f>"男"</f>
        <v>男</v>
      </c>
      <c r="F922" s="7" t="s">
        <v>1848</v>
      </c>
    </row>
    <row r="923" spans="1:6" ht="20.100000000000001" customHeight="1" x14ac:dyDescent="0.15">
      <c r="A923" s="5">
        <v>920</v>
      </c>
      <c r="B923" s="6" t="str">
        <f>"304820210606205459104714"</f>
        <v>304820210606205459104714</v>
      </c>
      <c r="C923" s="6" t="s">
        <v>1576</v>
      </c>
      <c r="D923" s="6" t="str">
        <f>"唐仁欢"</f>
        <v>唐仁欢</v>
      </c>
      <c r="E923" s="6" t="str">
        <f t="shared" ref="E923:E925" si="73">"女"</f>
        <v>女</v>
      </c>
      <c r="F923" s="7" t="s">
        <v>303</v>
      </c>
    </row>
    <row r="924" spans="1:6" ht="20.100000000000001" customHeight="1" x14ac:dyDescent="0.15">
      <c r="A924" s="5">
        <v>921</v>
      </c>
      <c r="B924" s="6" t="str">
        <f>"304820210606210033104734"</f>
        <v>304820210606210033104734</v>
      </c>
      <c r="C924" s="6" t="s">
        <v>1576</v>
      </c>
      <c r="D924" s="6" t="str">
        <f>"黎春敏"</f>
        <v>黎春敏</v>
      </c>
      <c r="E924" s="6" t="str">
        <f t="shared" si="73"/>
        <v>女</v>
      </c>
      <c r="F924" s="7" t="s">
        <v>1136</v>
      </c>
    </row>
    <row r="925" spans="1:6" ht="20.100000000000001" customHeight="1" x14ac:dyDescent="0.15">
      <c r="A925" s="5">
        <v>922</v>
      </c>
      <c r="B925" s="6" t="str">
        <f>"304820210606210224104739"</f>
        <v>304820210606210224104739</v>
      </c>
      <c r="C925" s="6" t="s">
        <v>1576</v>
      </c>
      <c r="D925" s="6" t="str">
        <f>"符梦雅"</f>
        <v>符梦雅</v>
      </c>
      <c r="E925" s="6" t="str">
        <f t="shared" si="73"/>
        <v>女</v>
      </c>
      <c r="F925" s="7" t="s">
        <v>173</v>
      </c>
    </row>
    <row r="926" spans="1:6" ht="20.100000000000001" customHeight="1" x14ac:dyDescent="0.15">
      <c r="A926" s="5">
        <v>923</v>
      </c>
      <c r="B926" s="6" t="str">
        <f>"304820210606210305104741"</f>
        <v>304820210606210305104741</v>
      </c>
      <c r="C926" s="6" t="s">
        <v>1576</v>
      </c>
      <c r="D926" s="6" t="str">
        <f>"林升恒"</f>
        <v>林升恒</v>
      </c>
      <c r="E926" s="6" t="str">
        <f>"男"</f>
        <v>男</v>
      </c>
      <c r="F926" s="7" t="s">
        <v>1849</v>
      </c>
    </row>
    <row r="927" spans="1:6" ht="20.100000000000001" customHeight="1" x14ac:dyDescent="0.15">
      <c r="A927" s="5">
        <v>924</v>
      </c>
      <c r="B927" s="6" t="str">
        <f>"304820210606212050104789"</f>
        <v>304820210606212050104789</v>
      </c>
      <c r="C927" s="6" t="s">
        <v>1576</v>
      </c>
      <c r="D927" s="6" t="str">
        <f>"张玉爱"</f>
        <v>张玉爱</v>
      </c>
      <c r="E927" s="6" t="str">
        <f t="shared" ref="E927:E959" si="74">"女"</f>
        <v>女</v>
      </c>
      <c r="F927" s="7" t="s">
        <v>85</v>
      </c>
    </row>
    <row r="928" spans="1:6" ht="20.100000000000001" customHeight="1" x14ac:dyDescent="0.15">
      <c r="A928" s="5">
        <v>925</v>
      </c>
      <c r="B928" s="6" t="str">
        <f>"304820210606213053104817"</f>
        <v>304820210606213053104817</v>
      </c>
      <c r="C928" s="6" t="s">
        <v>1576</v>
      </c>
      <c r="D928" s="6" t="str">
        <f>"张雪"</f>
        <v>张雪</v>
      </c>
      <c r="E928" s="6" t="str">
        <f t="shared" si="74"/>
        <v>女</v>
      </c>
      <c r="F928" s="7" t="s">
        <v>1065</v>
      </c>
    </row>
    <row r="929" spans="1:6" ht="20.100000000000001" customHeight="1" x14ac:dyDescent="0.15">
      <c r="A929" s="5">
        <v>926</v>
      </c>
      <c r="B929" s="6" t="str">
        <f>"304820210606213225104822"</f>
        <v>304820210606213225104822</v>
      </c>
      <c r="C929" s="6" t="s">
        <v>1576</v>
      </c>
      <c r="D929" s="6" t="str">
        <f>"王佩盈"</f>
        <v>王佩盈</v>
      </c>
      <c r="E929" s="6" t="str">
        <f t="shared" si="74"/>
        <v>女</v>
      </c>
      <c r="F929" s="7" t="s">
        <v>790</v>
      </c>
    </row>
    <row r="930" spans="1:6" ht="20.100000000000001" customHeight="1" x14ac:dyDescent="0.15">
      <c r="A930" s="5">
        <v>927</v>
      </c>
      <c r="B930" s="6" t="str">
        <f>"304820210606213410104829"</f>
        <v>304820210606213410104829</v>
      </c>
      <c r="C930" s="6" t="s">
        <v>1576</v>
      </c>
      <c r="D930" s="6" t="str">
        <f>"张少蕊"</f>
        <v>张少蕊</v>
      </c>
      <c r="E930" s="6" t="str">
        <f t="shared" si="74"/>
        <v>女</v>
      </c>
      <c r="F930" s="7" t="s">
        <v>1850</v>
      </c>
    </row>
    <row r="931" spans="1:6" ht="20.100000000000001" customHeight="1" x14ac:dyDescent="0.15">
      <c r="A931" s="5">
        <v>928</v>
      </c>
      <c r="B931" s="6" t="str">
        <f>"304820210606214346104854"</f>
        <v>304820210606214346104854</v>
      </c>
      <c r="C931" s="6" t="s">
        <v>1576</v>
      </c>
      <c r="D931" s="6" t="str">
        <f>"李晓金"</f>
        <v>李晓金</v>
      </c>
      <c r="E931" s="6" t="str">
        <f t="shared" si="74"/>
        <v>女</v>
      </c>
      <c r="F931" s="7" t="s">
        <v>1565</v>
      </c>
    </row>
    <row r="932" spans="1:6" ht="20.100000000000001" customHeight="1" x14ac:dyDescent="0.15">
      <c r="A932" s="5">
        <v>929</v>
      </c>
      <c r="B932" s="6" t="str">
        <f>"304820210606214416104856"</f>
        <v>304820210606214416104856</v>
      </c>
      <c r="C932" s="6" t="s">
        <v>1576</v>
      </c>
      <c r="D932" s="6" t="str">
        <f>"陈婷"</f>
        <v>陈婷</v>
      </c>
      <c r="E932" s="6" t="str">
        <f t="shared" si="74"/>
        <v>女</v>
      </c>
      <c r="F932" s="7" t="s">
        <v>386</v>
      </c>
    </row>
    <row r="933" spans="1:6" ht="20.100000000000001" customHeight="1" x14ac:dyDescent="0.15">
      <c r="A933" s="5">
        <v>930</v>
      </c>
      <c r="B933" s="6" t="str">
        <f>"304820210606215106104870"</f>
        <v>304820210606215106104870</v>
      </c>
      <c r="C933" s="6" t="s">
        <v>1576</v>
      </c>
      <c r="D933" s="6" t="str">
        <f>"甘丽婷"</f>
        <v>甘丽婷</v>
      </c>
      <c r="E933" s="6" t="str">
        <f t="shared" si="74"/>
        <v>女</v>
      </c>
      <c r="F933" s="7" t="s">
        <v>1851</v>
      </c>
    </row>
    <row r="934" spans="1:6" ht="20.100000000000001" customHeight="1" x14ac:dyDescent="0.15">
      <c r="A934" s="5">
        <v>931</v>
      </c>
      <c r="B934" s="6" t="str">
        <f>"304820210606215423104882"</f>
        <v>304820210606215423104882</v>
      </c>
      <c r="C934" s="6" t="s">
        <v>1576</v>
      </c>
      <c r="D934" s="6" t="str">
        <f>"陈孟紫"</f>
        <v>陈孟紫</v>
      </c>
      <c r="E934" s="6" t="str">
        <f t="shared" si="74"/>
        <v>女</v>
      </c>
      <c r="F934" s="7" t="s">
        <v>1577</v>
      </c>
    </row>
    <row r="935" spans="1:6" ht="20.100000000000001" customHeight="1" x14ac:dyDescent="0.15">
      <c r="A935" s="5">
        <v>932</v>
      </c>
      <c r="B935" s="6" t="str">
        <f>"304820210606215729104893"</f>
        <v>304820210606215729104893</v>
      </c>
      <c r="C935" s="6" t="s">
        <v>1576</v>
      </c>
      <c r="D935" s="6" t="str">
        <f>"王文雅"</f>
        <v>王文雅</v>
      </c>
      <c r="E935" s="6" t="str">
        <f t="shared" si="74"/>
        <v>女</v>
      </c>
      <c r="F935" s="7" t="s">
        <v>743</v>
      </c>
    </row>
    <row r="936" spans="1:6" ht="20.100000000000001" customHeight="1" x14ac:dyDescent="0.15">
      <c r="A936" s="5">
        <v>933</v>
      </c>
      <c r="B936" s="6" t="str">
        <f>"304820210606220712104922"</f>
        <v>304820210606220712104922</v>
      </c>
      <c r="C936" s="6" t="s">
        <v>1576</v>
      </c>
      <c r="D936" s="6" t="str">
        <f>"蔡爱芳"</f>
        <v>蔡爱芳</v>
      </c>
      <c r="E936" s="6" t="str">
        <f t="shared" si="74"/>
        <v>女</v>
      </c>
      <c r="F936" s="7" t="s">
        <v>955</v>
      </c>
    </row>
    <row r="937" spans="1:6" ht="20.100000000000001" customHeight="1" x14ac:dyDescent="0.15">
      <c r="A937" s="5">
        <v>934</v>
      </c>
      <c r="B937" s="6" t="str">
        <f>"304820210606220932104930"</f>
        <v>304820210606220932104930</v>
      </c>
      <c r="C937" s="6" t="s">
        <v>1576</v>
      </c>
      <c r="D937" s="6" t="str">
        <f>"王玲"</f>
        <v>王玲</v>
      </c>
      <c r="E937" s="6" t="str">
        <f t="shared" si="74"/>
        <v>女</v>
      </c>
      <c r="F937" s="7" t="s">
        <v>990</v>
      </c>
    </row>
    <row r="938" spans="1:6" ht="20.100000000000001" customHeight="1" x14ac:dyDescent="0.15">
      <c r="A938" s="5">
        <v>935</v>
      </c>
      <c r="B938" s="6" t="str">
        <f>"304820210606221441104952"</f>
        <v>304820210606221441104952</v>
      </c>
      <c r="C938" s="6" t="s">
        <v>1576</v>
      </c>
      <c r="D938" s="6" t="str">
        <f>"王秋玲"</f>
        <v>王秋玲</v>
      </c>
      <c r="E938" s="6" t="str">
        <f t="shared" si="74"/>
        <v>女</v>
      </c>
      <c r="F938" s="7" t="s">
        <v>1852</v>
      </c>
    </row>
    <row r="939" spans="1:6" ht="20.100000000000001" customHeight="1" x14ac:dyDescent="0.15">
      <c r="A939" s="5">
        <v>936</v>
      </c>
      <c r="B939" s="6" t="str">
        <f>"304820210606221645104966"</f>
        <v>304820210606221645104966</v>
      </c>
      <c r="C939" s="6" t="s">
        <v>1576</v>
      </c>
      <c r="D939" s="6" t="str">
        <f>"黄美柳"</f>
        <v>黄美柳</v>
      </c>
      <c r="E939" s="6" t="str">
        <f t="shared" si="74"/>
        <v>女</v>
      </c>
      <c r="F939" s="7" t="s">
        <v>426</v>
      </c>
    </row>
    <row r="940" spans="1:6" ht="20.100000000000001" customHeight="1" x14ac:dyDescent="0.15">
      <c r="A940" s="5">
        <v>937</v>
      </c>
      <c r="B940" s="6" t="str">
        <f>"304820210606222949105003"</f>
        <v>304820210606222949105003</v>
      </c>
      <c r="C940" s="6" t="s">
        <v>1576</v>
      </c>
      <c r="D940" s="6" t="str">
        <f>"韩芳"</f>
        <v>韩芳</v>
      </c>
      <c r="E940" s="6" t="str">
        <f t="shared" si="74"/>
        <v>女</v>
      </c>
      <c r="F940" s="7" t="s">
        <v>937</v>
      </c>
    </row>
    <row r="941" spans="1:6" ht="20.100000000000001" customHeight="1" x14ac:dyDescent="0.15">
      <c r="A941" s="5">
        <v>938</v>
      </c>
      <c r="B941" s="6" t="str">
        <f>"304820210606223209105008"</f>
        <v>304820210606223209105008</v>
      </c>
      <c r="C941" s="6" t="s">
        <v>1576</v>
      </c>
      <c r="D941" s="6" t="str">
        <f>"李雪"</f>
        <v>李雪</v>
      </c>
      <c r="E941" s="6" t="str">
        <f t="shared" si="74"/>
        <v>女</v>
      </c>
      <c r="F941" s="7" t="s">
        <v>1159</v>
      </c>
    </row>
    <row r="942" spans="1:6" ht="20.100000000000001" customHeight="1" x14ac:dyDescent="0.15">
      <c r="A942" s="5">
        <v>939</v>
      </c>
      <c r="B942" s="6" t="str">
        <f>"304820210606225237105061"</f>
        <v>304820210606225237105061</v>
      </c>
      <c r="C942" s="6" t="s">
        <v>1576</v>
      </c>
      <c r="D942" s="6" t="str">
        <f>"符秋选"</f>
        <v>符秋选</v>
      </c>
      <c r="E942" s="6" t="str">
        <f t="shared" si="74"/>
        <v>女</v>
      </c>
      <c r="F942" s="7" t="s">
        <v>967</v>
      </c>
    </row>
    <row r="943" spans="1:6" ht="20.100000000000001" customHeight="1" x14ac:dyDescent="0.15">
      <c r="A943" s="5">
        <v>940</v>
      </c>
      <c r="B943" s="6" t="str">
        <f>"304820210606225330105063"</f>
        <v>304820210606225330105063</v>
      </c>
      <c r="C943" s="6" t="s">
        <v>1576</v>
      </c>
      <c r="D943" s="6" t="str">
        <f>"黄玉芸"</f>
        <v>黄玉芸</v>
      </c>
      <c r="E943" s="6" t="str">
        <f t="shared" si="74"/>
        <v>女</v>
      </c>
      <c r="F943" s="7" t="s">
        <v>1853</v>
      </c>
    </row>
    <row r="944" spans="1:6" ht="20.100000000000001" customHeight="1" x14ac:dyDescent="0.15">
      <c r="A944" s="5">
        <v>941</v>
      </c>
      <c r="B944" s="6" t="str">
        <f>"304820210606225340105065"</f>
        <v>304820210606225340105065</v>
      </c>
      <c r="C944" s="6" t="s">
        <v>1576</v>
      </c>
      <c r="D944" s="6" t="str">
        <f>"陈凤旋"</f>
        <v>陈凤旋</v>
      </c>
      <c r="E944" s="6" t="str">
        <f t="shared" si="74"/>
        <v>女</v>
      </c>
      <c r="F944" s="7" t="s">
        <v>91</v>
      </c>
    </row>
    <row r="945" spans="1:6" ht="20.100000000000001" customHeight="1" x14ac:dyDescent="0.15">
      <c r="A945" s="5">
        <v>942</v>
      </c>
      <c r="B945" s="6" t="str">
        <f>"304820210606231738105136"</f>
        <v>304820210606231738105136</v>
      </c>
      <c r="C945" s="6" t="s">
        <v>1576</v>
      </c>
      <c r="D945" s="6" t="str">
        <f>"邓丽花"</f>
        <v>邓丽花</v>
      </c>
      <c r="E945" s="6" t="str">
        <f t="shared" si="74"/>
        <v>女</v>
      </c>
      <c r="F945" s="7" t="s">
        <v>673</v>
      </c>
    </row>
    <row r="946" spans="1:6" ht="20.100000000000001" customHeight="1" x14ac:dyDescent="0.15">
      <c r="A946" s="5">
        <v>943</v>
      </c>
      <c r="B946" s="6" t="str">
        <f>"304820210606231853105138"</f>
        <v>304820210606231853105138</v>
      </c>
      <c r="C946" s="6" t="s">
        <v>1576</v>
      </c>
      <c r="D946" s="6" t="str">
        <f>"黄春焱"</f>
        <v>黄春焱</v>
      </c>
      <c r="E946" s="6" t="str">
        <f t="shared" si="74"/>
        <v>女</v>
      </c>
      <c r="F946" s="7" t="s">
        <v>1293</v>
      </c>
    </row>
    <row r="947" spans="1:6" ht="20.100000000000001" customHeight="1" x14ac:dyDescent="0.15">
      <c r="A947" s="5">
        <v>944</v>
      </c>
      <c r="B947" s="6" t="str">
        <f>"304820210606232644105162"</f>
        <v>304820210606232644105162</v>
      </c>
      <c r="C947" s="6" t="s">
        <v>1576</v>
      </c>
      <c r="D947" s="6" t="str">
        <f>"周小妹"</f>
        <v>周小妹</v>
      </c>
      <c r="E947" s="6" t="str">
        <f t="shared" si="74"/>
        <v>女</v>
      </c>
      <c r="F947" s="7" t="s">
        <v>1854</v>
      </c>
    </row>
    <row r="948" spans="1:6" ht="20.100000000000001" customHeight="1" x14ac:dyDescent="0.15">
      <c r="A948" s="5">
        <v>945</v>
      </c>
      <c r="B948" s="6" t="str">
        <f>"304820210606233758105186"</f>
        <v>304820210606233758105186</v>
      </c>
      <c r="C948" s="6" t="s">
        <v>1576</v>
      </c>
      <c r="D948" s="6" t="str">
        <f>"郑朝阳"</f>
        <v>郑朝阳</v>
      </c>
      <c r="E948" s="6" t="str">
        <f t="shared" si="74"/>
        <v>女</v>
      </c>
      <c r="F948" s="7" t="s">
        <v>509</v>
      </c>
    </row>
    <row r="949" spans="1:6" ht="20.100000000000001" customHeight="1" x14ac:dyDescent="0.15">
      <c r="A949" s="5">
        <v>946</v>
      </c>
      <c r="B949" s="6" t="str">
        <f>"304820210606234142105194"</f>
        <v>304820210606234142105194</v>
      </c>
      <c r="C949" s="6" t="s">
        <v>1576</v>
      </c>
      <c r="D949" s="6" t="str">
        <f>"曾文雅"</f>
        <v>曾文雅</v>
      </c>
      <c r="E949" s="6" t="str">
        <f t="shared" si="74"/>
        <v>女</v>
      </c>
      <c r="F949" s="7" t="s">
        <v>1293</v>
      </c>
    </row>
    <row r="950" spans="1:6" ht="20.100000000000001" customHeight="1" x14ac:dyDescent="0.15">
      <c r="A950" s="5">
        <v>947</v>
      </c>
      <c r="B950" s="6" t="str">
        <f>"304820210606235512105214"</f>
        <v>304820210606235512105214</v>
      </c>
      <c r="C950" s="6" t="s">
        <v>1576</v>
      </c>
      <c r="D950" s="6" t="str">
        <f>"王小妹"</f>
        <v>王小妹</v>
      </c>
      <c r="E950" s="6" t="str">
        <f t="shared" si="74"/>
        <v>女</v>
      </c>
      <c r="F950" s="7" t="s">
        <v>1683</v>
      </c>
    </row>
    <row r="951" spans="1:6" ht="20.100000000000001" customHeight="1" x14ac:dyDescent="0.15">
      <c r="A951" s="5">
        <v>948</v>
      </c>
      <c r="B951" s="6" t="str">
        <f>"304820210607000900105231"</f>
        <v>304820210607000900105231</v>
      </c>
      <c r="C951" s="6" t="s">
        <v>1576</v>
      </c>
      <c r="D951" s="6" t="str">
        <f>"李慕君"</f>
        <v>李慕君</v>
      </c>
      <c r="E951" s="6" t="str">
        <f t="shared" si="74"/>
        <v>女</v>
      </c>
      <c r="F951" s="7" t="s">
        <v>1332</v>
      </c>
    </row>
    <row r="952" spans="1:6" ht="20.100000000000001" customHeight="1" x14ac:dyDescent="0.15">
      <c r="A952" s="5">
        <v>949</v>
      </c>
      <c r="B952" s="6" t="str">
        <f>"304820210607001839105243"</f>
        <v>304820210607001839105243</v>
      </c>
      <c r="C952" s="6" t="s">
        <v>1576</v>
      </c>
      <c r="D952" s="6" t="str">
        <f>"韦国丙"</f>
        <v>韦国丙</v>
      </c>
      <c r="E952" s="6" t="str">
        <f t="shared" si="74"/>
        <v>女</v>
      </c>
      <c r="F952" s="7" t="s">
        <v>1855</v>
      </c>
    </row>
    <row r="953" spans="1:6" ht="20.100000000000001" customHeight="1" x14ac:dyDescent="0.15">
      <c r="A953" s="5">
        <v>950</v>
      </c>
      <c r="B953" s="6" t="str">
        <f>"304820210607002253105251"</f>
        <v>304820210607002253105251</v>
      </c>
      <c r="C953" s="6" t="s">
        <v>1576</v>
      </c>
      <c r="D953" s="6" t="str">
        <f>"陈月维"</f>
        <v>陈月维</v>
      </c>
      <c r="E953" s="6" t="str">
        <f t="shared" si="74"/>
        <v>女</v>
      </c>
      <c r="F953" s="7" t="s">
        <v>109</v>
      </c>
    </row>
    <row r="954" spans="1:6" ht="20.100000000000001" customHeight="1" x14ac:dyDescent="0.15">
      <c r="A954" s="5">
        <v>951</v>
      </c>
      <c r="B954" s="6" t="str">
        <f>"304820210607003741105280"</f>
        <v>304820210607003741105280</v>
      </c>
      <c r="C954" s="6" t="s">
        <v>1576</v>
      </c>
      <c r="D954" s="6" t="str">
        <f>"陈颖三"</f>
        <v>陈颖三</v>
      </c>
      <c r="E954" s="6" t="str">
        <f t="shared" si="74"/>
        <v>女</v>
      </c>
      <c r="F954" s="7" t="s">
        <v>140</v>
      </c>
    </row>
    <row r="955" spans="1:6" ht="20.100000000000001" customHeight="1" x14ac:dyDescent="0.15">
      <c r="A955" s="5">
        <v>952</v>
      </c>
      <c r="B955" s="6" t="str">
        <f>"304820210607004106105284"</f>
        <v>304820210607004106105284</v>
      </c>
      <c r="C955" s="6" t="s">
        <v>1576</v>
      </c>
      <c r="D955" s="6" t="str">
        <f>"莫艳菲"</f>
        <v>莫艳菲</v>
      </c>
      <c r="E955" s="6" t="str">
        <f t="shared" si="74"/>
        <v>女</v>
      </c>
      <c r="F955" s="7" t="s">
        <v>58</v>
      </c>
    </row>
    <row r="956" spans="1:6" ht="20.100000000000001" customHeight="1" x14ac:dyDescent="0.15">
      <c r="A956" s="5">
        <v>953</v>
      </c>
      <c r="B956" s="6" t="str">
        <f>"304820210607005243105294"</f>
        <v>304820210607005243105294</v>
      </c>
      <c r="C956" s="6" t="s">
        <v>1576</v>
      </c>
      <c r="D956" s="6" t="str">
        <f>"羊翠玲"</f>
        <v>羊翠玲</v>
      </c>
      <c r="E956" s="6" t="str">
        <f t="shared" si="74"/>
        <v>女</v>
      </c>
      <c r="F956" s="7" t="s">
        <v>137</v>
      </c>
    </row>
    <row r="957" spans="1:6" ht="20.100000000000001" customHeight="1" x14ac:dyDescent="0.15">
      <c r="A957" s="5">
        <v>954</v>
      </c>
      <c r="B957" s="6" t="str">
        <f>"304820210607010125105303"</f>
        <v>304820210607010125105303</v>
      </c>
      <c r="C957" s="6" t="s">
        <v>1576</v>
      </c>
      <c r="D957" s="6" t="str">
        <f>"何洁仪"</f>
        <v>何洁仪</v>
      </c>
      <c r="E957" s="6" t="str">
        <f t="shared" si="74"/>
        <v>女</v>
      </c>
      <c r="F957" s="7" t="s">
        <v>1856</v>
      </c>
    </row>
    <row r="958" spans="1:6" ht="20.100000000000001" customHeight="1" x14ac:dyDescent="0.15">
      <c r="A958" s="5">
        <v>955</v>
      </c>
      <c r="B958" s="6" t="str">
        <f>"304820210607011022105311"</f>
        <v>304820210607011022105311</v>
      </c>
      <c r="C958" s="6" t="s">
        <v>1576</v>
      </c>
      <c r="D958" s="6" t="str">
        <f>"林蔓蕾"</f>
        <v>林蔓蕾</v>
      </c>
      <c r="E958" s="6" t="str">
        <f t="shared" si="74"/>
        <v>女</v>
      </c>
      <c r="F958" s="7" t="s">
        <v>1857</v>
      </c>
    </row>
    <row r="959" spans="1:6" ht="20.100000000000001" customHeight="1" x14ac:dyDescent="0.15">
      <c r="A959" s="5">
        <v>956</v>
      </c>
      <c r="B959" s="6" t="str">
        <f>"304820210607015211105333"</f>
        <v>304820210607015211105333</v>
      </c>
      <c r="C959" s="6" t="s">
        <v>1576</v>
      </c>
      <c r="D959" s="6" t="str">
        <f>"廖丽云"</f>
        <v>廖丽云</v>
      </c>
      <c r="E959" s="6" t="str">
        <f t="shared" si="74"/>
        <v>女</v>
      </c>
      <c r="F959" s="7" t="s">
        <v>44</v>
      </c>
    </row>
    <row r="960" spans="1:6" ht="20.100000000000001" customHeight="1" x14ac:dyDescent="0.15">
      <c r="A960" s="5">
        <v>957</v>
      </c>
      <c r="B960" s="6" t="str">
        <f>"304820210607030446105346"</f>
        <v>304820210607030446105346</v>
      </c>
      <c r="C960" s="6" t="s">
        <v>1576</v>
      </c>
      <c r="D960" s="6" t="str">
        <f>"赵华凯"</f>
        <v>赵华凯</v>
      </c>
      <c r="E960" s="6" t="str">
        <f>"男"</f>
        <v>男</v>
      </c>
      <c r="F960" s="7" t="s">
        <v>1858</v>
      </c>
    </row>
    <row r="961" spans="1:6" ht="20.100000000000001" customHeight="1" x14ac:dyDescent="0.15">
      <c r="A961" s="5">
        <v>958</v>
      </c>
      <c r="B961" s="6" t="str">
        <f>"304820210607065844105360"</f>
        <v>304820210607065844105360</v>
      </c>
      <c r="C961" s="6" t="s">
        <v>1576</v>
      </c>
      <c r="D961" s="6" t="str">
        <f>"王慧芬"</f>
        <v>王慧芬</v>
      </c>
      <c r="E961" s="6" t="str">
        <f t="shared" ref="E961:E988" si="75">"女"</f>
        <v>女</v>
      </c>
      <c r="F961" s="7" t="s">
        <v>219</v>
      </c>
    </row>
    <row r="962" spans="1:6" ht="20.100000000000001" customHeight="1" x14ac:dyDescent="0.15">
      <c r="A962" s="5">
        <v>959</v>
      </c>
      <c r="B962" s="6" t="str">
        <f>"304820210607081451105394"</f>
        <v>304820210607081451105394</v>
      </c>
      <c r="C962" s="6" t="s">
        <v>1576</v>
      </c>
      <c r="D962" s="6" t="str">
        <f>"林保暖"</f>
        <v>林保暖</v>
      </c>
      <c r="E962" s="6" t="str">
        <f t="shared" si="75"/>
        <v>女</v>
      </c>
      <c r="F962" s="7" t="s">
        <v>1859</v>
      </c>
    </row>
    <row r="963" spans="1:6" ht="20.100000000000001" customHeight="1" x14ac:dyDescent="0.15">
      <c r="A963" s="5">
        <v>960</v>
      </c>
      <c r="B963" s="6" t="str">
        <f>"304820210607081652105397"</f>
        <v>304820210607081652105397</v>
      </c>
      <c r="C963" s="6" t="s">
        <v>1576</v>
      </c>
      <c r="D963" s="6" t="str">
        <f>"陈忠妹"</f>
        <v>陈忠妹</v>
      </c>
      <c r="E963" s="6" t="str">
        <f t="shared" si="75"/>
        <v>女</v>
      </c>
      <c r="F963" s="7" t="s">
        <v>1550</v>
      </c>
    </row>
    <row r="964" spans="1:6" ht="20.100000000000001" customHeight="1" x14ac:dyDescent="0.15">
      <c r="A964" s="5">
        <v>961</v>
      </c>
      <c r="B964" s="6" t="str">
        <f>"304820210607083724105438"</f>
        <v>304820210607083724105438</v>
      </c>
      <c r="C964" s="6" t="s">
        <v>1576</v>
      </c>
      <c r="D964" s="6" t="str">
        <f>"曾芝兰"</f>
        <v>曾芝兰</v>
      </c>
      <c r="E964" s="6" t="str">
        <f t="shared" si="75"/>
        <v>女</v>
      </c>
      <c r="F964" s="7" t="s">
        <v>497</v>
      </c>
    </row>
    <row r="965" spans="1:6" ht="20.100000000000001" customHeight="1" x14ac:dyDescent="0.15">
      <c r="A965" s="5">
        <v>962</v>
      </c>
      <c r="B965" s="6" t="str">
        <f>"304820210607084756105463"</f>
        <v>304820210607084756105463</v>
      </c>
      <c r="C965" s="6" t="s">
        <v>1576</v>
      </c>
      <c r="D965" s="6" t="str">
        <f>"符星夏"</f>
        <v>符星夏</v>
      </c>
      <c r="E965" s="6" t="str">
        <f t="shared" si="75"/>
        <v>女</v>
      </c>
      <c r="F965" s="7" t="s">
        <v>1860</v>
      </c>
    </row>
    <row r="966" spans="1:6" ht="20.100000000000001" customHeight="1" x14ac:dyDescent="0.15">
      <c r="A966" s="5">
        <v>963</v>
      </c>
      <c r="B966" s="6" t="str">
        <f>"304820210607085020105465"</f>
        <v>304820210607085020105465</v>
      </c>
      <c r="C966" s="6" t="s">
        <v>1576</v>
      </c>
      <c r="D966" s="6" t="str">
        <f>"卢玉芳"</f>
        <v>卢玉芳</v>
      </c>
      <c r="E966" s="6" t="str">
        <f t="shared" si="75"/>
        <v>女</v>
      </c>
      <c r="F966" s="7" t="s">
        <v>1861</v>
      </c>
    </row>
    <row r="967" spans="1:6" ht="20.100000000000001" customHeight="1" x14ac:dyDescent="0.15">
      <c r="A967" s="5">
        <v>964</v>
      </c>
      <c r="B967" s="6" t="str">
        <f>"304820210607085755105482"</f>
        <v>304820210607085755105482</v>
      </c>
      <c r="C967" s="6" t="s">
        <v>1576</v>
      </c>
      <c r="D967" s="6" t="str">
        <f>"王凤珍"</f>
        <v>王凤珍</v>
      </c>
      <c r="E967" s="6" t="str">
        <f t="shared" si="75"/>
        <v>女</v>
      </c>
      <c r="F967" s="7" t="s">
        <v>915</v>
      </c>
    </row>
    <row r="968" spans="1:6" ht="20.100000000000001" customHeight="1" x14ac:dyDescent="0.15">
      <c r="A968" s="5">
        <v>965</v>
      </c>
      <c r="B968" s="6" t="str">
        <f>"304820210607085836105484"</f>
        <v>304820210607085836105484</v>
      </c>
      <c r="C968" s="6" t="s">
        <v>1576</v>
      </c>
      <c r="D968" s="6" t="str">
        <f>"钱海琼"</f>
        <v>钱海琼</v>
      </c>
      <c r="E968" s="6" t="str">
        <f t="shared" si="75"/>
        <v>女</v>
      </c>
      <c r="F968" s="7" t="s">
        <v>679</v>
      </c>
    </row>
    <row r="969" spans="1:6" ht="20.100000000000001" customHeight="1" x14ac:dyDescent="0.15">
      <c r="A969" s="5">
        <v>966</v>
      </c>
      <c r="B969" s="6" t="str">
        <f>"304820210607090248105517"</f>
        <v>304820210607090248105517</v>
      </c>
      <c r="C969" s="6" t="s">
        <v>1576</v>
      </c>
      <c r="D969" s="6" t="str">
        <f>"吉艳丽"</f>
        <v>吉艳丽</v>
      </c>
      <c r="E969" s="6" t="str">
        <f t="shared" si="75"/>
        <v>女</v>
      </c>
      <c r="F969" s="7" t="s">
        <v>1404</v>
      </c>
    </row>
    <row r="970" spans="1:6" ht="20.100000000000001" customHeight="1" x14ac:dyDescent="0.15">
      <c r="A970" s="5">
        <v>967</v>
      </c>
      <c r="B970" s="6" t="str">
        <f>"304820210607090445105537"</f>
        <v>304820210607090445105537</v>
      </c>
      <c r="C970" s="6" t="s">
        <v>1576</v>
      </c>
      <c r="D970" s="6" t="str">
        <f>"张香芳"</f>
        <v>张香芳</v>
      </c>
      <c r="E970" s="6" t="str">
        <f t="shared" si="75"/>
        <v>女</v>
      </c>
      <c r="F970" s="7" t="s">
        <v>1140</v>
      </c>
    </row>
    <row r="971" spans="1:6" ht="20.100000000000001" customHeight="1" x14ac:dyDescent="0.15">
      <c r="A971" s="5">
        <v>968</v>
      </c>
      <c r="B971" s="6" t="str">
        <f>"304820210607090618105558"</f>
        <v>304820210607090618105558</v>
      </c>
      <c r="C971" s="6" t="s">
        <v>1576</v>
      </c>
      <c r="D971" s="6" t="str">
        <f>"王凤丹"</f>
        <v>王凤丹</v>
      </c>
      <c r="E971" s="6" t="str">
        <f t="shared" si="75"/>
        <v>女</v>
      </c>
      <c r="F971" s="7" t="s">
        <v>1285</v>
      </c>
    </row>
    <row r="972" spans="1:6" ht="20.100000000000001" customHeight="1" x14ac:dyDescent="0.15">
      <c r="A972" s="5">
        <v>969</v>
      </c>
      <c r="B972" s="6" t="str">
        <f>"304820210607091104105590"</f>
        <v>304820210607091104105590</v>
      </c>
      <c r="C972" s="6" t="s">
        <v>1576</v>
      </c>
      <c r="D972" s="6" t="str">
        <f>"崔琼文"</f>
        <v>崔琼文</v>
      </c>
      <c r="E972" s="6" t="str">
        <f t="shared" si="75"/>
        <v>女</v>
      </c>
      <c r="F972" s="7" t="s">
        <v>488</v>
      </c>
    </row>
    <row r="973" spans="1:6" ht="20.100000000000001" customHeight="1" x14ac:dyDescent="0.15">
      <c r="A973" s="5">
        <v>970</v>
      </c>
      <c r="B973" s="6" t="str">
        <f>"304820210607092303105652"</f>
        <v>304820210607092303105652</v>
      </c>
      <c r="C973" s="6" t="s">
        <v>1576</v>
      </c>
      <c r="D973" s="6" t="str">
        <f>"符爱孟"</f>
        <v>符爱孟</v>
      </c>
      <c r="E973" s="6" t="str">
        <f t="shared" si="75"/>
        <v>女</v>
      </c>
      <c r="F973" s="7" t="s">
        <v>1862</v>
      </c>
    </row>
    <row r="974" spans="1:6" ht="20.100000000000001" customHeight="1" x14ac:dyDescent="0.15">
      <c r="A974" s="5">
        <v>971</v>
      </c>
      <c r="B974" s="6" t="str">
        <f>"304820210607093705105734"</f>
        <v>304820210607093705105734</v>
      </c>
      <c r="C974" s="6" t="s">
        <v>1576</v>
      </c>
      <c r="D974" s="6" t="str">
        <f>"王燕巧"</f>
        <v>王燕巧</v>
      </c>
      <c r="E974" s="6" t="str">
        <f t="shared" si="75"/>
        <v>女</v>
      </c>
      <c r="F974" s="7" t="s">
        <v>364</v>
      </c>
    </row>
    <row r="975" spans="1:6" ht="20.100000000000001" customHeight="1" x14ac:dyDescent="0.15">
      <c r="A975" s="5">
        <v>972</v>
      </c>
      <c r="B975" s="6" t="str">
        <f>"304820210607094140105771"</f>
        <v>304820210607094140105771</v>
      </c>
      <c r="C975" s="6" t="s">
        <v>1576</v>
      </c>
      <c r="D975" s="6" t="str">
        <f>"吴丽娜"</f>
        <v>吴丽娜</v>
      </c>
      <c r="E975" s="6" t="str">
        <f t="shared" si="75"/>
        <v>女</v>
      </c>
      <c r="F975" s="7" t="s">
        <v>16</v>
      </c>
    </row>
    <row r="976" spans="1:6" ht="20.100000000000001" customHeight="1" x14ac:dyDescent="0.15">
      <c r="A976" s="5">
        <v>973</v>
      </c>
      <c r="B976" s="6" t="str">
        <f>"304820210607100414105915"</f>
        <v>304820210607100414105915</v>
      </c>
      <c r="C976" s="6" t="s">
        <v>1576</v>
      </c>
      <c r="D976" s="6" t="str">
        <f>"聂香精"</f>
        <v>聂香精</v>
      </c>
      <c r="E976" s="6" t="str">
        <f t="shared" si="75"/>
        <v>女</v>
      </c>
      <c r="F976" s="7" t="s">
        <v>526</v>
      </c>
    </row>
    <row r="977" spans="1:6" ht="20.100000000000001" customHeight="1" x14ac:dyDescent="0.15">
      <c r="A977" s="5">
        <v>974</v>
      </c>
      <c r="B977" s="6" t="str">
        <f>"304820210607101151105964"</f>
        <v>304820210607101151105964</v>
      </c>
      <c r="C977" s="6" t="s">
        <v>1576</v>
      </c>
      <c r="D977" s="6" t="str">
        <f>"黄诗蕾"</f>
        <v>黄诗蕾</v>
      </c>
      <c r="E977" s="6" t="str">
        <f t="shared" si="75"/>
        <v>女</v>
      </c>
      <c r="F977" s="7" t="s">
        <v>1863</v>
      </c>
    </row>
    <row r="978" spans="1:6" ht="20.100000000000001" customHeight="1" x14ac:dyDescent="0.15">
      <c r="A978" s="5">
        <v>975</v>
      </c>
      <c r="B978" s="6" t="str">
        <f>"304820210607101639105995"</f>
        <v>304820210607101639105995</v>
      </c>
      <c r="C978" s="6" t="s">
        <v>1576</v>
      </c>
      <c r="D978" s="6" t="str">
        <f>"王国美"</f>
        <v>王国美</v>
      </c>
      <c r="E978" s="6" t="str">
        <f t="shared" si="75"/>
        <v>女</v>
      </c>
      <c r="F978" s="7" t="s">
        <v>1588</v>
      </c>
    </row>
    <row r="979" spans="1:6" ht="20.100000000000001" customHeight="1" x14ac:dyDescent="0.15">
      <c r="A979" s="5">
        <v>976</v>
      </c>
      <c r="B979" s="6" t="str">
        <f>"304820210607101715105999"</f>
        <v>304820210607101715105999</v>
      </c>
      <c r="C979" s="6" t="s">
        <v>1576</v>
      </c>
      <c r="D979" s="6" t="str">
        <f>"王紫嫣"</f>
        <v>王紫嫣</v>
      </c>
      <c r="E979" s="6" t="str">
        <f t="shared" si="75"/>
        <v>女</v>
      </c>
      <c r="F979" s="7" t="s">
        <v>370</v>
      </c>
    </row>
    <row r="980" spans="1:6" ht="20.100000000000001" customHeight="1" x14ac:dyDescent="0.15">
      <c r="A980" s="5">
        <v>977</v>
      </c>
      <c r="B980" s="6" t="str">
        <f>"304820210607102147106035"</f>
        <v>304820210607102147106035</v>
      </c>
      <c r="C980" s="6" t="s">
        <v>1576</v>
      </c>
      <c r="D980" s="6" t="str">
        <f>"张英惠"</f>
        <v>张英惠</v>
      </c>
      <c r="E980" s="6" t="str">
        <f t="shared" si="75"/>
        <v>女</v>
      </c>
      <c r="F980" s="7" t="s">
        <v>431</v>
      </c>
    </row>
    <row r="981" spans="1:6" ht="20.100000000000001" customHeight="1" x14ac:dyDescent="0.15">
      <c r="A981" s="5">
        <v>978</v>
      </c>
      <c r="B981" s="6" t="str">
        <f>"304820210607102603106058"</f>
        <v>304820210607102603106058</v>
      </c>
      <c r="C981" s="6" t="s">
        <v>1576</v>
      </c>
      <c r="D981" s="6" t="str">
        <f>"董小爱"</f>
        <v>董小爱</v>
      </c>
      <c r="E981" s="6" t="str">
        <f t="shared" si="75"/>
        <v>女</v>
      </c>
      <c r="F981" s="7" t="s">
        <v>1487</v>
      </c>
    </row>
    <row r="982" spans="1:6" ht="20.100000000000001" customHeight="1" x14ac:dyDescent="0.15">
      <c r="A982" s="5">
        <v>979</v>
      </c>
      <c r="B982" s="6" t="str">
        <f>"304820210607103025106082"</f>
        <v>304820210607103025106082</v>
      </c>
      <c r="C982" s="6" t="s">
        <v>1576</v>
      </c>
      <c r="D982" s="6" t="str">
        <f>"王锡慧"</f>
        <v>王锡慧</v>
      </c>
      <c r="E982" s="6" t="str">
        <f t="shared" si="75"/>
        <v>女</v>
      </c>
      <c r="F982" s="7" t="s">
        <v>1864</v>
      </c>
    </row>
    <row r="983" spans="1:6" ht="20.100000000000001" customHeight="1" x14ac:dyDescent="0.15">
      <c r="A983" s="5">
        <v>980</v>
      </c>
      <c r="B983" s="6" t="str">
        <f>"304820210607103759106126"</f>
        <v>304820210607103759106126</v>
      </c>
      <c r="C983" s="6" t="s">
        <v>1576</v>
      </c>
      <c r="D983" s="6" t="str">
        <f>"林敏"</f>
        <v>林敏</v>
      </c>
      <c r="E983" s="6" t="str">
        <f t="shared" si="75"/>
        <v>女</v>
      </c>
      <c r="F983" s="7" t="s">
        <v>1865</v>
      </c>
    </row>
    <row r="984" spans="1:6" ht="20.100000000000001" customHeight="1" x14ac:dyDescent="0.15">
      <c r="A984" s="5">
        <v>981</v>
      </c>
      <c r="B984" s="6" t="str">
        <f>"304820210607104055106146"</f>
        <v>304820210607104055106146</v>
      </c>
      <c r="C984" s="6" t="s">
        <v>1576</v>
      </c>
      <c r="D984" s="6" t="str">
        <f>"郑燕玲"</f>
        <v>郑燕玲</v>
      </c>
      <c r="E984" s="6" t="str">
        <f t="shared" si="75"/>
        <v>女</v>
      </c>
      <c r="F984" s="7" t="s">
        <v>1866</v>
      </c>
    </row>
    <row r="985" spans="1:6" ht="20.100000000000001" customHeight="1" x14ac:dyDescent="0.15">
      <c r="A985" s="5">
        <v>982</v>
      </c>
      <c r="B985" s="6" t="str">
        <f>"304820210607105739106218"</f>
        <v>304820210607105739106218</v>
      </c>
      <c r="C985" s="6" t="s">
        <v>1576</v>
      </c>
      <c r="D985" s="6" t="str">
        <f>"吉思源"</f>
        <v>吉思源</v>
      </c>
      <c r="E985" s="6" t="str">
        <f t="shared" si="75"/>
        <v>女</v>
      </c>
      <c r="F985" s="7" t="s">
        <v>1867</v>
      </c>
    </row>
    <row r="986" spans="1:6" ht="20.100000000000001" customHeight="1" x14ac:dyDescent="0.15">
      <c r="A986" s="5">
        <v>983</v>
      </c>
      <c r="B986" s="6" t="str">
        <f>"304820210607110104106240"</f>
        <v>304820210607110104106240</v>
      </c>
      <c r="C986" s="6" t="s">
        <v>1576</v>
      </c>
      <c r="D986" s="6" t="str">
        <f>"陈雅雅"</f>
        <v>陈雅雅</v>
      </c>
      <c r="E986" s="6" t="str">
        <f t="shared" si="75"/>
        <v>女</v>
      </c>
      <c r="F986" s="7" t="s">
        <v>684</v>
      </c>
    </row>
    <row r="987" spans="1:6" ht="20.100000000000001" customHeight="1" x14ac:dyDescent="0.15">
      <c r="A987" s="5">
        <v>984</v>
      </c>
      <c r="B987" s="6" t="str">
        <f>"304820210607110159106249"</f>
        <v>304820210607110159106249</v>
      </c>
      <c r="C987" s="6" t="s">
        <v>1576</v>
      </c>
      <c r="D987" s="6" t="str">
        <f>"陈琳"</f>
        <v>陈琳</v>
      </c>
      <c r="E987" s="6" t="str">
        <f t="shared" si="75"/>
        <v>女</v>
      </c>
      <c r="F987" s="7" t="s">
        <v>688</v>
      </c>
    </row>
    <row r="988" spans="1:6" ht="20.100000000000001" customHeight="1" x14ac:dyDescent="0.15">
      <c r="A988" s="5">
        <v>985</v>
      </c>
      <c r="B988" s="6" t="str">
        <f>"304820210607110423106260"</f>
        <v>304820210607110423106260</v>
      </c>
      <c r="C988" s="6" t="s">
        <v>1576</v>
      </c>
      <c r="D988" s="6" t="str">
        <f>"于文娟"</f>
        <v>于文娟</v>
      </c>
      <c r="E988" s="6" t="str">
        <f t="shared" si="75"/>
        <v>女</v>
      </c>
      <c r="F988" s="7" t="s">
        <v>463</v>
      </c>
    </row>
    <row r="989" spans="1:6" ht="20.100000000000001" customHeight="1" x14ac:dyDescent="0.15">
      <c r="A989" s="5">
        <v>986</v>
      </c>
      <c r="B989" s="6" t="str">
        <f>"304820210607111634106334"</f>
        <v>304820210607111634106334</v>
      </c>
      <c r="C989" s="6" t="s">
        <v>1576</v>
      </c>
      <c r="D989" s="6" t="str">
        <f>"梁锡"</f>
        <v>梁锡</v>
      </c>
      <c r="E989" s="6" t="str">
        <f>"男"</f>
        <v>男</v>
      </c>
      <c r="F989" s="7" t="s">
        <v>1868</v>
      </c>
    </row>
    <row r="990" spans="1:6" ht="20.100000000000001" customHeight="1" x14ac:dyDescent="0.15">
      <c r="A990" s="5">
        <v>987</v>
      </c>
      <c r="B990" s="6" t="str">
        <f>"304820210607111814106340"</f>
        <v>304820210607111814106340</v>
      </c>
      <c r="C990" s="6" t="s">
        <v>1576</v>
      </c>
      <c r="D990" s="6" t="str">
        <f>"杨丹"</f>
        <v>杨丹</v>
      </c>
      <c r="E990" s="6" t="str">
        <f>"女"</f>
        <v>女</v>
      </c>
      <c r="F990" s="7" t="s">
        <v>1869</v>
      </c>
    </row>
    <row r="991" spans="1:6" ht="20.100000000000001" customHeight="1" x14ac:dyDescent="0.15">
      <c r="A991" s="5">
        <v>988</v>
      </c>
      <c r="B991" s="6" t="str">
        <f>"304820210607113219106408"</f>
        <v>304820210607113219106408</v>
      </c>
      <c r="C991" s="6" t="s">
        <v>1576</v>
      </c>
      <c r="D991" s="6" t="str">
        <f>"吴源洁"</f>
        <v>吴源洁</v>
      </c>
      <c r="E991" s="6" t="str">
        <f>"女"</f>
        <v>女</v>
      </c>
      <c r="F991" s="7" t="s">
        <v>313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.125" customWidth="1"/>
    <col min="2" max="2" width="24.625" customWidth="1"/>
    <col min="3" max="3" width="15.125" customWidth="1"/>
    <col min="4" max="4" width="11.125" customWidth="1"/>
    <col min="5" max="5" width="9" customWidth="1"/>
    <col min="6" max="6" width="14.75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6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12">
        <v>1</v>
      </c>
      <c r="B4" s="6" t="str">
        <f>"30482021060114153963599"</f>
        <v>30482021060114153963599</v>
      </c>
      <c r="C4" s="6" t="s">
        <v>76</v>
      </c>
      <c r="D4" s="6" t="str">
        <f>"陈颖"</f>
        <v>陈颖</v>
      </c>
      <c r="E4" s="6" t="str">
        <f t="shared" ref="E4:E9" si="0">"女"</f>
        <v>女</v>
      </c>
      <c r="F4" s="7" t="s">
        <v>77</v>
      </c>
    </row>
    <row r="5" spans="1:6" ht="20.100000000000001" customHeight="1" x14ac:dyDescent="0.15">
      <c r="A5" s="12">
        <v>2</v>
      </c>
      <c r="B5" s="6" t="str">
        <f>"30482021060114161763607"</f>
        <v>30482021060114161763607</v>
      </c>
      <c r="C5" s="6" t="s">
        <v>76</v>
      </c>
      <c r="D5" s="6" t="str">
        <f>"王艺楠"</f>
        <v>王艺楠</v>
      </c>
      <c r="E5" s="6" t="str">
        <f t="shared" si="0"/>
        <v>女</v>
      </c>
      <c r="F5" s="7" t="s">
        <v>78</v>
      </c>
    </row>
    <row r="6" spans="1:6" ht="20.100000000000001" customHeight="1" x14ac:dyDescent="0.15">
      <c r="A6" s="12">
        <v>3</v>
      </c>
      <c r="B6" s="6" t="str">
        <f>"30482021060115143664330"</f>
        <v>30482021060115143664330</v>
      </c>
      <c r="C6" s="6" t="s">
        <v>76</v>
      </c>
      <c r="D6" s="6" t="str">
        <f>"彭佳倩"</f>
        <v>彭佳倩</v>
      </c>
      <c r="E6" s="6" t="str">
        <f t="shared" si="0"/>
        <v>女</v>
      </c>
      <c r="F6" s="7" t="s">
        <v>79</v>
      </c>
    </row>
    <row r="7" spans="1:6" ht="20.100000000000001" customHeight="1" x14ac:dyDescent="0.15">
      <c r="A7" s="12">
        <v>4</v>
      </c>
      <c r="B7" s="6" t="str">
        <f>"30482021060115240764441"</f>
        <v>30482021060115240764441</v>
      </c>
      <c r="C7" s="6" t="s">
        <v>76</v>
      </c>
      <c r="D7" s="6" t="str">
        <f>"杜微"</f>
        <v>杜微</v>
      </c>
      <c r="E7" s="6" t="str">
        <f t="shared" si="0"/>
        <v>女</v>
      </c>
      <c r="F7" s="7" t="s">
        <v>80</v>
      </c>
    </row>
    <row r="8" spans="1:6" ht="20.100000000000001" customHeight="1" x14ac:dyDescent="0.15">
      <c r="A8" s="12">
        <v>5</v>
      </c>
      <c r="B8" s="6" t="str">
        <f>"30482021060115360264601"</f>
        <v>30482021060115360264601</v>
      </c>
      <c r="C8" s="6" t="s">
        <v>76</v>
      </c>
      <c r="D8" s="6" t="str">
        <f>"符沛榕"</f>
        <v>符沛榕</v>
      </c>
      <c r="E8" s="6" t="str">
        <f t="shared" si="0"/>
        <v>女</v>
      </c>
      <c r="F8" s="7" t="s">
        <v>81</v>
      </c>
    </row>
    <row r="9" spans="1:6" ht="20.100000000000001" customHeight="1" x14ac:dyDescent="0.15">
      <c r="A9" s="12">
        <v>6</v>
      </c>
      <c r="B9" s="6" t="str">
        <f>"30482021060115562264848"</f>
        <v>30482021060115562264848</v>
      </c>
      <c r="C9" s="6" t="s">
        <v>76</v>
      </c>
      <c r="D9" s="6" t="str">
        <f>"覃春妮"</f>
        <v>覃春妮</v>
      </c>
      <c r="E9" s="6" t="str">
        <f t="shared" si="0"/>
        <v>女</v>
      </c>
      <c r="F9" s="7" t="s">
        <v>44</v>
      </c>
    </row>
    <row r="10" spans="1:6" ht="20.100000000000001" customHeight="1" x14ac:dyDescent="0.15">
      <c r="A10" s="12">
        <v>7</v>
      </c>
      <c r="B10" s="6" t="str">
        <f>"30482021060116153865080"</f>
        <v>30482021060116153865080</v>
      </c>
      <c r="C10" s="6" t="s">
        <v>76</v>
      </c>
      <c r="D10" s="6" t="str">
        <f>"吴国任"</f>
        <v>吴国任</v>
      </c>
      <c r="E10" s="6" t="str">
        <f>"男"</f>
        <v>男</v>
      </c>
      <c r="F10" s="7" t="s">
        <v>82</v>
      </c>
    </row>
    <row r="11" spans="1:6" ht="20.100000000000001" customHeight="1" x14ac:dyDescent="0.15">
      <c r="A11" s="12">
        <v>8</v>
      </c>
      <c r="B11" s="6" t="str">
        <f>"30482021060116245365214"</f>
        <v>30482021060116245365214</v>
      </c>
      <c r="C11" s="6" t="s">
        <v>76</v>
      </c>
      <c r="D11" s="6" t="str">
        <f>"曾亚美"</f>
        <v>曾亚美</v>
      </c>
      <c r="E11" s="6" t="str">
        <f t="shared" ref="E11:E31" si="1">"女"</f>
        <v>女</v>
      </c>
      <c r="F11" s="7" t="s">
        <v>83</v>
      </c>
    </row>
    <row r="12" spans="1:6" ht="20.100000000000001" customHeight="1" x14ac:dyDescent="0.15">
      <c r="A12" s="12">
        <v>9</v>
      </c>
      <c r="B12" s="6" t="str">
        <f>"30482021060116364265383"</f>
        <v>30482021060116364265383</v>
      </c>
      <c r="C12" s="6" t="s">
        <v>76</v>
      </c>
      <c r="D12" s="6" t="str">
        <f>"李井宝"</f>
        <v>李井宝</v>
      </c>
      <c r="E12" s="6" t="str">
        <f t="shared" si="1"/>
        <v>女</v>
      </c>
      <c r="F12" s="7" t="s">
        <v>84</v>
      </c>
    </row>
    <row r="13" spans="1:6" ht="20.100000000000001" customHeight="1" x14ac:dyDescent="0.15">
      <c r="A13" s="12">
        <v>10</v>
      </c>
      <c r="B13" s="6" t="str">
        <f>"30482021060118291666568"</f>
        <v>30482021060118291666568</v>
      </c>
      <c r="C13" s="6" t="s">
        <v>76</v>
      </c>
      <c r="D13" s="6" t="str">
        <f>"陈美伶"</f>
        <v>陈美伶</v>
      </c>
      <c r="E13" s="6" t="str">
        <f t="shared" si="1"/>
        <v>女</v>
      </c>
      <c r="F13" s="7" t="s">
        <v>85</v>
      </c>
    </row>
    <row r="14" spans="1:6" ht="20.100000000000001" customHeight="1" x14ac:dyDescent="0.15">
      <c r="A14" s="12">
        <v>11</v>
      </c>
      <c r="B14" s="6" t="str">
        <f>"30482021060120215568075"</f>
        <v>30482021060120215568075</v>
      </c>
      <c r="C14" s="6" t="s">
        <v>76</v>
      </c>
      <c r="D14" s="6" t="str">
        <f>"韩丛璟"</f>
        <v>韩丛璟</v>
      </c>
      <c r="E14" s="6" t="str">
        <f t="shared" si="1"/>
        <v>女</v>
      </c>
      <c r="F14" s="7" t="s">
        <v>86</v>
      </c>
    </row>
    <row r="15" spans="1:6" ht="20.100000000000001" customHeight="1" x14ac:dyDescent="0.15">
      <c r="A15" s="12">
        <v>12</v>
      </c>
      <c r="B15" s="6" t="str">
        <f>"30482021060120272068124"</f>
        <v>30482021060120272068124</v>
      </c>
      <c r="C15" s="6" t="s">
        <v>76</v>
      </c>
      <c r="D15" s="6" t="str">
        <f>"黄瑶瑶"</f>
        <v>黄瑶瑶</v>
      </c>
      <c r="E15" s="6" t="str">
        <f t="shared" si="1"/>
        <v>女</v>
      </c>
      <c r="F15" s="7" t="s">
        <v>87</v>
      </c>
    </row>
    <row r="16" spans="1:6" ht="20.100000000000001" customHeight="1" x14ac:dyDescent="0.15">
      <c r="A16" s="12">
        <v>13</v>
      </c>
      <c r="B16" s="6" t="str">
        <f>"30482021060122435070004"</f>
        <v>30482021060122435070004</v>
      </c>
      <c r="C16" s="6" t="s">
        <v>76</v>
      </c>
      <c r="D16" s="6" t="str">
        <f>"林宏晓"</f>
        <v>林宏晓</v>
      </c>
      <c r="E16" s="6" t="str">
        <f t="shared" si="1"/>
        <v>女</v>
      </c>
      <c r="F16" s="7" t="s">
        <v>88</v>
      </c>
    </row>
    <row r="17" spans="1:6" ht="20.100000000000001" customHeight="1" x14ac:dyDescent="0.15">
      <c r="A17" s="12">
        <v>14</v>
      </c>
      <c r="B17" s="6" t="str">
        <f>"30482021060208410970936"</f>
        <v>30482021060208410970936</v>
      </c>
      <c r="C17" s="6" t="s">
        <v>76</v>
      </c>
      <c r="D17" s="6" t="str">
        <f>"李可心"</f>
        <v>李可心</v>
      </c>
      <c r="E17" s="6" t="str">
        <f t="shared" si="1"/>
        <v>女</v>
      </c>
      <c r="F17" s="7" t="s">
        <v>89</v>
      </c>
    </row>
    <row r="18" spans="1:6" ht="20.100000000000001" customHeight="1" x14ac:dyDescent="0.15">
      <c r="A18" s="12">
        <v>15</v>
      </c>
      <c r="B18" s="6" t="str">
        <f>"30482021060208525271047"</f>
        <v>30482021060208525271047</v>
      </c>
      <c r="C18" s="6" t="s">
        <v>76</v>
      </c>
      <c r="D18" s="6" t="str">
        <f>"洪莉玲"</f>
        <v>洪莉玲</v>
      </c>
      <c r="E18" s="6" t="str">
        <f t="shared" si="1"/>
        <v>女</v>
      </c>
      <c r="F18" s="7" t="s">
        <v>90</v>
      </c>
    </row>
    <row r="19" spans="1:6" ht="20.100000000000001" customHeight="1" x14ac:dyDescent="0.15">
      <c r="A19" s="12">
        <v>16</v>
      </c>
      <c r="B19" s="6" t="str">
        <f>"30482021060209065371192"</f>
        <v>30482021060209065371192</v>
      </c>
      <c r="C19" s="6" t="s">
        <v>76</v>
      </c>
      <c r="D19" s="6" t="str">
        <f>"史佳宇"</f>
        <v>史佳宇</v>
      </c>
      <c r="E19" s="6" t="str">
        <f t="shared" si="1"/>
        <v>女</v>
      </c>
      <c r="F19" s="7" t="s">
        <v>91</v>
      </c>
    </row>
    <row r="20" spans="1:6" ht="20.100000000000001" customHeight="1" x14ac:dyDescent="0.15">
      <c r="A20" s="12">
        <v>17</v>
      </c>
      <c r="B20" s="6" t="str">
        <f>"30482021060214564774548"</f>
        <v>30482021060214564774548</v>
      </c>
      <c r="C20" s="6" t="s">
        <v>76</v>
      </c>
      <c r="D20" s="6" t="str">
        <f>"聂萍"</f>
        <v>聂萍</v>
      </c>
      <c r="E20" s="6" t="str">
        <f t="shared" si="1"/>
        <v>女</v>
      </c>
      <c r="F20" s="7" t="s">
        <v>92</v>
      </c>
    </row>
    <row r="21" spans="1:6" ht="20.100000000000001" customHeight="1" x14ac:dyDescent="0.15">
      <c r="A21" s="12">
        <v>18</v>
      </c>
      <c r="B21" s="6" t="str">
        <f>"30482021060216145975395"</f>
        <v>30482021060216145975395</v>
      </c>
      <c r="C21" s="6" t="s">
        <v>76</v>
      </c>
      <c r="D21" s="6" t="str">
        <f>"王萍"</f>
        <v>王萍</v>
      </c>
      <c r="E21" s="6" t="str">
        <f t="shared" si="1"/>
        <v>女</v>
      </c>
      <c r="F21" s="7" t="s">
        <v>93</v>
      </c>
    </row>
    <row r="22" spans="1:6" ht="20.100000000000001" customHeight="1" x14ac:dyDescent="0.15">
      <c r="A22" s="12">
        <v>19</v>
      </c>
      <c r="B22" s="6" t="str">
        <f>"30482021060216510175740"</f>
        <v>30482021060216510175740</v>
      </c>
      <c r="C22" s="6" t="s">
        <v>76</v>
      </c>
      <c r="D22" s="6" t="str">
        <f>"杨珍"</f>
        <v>杨珍</v>
      </c>
      <c r="E22" s="6" t="str">
        <f t="shared" si="1"/>
        <v>女</v>
      </c>
      <c r="F22" s="7" t="s">
        <v>94</v>
      </c>
    </row>
    <row r="23" spans="1:6" ht="20.100000000000001" customHeight="1" x14ac:dyDescent="0.15">
      <c r="A23" s="12">
        <v>20</v>
      </c>
      <c r="B23" s="6" t="str">
        <f>"30482021060217180376000"</f>
        <v>30482021060217180376000</v>
      </c>
      <c r="C23" s="6" t="s">
        <v>76</v>
      </c>
      <c r="D23" s="6" t="str">
        <f>"施琳琳"</f>
        <v>施琳琳</v>
      </c>
      <c r="E23" s="6" t="str">
        <f t="shared" si="1"/>
        <v>女</v>
      </c>
      <c r="F23" s="7" t="s">
        <v>95</v>
      </c>
    </row>
    <row r="24" spans="1:6" ht="20.100000000000001" customHeight="1" x14ac:dyDescent="0.15">
      <c r="A24" s="12">
        <v>21</v>
      </c>
      <c r="B24" s="6" t="str">
        <f>"30482021060218080476391"</f>
        <v>30482021060218080476391</v>
      </c>
      <c r="C24" s="6" t="s">
        <v>76</v>
      </c>
      <c r="D24" s="6" t="str">
        <f>"邓亚楠"</f>
        <v>邓亚楠</v>
      </c>
      <c r="E24" s="6" t="str">
        <f t="shared" si="1"/>
        <v>女</v>
      </c>
      <c r="F24" s="7" t="s">
        <v>96</v>
      </c>
    </row>
    <row r="25" spans="1:6" ht="20.100000000000001" customHeight="1" x14ac:dyDescent="0.15">
      <c r="A25" s="12">
        <v>22</v>
      </c>
      <c r="B25" s="6" t="str">
        <f>"30482021060222134278287"</f>
        <v>30482021060222134278287</v>
      </c>
      <c r="C25" s="6" t="s">
        <v>76</v>
      </c>
      <c r="D25" s="6" t="str">
        <f>"简美娥"</f>
        <v>简美娥</v>
      </c>
      <c r="E25" s="6" t="str">
        <f t="shared" si="1"/>
        <v>女</v>
      </c>
      <c r="F25" s="7" t="s">
        <v>97</v>
      </c>
    </row>
    <row r="26" spans="1:6" ht="20.100000000000001" customHeight="1" x14ac:dyDescent="0.15">
      <c r="A26" s="12">
        <v>23</v>
      </c>
      <c r="B26" s="6" t="str">
        <f>"30482021060222371578481"</f>
        <v>30482021060222371578481</v>
      </c>
      <c r="C26" s="6" t="s">
        <v>76</v>
      </c>
      <c r="D26" s="6" t="str">
        <f>"郑小蓉"</f>
        <v>郑小蓉</v>
      </c>
      <c r="E26" s="6" t="str">
        <f t="shared" si="1"/>
        <v>女</v>
      </c>
      <c r="F26" s="7" t="s">
        <v>98</v>
      </c>
    </row>
    <row r="27" spans="1:6" ht="20.100000000000001" customHeight="1" x14ac:dyDescent="0.15">
      <c r="A27" s="12">
        <v>24</v>
      </c>
      <c r="B27" s="6" t="str">
        <f>"30482021060300051478974"</f>
        <v>30482021060300051478974</v>
      </c>
      <c r="C27" s="6" t="s">
        <v>76</v>
      </c>
      <c r="D27" s="6" t="str">
        <f>"赵云婷"</f>
        <v>赵云婷</v>
      </c>
      <c r="E27" s="6" t="str">
        <f t="shared" si="1"/>
        <v>女</v>
      </c>
      <c r="F27" s="7" t="s">
        <v>99</v>
      </c>
    </row>
    <row r="28" spans="1:6" ht="20.100000000000001" customHeight="1" x14ac:dyDescent="0.15">
      <c r="A28" s="12">
        <v>25</v>
      </c>
      <c r="B28" s="6" t="str">
        <f>"30482021060300293879033"</f>
        <v>30482021060300293879033</v>
      </c>
      <c r="C28" s="6" t="s">
        <v>76</v>
      </c>
      <c r="D28" s="6" t="str">
        <f>"吴妹"</f>
        <v>吴妹</v>
      </c>
      <c r="E28" s="6" t="str">
        <f t="shared" si="1"/>
        <v>女</v>
      </c>
      <c r="F28" s="7" t="s">
        <v>100</v>
      </c>
    </row>
    <row r="29" spans="1:6" ht="20.100000000000001" customHeight="1" x14ac:dyDescent="0.15">
      <c r="A29" s="12">
        <v>26</v>
      </c>
      <c r="B29" s="6" t="str">
        <f>"30482021060301064479089"</f>
        <v>30482021060301064479089</v>
      </c>
      <c r="C29" s="6" t="s">
        <v>76</v>
      </c>
      <c r="D29" s="6" t="str">
        <f>"余梦凡"</f>
        <v>余梦凡</v>
      </c>
      <c r="E29" s="6" t="str">
        <f t="shared" si="1"/>
        <v>女</v>
      </c>
      <c r="F29" s="7" t="s">
        <v>101</v>
      </c>
    </row>
    <row r="30" spans="1:6" ht="20.100000000000001" customHeight="1" x14ac:dyDescent="0.15">
      <c r="A30" s="12">
        <v>27</v>
      </c>
      <c r="B30" s="6" t="str">
        <f>"30482021060310281181141"</f>
        <v>30482021060310281181141</v>
      </c>
      <c r="C30" s="6" t="s">
        <v>76</v>
      </c>
      <c r="D30" s="6" t="str">
        <f>"潘春萍"</f>
        <v>潘春萍</v>
      </c>
      <c r="E30" s="6" t="str">
        <f t="shared" si="1"/>
        <v>女</v>
      </c>
      <c r="F30" s="7" t="s">
        <v>102</v>
      </c>
    </row>
    <row r="31" spans="1:6" ht="20.100000000000001" customHeight="1" x14ac:dyDescent="0.15">
      <c r="A31" s="12">
        <v>28</v>
      </c>
      <c r="B31" s="6" t="str">
        <f>"30482021060315505084759"</f>
        <v>30482021060315505084759</v>
      </c>
      <c r="C31" s="6" t="s">
        <v>76</v>
      </c>
      <c r="D31" s="6" t="str">
        <f>"程建阳"</f>
        <v>程建阳</v>
      </c>
      <c r="E31" s="6" t="str">
        <f t="shared" si="1"/>
        <v>女</v>
      </c>
      <c r="F31" s="7" t="s">
        <v>103</v>
      </c>
    </row>
    <row r="32" spans="1:6" ht="20.100000000000001" customHeight="1" x14ac:dyDescent="0.15">
      <c r="A32" s="12">
        <v>29</v>
      </c>
      <c r="B32" s="6" t="str">
        <f>"30482021060318062986248"</f>
        <v>30482021060318062986248</v>
      </c>
      <c r="C32" s="6" t="s">
        <v>76</v>
      </c>
      <c r="D32" s="6" t="str">
        <f>"刘天一"</f>
        <v>刘天一</v>
      </c>
      <c r="E32" s="6" t="str">
        <f>"男"</f>
        <v>男</v>
      </c>
      <c r="F32" s="7" t="s">
        <v>104</v>
      </c>
    </row>
    <row r="33" spans="1:6" ht="20.100000000000001" customHeight="1" x14ac:dyDescent="0.15">
      <c r="A33" s="12">
        <v>30</v>
      </c>
      <c r="B33" s="6" t="str">
        <f>"30482021060411265293022"</f>
        <v>30482021060411265293022</v>
      </c>
      <c r="C33" s="6" t="s">
        <v>76</v>
      </c>
      <c r="D33" s="6" t="str">
        <f>"林飞燕"</f>
        <v>林飞燕</v>
      </c>
      <c r="E33" s="6" t="str">
        <f t="shared" ref="E33:E38" si="2">"女"</f>
        <v>女</v>
      </c>
      <c r="F33" s="7" t="s">
        <v>105</v>
      </c>
    </row>
    <row r="34" spans="1:6" ht="20.100000000000001" customHeight="1" x14ac:dyDescent="0.15">
      <c r="A34" s="12">
        <v>31</v>
      </c>
      <c r="B34" s="6" t="str">
        <f>"30482021060412224293591"</f>
        <v>30482021060412224293591</v>
      </c>
      <c r="C34" s="6" t="s">
        <v>76</v>
      </c>
      <c r="D34" s="6" t="str">
        <f>"谭杨子"</f>
        <v>谭杨子</v>
      </c>
      <c r="E34" s="6" t="str">
        <f t="shared" si="2"/>
        <v>女</v>
      </c>
      <c r="F34" s="7" t="s">
        <v>106</v>
      </c>
    </row>
    <row r="35" spans="1:6" ht="20.100000000000001" customHeight="1" x14ac:dyDescent="0.15">
      <c r="A35" s="12">
        <v>32</v>
      </c>
      <c r="B35" s="6" t="str">
        <f>"30482021060414444795683"</f>
        <v>30482021060414444795683</v>
      </c>
      <c r="C35" s="6" t="s">
        <v>76</v>
      </c>
      <c r="D35" s="6" t="str">
        <f>"范欣"</f>
        <v>范欣</v>
      </c>
      <c r="E35" s="6" t="str">
        <f t="shared" si="2"/>
        <v>女</v>
      </c>
      <c r="F35" s="7" t="s">
        <v>9</v>
      </c>
    </row>
    <row r="36" spans="1:6" ht="20.100000000000001" customHeight="1" x14ac:dyDescent="0.15">
      <c r="A36" s="12">
        <v>33</v>
      </c>
      <c r="B36" s="6" t="str">
        <f>"30482021060415203296198"</f>
        <v>30482021060415203296198</v>
      </c>
      <c r="C36" s="6" t="s">
        <v>76</v>
      </c>
      <c r="D36" s="6" t="str">
        <f>"蔡庆祝"</f>
        <v>蔡庆祝</v>
      </c>
      <c r="E36" s="6" t="str">
        <f t="shared" si="2"/>
        <v>女</v>
      </c>
      <c r="F36" s="7" t="s">
        <v>107</v>
      </c>
    </row>
    <row r="37" spans="1:6" ht="20.100000000000001" customHeight="1" x14ac:dyDescent="0.15">
      <c r="A37" s="12">
        <v>34</v>
      </c>
      <c r="B37" s="6" t="str">
        <f>"30482021060416273697112"</f>
        <v>30482021060416273697112</v>
      </c>
      <c r="C37" s="6" t="s">
        <v>76</v>
      </c>
      <c r="D37" s="6" t="str">
        <f>"陈欣欣"</f>
        <v>陈欣欣</v>
      </c>
      <c r="E37" s="6" t="str">
        <f t="shared" si="2"/>
        <v>女</v>
      </c>
      <c r="F37" s="7" t="s">
        <v>108</v>
      </c>
    </row>
    <row r="38" spans="1:6" ht="20.100000000000001" customHeight="1" x14ac:dyDescent="0.15">
      <c r="A38" s="12">
        <v>35</v>
      </c>
      <c r="B38" s="6" t="str">
        <f>"30482021060421294199592"</f>
        <v>30482021060421294199592</v>
      </c>
      <c r="C38" s="6" t="s">
        <v>76</v>
      </c>
      <c r="D38" s="6" t="str">
        <f>"符家贇"</f>
        <v>符家贇</v>
      </c>
      <c r="E38" s="6" t="str">
        <f t="shared" si="2"/>
        <v>女</v>
      </c>
      <c r="F38" s="7" t="s">
        <v>109</v>
      </c>
    </row>
    <row r="39" spans="1:6" ht="20.100000000000001" customHeight="1" x14ac:dyDescent="0.15">
      <c r="A39" s="12">
        <v>36</v>
      </c>
      <c r="B39" s="6" t="str">
        <f>"304820210605173229101595"</f>
        <v>304820210605173229101595</v>
      </c>
      <c r="C39" s="6" t="s">
        <v>76</v>
      </c>
      <c r="D39" s="6" t="str">
        <f>"王彬安"</f>
        <v>王彬安</v>
      </c>
      <c r="E39" s="6" t="str">
        <f>"男"</f>
        <v>男</v>
      </c>
      <c r="F39" s="7" t="s">
        <v>110</v>
      </c>
    </row>
    <row r="40" spans="1:6" ht="20.100000000000001" customHeight="1" x14ac:dyDescent="0.15">
      <c r="A40" s="12">
        <v>37</v>
      </c>
      <c r="B40" s="6" t="str">
        <f>"304820210605182652101734"</f>
        <v>304820210605182652101734</v>
      </c>
      <c r="C40" s="6" t="s">
        <v>76</v>
      </c>
      <c r="D40" s="6" t="str">
        <f>"王海花"</f>
        <v>王海花</v>
      </c>
      <c r="E40" s="6" t="str">
        <f t="shared" ref="E40:E45" si="3">"女"</f>
        <v>女</v>
      </c>
      <c r="F40" s="7" t="s">
        <v>111</v>
      </c>
    </row>
    <row r="41" spans="1:6" ht="20.100000000000001" customHeight="1" x14ac:dyDescent="0.15">
      <c r="A41" s="12">
        <v>38</v>
      </c>
      <c r="B41" s="6" t="str">
        <f>"304820210605223331102387"</f>
        <v>304820210605223331102387</v>
      </c>
      <c r="C41" s="6" t="s">
        <v>76</v>
      </c>
      <c r="D41" s="6" t="str">
        <f>"董钰洁"</f>
        <v>董钰洁</v>
      </c>
      <c r="E41" s="6" t="str">
        <f t="shared" si="3"/>
        <v>女</v>
      </c>
      <c r="F41" s="7" t="s">
        <v>74</v>
      </c>
    </row>
    <row r="42" spans="1:6" ht="20.100000000000001" customHeight="1" x14ac:dyDescent="0.15">
      <c r="A42" s="12">
        <v>39</v>
      </c>
      <c r="B42" s="6" t="str">
        <f>"304820210606164641104132"</f>
        <v>304820210606164641104132</v>
      </c>
      <c r="C42" s="6" t="s">
        <v>76</v>
      </c>
      <c r="D42" s="6" t="str">
        <f>"符小慧"</f>
        <v>符小慧</v>
      </c>
      <c r="E42" s="6" t="str">
        <f t="shared" si="3"/>
        <v>女</v>
      </c>
      <c r="F42" s="7" t="s">
        <v>112</v>
      </c>
    </row>
    <row r="43" spans="1:6" ht="20.100000000000001" customHeight="1" x14ac:dyDescent="0.15">
      <c r="A43" s="12">
        <v>40</v>
      </c>
      <c r="B43" s="6" t="str">
        <f>"304820210606225518105067"</f>
        <v>304820210606225518105067</v>
      </c>
      <c r="C43" s="6" t="s">
        <v>76</v>
      </c>
      <c r="D43" s="6" t="str">
        <f>"柯娟"</f>
        <v>柯娟</v>
      </c>
      <c r="E43" s="6" t="str">
        <f t="shared" si="3"/>
        <v>女</v>
      </c>
      <c r="F43" s="7" t="s">
        <v>113</v>
      </c>
    </row>
    <row r="44" spans="1:6" ht="20.100000000000001" customHeight="1" x14ac:dyDescent="0.15">
      <c r="A44" s="12">
        <v>41</v>
      </c>
      <c r="B44" s="6" t="str">
        <f>"304820210607094620105803"</f>
        <v>304820210607094620105803</v>
      </c>
      <c r="C44" s="6" t="s">
        <v>76</v>
      </c>
      <c r="D44" s="6" t="str">
        <f>"雷媛媛"</f>
        <v>雷媛媛</v>
      </c>
      <c r="E44" s="6" t="str">
        <f t="shared" si="3"/>
        <v>女</v>
      </c>
      <c r="F44" s="7" t="s">
        <v>114</v>
      </c>
    </row>
    <row r="45" spans="1:6" ht="20.100000000000001" customHeight="1" x14ac:dyDescent="0.15">
      <c r="A45" s="12">
        <v>42</v>
      </c>
      <c r="B45" s="6" t="str">
        <f>"304820210607113445106426"</f>
        <v>304820210607113445106426</v>
      </c>
      <c r="C45" s="6" t="s">
        <v>76</v>
      </c>
      <c r="D45" s="6" t="str">
        <f>"郑仙迅"</f>
        <v>郑仙迅</v>
      </c>
      <c r="E45" s="6" t="str">
        <f t="shared" si="3"/>
        <v>女</v>
      </c>
      <c r="F45" s="7" t="s">
        <v>115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.625" style="1" customWidth="1"/>
    <col min="2" max="2" width="24.625" style="1" customWidth="1"/>
    <col min="3" max="3" width="14.125" style="1" customWidth="1"/>
    <col min="4" max="4" width="11.25" style="1" customWidth="1"/>
    <col min="5" max="5" width="8.5" style="1" customWidth="1"/>
    <col min="6" max="6" width="14.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"30482021060114004063439"</f>
        <v>30482021060114004063439</v>
      </c>
      <c r="C4" s="6" t="s">
        <v>1870</v>
      </c>
      <c r="D4" s="6" t="str">
        <f>"符蕊"</f>
        <v>符蕊</v>
      </c>
      <c r="E4" s="6" t="str">
        <f t="shared" ref="E4:E8" si="0">"女"</f>
        <v>女</v>
      </c>
      <c r="F4" s="7" t="s">
        <v>1871</v>
      </c>
    </row>
    <row r="5" spans="1:6" ht="20.100000000000001" customHeight="1" x14ac:dyDescent="0.15">
      <c r="A5" s="5">
        <v>2</v>
      </c>
      <c r="B5" s="6" t="str">
        <f>"30482021060115111264283"</f>
        <v>30482021060115111264283</v>
      </c>
      <c r="C5" s="6" t="s">
        <v>1870</v>
      </c>
      <c r="D5" s="6" t="str">
        <f>"邢益玮"</f>
        <v>邢益玮</v>
      </c>
      <c r="E5" s="6" t="str">
        <f>"男"</f>
        <v>男</v>
      </c>
      <c r="F5" s="7" t="s">
        <v>1121</v>
      </c>
    </row>
    <row r="6" spans="1:6" ht="20.100000000000001" customHeight="1" x14ac:dyDescent="0.15">
      <c r="A6" s="5">
        <v>3</v>
      </c>
      <c r="B6" s="6" t="str">
        <f>"30482021060115413864661"</f>
        <v>30482021060115413864661</v>
      </c>
      <c r="C6" s="6" t="s">
        <v>1870</v>
      </c>
      <c r="D6" s="6" t="str">
        <f>"周励纱"</f>
        <v>周励纱</v>
      </c>
      <c r="E6" s="6" t="str">
        <f t="shared" si="0"/>
        <v>女</v>
      </c>
      <c r="F6" s="7" t="s">
        <v>37</v>
      </c>
    </row>
    <row r="7" spans="1:6" ht="20.100000000000001" customHeight="1" x14ac:dyDescent="0.15">
      <c r="A7" s="5">
        <v>4</v>
      </c>
      <c r="B7" s="6" t="str">
        <f>"30482021060116235465197"</f>
        <v>30482021060116235465197</v>
      </c>
      <c r="C7" s="6" t="s">
        <v>1870</v>
      </c>
      <c r="D7" s="6" t="str">
        <f>"韩翠芳"</f>
        <v>韩翠芳</v>
      </c>
      <c r="E7" s="6" t="str">
        <f t="shared" si="0"/>
        <v>女</v>
      </c>
      <c r="F7" s="7" t="s">
        <v>1872</v>
      </c>
    </row>
    <row r="8" spans="1:6" ht="20.100000000000001" customHeight="1" x14ac:dyDescent="0.15">
      <c r="A8" s="5">
        <v>5</v>
      </c>
      <c r="B8" s="6" t="str">
        <f>"30482021060116411465436"</f>
        <v>30482021060116411465436</v>
      </c>
      <c r="C8" s="6" t="s">
        <v>1870</v>
      </c>
      <c r="D8" s="6" t="str">
        <f>"陈媚洁"</f>
        <v>陈媚洁</v>
      </c>
      <c r="E8" s="6" t="str">
        <f t="shared" si="0"/>
        <v>女</v>
      </c>
      <c r="F8" s="7" t="s">
        <v>1873</v>
      </c>
    </row>
    <row r="9" spans="1:6" ht="20.100000000000001" customHeight="1" x14ac:dyDescent="0.15">
      <c r="A9" s="5">
        <v>6</v>
      </c>
      <c r="B9" s="6" t="str">
        <f>"30482021060117070465771"</f>
        <v>30482021060117070465771</v>
      </c>
      <c r="C9" s="6" t="s">
        <v>1870</v>
      </c>
      <c r="D9" s="6" t="str">
        <f>"周世帅"</f>
        <v>周世帅</v>
      </c>
      <c r="E9" s="6" t="str">
        <f>"男"</f>
        <v>男</v>
      </c>
      <c r="F9" s="7" t="s">
        <v>1874</v>
      </c>
    </row>
    <row r="10" spans="1:6" ht="20.100000000000001" customHeight="1" x14ac:dyDescent="0.15">
      <c r="A10" s="5">
        <v>7</v>
      </c>
      <c r="B10" s="6" t="str">
        <f>"30482021060119183766942"</f>
        <v>30482021060119183766942</v>
      </c>
      <c r="C10" s="6" t="s">
        <v>1870</v>
      </c>
      <c r="D10" s="6" t="str">
        <f>"符方敏"</f>
        <v>符方敏</v>
      </c>
      <c r="E10" s="6" t="str">
        <f t="shared" ref="E10:E26" si="1">"女"</f>
        <v>女</v>
      </c>
      <c r="F10" s="7" t="s">
        <v>1875</v>
      </c>
    </row>
    <row r="11" spans="1:6" ht="20.100000000000001" customHeight="1" x14ac:dyDescent="0.15">
      <c r="A11" s="5">
        <v>8</v>
      </c>
      <c r="B11" s="6" t="str">
        <f>"30482021060121402869425"</f>
        <v>30482021060121402869425</v>
      </c>
      <c r="C11" s="6" t="s">
        <v>1870</v>
      </c>
      <c r="D11" s="6" t="str">
        <f>"刘芳"</f>
        <v>刘芳</v>
      </c>
      <c r="E11" s="6" t="str">
        <f t="shared" si="1"/>
        <v>女</v>
      </c>
      <c r="F11" s="7" t="s">
        <v>1876</v>
      </c>
    </row>
    <row r="12" spans="1:6" ht="20.100000000000001" customHeight="1" x14ac:dyDescent="0.15">
      <c r="A12" s="5">
        <v>9</v>
      </c>
      <c r="B12" s="6" t="str">
        <f>"30482021060121421969449"</f>
        <v>30482021060121421969449</v>
      </c>
      <c r="C12" s="6" t="s">
        <v>1870</v>
      </c>
      <c r="D12" s="6" t="str">
        <f>"谢桂琴"</f>
        <v>谢桂琴</v>
      </c>
      <c r="E12" s="6" t="str">
        <f t="shared" si="1"/>
        <v>女</v>
      </c>
      <c r="F12" s="7" t="s">
        <v>173</v>
      </c>
    </row>
    <row r="13" spans="1:6" ht="20.100000000000001" customHeight="1" x14ac:dyDescent="0.15">
      <c r="A13" s="5">
        <v>10</v>
      </c>
      <c r="B13" s="6" t="str">
        <f>"30482021060121510169539"</f>
        <v>30482021060121510169539</v>
      </c>
      <c r="C13" s="6" t="s">
        <v>1870</v>
      </c>
      <c r="D13" s="6" t="str">
        <f>"陶玉兰"</f>
        <v>陶玉兰</v>
      </c>
      <c r="E13" s="6" t="str">
        <f t="shared" si="1"/>
        <v>女</v>
      </c>
      <c r="F13" s="7" t="s">
        <v>91</v>
      </c>
    </row>
    <row r="14" spans="1:6" ht="20.100000000000001" customHeight="1" x14ac:dyDescent="0.15">
      <c r="A14" s="5">
        <v>11</v>
      </c>
      <c r="B14" s="6" t="str">
        <f>"30482021060122132069729"</f>
        <v>30482021060122132069729</v>
      </c>
      <c r="C14" s="6" t="s">
        <v>1870</v>
      </c>
      <c r="D14" s="6" t="str">
        <f>"肖柳"</f>
        <v>肖柳</v>
      </c>
      <c r="E14" s="6" t="str">
        <f t="shared" si="1"/>
        <v>女</v>
      </c>
      <c r="F14" s="7" t="s">
        <v>1877</v>
      </c>
    </row>
    <row r="15" spans="1:6" ht="20.100000000000001" customHeight="1" x14ac:dyDescent="0.15">
      <c r="A15" s="5">
        <v>12</v>
      </c>
      <c r="B15" s="6" t="str">
        <f>"30482021060207480870646"</f>
        <v>30482021060207480870646</v>
      </c>
      <c r="C15" s="6" t="s">
        <v>1870</v>
      </c>
      <c r="D15" s="6" t="str">
        <f>"符秋蕊"</f>
        <v>符秋蕊</v>
      </c>
      <c r="E15" s="6" t="str">
        <f t="shared" si="1"/>
        <v>女</v>
      </c>
      <c r="F15" s="7" t="s">
        <v>426</v>
      </c>
    </row>
    <row r="16" spans="1:6" ht="20.100000000000001" customHeight="1" x14ac:dyDescent="0.15">
      <c r="A16" s="5">
        <v>13</v>
      </c>
      <c r="B16" s="6" t="str">
        <f>"30482021060207543670657"</f>
        <v>30482021060207543670657</v>
      </c>
      <c r="C16" s="6" t="s">
        <v>1870</v>
      </c>
      <c r="D16" s="6" t="str">
        <f>"黄小云"</f>
        <v>黄小云</v>
      </c>
      <c r="E16" s="6" t="str">
        <f t="shared" si="1"/>
        <v>女</v>
      </c>
      <c r="F16" s="7" t="s">
        <v>489</v>
      </c>
    </row>
    <row r="17" spans="1:6" ht="20.100000000000001" customHeight="1" x14ac:dyDescent="0.15">
      <c r="A17" s="5">
        <v>14</v>
      </c>
      <c r="B17" s="6" t="str">
        <f>"30482021060209134571266"</f>
        <v>30482021060209134571266</v>
      </c>
      <c r="C17" s="6" t="s">
        <v>1870</v>
      </c>
      <c r="D17" s="6" t="str">
        <f>"符之雅"</f>
        <v>符之雅</v>
      </c>
      <c r="E17" s="6" t="str">
        <f t="shared" si="1"/>
        <v>女</v>
      </c>
      <c r="F17" s="7" t="s">
        <v>1878</v>
      </c>
    </row>
    <row r="18" spans="1:6" ht="20.100000000000001" customHeight="1" x14ac:dyDescent="0.15">
      <c r="A18" s="5">
        <v>15</v>
      </c>
      <c r="B18" s="6" t="str">
        <f>"30482021060210072171950"</f>
        <v>30482021060210072171950</v>
      </c>
      <c r="C18" s="6" t="s">
        <v>1870</v>
      </c>
      <c r="D18" s="6" t="str">
        <f>"符丽叶"</f>
        <v>符丽叶</v>
      </c>
      <c r="E18" s="6" t="str">
        <f t="shared" si="1"/>
        <v>女</v>
      </c>
      <c r="F18" s="7" t="s">
        <v>433</v>
      </c>
    </row>
    <row r="19" spans="1:6" ht="20.100000000000001" customHeight="1" x14ac:dyDescent="0.15">
      <c r="A19" s="5">
        <v>16</v>
      </c>
      <c r="B19" s="6" t="str">
        <f>"30482021060211190972888"</f>
        <v>30482021060211190972888</v>
      </c>
      <c r="C19" s="6" t="s">
        <v>1870</v>
      </c>
      <c r="D19" s="6" t="str">
        <f>"王汝莉"</f>
        <v>王汝莉</v>
      </c>
      <c r="E19" s="6" t="str">
        <f t="shared" si="1"/>
        <v>女</v>
      </c>
      <c r="F19" s="7" t="s">
        <v>226</v>
      </c>
    </row>
    <row r="20" spans="1:6" ht="20.100000000000001" customHeight="1" x14ac:dyDescent="0.15">
      <c r="A20" s="5">
        <v>17</v>
      </c>
      <c r="B20" s="6" t="str">
        <f>"30482021060211462373173"</f>
        <v>30482021060211462373173</v>
      </c>
      <c r="C20" s="6" t="s">
        <v>1870</v>
      </c>
      <c r="D20" s="6" t="str">
        <f>"韩潇"</f>
        <v>韩潇</v>
      </c>
      <c r="E20" s="6" t="str">
        <f t="shared" si="1"/>
        <v>女</v>
      </c>
      <c r="F20" s="7" t="s">
        <v>1879</v>
      </c>
    </row>
    <row r="21" spans="1:6" ht="20.100000000000001" customHeight="1" x14ac:dyDescent="0.15">
      <c r="A21" s="5">
        <v>18</v>
      </c>
      <c r="B21" s="6" t="str">
        <f>"30482021060212271673487"</f>
        <v>30482021060212271673487</v>
      </c>
      <c r="C21" s="6" t="s">
        <v>1870</v>
      </c>
      <c r="D21" s="6" t="str">
        <f>"吕秋妹"</f>
        <v>吕秋妹</v>
      </c>
      <c r="E21" s="6" t="str">
        <f t="shared" si="1"/>
        <v>女</v>
      </c>
      <c r="F21" s="7" t="s">
        <v>481</v>
      </c>
    </row>
    <row r="22" spans="1:6" ht="20.100000000000001" customHeight="1" x14ac:dyDescent="0.15">
      <c r="A22" s="5">
        <v>19</v>
      </c>
      <c r="B22" s="6" t="str">
        <f>"30482021060215064874649"</f>
        <v>30482021060215064874649</v>
      </c>
      <c r="C22" s="6" t="s">
        <v>1870</v>
      </c>
      <c r="D22" s="6" t="str">
        <f>"韩雪"</f>
        <v>韩雪</v>
      </c>
      <c r="E22" s="6" t="str">
        <f t="shared" si="1"/>
        <v>女</v>
      </c>
      <c r="F22" s="7" t="s">
        <v>470</v>
      </c>
    </row>
    <row r="23" spans="1:6" ht="20.100000000000001" customHeight="1" x14ac:dyDescent="0.15">
      <c r="A23" s="5">
        <v>20</v>
      </c>
      <c r="B23" s="6" t="str">
        <f>"30482021060215552775195"</f>
        <v>30482021060215552775195</v>
      </c>
      <c r="C23" s="6" t="s">
        <v>1870</v>
      </c>
      <c r="D23" s="6" t="str">
        <f>"何慧娴"</f>
        <v>何慧娴</v>
      </c>
      <c r="E23" s="6" t="str">
        <f t="shared" si="1"/>
        <v>女</v>
      </c>
      <c r="F23" s="7" t="s">
        <v>755</v>
      </c>
    </row>
    <row r="24" spans="1:6" ht="20.100000000000001" customHeight="1" x14ac:dyDescent="0.15">
      <c r="A24" s="5">
        <v>21</v>
      </c>
      <c r="B24" s="6" t="str">
        <f>"30482021060217360676152"</f>
        <v>30482021060217360676152</v>
      </c>
      <c r="C24" s="6" t="s">
        <v>1870</v>
      </c>
      <c r="D24" s="6" t="str">
        <f>"骆文雅"</f>
        <v>骆文雅</v>
      </c>
      <c r="E24" s="6" t="str">
        <f t="shared" si="1"/>
        <v>女</v>
      </c>
      <c r="F24" s="7" t="s">
        <v>1880</v>
      </c>
    </row>
    <row r="25" spans="1:6" ht="20.100000000000001" customHeight="1" x14ac:dyDescent="0.15">
      <c r="A25" s="5">
        <v>22</v>
      </c>
      <c r="B25" s="6" t="str">
        <f>"30482021060218310476547"</f>
        <v>30482021060218310476547</v>
      </c>
      <c r="C25" s="6" t="s">
        <v>1870</v>
      </c>
      <c r="D25" s="6" t="str">
        <f>"王玉菲"</f>
        <v>王玉菲</v>
      </c>
      <c r="E25" s="6" t="str">
        <f t="shared" si="1"/>
        <v>女</v>
      </c>
      <c r="F25" s="7" t="s">
        <v>1881</v>
      </c>
    </row>
    <row r="26" spans="1:6" ht="20.100000000000001" customHeight="1" x14ac:dyDescent="0.15">
      <c r="A26" s="5">
        <v>23</v>
      </c>
      <c r="B26" s="6" t="str">
        <f>"30482021060221063477756"</f>
        <v>30482021060221063477756</v>
      </c>
      <c r="C26" s="6" t="s">
        <v>1870</v>
      </c>
      <c r="D26" s="6" t="str">
        <f>"冯芬"</f>
        <v>冯芬</v>
      </c>
      <c r="E26" s="6" t="str">
        <f t="shared" si="1"/>
        <v>女</v>
      </c>
      <c r="F26" s="7" t="s">
        <v>917</v>
      </c>
    </row>
    <row r="27" spans="1:6" ht="20.100000000000001" customHeight="1" x14ac:dyDescent="0.15">
      <c r="A27" s="5">
        <v>24</v>
      </c>
      <c r="B27" s="6" t="str">
        <f>"30482021060222384678491"</f>
        <v>30482021060222384678491</v>
      </c>
      <c r="C27" s="6" t="s">
        <v>1870</v>
      </c>
      <c r="D27" s="6" t="str">
        <f>"陈海瑞"</f>
        <v>陈海瑞</v>
      </c>
      <c r="E27" s="6" t="str">
        <f>"男"</f>
        <v>男</v>
      </c>
      <c r="F27" s="7" t="s">
        <v>1640</v>
      </c>
    </row>
    <row r="28" spans="1:6" ht="20.100000000000001" customHeight="1" x14ac:dyDescent="0.15">
      <c r="A28" s="5">
        <v>25</v>
      </c>
      <c r="B28" s="6" t="str">
        <f>"30482021060308482479646"</f>
        <v>30482021060308482479646</v>
      </c>
      <c r="C28" s="6" t="s">
        <v>1870</v>
      </c>
      <c r="D28" s="6" t="str">
        <f>"周新元"</f>
        <v>周新元</v>
      </c>
      <c r="E28" s="6" t="str">
        <f>"男"</f>
        <v>男</v>
      </c>
      <c r="F28" s="7" t="s">
        <v>1882</v>
      </c>
    </row>
    <row r="29" spans="1:6" ht="20.100000000000001" customHeight="1" x14ac:dyDescent="0.15">
      <c r="A29" s="5">
        <v>26</v>
      </c>
      <c r="B29" s="6" t="str">
        <f>"30482021060308504079667"</f>
        <v>30482021060308504079667</v>
      </c>
      <c r="C29" s="6" t="s">
        <v>1870</v>
      </c>
      <c r="D29" s="6" t="str">
        <f>"甘露雨"</f>
        <v>甘露雨</v>
      </c>
      <c r="E29" s="6" t="str">
        <f t="shared" ref="E29:E39" si="2">"女"</f>
        <v>女</v>
      </c>
      <c r="F29" s="7" t="s">
        <v>1883</v>
      </c>
    </row>
    <row r="30" spans="1:6" ht="20.100000000000001" customHeight="1" x14ac:dyDescent="0.15">
      <c r="A30" s="5">
        <v>27</v>
      </c>
      <c r="B30" s="6" t="str">
        <f>"30482021060309181780025"</f>
        <v>30482021060309181780025</v>
      </c>
      <c r="C30" s="6" t="s">
        <v>1870</v>
      </c>
      <c r="D30" s="6" t="str">
        <f>"郑玉"</f>
        <v>郑玉</v>
      </c>
      <c r="E30" s="6" t="str">
        <f t="shared" si="2"/>
        <v>女</v>
      </c>
      <c r="F30" s="7" t="s">
        <v>1140</v>
      </c>
    </row>
    <row r="31" spans="1:6" ht="20.100000000000001" customHeight="1" x14ac:dyDescent="0.15">
      <c r="A31" s="5">
        <v>28</v>
      </c>
      <c r="B31" s="6" t="str">
        <f>"30482021060309272680177"</f>
        <v>30482021060309272680177</v>
      </c>
      <c r="C31" s="6" t="s">
        <v>1870</v>
      </c>
      <c r="D31" s="6" t="str">
        <f>"吴用短"</f>
        <v>吴用短</v>
      </c>
      <c r="E31" s="6" t="str">
        <f t="shared" si="2"/>
        <v>女</v>
      </c>
      <c r="F31" s="7" t="s">
        <v>483</v>
      </c>
    </row>
    <row r="32" spans="1:6" ht="20.100000000000001" customHeight="1" x14ac:dyDescent="0.15">
      <c r="A32" s="5">
        <v>29</v>
      </c>
      <c r="B32" s="6" t="str">
        <f>"30482021060310365581276"</f>
        <v>30482021060310365581276</v>
      </c>
      <c r="C32" s="6" t="s">
        <v>1870</v>
      </c>
      <c r="D32" s="6" t="str">
        <f>"唐小杏"</f>
        <v>唐小杏</v>
      </c>
      <c r="E32" s="6" t="str">
        <f t="shared" si="2"/>
        <v>女</v>
      </c>
      <c r="F32" s="7" t="s">
        <v>1041</v>
      </c>
    </row>
    <row r="33" spans="1:6" ht="20.100000000000001" customHeight="1" x14ac:dyDescent="0.15">
      <c r="A33" s="5">
        <v>30</v>
      </c>
      <c r="B33" s="6" t="str">
        <f>"30482021060314360483779"</f>
        <v>30482021060314360483779</v>
      </c>
      <c r="C33" s="6" t="s">
        <v>1870</v>
      </c>
      <c r="D33" s="6" t="str">
        <f>"符浪浪"</f>
        <v>符浪浪</v>
      </c>
      <c r="E33" s="6" t="str">
        <f t="shared" si="2"/>
        <v>女</v>
      </c>
      <c r="F33" s="7" t="s">
        <v>30</v>
      </c>
    </row>
    <row r="34" spans="1:6" ht="20.100000000000001" customHeight="1" x14ac:dyDescent="0.15">
      <c r="A34" s="5">
        <v>31</v>
      </c>
      <c r="B34" s="6" t="str">
        <f>"30482021060319122986814"</f>
        <v>30482021060319122986814</v>
      </c>
      <c r="C34" s="6" t="s">
        <v>1870</v>
      </c>
      <c r="D34" s="6" t="str">
        <f>"谢惠珍"</f>
        <v>谢惠珍</v>
      </c>
      <c r="E34" s="6" t="str">
        <f t="shared" si="2"/>
        <v>女</v>
      </c>
      <c r="F34" s="7" t="s">
        <v>804</v>
      </c>
    </row>
    <row r="35" spans="1:6" ht="20.100000000000001" customHeight="1" x14ac:dyDescent="0.15">
      <c r="A35" s="5">
        <v>32</v>
      </c>
      <c r="B35" s="6" t="str">
        <f>"30482021060320425087696"</f>
        <v>30482021060320425087696</v>
      </c>
      <c r="C35" s="6" t="s">
        <v>1870</v>
      </c>
      <c r="D35" s="6" t="str">
        <f>"王小梦"</f>
        <v>王小梦</v>
      </c>
      <c r="E35" s="6" t="str">
        <f t="shared" si="2"/>
        <v>女</v>
      </c>
      <c r="F35" s="7" t="s">
        <v>536</v>
      </c>
    </row>
    <row r="36" spans="1:6" ht="20.100000000000001" customHeight="1" x14ac:dyDescent="0.15">
      <c r="A36" s="5">
        <v>33</v>
      </c>
      <c r="B36" s="6" t="str">
        <f>"30482021060323575189648"</f>
        <v>30482021060323575189648</v>
      </c>
      <c r="C36" s="6" t="s">
        <v>1870</v>
      </c>
      <c r="D36" s="6" t="str">
        <f>"陈丹凤"</f>
        <v>陈丹凤</v>
      </c>
      <c r="E36" s="6" t="str">
        <f t="shared" si="2"/>
        <v>女</v>
      </c>
      <c r="F36" s="7" t="s">
        <v>1324</v>
      </c>
    </row>
    <row r="37" spans="1:6" ht="20.100000000000001" customHeight="1" x14ac:dyDescent="0.15">
      <c r="A37" s="5">
        <v>34</v>
      </c>
      <c r="B37" s="6" t="str">
        <f>"30482021060410205791568"</f>
        <v>30482021060410205791568</v>
      </c>
      <c r="C37" s="6" t="s">
        <v>1870</v>
      </c>
      <c r="D37" s="6" t="str">
        <f>"林虹霞"</f>
        <v>林虹霞</v>
      </c>
      <c r="E37" s="6" t="str">
        <f t="shared" si="2"/>
        <v>女</v>
      </c>
      <c r="F37" s="7" t="s">
        <v>1884</v>
      </c>
    </row>
    <row r="38" spans="1:6" ht="20.100000000000001" customHeight="1" x14ac:dyDescent="0.15">
      <c r="A38" s="5">
        <v>35</v>
      </c>
      <c r="B38" s="6" t="str">
        <f>"304820210605121437100756"</f>
        <v>304820210605121437100756</v>
      </c>
      <c r="C38" s="6" t="s">
        <v>1870</v>
      </c>
      <c r="D38" s="6" t="str">
        <f>"云天姿"</f>
        <v>云天姿</v>
      </c>
      <c r="E38" s="6" t="str">
        <f t="shared" si="2"/>
        <v>女</v>
      </c>
      <c r="F38" s="7" t="s">
        <v>84</v>
      </c>
    </row>
    <row r="39" spans="1:6" ht="20.100000000000001" customHeight="1" x14ac:dyDescent="0.15">
      <c r="A39" s="5">
        <v>36</v>
      </c>
      <c r="B39" s="6" t="str">
        <f>"304820210605221412102322"</f>
        <v>304820210605221412102322</v>
      </c>
      <c r="C39" s="6" t="s">
        <v>1870</v>
      </c>
      <c r="D39" s="6" t="str">
        <f>"刘文还"</f>
        <v>刘文还</v>
      </c>
      <c r="E39" s="6" t="str">
        <f t="shared" si="2"/>
        <v>女</v>
      </c>
      <c r="F39" s="7" t="s">
        <v>362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6"/>
  <sheetViews>
    <sheetView workbookViewId="0">
      <selection activeCell="J7" sqref="J7"/>
    </sheetView>
  </sheetViews>
  <sheetFormatPr defaultColWidth="9" defaultRowHeight="20.100000000000001" customHeight="1" x14ac:dyDescent="0.15"/>
  <cols>
    <col min="1" max="1" width="7.125" style="1" customWidth="1"/>
    <col min="2" max="2" width="24.625" style="1" customWidth="1"/>
    <col min="3" max="3" width="14.125" style="1" customWidth="1"/>
    <col min="4" max="4" width="10.875" style="1" customWidth="1"/>
    <col min="5" max="5" width="7.125" style="1" customWidth="1"/>
    <col min="6" max="6" width="15.625" style="1" customWidth="1"/>
  </cols>
  <sheetData>
    <row r="1" spans="1:6" ht="20.100000000000001" customHeight="1" x14ac:dyDescent="0.15">
      <c r="A1" s="19" t="s">
        <v>2345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"30482021060114055263503"</f>
        <v>30482021060114055263503</v>
      </c>
      <c r="C4" s="6" t="s">
        <v>1885</v>
      </c>
      <c r="D4" s="6" t="str">
        <f>"周文翠"</f>
        <v>周文翠</v>
      </c>
      <c r="E4" s="6" t="str">
        <f t="shared" ref="E4:E7" si="0">"女"</f>
        <v>女</v>
      </c>
      <c r="F4" s="7" t="s">
        <v>791</v>
      </c>
    </row>
    <row r="5" spans="1:6" ht="20.100000000000001" customHeight="1" x14ac:dyDescent="0.15">
      <c r="A5" s="5">
        <v>2</v>
      </c>
      <c r="B5" s="6" t="str">
        <f>"30482021060114060563506"</f>
        <v>30482021060114060563506</v>
      </c>
      <c r="C5" s="6" t="s">
        <v>1885</v>
      </c>
      <c r="D5" s="6" t="str">
        <f>"符曼青"</f>
        <v>符曼青</v>
      </c>
      <c r="E5" s="6" t="str">
        <f t="shared" si="0"/>
        <v>女</v>
      </c>
      <c r="F5" s="7" t="s">
        <v>30</v>
      </c>
    </row>
    <row r="6" spans="1:6" ht="20.100000000000001" customHeight="1" x14ac:dyDescent="0.15">
      <c r="A6" s="5">
        <v>3</v>
      </c>
      <c r="B6" s="6" t="str">
        <f>"30482021060114060563507"</f>
        <v>30482021060114060563507</v>
      </c>
      <c r="C6" s="6" t="s">
        <v>1885</v>
      </c>
      <c r="D6" s="6" t="str">
        <f>"冯春爱"</f>
        <v>冯春爱</v>
      </c>
      <c r="E6" s="6" t="str">
        <f t="shared" si="0"/>
        <v>女</v>
      </c>
      <c r="F6" s="7" t="s">
        <v>587</v>
      </c>
    </row>
    <row r="7" spans="1:6" ht="20.100000000000001" customHeight="1" x14ac:dyDescent="0.15">
      <c r="A7" s="5">
        <v>4</v>
      </c>
      <c r="B7" s="6" t="str">
        <f>"30482021060114065463518"</f>
        <v>30482021060114065463518</v>
      </c>
      <c r="C7" s="6" t="s">
        <v>1885</v>
      </c>
      <c r="D7" s="6" t="str">
        <f>"梁妙丹"</f>
        <v>梁妙丹</v>
      </c>
      <c r="E7" s="6" t="str">
        <f t="shared" si="0"/>
        <v>女</v>
      </c>
      <c r="F7" s="7" t="s">
        <v>673</v>
      </c>
    </row>
    <row r="8" spans="1:6" ht="20.100000000000001" customHeight="1" x14ac:dyDescent="0.15">
      <c r="A8" s="5">
        <v>5</v>
      </c>
      <c r="B8" s="6" t="str">
        <f>"30482021060114110663548"</f>
        <v>30482021060114110663548</v>
      </c>
      <c r="C8" s="6" t="s">
        <v>1885</v>
      </c>
      <c r="D8" s="6" t="str">
        <f>"卓德函"</f>
        <v>卓德函</v>
      </c>
      <c r="E8" s="6" t="str">
        <f>"男"</f>
        <v>男</v>
      </c>
      <c r="F8" s="7" t="s">
        <v>1886</v>
      </c>
    </row>
    <row r="9" spans="1:6" ht="20.100000000000001" customHeight="1" x14ac:dyDescent="0.15">
      <c r="A9" s="5">
        <v>6</v>
      </c>
      <c r="B9" s="6" t="str">
        <f>"30482021060114122563568"</f>
        <v>30482021060114122563568</v>
      </c>
      <c r="C9" s="6" t="s">
        <v>1885</v>
      </c>
      <c r="D9" s="6" t="str">
        <f>"黄美琪"</f>
        <v>黄美琪</v>
      </c>
      <c r="E9" s="6" t="str">
        <f t="shared" ref="E9:E72" si="1">"女"</f>
        <v>女</v>
      </c>
      <c r="F9" s="7" t="s">
        <v>844</v>
      </c>
    </row>
    <row r="10" spans="1:6" ht="20.100000000000001" customHeight="1" x14ac:dyDescent="0.15">
      <c r="A10" s="5">
        <v>7</v>
      </c>
      <c r="B10" s="6" t="str">
        <f>"30482021060114193463636"</f>
        <v>30482021060114193463636</v>
      </c>
      <c r="C10" s="6" t="s">
        <v>1885</v>
      </c>
      <c r="D10" s="6" t="str">
        <f>"韦晓羽"</f>
        <v>韦晓羽</v>
      </c>
      <c r="E10" s="6" t="str">
        <f t="shared" si="1"/>
        <v>女</v>
      </c>
      <c r="F10" s="7" t="s">
        <v>1223</v>
      </c>
    </row>
    <row r="11" spans="1:6" ht="20.100000000000001" customHeight="1" x14ac:dyDescent="0.15">
      <c r="A11" s="5">
        <v>8</v>
      </c>
      <c r="B11" s="6" t="str">
        <f>"30482021060114195563640"</f>
        <v>30482021060114195563640</v>
      </c>
      <c r="C11" s="6" t="s">
        <v>1885</v>
      </c>
      <c r="D11" s="6" t="str">
        <f>"王晓雯"</f>
        <v>王晓雯</v>
      </c>
      <c r="E11" s="6" t="str">
        <f t="shared" si="1"/>
        <v>女</v>
      </c>
      <c r="F11" s="7" t="s">
        <v>1887</v>
      </c>
    </row>
    <row r="12" spans="1:6" ht="20.100000000000001" customHeight="1" x14ac:dyDescent="0.15">
      <c r="A12" s="5">
        <v>9</v>
      </c>
      <c r="B12" s="6" t="str">
        <f>"30482021060114214963664"</f>
        <v>30482021060114214963664</v>
      </c>
      <c r="C12" s="6" t="s">
        <v>1885</v>
      </c>
      <c r="D12" s="6" t="str">
        <f>"唐薇薇"</f>
        <v>唐薇薇</v>
      </c>
      <c r="E12" s="6" t="str">
        <f t="shared" si="1"/>
        <v>女</v>
      </c>
      <c r="F12" s="7" t="s">
        <v>42</v>
      </c>
    </row>
    <row r="13" spans="1:6" ht="20.100000000000001" customHeight="1" x14ac:dyDescent="0.15">
      <c r="A13" s="5">
        <v>10</v>
      </c>
      <c r="B13" s="6" t="str">
        <f>"30482021060114282563737"</f>
        <v>30482021060114282563737</v>
      </c>
      <c r="C13" s="6" t="s">
        <v>1885</v>
      </c>
      <c r="D13" s="6" t="str">
        <f>"魏心蕊"</f>
        <v>魏心蕊</v>
      </c>
      <c r="E13" s="6" t="str">
        <f t="shared" si="1"/>
        <v>女</v>
      </c>
      <c r="F13" s="7" t="s">
        <v>205</v>
      </c>
    </row>
    <row r="14" spans="1:6" ht="20.100000000000001" customHeight="1" x14ac:dyDescent="0.15">
      <c r="A14" s="5">
        <v>11</v>
      </c>
      <c r="B14" s="6" t="str">
        <f>"30482021060114330463783"</f>
        <v>30482021060114330463783</v>
      </c>
      <c r="C14" s="6" t="s">
        <v>1885</v>
      </c>
      <c r="D14" s="6" t="str">
        <f>"邢芳"</f>
        <v>邢芳</v>
      </c>
      <c r="E14" s="6" t="str">
        <f t="shared" si="1"/>
        <v>女</v>
      </c>
      <c r="F14" s="7" t="s">
        <v>433</v>
      </c>
    </row>
    <row r="15" spans="1:6" ht="20.100000000000001" customHeight="1" x14ac:dyDescent="0.15">
      <c r="A15" s="5">
        <v>12</v>
      </c>
      <c r="B15" s="6" t="str">
        <f>"30482021060114380063840"</f>
        <v>30482021060114380063840</v>
      </c>
      <c r="C15" s="6" t="s">
        <v>1885</v>
      </c>
      <c r="D15" s="6" t="str">
        <f>"罗秀南"</f>
        <v>罗秀南</v>
      </c>
      <c r="E15" s="6" t="str">
        <f t="shared" si="1"/>
        <v>女</v>
      </c>
      <c r="F15" s="7" t="s">
        <v>256</v>
      </c>
    </row>
    <row r="16" spans="1:6" ht="20.100000000000001" customHeight="1" x14ac:dyDescent="0.15">
      <c r="A16" s="5">
        <v>13</v>
      </c>
      <c r="B16" s="6" t="str">
        <f>"30482021060114393263868"</f>
        <v>30482021060114393263868</v>
      </c>
      <c r="C16" s="6" t="s">
        <v>1885</v>
      </c>
      <c r="D16" s="6" t="str">
        <f>"符朝惠"</f>
        <v>符朝惠</v>
      </c>
      <c r="E16" s="6" t="str">
        <f t="shared" si="1"/>
        <v>女</v>
      </c>
      <c r="F16" s="7" t="s">
        <v>628</v>
      </c>
    </row>
    <row r="17" spans="1:6" ht="20.100000000000001" customHeight="1" x14ac:dyDescent="0.15">
      <c r="A17" s="5">
        <v>14</v>
      </c>
      <c r="B17" s="6" t="str">
        <f>"30482021060114494463984"</f>
        <v>30482021060114494463984</v>
      </c>
      <c r="C17" s="6" t="s">
        <v>1885</v>
      </c>
      <c r="D17" s="6" t="str">
        <f>"周著霞"</f>
        <v>周著霞</v>
      </c>
      <c r="E17" s="6" t="str">
        <f t="shared" si="1"/>
        <v>女</v>
      </c>
      <c r="F17" s="7" t="s">
        <v>998</v>
      </c>
    </row>
    <row r="18" spans="1:6" ht="20.100000000000001" customHeight="1" x14ac:dyDescent="0.15">
      <c r="A18" s="5">
        <v>15</v>
      </c>
      <c r="B18" s="6" t="str">
        <f>"30482021060114542764053"</f>
        <v>30482021060114542764053</v>
      </c>
      <c r="C18" s="6" t="s">
        <v>1885</v>
      </c>
      <c r="D18" s="6" t="str">
        <f>"陈菲"</f>
        <v>陈菲</v>
      </c>
      <c r="E18" s="6" t="str">
        <f t="shared" si="1"/>
        <v>女</v>
      </c>
      <c r="F18" s="7" t="s">
        <v>25</v>
      </c>
    </row>
    <row r="19" spans="1:6" ht="20.100000000000001" customHeight="1" x14ac:dyDescent="0.15">
      <c r="A19" s="5">
        <v>16</v>
      </c>
      <c r="B19" s="6" t="str">
        <f>"30482021060114565164088"</f>
        <v>30482021060114565164088</v>
      </c>
      <c r="C19" s="6" t="s">
        <v>1885</v>
      </c>
      <c r="D19" s="6" t="str">
        <f>"姜叶"</f>
        <v>姜叶</v>
      </c>
      <c r="E19" s="6" t="str">
        <f t="shared" si="1"/>
        <v>女</v>
      </c>
      <c r="F19" s="7" t="s">
        <v>40</v>
      </c>
    </row>
    <row r="20" spans="1:6" ht="20.100000000000001" customHeight="1" x14ac:dyDescent="0.15">
      <c r="A20" s="5">
        <v>17</v>
      </c>
      <c r="B20" s="6" t="str">
        <f>"30482021060114570064092"</f>
        <v>30482021060114570064092</v>
      </c>
      <c r="C20" s="6" t="s">
        <v>1885</v>
      </c>
      <c r="D20" s="6" t="str">
        <f>"冯银"</f>
        <v>冯银</v>
      </c>
      <c r="E20" s="6" t="str">
        <f t="shared" si="1"/>
        <v>女</v>
      </c>
      <c r="F20" s="7" t="s">
        <v>30</v>
      </c>
    </row>
    <row r="21" spans="1:6" ht="20.100000000000001" customHeight="1" x14ac:dyDescent="0.15">
      <c r="A21" s="5">
        <v>18</v>
      </c>
      <c r="B21" s="6" t="str">
        <f>"30482021060114585064113"</f>
        <v>30482021060114585064113</v>
      </c>
      <c r="C21" s="6" t="s">
        <v>1885</v>
      </c>
      <c r="D21" s="6" t="str">
        <f>"周雯静"</f>
        <v>周雯静</v>
      </c>
      <c r="E21" s="6" t="str">
        <f t="shared" si="1"/>
        <v>女</v>
      </c>
      <c r="F21" s="7" t="s">
        <v>152</v>
      </c>
    </row>
    <row r="22" spans="1:6" ht="20.100000000000001" customHeight="1" x14ac:dyDescent="0.15">
      <c r="A22" s="5">
        <v>19</v>
      </c>
      <c r="B22" s="6" t="str">
        <f>"30482021060115071264224"</f>
        <v>30482021060115071264224</v>
      </c>
      <c r="C22" s="6" t="s">
        <v>1885</v>
      </c>
      <c r="D22" s="6" t="str">
        <f>"蔡佳秀"</f>
        <v>蔡佳秀</v>
      </c>
      <c r="E22" s="6" t="str">
        <f t="shared" si="1"/>
        <v>女</v>
      </c>
      <c r="F22" s="7" t="s">
        <v>1888</v>
      </c>
    </row>
    <row r="23" spans="1:6" ht="20.100000000000001" customHeight="1" x14ac:dyDescent="0.15">
      <c r="A23" s="5">
        <v>20</v>
      </c>
      <c r="B23" s="6" t="str">
        <f>"30482021060115081964237"</f>
        <v>30482021060115081964237</v>
      </c>
      <c r="C23" s="6" t="s">
        <v>1885</v>
      </c>
      <c r="D23" s="6" t="str">
        <f>"洪娉婷"</f>
        <v>洪娉婷</v>
      </c>
      <c r="E23" s="6" t="str">
        <f t="shared" si="1"/>
        <v>女</v>
      </c>
      <c r="F23" s="7" t="s">
        <v>887</v>
      </c>
    </row>
    <row r="24" spans="1:6" ht="20.100000000000001" customHeight="1" x14ac:dyDescent="0.15">
      <c r="A24" s="5">
        <v>21</v>
      </c>
      <c r="B24" s="6" t="str">
        <f>"30482021060115095164268"</f>
        <v>30482021060115095164268</v>
      </c>
      <c r="C24" s="6" t="s">
        <v>1885</v>
      </c>
      <c r="D24" s="6" t="str">
        <f>"黄琼哗"</f>
        <v>黄琼哗</v>
      </c>
      <c r="E24" s="6" t="str">
        <f t="shared" si="1"/>
        <v>女</v>
      </c>
      <c r="F24" s="7" t="s">
        <v>659</v>
      </c>
    </row>
    <row r="25" spans="1:6" ht="20.100000000000001" customHeight="1" x14ac:dyDescent="0.15">
      <c r="A25" s="5">
        <v>22</v>
      </c>
      <c r="B25" s="6" t="str">
        <f>"30482021060115103064276"</f>
        <v>30482021060115103064276</v>
      </c>
      <c r="C25" s="6" t="s">
        <v>1885</v>
      </c>
      <c r="D25" s="6" t="str">
        <f>"陈晓凡"</f>
        <v>陈晓凡</v>
      </c>
      <c r="E25" s="6" t="str">
        <f t="shared" si="1"/>
        <v>女</v>
      </c>
      <c r="F25" s="7" t="s">
        <v>750</v>
      </c>
    </row>
    <row r="26" spans="1:6" ht="20.100000000000001" customHeight="1" x14ac:dyDescent="0.15">
      <c r="A26" s="5">
        <v>23</v>
      </c>
      <c r="B26" s="6" t="str">
        <f>"30482021060115122564301"</f>
        <v>30482021060115122564301</v>
      </c>
      <c r="C26" s="6" t="s">
        <v>1885</v>
      </c>
      <c r="D26" s="6" t="str">
        <f>"周先丽"</f>
        <v>周先丽</v>
      </c>
      <c r="E26" s="6" t="str">
        <f t="shared" si="1"/>
        <v>女</v>
      </c>
      <c r="F26" s="7" t="s">
        <v>1662</v>
      </c>
    </row>
    <row r="27" spans="1:6" ht="20.100000000000001" customHeight="1" x14ac:dyDescent="0.15">
      <c r="A27" s="5">
        <v>24</v>
      </c>
      <c r="B27" s="6" t="str">
        <f>"30482021060115165664361"</f>
        <v>30482021060115165664361</v>
      </c>
      <c r="C27" s="6" t="s">
        <v>1885</v>
      </c>
      <c r="D27" s="6" t="str">
        <f>"姜璐"</f>
        <v>姜璐</v>
      </c>
      <c r="E27" s="6" t="str">
        <f t="shared" si="1"/>
        <v>女</v>
      </c>
      <c r="F27" s="7" t="s">
        <v>190</v>
      </c>
    </row>
    <row r="28" spans="1:6" ht="20.100000000000001" customHeight="1" x14ac:dyDescent="0.15">
      <c r="A28" s="5">
        <v>25</v>
      </c>
      <c r="B28" s="6" t="str">
        <f>"30482021060115261464471"</f>
        <v>30482021060115261464471</v>
      </c>
      <c r="C28" s="6" t="s">
        <v>1885</v>
      </c>
      <c r="D28" s="6" t="str">
        <f>"黄海慧"</f>
        <v>黄海慧</v>
      </c>
      <c r="E28" s="6" t="str">
        <f t="shared" si="1"/>
        <v>女</v>
      </c>
      <c r="F28" s="7" t="s">
        <v>1258</v>
      </c>
    </row>
    <row r="29" spans="1:6" ht="20.100000000000001" customHeight="1" x14ac:dyDescent="0.15">
      <c r="A29" s="5">
        <v>26</v>
      </c>
      <c r="B29" s="6" t="str">
        <f>"30482021060115270064488"</f>
        <v>30482021060115270064488</v>
      </c>
      <c r="C29" s="6" t="s">
        <v>1885</v>
      </c>
      <c r="D29" s="6" t="str">
        <f>"杨金妹"</f>
        <v>杨金妹</v>
      </c>
      <c r="E29" s="6" t="str">
        <f t="shared" si="1"/>
        <v>女</v>
      </c>
      <c r="F29" s="7" t="s">
        <v>1337</v>
      </c>
    </row>
    <row r="30" spans="1:6" ht="20.100000000000001" customHeight="1" x14ac:dyDescent="0.15">
      <c r="A30" s="5">
        <v>27</v>
      </c>
      <c r="B30" s="6" t="str">
        <f>"30482021060115301364519"</f>
        <v>30482021060115301364519</v>
      </c>
      <c r="C30" s="6" t="s">
        <v>1885</v>
      </c>
      <c r="D30" s="6" t="str">
        <f>"王小敏"</f>
        <v>王小敏</v>
      </c>
      <c r="E30" s="6" t="str">
        <f t="shared" si="1"/>
        <v>女</v>
      </c>
      <c r="F30" s="7" t="s">
        <v>1108</v>
      </c>
    </row>
    <row r="31" spans="1:6" ht="20.100000000000001" customHeight="1" x14ac:dyDescent="0.15">
      <c r="A31" s="5">
        <v>28</v>
      </c>
      <c r="B31" s="6" t="str">
        <f>"30482021060115332464564"</f>
        <v>30482021060115332464564</v>
      </c>
      <c r="C31" s="6" t="s">
        <v>1885</v>
      </c>
      <c r="D31" s="6" t="str">
        <f>"黄波"</f>
        <v>黄波</v>
      </c>
      <c r="E31" s="6" t="str">
        <f t="shared" si="1"/>
        <v>女</v>
      </c>
      <c r="F31" s="7" t="s">
        <v>140</v>
      </c>
    </row>
    <row r="32" spans="1:6" ht="20.100000000000001" customHeight="1" x14ac:dyDescent="0.15">
      <c r="A32" s="5">
        <v>29</v>
      </c>
      <c r="B32" s="6" t="str">
        <f>"30482021060115334764570"</f>
        <v>30482021060115334764570</v>
      </c>
      <c r="C32" s="6" t="s">
        <v>1885</v>
      </c>
      <c r="D32" s="6" t="str">
        <f>"吴高敏"</f>
        <v>吴高敏</v>
      </c>
      <c r="E32" s="6" t="str">
        <f t="shared" si="1"/>
        <v>女</v>
      </c>
      <c r="F32" s="7" t="s">
        <v>1889</v>
      </c>
    </row>
    <row r="33" spans="1:6" ht="20.100000000000001" customHeight="1" x14ac:dyDescent="0.15">
      <c r="A33" s="5">
        <v>30</v>
      </c>
      <c r="B33" s="6" t="str">
        <f>"30482021060115382564621"</f>
        <v>30482021060115382564621</v>
      </c>
      <c r="C33" s="6" t="s">
        <v>1885</v>
      </c>
      <c r="D33" s="6" t="str">
        <f>"符巧羽"</f>
        <v>符巧羽</v>
      </c>
      <c r="E33" s="6" t="str">
        <f t="shared" si="1"/>
        <v>女</v>
      </c>
      <c r="F33" s="7" t="s">
        <v>635</v>
      </c>
    </row>
    <row r="34" spans="1:6" ht="20.100000000000001" customHeight="1" x14ac:dyDescent="0.15">
      <c r="A34" s="5">
        <v>31</v>
      </c>
      <c r="B34" s="6" t="str">
        <f>"30482021060115412864659"</f>
        <v>30482021060115412864659</v>
      </c>
      <c r="C34" s="6" t="s">
        <v>1885</v>
      </c>
      <c r="D34" s="6" t="str">
        <f>"谭双英"</f>
        <v>谭双英</v>
      </c>
      <c r="E34" s="6" t="str">
        <f t="shared" si="1"/>
        <v>女</v>
      </c>
      <c r="F34" s="7" t="s">
        <v>143</v>
      </c>
    </row>
    <row r="35" spans="1:6" ht="20.100000000000001" customHeight="1" x14ac:dyDescent="0.15">
      <c r="A35" s="5">
        <v>32</v>
      </c>
      <c r="B35" s="6" t="str">
        <f>"30482021060115440264695"</f>
        <v>30482021060115440264695</v>
      </c>
      <c r="C35" s="6" t="s">
        <v>1885</v>
      </c>
      <c r="D35" s="6" t="str">
        <f>"王璟琬"</f>
        <v>王璟琬</v>
      </c>
      <c r="E35" s="6" t="str">
        <f t="shared" si="1"/>
        <v>女</v>
      </c>
      <c r="F35" s="7" t="s">
        <v>1108</v>
      </c>
    </row>
    <row r="36" spans="1:6" ht="20.100000000000001" customHeight="1" x14ac:dyDescent="0.15">
      <c r="A36" s="5">
        <v>33</v>
      </c>
      <c r="B36" s="6" t="str">
        <f>"30482021060115460664726"</f>
        <v>30482021060115460664726</v>
      </c>
      <c r="C36" s="6" t="s">
        <v>1885</v>
      </c>
      <c r="D36" s="6" t="str">
        <f>"郭伟兰"</f>
        <v>郭伟兰</v>
      </c>
      <c r="E36" s="6" t="str">
        <f t="shared" si="1"/>
        <v>女</v>
      </c>
      <c r="F36" s="7" t="s">
        <v>1890</v>
      </c>
    </row>
    <row r="37" spans="1:6" ht="20.100000000000001" customHeight="1" x14ac:dyDescent="0.15">
      <c r="A37" s="5">
        <v>34</v>
      </c>
      <c r="B37" s="6" t="str">
        <f>"30482021060115492364774"</f>
        <v>30482021060115492364774</v>
      </c>
      <c r="C37" s="6" t="s">
        <v>1885</v>
      </c>
      <c r="D37" s="6" t="str">
        <f>"沈艺真"</f>
        <v>沈艺真</v>
      </c>
      <c r="E37" s="6" t="str">
        <f t="shared" si="1"/>
        <v>女</v>
      </c>
      <c r="F37" s="7" t="s">
        <v>31</v>
      </c>
    </row>
    <row r="38" spans="1:6" ht="20.100000000000001" customHeight="1" x14ac:dyDescent="0.15">
      <c r="A38" s="5">
        <v>35</v>
      </c>
      <c r="B38" s="6" t="str">
        <f>"30482021060115521664811"</f>
        <v>30482021060115521664811</v>
      </c>
      <c r="C38" s="6" t="s">
        <v>1885</v>
      </c>
      <c r="D38" s="6" t="str">
        <f>"何美霞"</f>
        <v>何美霞</v>
      </c>
      <c r="E38" s="6" t="str">
        <f t="shared" si="1"/>
        <v>女</v>
      </c>
      <c r="F38" s="7" t="s">
        <v>1568</v>
      </c>
    </row>
    <row r="39" spans="1:6" ht="20.100000000000001" customHeight="1" x14ac:dyDescent="0.15">
      <c r="A39" s="5">
        <v>36</v>
      </c>
      <c r="B39" s="6" t="str">
        <f>"30482021060115521764812"</f>
        <v>30482021060115521764812</v>
      </c>
      <c r="C39" s="6" t="s">
        <v>1885</v>
      </c>
      <c r="D39" s="6" t="str">
        <f>"周敏"</f>
        <v>周敏</v>
      </c>
      <c r="E39" s="6" t="str">
        <f t="shared" si="1"/>
        <v>女</v>
      </c>
      <c r="F39" s="7" t="s">
        <v>788</v>
      </c>
    </row>
    <row r="40" spans="1:6" ht="20.100000000000001" customHeight="1" x14ac:dyDescent="0.15">
      <c r="A40" s="5">
        <v>37</v>
      </c>
      <c r="B40" s="6" t="str">
        <f>"30482021060115523064814"</f>
        <v>30482021060115523064814</v>
      </c>
      <c r="C40" s="6" t="s">
        <v>1885</v>
      </c>
      <c r="D40" s="6" t="str">
        <f>"陈俊桦"</f>
        <v>陈俊桦</v>
      </c>
      <c r="E40" s="6" t="str">
        <f t="shared" si="1"/>
        <v>女</v>
      </c>
      <c r="F40" s="7" t="s">
        <v>1277</v>
      </c>
    </row>
    <row r="41" spans="1:6" ht="20.100000000000001" customHeight="1" x14ac:dyDescent="0.15">
      <c r="A41" s="5">
        <v>38</v>
      </c>
      <c r="B41" s="6" t="str">
        <f>"30482021060115565364855"</f>
        <v>30482021060115565364855</v>
      </c>
      <c r="C41" s="6" t="s">
        <v>1885</v>
      </c>
      <c r="D41" s="6" t="str">
        <f>"吴倩仪"</f>
        <v>吴倩仪</v>
      </c>
      <c r="E41" s="6" t="str">
        <f t="shared" si="1"/>
        <v>女</v>
      </c>
      <c r="F41" s="7" t="s">
        <v>1546</v>
      </c>
    </row>
    <row r="42" spans="1:6" ht="20.100000000000001" customHeight="1" x14ac:dyDescent="0.15">
      <c r="A42" s="5">
        <v>39</v>
      </c>
      <c r="B42" s="6" t="str">
        <f>"30482021060115583164871"</f>
        <v>30482021060115583164871</v>
      </c>
      <c r="C42" s="6" t="s">
        <v>1885</v>
      </c>
      <c r="D42" s="6" t="str">
        <f>"林小玉"</f>
        <v>林小玉</v>
      </c>
      <c r="E42" s="6" t="str">
        <f t="shared" si="1"/>
        <v>女</v>
      </c>
      <c r="F42" s="7" t="s">
        <v>575</v>
      </c>
    </row>
    <row r="43" spans="1:6" ht="20.100000000000001" customHeight="1" x14ac:dyDescent="0.15">
      <c r="A43" s="5">
        <v>40</v>
      </c>
      <c r="B43" s="6" t="str">
        <f>"30482021060116001064890"</f>
        <v>30482021060116001064890</v>
      </c>
      <c r="C43" s="6" t="s">
        <v>1885</v>
      </c>
      <c r="D43" s="6" t="str">
        <f>"苏肖育"</f>
        <v>苏肖育</v>
      </c>
      <c r="E43" s="6" t="str">
        <f t="shared" si="1"/>
        <v>女</v>
      </c>
      <c r="F43" s="7" t="s">
        <v>730</v>
      </c>
    </row>
    <row r="44" spans="1:6" ht="20.100000000000001" customHeight="1" x14ac:dyDescent="0.15">
      <c r="A44" s="5">
        <v>41</v>
      </c>
      <c r="B44" s="6" t="str">
        <f>"30482021060116020364912"</f>
        <v>30482021060116020364912</v>
      </c>
      <c r="C44" s="6" t="s">
        <v>1885</v>
      </c>
      <c r="D44" s="6" t="str">
        <f>"杨迪淇"</f>
        <v>杨迪淇</v>
      </c>
      <c r="E44" s="6" t="str">
        <f t="shared" si="1"/>
        <v>女</v>
      </c>
      <c r="F44" s="7" t="s">
        <v>1459</v>
      </c>
    </row>
    <row r="45" spans="1:6" ht="20.100000000000001" customHeight="1" x14ac:dyDescent="0.15">
      <c r="A45" s="5">
        <v>42</v>
      </c>
      <c r="B45" s="6" t="str">
        <f>"30482021060116070364973"</f>
        <v>30482021060116070364973</v>
      </c>
      <c r="C45" s="6" t="s">
        <v>1885</v>
      </c>
      <c r="D45" s="6" t="str">
        <f>"吴多珍"</f>
        <v>吴多珍</v>
      </c>
      <c r="E45" s="6" t="str">
        <f t="shared" si="1"/>
        <v>女</v>
      </c>
      <c r="F45" s="7" t="s">
        <v>1891</v>
      </c>
    </row>
    <row r="46" spans="1:6" ht="20.100000000000001" customHeight="1" x14ac:dyDescent="0.15">
      <c r="A46" s="5">
        <v>43</v>
      </c>
      <c r="B46" s="6" t="str">
        <f>"30482021060116101265008"</f>
        <v>30482021060116101265008</v>
      </c>
      <c r="C46" s="6" t="s">
        <v>1885</v>
      </c>
      <c r="D46" s="6" t="str">
        <f>"吴艳"</f>
        <v>吴艳</v>
      </c>
      <c r="E46" s="6" t="str">
        <f t="shared" si="1"/>
        <v>女</v>
      </c>
      <c r="F46" s="7" t="s">
        <v>1471</v>
      </c>
    </row>
    <row r="47" spans="1:6" ht="20.100000000000001" customHeight="1" x14ac:dyDescent="0.15">
      <c r="A47" s="5">
        <v>44</v>
      </c>
      <c r="B47" s="6" t="str">
        <f>"30482021060116143865066"</f>
        <v>30482021060116143865066</v>
      </c>
      <c r="C47" s="6" t="s">
        <v>1885</v>
      </c>
      <c r="D47" s="6" t="str">
        <f>"黄凤"</f>
        <v>黄凤</v>
      </c>
      <c r="E47" s="6" t="str">
        <f t="shared" si="1"/>
        <v>女</v>
      </c>
      <c r="F47" s="7" t="s">
        <v>637</v>
      </c>
    </row>
    <row r="48" spans="1:6" ht="20.100000000000001" customHeight="1" x14ac:dyDescent="0.15">
      <c r="A48" s="5">
        <v>45</v>
      </c>
      <c r="B48" s="6" t="str">
        <f>"30482021060116173465108"</f>
        <v>30482021060116173465108</v>
      </c>
      <c r="C48" s="6" t="s">
        <v>1885</v>
      </c>
      <c r="D48" s="6" t="str">
        <f>"羊秀庆"</f>
        <v>羊秀庆</v>
      </c>
      <c r="E48" s="6" t="str">
        <f t="shared" si="1"/>
        <v>女</v>
      </c>
      <c r="F48" s="7" t="s">
        <v>1131</v>
      </c>
    </row>
    <row r="49" spans="1:6" ht="20.100000000000001" customHeight="1" x14ac:dyDescent="0.15">
      <c r="A49" s="5">
        <v>46</v>
      </c>
      <c r="B49" s="6" t="str">
        <f>"30482021060116195265131"</f>
        <v>30482021060116195265131</v>
      </c>
      <c r="C49" s="6" t="s">
        <v>1885</v>
      </c>
      <c r="D49" s="6" t="str">
        <f>"莫颖"</f>
        <v>莫颖</v>
      </c>
      <c r="E49" s="6" t="str">
        <f t="shared" si="1"/>
        <v>女</v>
      </c>
      <c r="F49" s="7" t="s">
        <v>1892</v>
      </c>
    </row>
    <row r="50" spans="1:6" ht="20.100000000000001" customHeight="1" x14ac:dyDescent="0.15">
      <c r="A50" s="5">
        <v>47</v>
      </c>
      <c r="B50" s="6" t="str">
        <f>"30482021060116195465133"</f>
        <v>30482021060116195465133</v>
      </c>
      <c r="C50" s="6" t="s">
        <v>1885</v>
      </c>
      <c r="D50" s="6" t="str">
        <f>"林青蔓"</f>
        <v>林青蔓</v>
      </c>
      <c r="E50" s="6" t="str">
        <f t="shared" si="1"/>
        <v>女</v>
      </c>
      <c r="F50" s="7" t="s">
        <v>100</v>
      </c>
    </row>
    <row r="51" spans="1:6" ht="20.100000000000001" customHeight="1" x14ac:dyDescent="0.15">
      <c r="A51" s="5">
        <v>48</v>
      </c>
      <c r="B51" s="6" t="str">
        <f>"30482021060116200265136"</f>
        <v>30482021060116200265136</v>
      </c>
      <c r="C51" s="6" t="s">
        <v>1885</v>
      </c>
      <c r="D51" s="6" t="str">
        <f>"温淑汝"</f>
        <v>温淑汝</v>
      </c>
      <c r="E51" s="6" t="str">
        <f t="shared" si="1"/>
        <v>女</v>
      </c>
      <c r="F51" s="7" t="s">
        <v>106</v>
      </c>
    </row>
    <row r="52" spans="1:6" ht="20.100000000000001" customHeight="1" x14ac:dyDescent="0.15">
      <c r="A52" s="5">
        <v>49</v>
      </c>
      <c r="B52" s="6" t="str">
        <f>"30482021060116214465155"</f>
        <v>30482021060116214465155</v>
      </c>
      <c r="C52" s="6" t="s">
        <v>1885</v>
      </c>
      <c r="D52" s="6" t="str">
        <f>"杨妹妹"</f>
        <v>杨妹妹</v>
      </c>
      <c r="E52" s="6" t="str">
        <f t="shared" si="1"/>
        <v>女</v>
      </c>
      <c r="F52" s="7" t="s">
        <v>1558</v>
      </c>
    </row>
    <row r="53" spans="1:6" ht="20.100000000000001" customHeight="1" x14ac:dyDescent="0.15">
      <c r="A53" s="5">
        <v>50</v>
      </c>
      <c r="B53" s="6" t="str">
        <f>"30482021060116241565209"</f>
        <v>30482021060116241565209</v>
      </c>
      <c r="C53" s="6" t="s">
        <v>1885</v>
      </c>
      <c r="D53" s="6" t="str">
        <f>"谭俊妃"</f>
        <v>谭俊妃</v>
      </c>
      <c r="E53" s="6" t="str">
        <f t="shared" si="1"/>
        <v>女</v>
      </c>
      <c r="F53" s="7" t="s">
        <v>1142</v>
      </c>
    </row>
    <row r="54" spans="1:6" ht="20.100000000000001" customHeight="1" x14ac:dyDescent="0.15">
      <c r="A54" s="5">
        <v>51</v>
      </c>
      <c r="B54" s="6" t="str">
        <f>"30482021060116241865210"</f>
        <v>30482021060116241865210</v>
      </c>
      <c r="C54" s="6" t="s">
        <v>1885</v>
      </c>
      <c r="D54" s="6" t="str">
        <f>"刘芳燕"</f>
        <v>刘芳燕</v>
      </c>
      <c r="E54" s="6" t="str">
        <f t="shared" si="1"/>
        <v>女</v>
      </c>
      <c r="F54" s="7" t="s">
        <v>617</v>
      </c>
    </row>
    <row r="55" spans="1:6" ht="20.100000000000001" customHeight="1" x14ac:dyDescent="0.15">
      <c r="A55" s="5">
        <v>52</v>
      </c>
      <c r="B55" s="6" t="str">
        <f>"30482021060116251265217"</f>
        <v>30482021060116251265217</v>
      </c>
      <c r="C55" s="6" t="s">
        <v>1885</v>
      </c>
      <c r="D55" s="6" t="str">
        <f>"陈萍萍"</f>
        <v>陈萍萍</v>
      </c>
      <c r="E55" s="6" t="str">
        <f t="shared" si="1"/>
        <v>女</v>
      </c>
      <c r="F55" s="7" t="s">
        <v>1560</v>
      </c>
    </row>
    <row r="56" spans="1:6" ht="20.100000000000001" customHeight="1" x14ac:dyDescent="0.15">
      <c r="A56" s="5">
        <v>53</v>
      </c>
      <c r="B56" s="6" t="str">
        <f>"30482021060116251465219"</f>
        <v>30482021060116251465219</v>
      </c>
      <c r="C56" s="6" t="s">
        <v>1885</v>
      </c>
      <c r="D56" s="6" t="str">
        <f>"冯菁菁"</f>
        <v>冯菁菁</v>
      </c>
      <c r="E56" s="6" t="str">
        <f t="shared" si="1"/>
        <v>女</v>
      </c>
      <c r="F56" s="7" t="s">
        <v>1639</v>
      </c>
    </row>
    <row r="57" spans="1:6" ht="20.100000000000001" customHeight="1" x14ac:dyDescent="0.15">
      <c r="A57" s="5">
        <v>54</v>
      </c>
      <c r="B57" s="6" t="str">
        <f>"30482021060116254565229"</f>
        <v>30482021060116254565229</v>
      </c>
      <c r="C57" s="6" t="s">
        <v>1885</v>
      </c>
      <c r="D57" s="6" t="str">
        <f>"邢梦怡"</f>
        <v>邢梦怡</v>
      </c>
      <c r="E57" s="6" t="str">
        <f t="shared" si="1"/>
        <v>女</v>
      </c>
      <c r="F57" s="7" t="s">
        <v>795</v>
      </c>
    </row>
    <row r="58" spans="1:6" ht="20.100000000000001" customHeight="1" x14ac:dyDescent="0.15">
      <c r="A58" s="5">
        <v>55</v>
      </c>
      <c r="B58" s="6" t="str">
        <f>"30482021060116290265280"</f>
        <v>30482021060116290265280</v>
      </c>
      <c r="C58" s="6" t="s">
        <v>1885</v>
      </c>
      <c r="D58" s="6" t="str">
        <f>"陈燕姣"</f>
        <v>陈燕姣</v>
      </c>
      <c r="E58" s="6" t="str">
        <f t="shared" si="1"/>
        <v>女</v>
      </c>
      <c r="F58" s="7" t="s">
        <v>1437</v>
      </c>
    </row>
    <row r="59" spans="1:6" ht="20.100000000000001" customHeight="1" x14ac:dyDescent="0.15">
      <c r="A59" s="5">
        <v>56</v>
      </c>
      <c r="B59" s="6" t="str">
        <f>"30482021060116302165298"</f>
        <v>30482021060116302165298</v>
      </c>
      <c r="C59" s="6" t="s">
        <v>1885</v>
      </c>
      <c r="D59" s="6" t="str">
        <f>"符芳虹"</f>
        <v>符芳虹</v>
      </c>
      <c r="E59" s="6" t="str">
        <f t="shared" si="1"/>
        <v>女</v>
      </c>
      <c r="F59" s="7" t="s">
        <v>559</v>
      </c>
    </row>
    <row r="60" spans="1:6" ht="20.100000000000001" customHeight="1" x14ac:dyDescent="0.15">
      <c r="A60" s="5">
        <v>57</v>
      </c>
      <c r="B60" s="6" t="str">
        <f>"30482021060116325265332"</f>
        <v>30482021060116325265332</v>
      </c>
      <c r="C60" s="6" t="s">
        <v>1885</v>
      </c>
      <c r="D60" s="6" t="str">
        <f>"陈怡洁"</f>
        <v>陈怡洁</v>
      </c>
      <c r="E60" s="6" t="str">
        <f t="shared" si="1"/>
        <v>女</v>
      </c>
      <c r="F60" s="7" t="s">
        <v>14</v>
      </c>
    </row>
    <row r="61" spans="1:6" ht="20.100000000000001" customHeight="1" x14ac:dyDescent="0.15">
      <c r="A61" s="5">
        <v>58</v>
      </c>
      <c r="B61" s="6" t="str">
        <f>"30482021060116331065336"</f>
        <v>30482021060116331065336</v>
      </c>
      <c r="C61" s="6" t="s">
        <v>1885</v>
      </c>
      <c r="D61" s="6" t="str">
        <f>"翁德玉"</f>
        <v>翁德玉</v>
      </c>
      <c r="E61" s="6" t="str">
        <f t="shared" si="1"/>
        <v>女</v>
      </c>
      <c r="F61" s="7" t="s">
        <v>258</v>
      </c>
    </row>
    <row r="62" spans="1:6" ht="20.100000000000001" customHeight="1" x14ac:dyDescent="0.15">
      <c r="A62" s="5">
        <v>59</v>
      </c>
      <c r="B62" s="6" t="str">
        <f>"30482021060116411265435"</f>
        <v>30482021060116411265435</v>
      </c>
      <c r="C62" s="6" t="s">
        <v>1885</v>
      </c>
      <c r="D62" s="6" t="str">
        <f>"冯文彬"</f>
        <v>冯文彬</v>
      </c>
      <c r="E62" s="6" t="str">
        <f t="shared" si="1"/>
        <v>女</v>
      </c>
      <c r="F62" s="7" t="s">
        <v>50</v>
      </c>
    </row>
    <row r="63" spans="1:6" ht="20.100000000000001" customHeight="1" x14ac:dyDescent="0.15">
      <c r="A63" s="5">
        <v>60</v>
      </c>
      <c r="B63" s="6" t="str">
        <f>"30482021060116412865439"</f>
        <v>30482021060116412865439</v>
      </c>
      <c r="C63" s="6" t="s">
        <v>1885</v>
      </c>
      <c r="D63" s="6" t="str">
        <f>"林渊红"</f>
        <v>林渊红</v>
      </c>
      <c r="E63" s="6" t="str">
        <f t="shared" si="1"/>
        <v>女</v>
      </c>
      <c r="F63" s="7" t="s">
        <v>1143</v>
      </c>
    </row>
    <row r="64" spans="1:6" ht="20.100000000000001" customHeight="1" x14ac:dyDescent="0.15">
      <c r="A64" s="5">
        <v>61</v>
      </c>
      <c r="B64" s="6" t="str">
        <f>"30482021060116421565458"</f>
        <v>30482021060116421565458</v>
      </c>
      <c r="C64" s="6" t="s">
        <v>1885</v>
      </c>
      <c r="D64" s="6" t="str">
        <f>"林秋花"</f>
        <v>林秋花</v>
      </c>
      <c r="E64" s="6" t="str">
        <f t="shared" si="1"/>
        <v>女</v>
      </c>
      <c r="F64" s="7" t="s">
        <v>985</v>
      </c>
    </row>
    <row r="65" spans="1:6" ht="20.100000000000001" customHeight="1" x14ac:dyDescent="0.15">
      <c r="A65" s="5">
        <v>62</v>
      </c>
      <c r="B65" s="6" t="str">
        <f>"30482021060116491465548"</f>
        <v>30482021060116491465548</v>
      </c>
      <c r="C65" s="6" t="s">
        <v>1885</v>
      </c>
      <c r="D65" s="6" t="str">
        <f>"陈彩云"</f>
        <v>陈彩云</v>
      </c>
      <c r="E65" s="6" t="str">
        <f t="shared" si="1"/>
        <v>女</v>
      </c>
      <c r="F65" s="7" t="s">
        <v>663</v>
      </c>
    </row>
    <row r="66" spans="1:6" ht="20.100000000000001" customHeight="1" x14ac:dyDescent="0.15">
      <c r="A66" s="5">
        <v>63</v>
      </c>
      <c r="B66" s="6" t="str">
        <f>"30482021060116494165552"</f>
        <v>30482021060116494165552</v>
      </c>
      <c r="C66" s="6" t="s">
        <v>1885</v>
      </c>
      <c r="D66" s="6" t="str">
        <f>"吴泥漫"</f>
        <v>吴泥漫</v>
      </c>
      <c r="E66" s="6" t="str">
        <f t="shared" si="1"/>
        <v>女</v>
      </c>
      <c r="F66" s="7" t="s">
        <v>167</v>
      </c>
    </row>
    <row r="67" spans="1:6" ht="20.100000000000001" customHeight="1" x14ac:dyDescent="0.15">
      <c r="A67" s="5">
        <v>64</v>
      </c>
      <c r="B67" s="6" t="str">
        <f>"30482021060116503465569"</f>
        <v>30482021060116503465569</v>
      </c>
      <c r="C67" s="6" t="s">
        <v>1885</v>
      </c>
      <c r="D67" s="6" t="str">
        <f>"陈慕珍"</f>
        <v>陈慕珍</v>
      </c>
      <c r="E67" s="6" t="str">
        <f t="shared" si="1"/>
        <v>女</v>
      </c>
      <c r="F67" s="7" t="s">
        <v>324</v>
      </c>
    </row>
    <row r="68" spans="1:6" ht="20.100000000000001" customHeight="1" x14ac:dyDescent="0.15">
      <c r="A68" s="5">
        <v>65</v>
      </c>
      <c r="B68" s="6" t="str">
        <f>"30482021060116513865581"</f>
        <v>30482021060116513865581</v>
      </c>
      <c r="C68" s="6" t="s">
        <v>1885</v>
      </c>
      <c r="D68" s="6" t="str">
        <f>"李如玉"</f>
        <v>李如玉</v>
      </c>
      <c r="E68" s="6" t="str">
        <f t="shared" si="1"/>
        <v>女</v>
      </c>
      <c r="F68" s="7" t="s">
        <v>1273</v>
      </c>
    </row>
    <row r="69" spans="1:6" ht="20.100000000000001" customHeight="1" x14ac:dyDescent="0.15">
      <c r="A69" s="5">
        <v>66</v>
      </c>
      <c r="B69" s="6" t="str">
        <f>"30482021060116561365642"</f>
        <v>30482021060116561365642</v>
      </c>
      <c r="C69" s="6" t="s">
        <v>1885</v>
      </c>
      <c r="D69" s="6" t="str">
        <f>"周凤"</f>
        <v>周凤</v>
      </c>
      <c r="E69" s="6" t="str">
        <f t="shared" si="1"/>
        <v>女</v>
      </c>
      <c r="F69" s="7" t="s">
        <v>622</v>
      </c>
    </row>
    <row r="70" spans="1:6" ht="20.100000000000001" customHeight="1" x14ac:dyDescent="0.15">
      <c r="A70" s="5">
        <v>67</v>
      </c>
      <c r="B70" s="6" t="str">
        <f>"30482021060116595665680"</f>
        <v>30482021060116595665680</v>
      </c>
      <c r="C70" s="6" t="s">
        <v>1885</v>
      </c>
      <c r="D70" s="6" t="str">
        <f>"卢婷"</f>
        <v>卢婷</v>
      </c>
      <c r="E70" s="6" t="str">
        <f t="shared" si="1"/>
        <v>女</v>
      </c>
      <c r="F70" s="7" t="s">
        <v>307</v>
      </c>
    </row>
    <row r="71" spans="1:6" ht="20.100000000000001" customHeight="1" x14ac:dyDescent="0.15">
      <c r="A71" s="5">
        <v>68</v>
      </c>
      <c r="B71" s="6" t="str">
        <f>"30482021060117081165790"</f>
        <v>30482021060117081165790</v>
      </c>
      <c r="C71" s="6" t="s">
        <v>1885</v>
      </c>
      <c r="D71" s="6" t="str">
        <f>"陈丽"</f>
        <v>陈丽</v>
      </c>
      <c r="E71" s="6" t="str">
        <f t="shared" si="1"/>
        <v>女</v>
      </c>
      <c r="F71" s="7" t="s">
        <v>1893</v>
      </c>
    </row>
    <row r="72" spans="1:6" ht="20.100000000000001" customHeight="1" x14ac:dyDescent="0.15">
      <c r="A72" s="5">
        <v>69</v>
      </c>
      <c r="B72" s="6" t="str">
        <f>"30482021060117081665792"</f>
        <v>30482021060117081665792</v>
      </c>
      <c r="C72" s="6" t="s">
        <v>1885</v>
      </c>
      <c r="D72" s="6" t="str">
        <f>"邢晖"</f>
        <v>邢晖</v>
      </c>
      <c r="E72" s="6" t="str">
        <f t="shared" si="1"/>
        <v>女</v>
      </c>
      <c r="F72" s="7" t="s">
        <v>31</v>
      </c>
    </row>
    <row r="73" spans="1:6" ht="20.100000000000001" customHeight="1" x14ac:dyDescent="0.15">
      <c r="A73" s="5">
        <v>70</v>
      </c>
      <c r="B73" s="6" t="str">
        <f>"30482021060117135665854"</f>
        <v>30482021060117135665854</v>
      </c>
      <c r="C73" s="6" t="s">
        <v>1885</v>
      </c>
      <c r="D73" s="6" t="str">
        <f>"彭夏芳"</f>
        <v>彭夏芳</v>
      </c>
      <c r="E73" s="6" t="str">
        <f t="shared" ref="E73:E136" si="2">"女"</f>
        <v>女</v>
      </c>
      <c r="F73" s="7" t="s">
        <v>1283</v>
      </c>
    </row>
    <row r="74" spans="1:6" ht="20.100000000000001" customHeight="1" x14ac:dyDescent="0.15">
      <c r="A74" s="5">
        <v>71</v>
      </c>
      <c r="B74" s="6" t="str">
        <f>"30482021060117142465859"</f>
        <v>30482021060117142465859</v>
      </c>
      <c r="C74" s="6" t="s">
        <v>1885</v>
      </c>
      <c r="D74" s="6" t="str">
        <f>"符少慧"</f>
        <v>符少慧</v>
      </c>
      <c r="E74" s="6" t="str">
        <f t="shared" si="2"/>
        <v>女</v>
      </c>
      <c r="F74" s="7" t="s">
        <v>1894</v>
      </c>
    </row>
    <row r="75" spans="1:6" ht="20.100000000000001" customHeight="1" x14ac:dyDescent="0.15">
      <c r="A75" s="5">
        <v>72</v>
      </c>
      <c r="B75" s="6" t="str">
        <f>"30482021060117160665881"</f>
        <v>30482021060117160665881</v>
      </c>
      <c r="C75" s="6" t="s">
        <v>1885</v>
      </c>
      <c r="D75" s="6" t="str">
        <f>"王钰棚"</f>
        <v>王钰棚</v>
      </c>
      <c r="E75" s="6" t="str">
        <f t="shared" si="2"/>
        <v>女</v>
      </c>
      <c r="F75" s="7" t="s">
        <v>631</v>
      </c>
    </row>
    <row r="76" spans="1:6" ht="20.100000000000001" customHeight="1" x14ac:dyDescent="0.15">
      <c r="A76" s="5">
        <v>73</v>
      </c>
      <c r="B76" s="6" t="str">
        <f>"30482021060117180465904"</f>
        <v>30482021060117180465904</v>
      </c>
      <c r="C76" s="6" t="s">
        <v>1885</v>
      </c>
      <c r="D76" s="6" t="str">
        <f>"符鸿飞"</f>
        <v>符鸿飞</v>
      </c>
      <c r="E76" s="6" t="str">
        <f t="shared" si="2"/>
        <v>女</v>
      </c>
      <c r="F76" s="7" t="s">
        <v>927</v>
      </c>
    </row>
    <row r="77" spans="1:6" ht="20.100000000000001" customHeight="1" x14ac:dyDescent="0.15">
      <c r="A77" s="5">
        <v>74</v>
      </c>
      <c r="B77" s="6" t="str">
        <f>"30482021060117184365909"</f>
        <v>30482021060117184365909</v>
      </c>
      <c r="C77" s="6" t="s">
        <v>1885</v>
      </c>
      <c r="D77" s="6" t="str">
        <f>"金冬女"</f>
        <v>金冬女</v>
      </c>
      <c r="E77" s="6" t="str">
        <f t="shared" si="2"/>
        <v>女</v>
      </c>
      <c r="F77" s="7" t="s">
        <v>1608</v>
      </c>
    </row>
    <row r="78" spans="1:6" ht="20.100000000000001" customHeight="1" x14ac:dyDescent="0.15">
      <c r="A78" s="5">
        <v>75</v>
      </c>
      <c r="B78" s="6" t="str">
        <f>"30482021060117184865911"</f>
        <v>30482021060117184865911</v>
      </c>
      <c r="C78" s="6" t="s">
        <v>1885</v>
      </c>
      <c r="D78" s="6" t="str">
        <f>"张佩"</f>
        <v>张佩</v>
      </c>
      <c r="E78" s="6" t="str">
        <f t="shared" si="2"/>
        <v>女</v>
      </c>
      <c r="F78" s="7" t="s">
        <v>1895</v>
      </c>
    </row>
    <row r="79" spans="1:6" ht="20.100000000000001" customHeight="1" x14ac:dyDescent="0.15">
      <c r="A79" s="5">
        <v>76</v>
      </c>
      <c r="B79" s="6" t="str">
        <f>"30482021060117215965946"</f>
        <v>30482021060117215965946</v>
      </c>
      <c r="C79" s="6" t="s">
        <v>1885</v>
      </c>
      <c r="D79" s="6" t="str">
        <f>"符莞莹"</f>
        <v>符莞莹</v>
      </c>
      <c r="E79" s="6" t="str">
        <f t="shared" si="2"/>
        <v>女</v>
      </c>
      <c r="F79" s="7" t="s">
        <v>1395</v>
      </c>
    </row>
    <row r="80" spans="1:6" ht="20.100000000000001" customHeight="1" x14ac:dyDescent="0.15">
      <c r="A80" s="5">
        <v>77</v>
      </c>
      <c r="B80" s="6" t="str">
        <f>"30482021060117232765964"</f>
        <v>30482021060117232765964</v>
      </c>
      <c r="C80" s="6" t="s">
        <v>1885</v>
      </c>
      <c r="D80" s="6" t="str">
        <f>"余建翠"</f>
        <v>余建翠</v>
      </c>
      <c r="E80" s="6" t="str">
        <f t="shared" si="2"/>
        <v>女</v>
      </c>
      <c r="F80" s="7" t="s">
        <v>1466</v>
      </c>
    </row>
    <row r="81" spans="1:6" ht="20.100000000000001" customHeight="1" x14ac:dyDescent="0.15">
      <c r="A81" s="5">
        <v>78</v>
      </c>
      <c r="B81" s="6" t="str">
        <f>"30482021060117261565985"</f>
        <v>30482021060117261565985</v>
      </c>
      <c r="C81" s="6" t="s">
        <v>1885</v>
      </c>
      <c r="D81" s="6" t="str">
        <f>"曾雪"</f>
        <v>曾雪</v>
      </c>
      <c r="E81" s="6" t="str">
        <f t="shared" si="2"/>
        <v>女</v>
      </c>
      <c r="F81" s="7" t="s">
        <v>1147</v>
      </c>
    </row>
    <row r="82" spans="1:6" ht="20.100000000000001" customHeight="1" x14ac:dyDescent="0.15">
      <c r="A82" s="5">
        <v>79</v>
      </c>
      <c r="B82" s="6" t="str">
        <f>"30482021060117264665994"</f>
        <v>30482021060117264665994</v>
      </c>
      <c r="C82" s="6" t="s">
        <v>1885</v>
      </c>
      <c r="D82" s="6" t="str">
        <f>"苏秀玲"</f>
        <v>苏秀玲</v>
      </c>
      <c r="E82" s="6" t="str">
        <f t="shared" si="2"/>
        <v>女</v>
      </c>
      <c r="F82" s="7" t="s">
        <v>1235</v>
      </c>
    </row>
    <row r="83" spans="1:6" ht="20.100000000000001" customHeight="1" x14ac:dyDescent="0.15">
      <c r="A83" s="5">
        <v>80</v>
      </c>
      <c r="B83" s="6" t="str">
        <f>"30482021060117474166205"</f>
        <v>30482021060117474166205</v>
      </c>
      <c r="C83" s="6" t="s">
        <v>1885</v>
      </c>
      <c r="D83" s="6" t="str">
        <f>"李菊花"</f>
        <v>李菊花</v>
      </c>
      <c r="E83" s="6" t="str">
        <f t="shared" si="2"/>
        <v>女</v>
      </c>
      <c r="F83" s="7" t="s">
        <v>758</v>
      </c>
    </row>
    <row r="84" spans="1:6" ht="20.100000000000001" customHeight="1" x14ac:dyDescent="0.15">
      <c r="A84" s="5">
        <v>81</v>
      </c>
      <c r="B84" s="6" t="str">
        <f>"30482021060117481566213"</f>
        <v>30482021060117481566213</v>
      </c>
      <c r="C84" s="6" t="s">
        <v>1885</v>
      </c>
      <c r="D84" s="6" t="str">
        <f>"陈少娥"</f>
        <v>陈少娥</v>
      </c>
      <c r="E84" s="6" t="str">
        <f t="shared" si="2"/>
        <v>女</v>
      </c>
      <c r="F84" s="7" t="s">
        <v>179</v>
      </c>
    </row>
    <row r="85" spans="1:6" ht="20.100000000000001" customHeight="1" x14ac:dyDescent="0.15">
      <c r="A85" s="5">
        <v>82</v>
      </c>
      <c r="B85" s="6" t="str">
        <f>"30482021060117493566228"</f>
        <v>30482021060117493566228</v>
      </c>
      <c r="C85" s="6" t="s">
        <v>1885</v>
      </c>
      <c r="D85" s="6" t="str">
        <f>"陈瑜"</f>
        <v>陈瑜</v>
      </c>
      <c r="E85" s="6" t="str">
        <f t="shared" si="2"/>
        <v>女</v>
      </c>
      <c r="F85" s="7" t="s">
        <v>1422</v>
      </c>
    </row>
    <row r="86" spans="1:6" ht="20.100000000000001" customHeight="1" x14ac:dyDescent="0.15">
      <c r="A86" s="5">
        <v>83</v>
      </c>
      <c r="B86" s="6" t="str">
        <f>"30482021060117540766273"</f>
        <v>30482021060117540766273</v>
      </c>
      <c r="C86" s="6" t="s">
        <v>1885</v>
      </c>
      <c r="D86" s="6" t="str">
        <f>"王斯毅"</f>
        <v>王斯毅</v>
      </c>
      <c r="E86" s="6" t="str">
        <f t="shared" si="2"/>
        <v>女</v>
      </c>
      <c r="F86" s="7" t="s">
        <v>31</v>
      </c>
    </row>
    <row r="87" spans="1:6" ht="20.100000000000001" customHeight="1" x14ac:dyDescent="0.15">
      <c r="A87" s="5">
        <v>84</v>
      </c>
      <c r="B87" s="6" t="str">
        <f>"30482021060118035066353"</f>
        <v>30482021060118035066353</v>
      </c>
      <c r="C87" s="6" t="s">
        <v>1885</v>
      </c>
      <c r="D87" s="6" t="str">
        <f>"段丽芳"</f>
        <v>段丽芳</v>
      </c>
      <c r="E87" s="6" t="str">
        <f t="shared" si="2"/>
        <v>女</v>
      </c>
      <c r="F87" s="7" t="s">
        <v>1896</v>
      </c>
    </row>
    <row r="88" spans="1:6" ht="20.100000000000001" customHeight="1" x14ac:dyDescent="0.15">
      <c r="A88" s="5">
        <v>85</v>
      </c>
      <c r="B88" s="6" t="str">
        <f>"30482021060118080666392"</f>
        <v>30482021060118080666392</v>
      </c>
      <c r="C88" s="6" t="s">
        <v>1885</v>
      </c>
      <c r="D88" s="6" t="str">
        <f>"陈达娟"</f>
        <v>陈达娟</v>
      </c>
      <c r="E88" s="6" t="str">
        <f t="shared" si="2"/>
        <v>女</v>
      </c>
      <c r="F88" s="7" t="s">
        <v>1897</v>
      </c>
    </row>
    <row r="89" spans="1:6" ht="20.100000000000001" customHeight="1" x14ac:dyDescent="0.15">
      <c r="A89" s="5">
        <v>86</v>
      </c>
      <c r="B89" s="6" t="str">
        <f>"30482021060118135866435"</f>
        <v>30482021060118135866435</v>
      </c>
      <c r="C89" s="6" t="s">
        <v>1885</v>
      </c>
      <c r="D89" s="6" t="str">
        <f>"冯志冲"</f>
        <v>冯志冲</v>
      </c>
      <c r="E89" s="6" t="str">
        <f t="shared" si="2"/>
        <v>女</v>
      </c>
      <c r="F89" s="7" t="s">
        <v>1898</v>
      </c>
    </row>
    <row r="90" spans="1:6" ht="20.100000000000001" customHeight="1" x14ac:dyDescent="0.15">
      <c r="A90" s="5">
        <v>87</v>
      </c>
      <c r="B90" s="6" t="str">
        <f>"30482021060118141866441"</f>
        <v>30482021060118141866441</v>
      </c>
      <c r="C90" s="6" t="s">
        <v>1885</v>
      </c>
      <c r="D90" s="6" t="str">
        <f>"王春琴"</f>
        <v>王春琴</v>
      </c>
      <c r="E90" s="6" t="str">
        <f t="shared" si="2"/>
        <v>女</v>
      </c>
      <c r="F90" s="7" t="s">
        <v>318</v>
      </c>
    </row>
    <row r="91" spans="1:6" ht="20.100000000000001" customHeight="1" x14ac:dyDescent="0.15">
      <c r="A91" s="5">
        <v>88</v>
      </c>
      <c r="B91" s="6" t="str">
        <f>"30482021060118161066457"</f>
        <v>30482021060118161066457</v>
      </c>
      <c r="C91" s="6" t="s">
        <v>1885</v>
      </c>
      <c r="D91" s="6" t="str">
        <f>"王雨婷"</f>
        <v>王雨婷</v>
      </c>
      <c r="E91" s="6" t="str">
        <f t="shared" si="2"/>
        <v>女</v>
      </c>
      <c r="F91" s="7" t="s">
        <v>284</v>
      </c>
    </row>
    <row r="92" spans="1:6" ht="20.100000000000001" customHeight="1" x14ac:dyDescent="0.15">
      <c r="A92" s="5">
        <v>89</v>
      </c>
      <c r="B92" s="6" t="str">
        <f>"30482021060118201366492"</f>
        <v>30482021060118201366492</v>
      </c>
      <c r="C92" s="6" t="s">
        <v>1885</v>
      </c>
      <c r="D92" s="6" t="str">
        <f>"王亚锐"</f>
        <v>王亚锐</v>
      </c>
      <c r="E92" s="6" t="str">
        <f t="shared" si="2"/>
        <v>女</v>
      </c>
      <c r="F92" s="7" t="s">
        <v>115</v>
      </c>
    </row>
    <row r="93" spans="1:6" ht="20.100000000000001" customHeight="1" x14ac:dyDescent="0.15">
      <c r="A93" s="5">
        <v>90</v>
      </c>
      <c r="B93" s="6" t="str">
        <f>"30482021060118202066493"</f>
        <v>30482021060118202066493</v>
      </c>
      <c r="C93" s="6" t="s">
        <v>1885</v>
      </c>
      <c r="D93" s="6" t="str">
        <f>"王新乾"</f>
        <v>王新乾</v>
      </c>
      <c r="E93" s="6" t="str">
        <f t="shared" si="2"/>
        <v>女</v>
      </c>
      <c r="F93" s="7" t="s">
        <v>1332</v>
      </c>
    </row>
    <row r="94" spans="1:6" ht="20.100000000000001" customHeight="1" x14ac:dyDescent="0.15">
      <c r="A94" s="5">
        <v>91</v>
      </c>
      <c r="B94" s="6" t="str">
        <f>"30482021060118210066497"</f>
        <v>30482021060118210066497</v>
      </c>
      <c r="C94" s="6" t="s">
        <v>1885</v>
      </c>
      <c r="D94" s="6" t="str">
        <f>"吴小妹"</f>
        <v>吴小妹</v>
      </c>
      <c r="E94" s="6" t="str">
        <f t="shared" si="2"/>
        <v>女</v>
      </c>
      <c r="F94" s="7" t="s">
        <v>910</v>
      </c>
    </row>
    <row r="95" spans="1:6" ht="20.100000000000001" customHeight="1" x14ac:dyDescent="0.15">
      <c r="A95" s="5">
        <v>92</v>
      </c>
      <c r="B95" s="6" t="str">
        <f>"30482021060118242166528"</f>
        <v>30482021060118242166528</v>
      </c>
      <c r="C95" s="6" t="s">
        <v>1885</v>
      </c>
      <c r="D95" s="6" t="str">
        <f>"陈碧月"</f>
        <v>陈碧月</v>
      </c>
      <c r="E95" s="6" t="str">
        <f t="shared" si="2"/>
        <v>女</v>
      </c>
      <c r="F95" s="7" t="s">
        <v>357</v>
      </c>
    </row>
    <row r="96" spans="1:6" ht="20.100000000000001" customHeight="1" x14ac:dyDescent="0.15">
      <c r="A96" s="5">
        <v>93</v>
      </c>
      <c r="B96" s="6" t="str">
        <f>"30482021060118245266533"</f>
        <v>30482021060118245266533</v>
      </c>
      <c r="C96" s="6" t="s">
        <v>1885</v>
      </c>
      <c r="D96" s="6" t="str">
        <f>"王艺慧"</f>
        <v>王艺慧</v>
      </c>
      <c r="E96" s="6" t="str">
        <f t="shared" si="2"/>
        <v>女</v>
      </c>
      <c r="F96" s="7" t="s">
        <v>352</v>
      </c>
    </row>
    <row r="97" spans="1:6" ht="20.100000000000001" customHeight="1" x14ac:dyDescent="0.15">
      <c r="A97" s="5">
        <v>94</v>
      </c>
      <c r="B97" s="6" t="str">
        <f>"30482021060118412566658"</f>
        <v>30482021060118412566658</v>
      </c>
      <c r="C97" s="6" t="s">
        <v>1885</v>
      </c>
      <c r="D97" s="6" t="str">
        <f>"谢景美"</f>
        <v>谢景美</v>
      </c>
      <c r="E97" s="6" t="str">
        <f t="shared" si="2"/>
        <v>女</v>
      </c>
      <c r="F97" s="7" t="s">
        <v>1546</v>
      </c>
    </row>
    <row r="98" spans="1:6" ht="20.100000000000001" customHeight="1" x14ac:dyDescent="0.15">
      <c r="A98" s="5">
        <v>95</v>
      </c>
      <c r="B98" s="6" t="str">
        <f>"30482021060118442266680"</f>
        <v>30482021060118442266680</v>
      </c>
      <c r="C98" s="6" t="s">
        <v>1885</v>
      </c>
      <c r="D98" s="6" t="str">
        <f>"钟月珊"</f>
        <v>钟月珊</v>
      </c>
      <c r="E98" s="6" t="str">
        <f t="shared" si="2"/>
        <v>女</v>
      </c>
      <c r="F98" s="7" t="s">
        <v>650</v>
      </c>
    </row>
    <row r="99" spans="1:6" ht="20.100000000000001" customHeight="1" x14ac:dyDescent="0.15">
      <c r="A99" s="5">
        <v>96</v>
      </c>
      <c r="B99" s="6" t="str">
        <f>"30482021060118493966722"</f>
        <v>30482021060118493966722</v>
      </c>
      <c r="C99" s="6" t="s">
        <v>1885</v>
      </c>
      <c r="D99" s="6" t="str">
        <f>"李月玲"</f>
        <v>李月玲</v>
      </c>
      <c r="E99" s="6" t="str">
        <f t="shared" si="2"/>
        <v>女</v>
      </c>
      <c r="F99" s="7" t="s">
        <v>1510</v>
      </c>
    </row>
    <row r="100" spans="1:6" ht="20.100000000000001" customHeight="1" x14ac:dyDescent="0.15">
      <c r="A100" s="5">
        <v>97</v>
      </c>
      <c r="B100" s="6" t="str">
        <f>"30482021060118531166754"</f>
        <v>30482021060118531166754</v>
      </c>
      <c r="C100" s="6" t="s">
        <v>1885</v>
      </c>
      <c r="D100" s="6" t="str">
        <f>"梁真芸"</f>
        <v>梁真芸</v>
      </c>
      <c r="E100" s="6" t="str">
        <f t="shared" si="2"/>
        <v>女</v>
      </c>
      <c r="F100" s="7" t="s">
        <v>1727</v>
      </c>
    </row>
    <row r="101" spans="1:6" ht="20.100000000000001" customHeight="1" x14ac:dyDescent="0.15">
      <c r="A101" s="5">
        <v>98</v>
      </c>
      <c r="B101" s="6" t="str">
        <f>"30482021060119102166886"</f>
        <v>30482021060119102166886</v>
      </c>
      <c r="C101" s="6" t="s">
        <v>1885</v>
      </c>
      <c r="D101" s="6" t="str">
        <f>"谢黄芳"</f>
        <v>谢黄芳</v>
      </c>
      <c r="E101" s="6" t="str">
        <f t="shared" si="2"/>
        <v>女</v>
      </c>
      <c r="F101" s="7" t="s">
        <v>112</v>
      </c>
    </row>
    <row r="102" spans="1:6" ht="20.100000000000001" customHeight="1" x14ac:dyDescent="0.15">
      <c r="A102" s="5">
        <v>99</v>
      </c>
      <c r="B102" s="6" t="str">
        <f>"30482021060119122066898"</f>
        <v>30482021060119122066898</v>
      </c>
      <c r="C102" s="6" t="s">
        <v>1885</v>
      </c>
      <c r="D102" s="6" t="str">
        <f>"吴群"</f>
        <v>吴群</v>
      </c>
      <c r="E102" s="6" t="str">
        <f t="shared" si="2"/>
        <v>女</v>
      </c>
      <c r="F102" s="7" t="s">
        <v>603</v>
      </c>
    </row>
    <row r="103" spans="1:6" ht="20.100000000000001" customHeight="1" x14ac:dyDescent="0.15">
      <c r="A103" s="5">
        <v>100</v>
      </c>
      <c r="B103" s="6" t="str">
        <f>"30482021060119162166925"</f>
        <v>30482021060119162166925</v>
      </c>
      <c r="C103" s="6" t="s">
        <v>1885</v>
      </c>
      <c r="D103" s="6" t="str">
        <f>"钟红灵"</f>
        <v>钟红灵</v>
      </c>
      <c r="E103" s="6" t="str">
        <f t="shared" si="2"/>
        <v>女</v>
      </c>
      <c r="F103" s="7" t="s">
        <v>1899</v>
      </c>
    </row>
    <row r="104" spans="1:6" ht="20.100000000000001" customHeight="1" x14ac:dyDescent="0.15">
      <c r="A104" s="5">
        <v>101</v>
      </c>
      <c r="B104" s="6" t="str">
        <f>"30482021060119233066973"</f>
        <v>30482021060119233066973</v>
      </c>
      <c r="C104" s="6" t="s">
        <v>1885</v>
      </c>
      <c r="D104" s="6" t="str">
        <f>"王丽娟"</f>
        <v>王丽娟</v>
      </c>
      <c r="E104" s="6" t="str">
        <f t="shared" si="2"/>
        <v>女</v>
      </c>
      <c r="F104" s="7" t="s">
        <v>57</v>
      </c>
    </row>
    <row r="105" spans="1:6" ht="20.100000000000001" customHeight="1" x14ac:dyDescent="0.15">
      <c r="A105" s="5">
        <v>102</v>
      </c>
      <c r="B105" s="6" t="str">
        <f>"30482021060119324467047"</f>
        <v>30482021060119324467047</v>
      </c>
      <c r="C105" s="6" t="s">
        <v>1885</v>
      </c>
      <c r="D105" s="6" t="str">
        <f>"李秋萍"</f>
        <v>李秋萍</v>
      </c>
      <c r="E105" s="6" t="str">
        <f t="shared" si="2"/>
        <v>女</v>
      </c>
      <c r="F105" s="7" t="s">
        <v>173</v>
      </c>
    </row>
    <row r="106" spans="1:6" ht="20.100000000000001" customHeight="1" x14ac:dyDescent="0.15">
      <c r="A106" s="5">
        <v>103</v>
      </c>
      <c r="B106" s="6" t="str">
        <f>"30482021060119352167063"</f>
        <v>30482021060119352167063</v>
      </c>
      <c r="C106" s="6" t="s">
        <v>1885</v>
      </c>
      <c r="D106" s="6" t="str">
        <f>"王金玳"</f>
        <v>王金玳</v>
      </c>
      <c r="E106" s="6" t="str">
        <f t="shared" si="2"/>
        <v>女</v>
      </c>
      <c r="F106" s="7" t="s">
        <v>25</v>
      </c>
    </row>
    <row r="107" spans="1:6" ht="20.100000000000001" customHeight="1" x14ac:dyDescent="0.15">
      <c r="A107" s="5">
        <v>104</v>
      </c>
      <c r="B107" s="6" t="str">
        <f>"30482021060120141068004"</f>
        <v>30482021060120141068004</v>
      </c>
      <c r="C107" s="6" t="s">
        <v>1885</v>
      </c>
      <c r="D107" s="6" t="str">
        <f>"符方玲"</f>
        <v>符方玲</v>
      </c>
      <c r="E107" s="6" t="str">
        <f t="shared" si="2"/>
        <v>女</v>
      </c>
      <c r="F107" s="7" t="s">
        <v>498</v>
      </c>
    </row>
    <row r="108" spans="1:6" ht="20.100000000000001" customHeight="1" x14ac:dyDescent="0.15">
      <c r="A108" s="5">
        <v>105</v>
      </c>
      <c r="B108" s="6" t="str">
        <f>"30482021060120155868019"</f>
        <v>30482021060120155868019</v>
      </c>
      <c r="C108" s="6" t="s">
        <v>1885</v>
      </c>
      <c r="D108" s="6" t="str">
        <f>"唐丽敏"</f>
        <v>唐丽敏</v>
      </c>
      <c r="E108" s="6" t="str">
        <f t="shared" si="2"/>
        <v>女</v>
      </c>
      <c r="F108" s="7" t="s">
        <v>635</v>
      </c>
    </row>
    <row r="109" spans="1:6" ht="20.100000000000001" customHeight="1" x14ac:dyDescent="0.15">
      <c r="A109" s="5">
        <v>106</v>
      </c>
      <c r="B109" s="6" t="str">
        <f>"30482021060120173268030"</f>
        <v>30482021060120173268030</v>
      </c>
      <c r="C109" s="6" t="s">
        <v>1885</v>
      </c>
      <c r="D109" s="6" t="str">
        <f>"云春蕊"</f>
        <v>云春蕊</v>
      </c>
      <c r="E109" s="6" t="str">
        <f t="shared" si="2"/>
        <v>女</v>
      </c>
      <c r="F109" s="7" t="s">
        <v>53</v>
      </c>
    </row>
    <row r="110" spans="1:6" ht="20.100000000000001" customHeight="1" x14ac:dyDescent="0.15">
      <c r="A110" s="5">
        <v>107</v>
      </c>
      <c r="B110" s="6" t="str">
        <f>"30482021060120375368211"</f>
        <v>30482021060120375368211</v>
      </c>
      <c r="C110" s="6" t="s">
        <v>1885</v>
      </c>
      <c r="D110" s="6" t="str">
        <f>"饶敏"</f>
        <v>饶敏</v>
      </c>
      <c r="E110" s="6" t="str">
        <f t="shared" si="2"/>
        <v>女</v>
      </c>
      <c r="F110" s="7" t="s">
        <v>208</v>
      </c>
    </row>
    <row r="111" spans="1:6" ht="20.100000000000001" customHeight="1" x14ac:dyDescent="0.15">
      <c r="A111" s="5">
        <v>108</v>
      </c>
      <c r="B111" s="6" t="str">
        <f>"30482021060120424368252"</f>
        <v>30482021060120424368252</v>
      </c>
      <c r="C111" s="6" t="s">
        <v>1885</v>
      </c>
      <c r="D111" s="6" t="str">
        <f>"龙丹丹"</f>
        <v>龙丹丹</v>
      </c>
      <c r="E111" s="6" t="str">
        <f t="shared" si="2"/>
        <v>女</v>
      </c>
      <c r="F111" s="7" t="s">
        <v>490</v>
      </c>
    </row>
    <row r="112" spans="1:6" ht="20.100000000000001" customHeight="1" x14ac:dyDescent="0.15">
      <c r="A112" s="5">
        <v>109</v>
      </c>
      <c r="B112" s="6" t="str">
        <f>"30482021060120505768334"</f>
        <v>30482021060120505768334</v>
      </c>
      <c r="C112" s="6" t="s">
        <v>1885</v>
      </c>
      <c r="D112" s="6" t="str">
        <f>"钟佳宸"</f>
        <v>钟佳宸</v>
      </c>
      <c r="E112" s="6" t="str">
        <f t="shared" si="2"/>
        <v>女</v>
      </c>
      <c r="F112" s="7" t="s">
        <v>1900</v>
      </c>
    </row>
    <row r="113" spans="1:6" ht="20.100000000000001" customHeight="1" x14ac:dyDescent="0.15">
      <c r="A113" s="5">
        <v>110</v>
      </c>
      <c r="B113" s="6" t="str">
        <f>"30482021060120535568363"</f>
        <v>30482021060120535568363</v>
      </c>
      <c r="C113" s="6" t="s">
        <v>1885</v>
      </c>
      <c r="D113" s="6" t="str">
        <f>"吴冠英"</f>
        <v>吴冠英</v>
      </c>
      <c r="E113" s="6" t="str">
        <f t="shared" si="2"/>
        <v>女</v>
      </c>
      <c r="F113" s="7" t="s">
        <v>1747</v>
      </c>
    </row>
    <row r="114" spans="1:6" ht="20.100000000000001" customHeight="1" x14ac:dyDescent="0.15">
      <c r="A114" s="5">
        <v>111</v>
      </c>
      <c r="B114" s="6" t="str">
        <f>"30482021060121123768523"</f>
        <v>30482021060121123768523</v>
      </c>
      <c r="C114" s="6" t="s">
        <v>1885</v>
      </c>
      <c r="D114" s="6" t="str">
        <f>"王莉"</f>
        <v>王莉</v>
      </c>
      <c r="E114" s="6" t="str">
        <f t="shared" si="2"/>
        <v>女</v>
      </c>
      <c r="F114" s="7" t="s">
        <v>1901</v>
      </c>
    </row>
    <row r="115" spans="1:6" ht="20.100000000000001" customHeight="1" x14ac:dyDescent="0.15">
      <c r="A115" s="5">
        <v>112</v>
      </c>
      <c r="B115" s="6" t="str">
        <f>"30482021060121334869209"</f>
        <v>30482021060121334869209</v>
      </c>
      <c r="C115" s="6" t="s">
        <v>1885</v>
      </c>
      <c r="D115" s="6" t="str">
        <f>"王海珠"</f>
        <v>王海珠</v>
      </c>
      <c r="E115" s="6" t="str">
        <f t="shared" si="2"/>
        <v>女</v>
      </c>
      <c r="F115" s="7" t="s">
        <v>450</v>
      </c>
    </row>
    <row r="116" spans="1:6" ht="20.100000000000001" customHeight="1" x14ac:dyDescent="0.15">
      <c r="A116" s="5">
        <v>113</v>
      </c>
      <c r="B116" s="6" t="str">
        <f>"30482021060121443569469"</f>
        <v>30482021060121443569469</v>
      </c>
      <c r="C116" s="6" t="s">
        <v>1885</v>
      </c>
      <c r="D116" s="6" t="str">
        <f>"许小拿"</f>
        <v>许小拿</v>
      </c>
      <c r="E116" s="6" t="str">
        <f t="shared" si="2"/>
        <v>女</v>
      </c>
      <c r="F116" s="7" t="s">
        <v>1437</v>
      </c>
    </row>
    <row r="117" spans="1:6" ht="20.100000000000001" customHeight="1" x14ac:dyDescent="0.15">
      <c r="A117" s="5">
        <v>114</v>
      </c>
      <c r="B117" s="6" t="str">
        <f>"30482021060121553469580"</f>
        <v>30482021060121553469580</v>
      </c>
      <c r="C117" s="6" t="s">
        <v>1885</v>
      </c>
      <c r="D117" s="6" t="str">
        <f>"杨博斯"</f>
        <v>杨博斯</v>
      </c>
      <c r="E117" s="6" t="str">
        <f t="shared" si="2"/>
        <v>女</v>
      </c>
      <c r="F117" s="7" t="s">
        <v>434</v>
      </c>
    </row>
    <row r="118" spans="1:6" ht="20.100000000000001" customHeight="1" x14ac:dyDescent="0.15">
      <c r="A118" s="5">
        <v>115</v>
      </c>
      <c r="B118" s="6" t="str">
        <f>"30482021060122080269685"</f>
        <v>30482021060122080269685</v>
      </c>
      <c r="C118" s="6" t="s">
        <v>1885</v>
      </c>
      <c r="D118" s="6" t="str">
        <f>"张珠"</f>
        <v>张珠</v>
      </c>
      <c r="E118" s="6" t="str">
        <f t="shared" si="2"/>
        <v>女</v>
      </c>
      <c r="F118" s="7" t="s">
        <v>36</v>
      </c>
    </row>
    <row r="119" spans="1:6" ht="20.100000000000001" customHeight="1" x14ac:dyDescent="0.15">
      <c r="A119" s="5">
        <v>116</v>
      </c>
      <c r="B119" s="6" t="str">
        <f>"30482021060122102469710"</f>
        <v>30482021060122102469710</v>
      </c>
      <c r="C119" s="6" t="s">
        <v>1885</v>
      </c>
      <c r="D119" s="6" t="str">
        <f>"徐晓聘"</f>
        <v>徐晓聘</v>
      </c>
      <c r="E119" s="6" t="str">
        <f t="shared" si="2"/>
        <v>女</v>
      </c>
      <c r="F119" s="7" t="s">
        <v>923</v>
      </c>
    </row>
    <row r="120" spans="1:6" ht="20.100000000000001" customHeight="1" x14ac:dyDescent="0.15">
      <c r="A120" s="5">
        <v>117</v>
      </c>
      <c r="B120" s="6" t="str">
        <f>"30482021060122133469731"</f>
        <v>30482021060122133469731</v>
      </c>
      <c r="C120" s="6" t="s">
        <v>1885</v>
      </c>
      <c r="D120" s="6" t="str">
        <f>"吴坤柳"</f>
        <v>吴坤柳</v>
      </c>
      <c r="E120" s="6" t="str">
        <f t="shared" si="2"/>
        <v>女</v>
      </c>
      <c r="F120" s="7" t="s">
        <v>50</v>
      </c>
    </row>
    <row r="121" spans="1:6" ht="20.100000000000001" customHeight="1" x14ac:dyDescent="0.15">
      <c r="A121" s="5">
        <v>118</v>
      </c>
      <c r="B121" s="6" t="str">
        <f>"30482021060122241269824"</f>
        <v>30482021060122241269824</v>
      </c>
      <c r="C121" s="6" t="s">
        <v>1885</v>
      </c>
      <c r="D121" s="6" t="str">
        <f>"王妹"</f>
        <v>王妹</v>
      </c>
      <c r="E121" s="6" t="str">
        <f t="shared" si="2"/>
        <v>女</v>
      </c>
      <c r="F121" s="7" t="s">
        <v>175</v>
      </c>
    </row>
    <row r="122" spans="1:6" ht="20.100000000000001" customHeight="1" x14ac:dyDescent="0.15">
      <c r="A122" s="5">
        <v>119</v>
      </c>
      <c r="B122" s="6" t="str">
        <f>"30482021060122273069850"</f>
        <v>30482021060122273069850</v>
      </c>
      <c r="C122" s="6" t="s">
        <v>1885</v>
      </c>
      <c r="D122" s="6" t="str">
        <f>"邓美环"</f>
        <v>邓美环</v>
      </c>
      <c r="E122" s="6" t="str">
        <f t="shared" si="2"/>
        <v>女</v>
      </c>
      <c r="F122" s="7" t="s">
        <v>521</v>
      </c>
    </row>
    <row r="123" spans="1:6" ht="20.100000000000001" customHeight="1" x14ac:dyDescent="0.15">
      <c r="A123" s="5">
        <v>120</v>
      </c>
      <c r="B123" s="6" t="str">
        <f>"30482021060122301069870"</f>
        <v>30482021060122301069870</v>
      </c>
      <c r="C123" s="6" t="s">
        <v>1885</v>
      </c>
      <c r="D123" s="6" t="str">
        <f>"许小连"</f>
        <v>许小连</v>
      </c>
      <c r="E123" s="6" t="str">
        <f t="shared" si="2"/>
        <v>女</v>
      </c>
      <c r="F123" s="7" t="s">
        <v>1902</v>
      </c>
    </row>
    <row r="124" spans="1:6" ht="20.100000000000001" customHeight="1" x14ac:dyDescent="0.15">
      <c r="A124" s="5">
        <v>121</v>
      </c>
      <c r="B124" s="6" t="str">
        <f>"30482021060122350869923"</f>
        <v>30482021060122350869923</v>
      </c>
      <c r="C124" s="6" t="s">
        <v>1885</v>
      </c>
      <c r="D124" s="6" t="str">
        <f>"王玲"</f>
        <v>王玲</v>
      </c>
      <c r="E124" s="6" t="str">
        <f t="shared" si="2"/>
        <v>女</v>
      </c>
      <c r="F124" s="7" t="s">
        <v>659</v>
      </c>
    </row>
    <row r="125" spans="1:6" ht="20.100000000000001" customHeight="1" x14ac:dyDescent="0.15">
      <c r="A125" s="5">
        <v>122</v>
      </c>
      <c r="B125" s="6" t="str">
        <f>"30482021060122360269934"</f>
        <v>30482021060122360269934</v>
      </c>
      <c r="C125" s="6" t="s">
        <v>1885</v>
      </c>
      <c r="D125" s="6" t="str">
        <f>"陈婧"</f>
        <v>陈婧</v>
      </c>
      <c r="E125" s="6" t="str">
        <f t="shared" si="2"/>
        <v>女</v>
      </c>
      <c r="F125" s="7" t="s">
        <v>519</v>
      </c>
    </row>
    <row r="126" spans="1:6" ht="20.100000000000001" customHeight="1" x14ac:dyDescent="0.15">
      <c r="A126" s="5">
        <v>123</v>
      </c>
      <c r="B126" s="6" t="str">
        <f>"30482021060122385869967"</f>
        <v>30482021060122385869967</v>
      </c>
      <c r="C126" s="6" t="s">
        <v>1885</v>
      </c>
      <c r="D126" s="6" t="str">
        <f>"赵哈拿"</f>
        <v>赵哈拿</v>
      </c>
      <c r="E126" s="6" t="str">
        <f t="shared" si="2"/>
        <v>女</v>
      </c>
      <c r="F126" s="7" t="s">
        <v>1832</v>
      </c>
    </row>
    <row r="127" spans="1:6" ht="20.100000000000001" customHeight="1" x14ac:dyDescent="0.15">
      <c r="A127" s="5">
        <v>124</v>
      </c>
      <c r="B127" s="6" t="str">
        <f>"30482021060122404169980"</f>
        <v>30482021060122404169980</v>
      </c>
      <c r="C127" s="6" t="s">
        <v>1885</v>
      </c>
      <c r="D127" s="6" t="str">
        <f>"徐训连"</f>
        <v>徐训连</v>
      </c>
      <c r="E127" s="6" t="str">
        <f t="shared" si="2"/>
        <v>女</v>
      </c>
      <c r="F127" s="7" t="s">
        <v>1903</v>
      </c>
    </row>
    <row r="128" spans="1:6" ht="20.100000000000001" customHeight="1" x14ac:dyDescent="0.15">
      <c r="A128" s="5">
        <v>125</v>
      </c>
      <c r="B128" s="6" t="str">
        <f>"30482021060123042970137"</f>
        <v>30482021060123042970137</v>
      </c>
      <c r="C128" s="6" t="s">
        <v>1885</v>
      </c>
      <c r="D128" s="6" t="str">
        <f>"林燕燕"</f>
        <v>林燕燕</v>
      </c>
      <c r="E128" s="6" t="str">
        <f t="shared" si="2"/>
        <v>女</v>
      </c>
      <c r="F128" s="7" t="s">
        <v>179</v>
      </c>
    </row>
    <row r="129" spans="1:6" ht="20.100000000000001" customHeight="1" x14ac:dyDescent="0.15">
      <c r="A129" s="5">
        <v>126</v>
      </c>
      <c r="B129" s="6" t="str">
        <f>"30482021060123043470140"</f>
        <v>30482021060123043470140</v>
      </c>
      <c r="C129" s="6" t="s">
        <v>1885</v>
      </c>
      <c r="D129" s="6" t="str">
        <f>"吴彩虹"</f>
        <v>吴彩虹</v>
      </c>
      <c r="E129" s="6" t="str">
        <f t="shared" si="2"/>
        <v>女</v>
      </c>
      <c r="F129" s="7" t="s">
        <v>48</v>
      </c>
    </row>
    <row r="130" spans="1:6" ht="20.100000000000001" customHeight="1" x14ac:dyDescent="0.15">
      <c r="A130" s="5">
        <v>127</v>
      </c>
      <c r="B130" s="6" t="str">
        <f>"30482021060123323270281"</f>
        <v>30482021060123323270281</v>
      </c>
      <c r="C130" s="6" t="s">
        <v>1885</v>
      </c>
      <c r="D130" s="6" t="str">
        <f>"胡丹丹"</f>
        <v>胡丹丹</v>
      </c>
      <c r="E130" s="6" t="str">
        <f t="shared" si="2"/>
        <v>女</v>
      </c>
      <c r="F130" s="7" t="s">
        <v>1904</v>
      </c>
    </row>
    <row r="131" spans="1:6" ht="20.100000000000001" customHeight="1" x14ac:dyDescent="0.15">
      <c r="A131" s="5">
        <v>128</v>
      </c>
      <c r="B131" s="6" t="str">
        <f>"30482021060200542670481"</f>
        <v>30482021060200542670481</v>
      </c>
      <c r="C131" s="6" t="s">
        <v>1885</v>
      </c>
      <c r="D131" s="6" t="str">
        <f>"林湘琦"</f>
        <v>林湘琦</v>
      </c>
      <c r="E131" s="6" t="str">
        <f t="shared" si="2"/>
        <v>女</v>
      </c>
      <c r="F131" s="7" t="s">
        <v>25</v>
      </c>
    </row>
    <row r="132" spans="1:6" ht="20.100000000000001" customHeight="1" x14ac:dyDescent="0.15">
      <c r="A132" s="5">
        <v>129</v>
      </c>
      <c r="B132" s="6" t="str">
        <f>"30482021060201140670499"</f>
        <v>30482021060201140670499</v>
      </c>
      <c r="C132" s="6" t="s">
        <v>1885</v>
      </c>
      <c r="D132" s="6" t="str">
        <f>"祝晓扬"</f>
        <v>祝晓扬</v>
      </c>
      <c r="E132" s="6" t="str">
        <f t="shared" si="2"/>
        <v>女</v>
      </c>
      <c r="F132" s="7" t="s">
        <v>80</v>
      </c>
    </row>
    <row r="133" spans="1:6" ht="20.100000000000001" customHeight="1" x14ac:dyDescent="0.15">
      <c r="A133" s="5">
        <v>130</v>
      </c>
      <c r="B133" s="6" t="str">
        <f>"30482021060207285870611"</f>
        <v>30482021060207285870611</v>
      </c>
      <c r="C133" s="6" t="s">
        <v>1885</v>
      </c>
      <c r="D133" s="6" t="str">
        <f>"吴小容"</f>
        <v>吴小容</v>
      </c>
      <c r="E133" s="6" t="str">
        <f t="shared" si="2"/>
        <v>女</v>
      </c>
      <c r="F133" s="7" t="s">
        <v>131</v>
      </c>
    </row>
    <row r="134" spans="1:6" ht="20.100000000000001" customHeight="1" x14ac:dyDescent="0.15">
      <c r="A134" s="5">
        <v>131</v>
      </c>
      <c r="B134" s="6" t="str">
        <f>"30482021060207352670621"</f>
        <v>30482021060207352670621</v>
      </c>
      <c r="C134" s="6" t="s">
        <v>1885</v>
      </c>
      <c r="D134" s="6" t="str">
        <f>"冯琳琬"</f>
        <v>冯琳琬</v>
      </c>
      <c r="E134" s="6" t="str">
        <f t="shared" si="2"/>
        <v>女</v>
      </c>
      <c r="F134" s="7" t="s">
        <v>946</v>
      </c>
    </row>
    <row r="135" spans="1:6" ht="20.100000000000001" customHeight="1" x14ac:dyDescent="0.15">
      <c r="A135" s="5">
        <v>132</v>
      </c>
      <c r="B135" s="6" t="str">
        <f>"30482021060207472570645"</f>
        <v>30482021060207472570645</v>
      </c>
      <c r="C135" s="6" t="s">
        <v>1885</v>
      </c>
      <c r="D135" s="6" t="str">
        <f>"谢丹"</f>
        <v>谢丹</v>
      </c>
      <c r="E135" s="6" t="str">
        <f t="shared" si="2"/>
        <v>女</v>
      </c>
      <c r="F135" s="7" t="s">
        <v>371</v>
      </c>
    </row>
    <row r="136" spans="1:6" ht="20.100000000000001" customHeight="1" x14ac:dyDescent="0.15">
      <c r="A136" s="5">
        <v>133</v>
      </c>
      <c r="B136" s="6" t="str">
        <f>"30482021060207595970670"</f>
        <v>30482021060207595970670</v>
      </c>
      <c r="C136" s="6" t="s">
        <v>1885</v>
      </c>
      <c r="D136" s="6" t="str">
        <f>"李海燕"</f>
        <v>李海燕</v>
      </c>
      <c r="E136" s="6" t="str">
        <f t="shared" si="2"/>
        <v>女</v>
      </c>
      <c r="F136" s="7" t="s">
        <v>1558</v>
      </c>
    </row>
    <row r="137" spans="1:6" ht="20.100000000000001" customHeight="1" x14ac:dyDescent="0.15">
      <c r="A137" s="5">
        <v>134</v>
      </c>
      <c r="B137" s="6" t="str">
        <f>"30482021060208050570686"</f>
        <v>30482021060208050570686</v>
      </c>
      <c r="C137" s="6" t="s">
        <v>1885</v>
      </c>
      <c r="D137" s="6" t="str">
        <f>"吴刘蕊"</f>
        <v>吴刘蕊</v>
      </c>
      <c r="E137" s="6" t="str">
        <f t="shared" ref="E137:E161" si="3">"女"</f>
        <v>女</v>
      </c>
      <c r="F137" s="7" t="s">
        <v>606</v>
      </c>
    </row>
    <row r="138" spans="1:6" ht="20.100000000000001" customHeight="1" x14ac:dyDescent="0.15">
      <c r="A138" s="5">
        <v>135</v>
      </c>
      <c r="B138" s="6" t="str">
        <f>"30482021060208093970712"</f>
        <v>30482021060208093970712</v>
      </c>
      <c r="C138" s="6" t="s">
        <v>1885</v>
      </c>
      <c r="D138" s="6" t="str">
        <f>"陈玲"</f>
        <v>陈玲</v>
      </c>
      <c r="E138" s="6" t="str">
        <f t="shared" si="3"/>
        <v>女</v>
      </c>
      <c r="F138" s="7" t="s">
        <v>519</v>
      </c>
    </row>
    <row r="139" spans="1:6" ht="20.100000000000001" customHeight="1" x14ac:dyDescent="0.15">
      <c r="A139" s="5">
        <v>136</v>
      </c>
      <c r="B139" s="6" t="str">
        <f>"30482021060208263370827"</f>
        <v>30482021060208263370827</v>
      </c>
      <c r="C139" s="6" t="s">
        <v>1885</v>
      </c>
      <c r="D139" s="6" t="str">
        <f>"王敏超"</f>
        <v>王敏超</v>
      </c>
      <c r="E139" s="6" t="str">
        <f t="shared" si="3"/>
        <v>女</v>
      </c>
      <c r="F139" s="7" t="s">
        <v>573</v>
      </c>
    </row>
    <row r="140" spans="1:6" ht="20.100000000000001" customHeight="1" x14ac:dyDescent="0.15">
      <c r="A140" s="5">
        <v>137</v>
      </c>
      <c r="B140" s="6" t="str">
        <f>"30482021060208332270873"</f>
        <v>30482021060208332270873</v>
      </c>
      <c r="C140" s="6" t="s">
        <v>1885</v>
      </c>
      <c r="D140" s="6" t="str">
        <f>"刘新宇"</f>
        <v>刘新宇</v>
      </c>
      <c r="E140" s="6" t="str">
        <f t="shared" si="3"/>
        <v>女</v>
      </c>
      <c r="F140" s="7" t="s">
        <v>213</v>
      </c>
    </row>
    <row r="141" spans="1:6" ht="20.100000000000001" customHeight="1" x14ac:dyDescent="0.15">
      <c r="A141" s="5">
        <v>138</v>
      </c>
      <c r="B141" s="6" t="str">
        <f>"30482021060208350670883"</f>
        <v>30482021060208350670883</v>
      </c>
      <c r="C141" s="6" t="s">
        <v>1885</v>
      </c>
      <c r="D141" s="6" t="str">
        <f>"万怡倩"</f>
        <v>万怡倩</v>
      </c>
      <c r="E141" s="6" t="str">
        <f t="shared" si="3"/>
        <v>女</v>
      </c>
      <c r="F141" s="7" t="s">
        <v>634</v>
      </c>
    </row>
    <row r="142" spans="1:6" ht="20.100000000000001" customHeight="1" x14ac:dyDescent="0.15">
      <c r="A142" s="5">
        <v>139</v>
      </c>
      <c r="B142" s="6" t="str">
        <f>"30482021060208361570896"</f>
        <v>30482021060208361570896</v>
      </c>
      <c r="C142" s="6" t="s">
        <v>1885</v>
      </c>
      <c r="D142" s="6" t="str">
        <f>"海若诗"</f>
        <v>海若诗</v>
      </c>
      <c r="E142" s="6" t="str">
        <f t="shared" si="3"/>
        <v>女</v>
      </c>
      <c r="F142" s="7" t="s">
        <v>897</v>
      </c>
    </row>
    <row r="143" spans="1:6" ht="20.100000000000001" customHeight="1" x14ac:dyDescent="0.15">
      <c r="A143" s="5">
        <v>140</v>
      </c>
      <c r="B143" s="6" t="str">
        <f>"30482021060208384570920"</f>
        <v>30482021060208384570920</v>
      </c>
      <c r="C143" s="6" t="s">
        <v>1885</v>
      </c>
      <c r="D143" s="6" t="str">
        <f>"周雯"</f>
        <v>周雯</v>
      </c>
      <c r="E143" s="6" t="str">
        <f t="shared" si="3"/>
        <v>女</v>
      </c>
      <c r="F143" s="7" t="s">
        <v>1905</v>
      </c>
    </row>
    <row r="144" spans="1:6" ht="20.100000000000001" customHeight="1" x14ac:dyDescent="0.15">
      <c r="A144" s="5">
        <v>141</v>
      </c>
      <c r="B144" s="6" t="str">
        <f>"30482021060208434270963"</f>
        <v>30482021060208434270963</v>
      </c>
      <c r="C144" s="6" t="s">
        <v>1885</v>
      </c>
      <c r="D144" s="6" t="str">
        <f>"林慧"</f>
        <v>林慧</v>
      </c>
      <c r="E144" s="6" t="str">
        <f t="shared" si="3"/>
        <v>女</v>
      </c>
      <c r="F144" s="7" t="s">
        <v>804</v>
      </c>
    </row>
    <row r="145" spans="1:6" ht="20.100000000000001" customHeight="1" x14ac:dyDescent="0.15">
      <c r="A145" s="5">
        <v>142</v>
      </c>
      <c r="B145" s="6" t="str">
        <f>"30482021060208434370964"</f>
        <v>30482021060208434370964</v>
      </c>
      <c r="C145" s="6" t="s">
        <v>1885</v>
      </c>
      <c r="D145" s="6" t="str">
        <f>"梁娟"</f>
        <v>梁娟</v>
      </c>
      <c r="E145" s="6" t="str">
        <f t="shared" si="3"/>
        <v>女</v>
      </c>
      <c r="F145" s="7" t="s">
        <v>157</v>
      </c>
    </row>
    <row r="146" spans="1:6" ht="20.100000000000001" customHeight="1" x14ac:dyDescent="0.15">
      <c r="A146" s="5">
        <v>143</v>
      </c>
      <c r="B146" s="6" t="str">
        <f>"30482021060208474970996"</f>
        <v>30482021060208474970996</v>
      </c>
      <c r="C146" s="6" t="s">
        <v>1885</v>
      </c>
      <c r="D146" s="6" t="str">
        <f>"陈雅姿"</f>
        <v>陈雅姿</v>
      </c>
      <c r="E146" s="6" t="str">
        <f t="shared" si="3"/>
        <v>女</v>
      </c>
      <c r="F146" s="7" t="s">
        <v>951</v>
      </c>
    </row>
    <row r="147" spans="1:6" ht="20.100000000000001" customHeight="1" x14ac:dyDescent="0.15">
      <c r="A147" s="5">
        <v>144</v>
      </c>
      <c r="B147" s="6" t="str">
        <f>"30482021060208494271012"</f>
        <v>30482021060208494271012</v>
      </c>
      <c r="C147" s="6" t="s">
        <v>1885</v>
      </c>
      <c r="D147" s="6" t="str">
        <f>"潘晓波"</f>
        <v>潘晓波</v>
      </c>
      <c r="E147" s="6" t="str">
        <f t="shared" si="3"/>
        <v>女</v>
      </c>
      <c r="F147" s="7" t="s">
        <v>519</v>
      </c>
    </row>
    <row r="148" spans="1:6" ht="20.100000000000001" customHeight="1" x14ac:dyDescent="0.15">
      <c r="A148" s="5">
        <v>145</v>
      </c>
      <c r="B148" s="6" t="str">
        <f>"30482021060208520471038"</f>
        <v>30482021060208520471038</v>
      </c>
      <c r="C148" s="6" t="s">
        <v>1885</v>
      </c>
      <c r="D148" s="6" t="str">
        <f>"王燕"</f>
        <v>王燕</v>
      </c>
      <c r="E148" s="6" t="str">
        <f t="shared" si="3"/>
        <v>女</v>
      </c>
      <c r="F148" s="7" t="s">
        <v>628</v>
      </c>
    </row>
    <row r="149" spans="1:6" ht="20.100000000000001" customHeight="1" x14ac:dyDescent="0.15">
      <c r="A149" s="5">
        <v>146</v>
      </c>
      <c r="B149" s="6" t="str">
        <f>"30482021060209000571117"</f>
        <v>30482021060209000571117</v>
      </c>
      <c r="C149" s="6" t="s">
        <v>1885</v>
      </c>
      <c r="D149" s="6" t="str">
        <f>"常翠玲"</f>
        <v>常翠玲</v>
      </c>
      <c r="E149" s="6" t="str">
        <f t="shared" si="3"/>
        <v>女</v>
      </c>
      <c r="F149" s="7" t="s">
        <v>1906</v>
      </c>
    </row>
    <row r="150" spans="1:6" ht="20.100000000000001" customHeight="1" x14ac:dyDescent="0.15">
      <c r="A150" s="5">
        <v>147</v>
      </c>
      <c r="B150" s="6" t="str">
        <f>"30482021060209022171141"</f>
        <v>30482021060209022171141</v>
      </c>
      <c r="C150" s="6" t="s">
        <v>1885</v>
      </c>
      <c r="D150" s="6" t="str">
        <f>"纪小丽"</f>
        <v>纪小丽</v>
      </c>
      <c r="E150" s="6" t="str">
        <f t="shared" si="3"/>
        <v>女</v>
      </c>
      <c r="F150" s="7" t="s">
        <v>1520</v>
      </c>
    </row>
    <row r="151" spans="1:6" ht="20.100000000000001" customHeight="1" x14ac:dyDescent="0.15">
      <c r="A151" s="5">
        <v>148</v>
      </c>
      <c r="B151" s="6" t="str">
        <f>"30482021060209081371213"</f>
        <v>30482021060209081371213</v>
      </c>
      <c r="C151" s="6" t="s">
        <v>1885</v>
      </c>
      <c r="D151" s="6" t="str">
        <f>"林姿"</f>
        <v>林姿</v>
      </c>
      <c r="E151" s="6" t="str">
        <f t="shared" si="3"/>
        <v>女</v>
      </c>
      <c r="F151" s="7" t="s">
        <v>131</v>
      </c>
    </row>
    <row r="152" spans="1:6" ht="20.100000000000001" customHeight="1" x14ac:dyDescent="0.15">
      <c r="A152" s="5">
        <v>149</v>
      </c>
      <c r="B152" s="6" t="str">
        <f>"30482021060209082271217"</f>
        <v>30482021060209082271217</v>
      </c>
      <c r="C152" s="6" t="s">
        <v>1885</v>
      </c>
      <c r="D152" s="6" t="str">
        <f>"蒋思思"</f>
        <v>蒋思思</v>
      </c>
      <c r="E152" s="6" t="str">
        <f t="shared" si="3"/>
        <v>女</v>
      </c>
      <c r="F152" s="7" t="s">
        <v>1907</v>
      </c>
    </row>
    <row r="153" spans="1:6" ht="20.100000000000001" customHeight="1" x14ac:dyDescent="0.15">
      <c r="A153" s="5">
        <v>150</v>
      </c>
      <c r="B153" s="6" t="str">
        <f>"30482021060209113471243"</f>
        <v>30482021060209113471243</v>
      </c>
      <c r="C153" s="6" t="s">
        <v>1885</v>
      </c>
      <c r="D153" s="6" t="str">
        <f>"彭冬岚"</f>
        <v>彭冬岚</v>
      </c>
      <c r="E153" s="6" t="str">
        <f t="shared" si="3"/>
        <v>女</v>
      </c>
      <c r="F153" s="7" t="s">
        <v>727</v>
      </c>
    </row>
    <row r="154" spans="1:6" ht="20.100000000000001" customHeight="1" x14ac:dyDescent="0.15">
      <c r="A154" s="5">
        <v>151</v>
      </c>
      <c r="B154" s="6" t="str">
        <f>"30482021060209114971244"</f>
        <v>30482021060209114971244</v>
      </c>
      <c r="C154" s="6" t="s">
        <v>1885</v>
      </c>
      <c r="D154" s="6" t="str">
        <f>"高丽"</f>
        <v>高丽</v>
      </c>
      <c r="E154" s="6" t="str">
        <f t="shared" si="3"/>
        <v>女</v>
      </c>
      <c r="F154" s="7" t="s">
        <v>297</v>
      </c>
    </row>
    <row r="155" spans="1:6" ht="20.100000000000001" customHeight="1" x14ac:dyDescent="0.15">
      <c r="A155" s="5">
        <v>152</v>
      </c>
      <c r="B155" s="6" t="str">
        <f>"30482021060209131871259"</f>
        <v>30482021060209131871259</v>
      </c>
      <c r="C155" s="6" t="s">
        <v>1885</v>
      </c>
      <c r="D155" s="6" t="str">
        <f>"胡定"</f>
        <v>胡定</v>
      </c>
      <c r="E155" s="6" t="str">
        <f t="shared" si="3"/>
        <v>女</v>
      </c>
      <c r="F155" s="7" t="s">
        <v>1656</v>
      </c>
    </row>
    <row r="156" spans="1:6" ht="20.100000000000001" customHeight="1" x14ac:dyDescent="0.15">
      <c r="A156" s="5">
        <v>153</v>
      </c>
      <c r="B156" s="6" t="str">
        <f>"30482021060209154171286"</f>
        <v>30482021060209154171286</v>
      </c>
      <c r="C156" s="6" t="s">
        <v>1885</v>
      </c>
      <c r="D156" s="6" t="str">
        <f>"徐永玲"</f>
        <v>徐永玲</v>
      </c>
      <c r="E156" s="6" t="str">
        <f t="shared" si="3"/>
        <v>女</v>
      </c>
      <c r="F156" s="7" t="s">
        <v>1202</v>
      </c>
    </row>
    <row r="157" spans="1:6" ht="20.100000000000001" customHeight="1" x14ac:dyDescent="0.15">
      <c r="A157" s="5">
        <v>154</v>
      </c>
      <c r="B157" s="6" t="str">
        <f>"30482021060209173671305"</f>
        <v>30482021060209173671305</v>
      </c>
      <c r="C157" s="6" t="s">
        <v>1885</v>
      </c>
      <c r="D157" s="6" t="str">
        <f>"李娜"</f>
        <v>李娜</v>
      </c>
      <c r="E157" s="6" t="str">
        <f t="shared" si="3"/>
        <v>女</v>
      </c>
      <c r="F157" s="7" t="s">
        <v>463</v>
      </c>
    </row>
    <row r="158" spans="1:6" ht="20.100000000000001" customHeight="1" x14ac:dyDescent="0.15">
      <c r="A158" s="5">
        <v>155</v>
      </c>
      <c r="B158" s="6" t="str">
        <f>"30482021060209183071315"</f>
        <v>30482021060209183071315</v>
      </c>
      <c r="C158" s="6" t="s">
        <v>1885</v>
      </c>
      <c r="D158" s="6" t="str">
        <f>"刘水英"</f>
        <v>刘水英</v>
      </c>
      <c r="E158" s="6" t="str">
        <f t="shared" si="3"/>
        <v>女</v>
      </c>
      <c r="F158" s="7" t="s">
        <v>1362</v>
      </c>
    </row>
    <row r="159" spans="1:6" ht="20.100000000000001" customHeight="1" x14ac:dyDescent="0.15">
      <c r="A159" s="5">
        <v>156</v>
      </c>
      <c r="B159" s="6" t="str">
        <f>"30482021060209225471356"</f>
        <v>30482021060209225471356</v>
      </c>
      <c r="C159" s="6" t="s">
        <v>1885</v>
      </c>
      <c r="D159" s="6" t="str">
        <f>"陈仕云"</f>
        <v>陈仕云</v>
      </c>
      <c r="E159" s="6" t="str">
        <f t="shared" si="3"/>
        <v>女</v>
      </c>
      <c r="F159" s="7" t="s">
        <v>1861</v>
      </c>
    </row>
    <row r="160" spans="1:6" ht="20.100000000000001" customHeight="1" x14ac:dyDescent="0.15">
      <c r="A160" s="5">
        <v>157</v>
      </c>
      <c r="B160" s="6" t="str">
        <f>"30482021060209313271469"</f>
        <v>30482021060209313271469</v>
      </c>
      <c r="C160" s="6" t="s">
        <v>1885</v>
      </c>
      <c r="D160" s="6" t="str">
        <f>"杨环穗"</f>
        <v>杨环穗</v>
      </c>
      <c r="E160" s="6" t="str">
        <f t="shared" si="3"/>
        <v>女</v>
      </c>
      <c r="F160" s="7" t="s">
        <v>1228</v>
      </c>
    </row>
    <row r="161" spans="1:6" ht="20.100000000000001" customHeight="1" x14ac:dyDescent="0.15">
      <c r="A161" s="5">
        <v>158</v>
      </c>
      <c r="B161" s="6" t="str">
        <f>"30482021060209331171493"</f>
        <v>30482021060209331171493</v>
      </c>
      <c r="C161" s="6" t="s">
        <v>1885</v>
      </c>
      <c r="D161" s="6" t="str">
        <f>"吴思怡"</f>
        <v>吴思怡</v>
      </c>
      <c r="E161" s="6" t="str">
        <f t="shared" si="3"/>
        <v>女</v>
      </c>
      <c r="F161" s="7" t="s">
        <v>1908</v>
      </c>
    </row>
    <row r="162" spans="1:6" ht="20.100000000000001" customHeight="1" x14ac:dyDescent="0.15">
      <c r="A162" s="5">
        <v>159</v>
      </c>
      <c r="B162" s="6" t="str">
        <f>"30482021060209333471498"</f>
        <v>30482021060209333471498</v>
      </c>
      <c r="C162" s="6" t="s">
        <v>1885</v>
      </c>
      <c r="D162" s="6" t="str">
        <f>"邱宁帅"</f>
        <v>邱宁帅</v>
      </c>
      <c r="E162" s="6" t="str">
        <f>"男"</f>
        <v>男</v>
      </c>
      <c r="F162" s="7" t="s">
        <v>306</v>
      </c>
    </row>
    <row r="163" spans="1:6" ht="20.100000000000001" customHeight="1" x14ac:dyDescent="0.15">
      <c r="A163" s="5">
        <v>160</v>
      </c>
      <c r="B163" s="6" t="str">
        <f>"30482021060209342171507"</f>
        <v>30482021060209342171507</v>
      </c>
      <c r="C163" s="6" t="s">
        <v>1885</v>
      </c>
      <c r="D163" s="6" t="str">
        <f>"孔艺璇"</f>
        <v>孔艺璇</v>
      </c>
      <c r="E163" s="6" t="str">
        <f t="shared" ref="E163:E226" si="4">"女"</f>
        <v>女</v>
      </c>
      <c r="F163" s="7" t="s">
        <v>1909</v>
      </c>
    </row>
    <row r="164" spans="1:6" ht="20.100000000000001" customHeight="1" x14ac:dyDescent="0.15">
      <c r="A164" s="5">
        <v>161</v>
      </c>
      <c r="B164" s="6" t="str">
        <f>"30482021060209365671541"</f>
        <v>30482021060209365671541</v>
      </c>
      <c r="C164" s="6" t="s">
        <v>1885</v>
      </c>
      <c r="D164" s="6" t="str">
        <f>"薛启兰"</f>
        <v>薛启兰</v>
      </c>
      <c r="E164" s="6" t="str">
        <f t="shared" si="4"/>
        <v>女</v>
      </c>
      <c r="F164" s="7" t="s">
        <v>1335</v>
      </c>
    </row>
    <row r="165" spans="1:6" ht="20.100000000000001" customHeight="1" x14ac:dyDescent="0.15">
      <c r="A165" s="5">
        <v>162</v>
      </c>
      <c r="B165" s="6" t="str">
        <f>"30482021060209372071554"</f>
        <v>30482021060209372071554</v>
      </c>
      <c r="C165" s="6" t="s">
        <v>1885</v>
      </c>
      <c r="D165" s="6" t="str">
        <f>"吴海荣"</f>
        <v>吴海荣</v>
      </c>
      <c r="E165" s="6" t="str">
        <f t="shared" si="4"/>
        <v>女</v>
      </c>
      <c r="F165" s="7" t="s">
        <v>326</v>
      </c>
    </row>
    <row r="166" spans="1:6" ht="20.100000000000001" customHeight="1" x14ac:dyDescent="0.15">
      <c r="A166" s="5">
        <v>163</v>
      </c>
      <c r="B166" s="6" t="str">
        <f>"30482021060209381171560"</f>
        <v>30482021060209381171560</v>
      </c>
      <c r="C166" s="6" t="s">
        <v>1885</v>
      </c>
      <c r="D166" s="6" t="str">
        <f>"郑桦"</f>
        <v>郑桦</v>
      </c>
      <c r="E166" s="6" t="str">
        <f t="shared" si="4"/>
        <v>女</v>
      </c>
      <c r="F166" s="7" t="s">
        <v>1910</v>
      </c>
    </row>
    <row r="167" spans="1:6" ht="20.100000000000001" customHeight="1" x14ac:dyDescent="0.15">
      <c r="A167" s="5">
        <v>164</v>
      </c>
      <c r="B167" s="6" t="str">
        <f>"30482021060209403271594"</f>
        <v>30482021060209403271594</v>
      </c>
      <c r="C167" s="6" t="s">
        <v>1885</v>
      </c>
      <c r="D167" s="6" t="str">
        <f>"李雪"</f>
        <v>李雪</v>
      </c>
      <c r="E167" s="6" t="str">
        <f t="shared" si="4"/>
        <v>女</v>
      </c>
      <c r="F167" s="7" t="s">
        <v>752</v>
      </c>
    </row>
    <row r="168" spans="1:6" ht="20.100000000000001" customHeight="1" x14ac:dyDescent="0.15">
      <c r="A168" s="5">
        <v>165</v>
      </c>
      <c r="B168" s="6" t="str">
        <f>"30482021060209445071657"</f>
        <v>30482021060209445071657</v>
      </c>
      <c r="C168" s="6" t="s">
        <v>1885</v>
      </c>
      <c r="D168" s="6" t="str">
        <f>"杨忠燕"</f>
        <v>杨忠燕</v>
      </c>
      <c r="E168" s="6" t="str">
        <f t="shared" si="4"/>
        <v>女</v>
      </c>
      <c r="F168" s="7" t="s">
        <v>1277</v>
      </c>
    </row>
    <row r="169" spans="1:6" ht="20.100000000000001" customHeight="1" x14ac:dyDescent="0.15">
      <c r="A169" s="5">
        <v>166</v>
      </c>
      <c r="B169" s="6" t="str">
        <f>"30482021060209490971717"</f>
        <v>30482021060209490971717</v>
      </c>
      <c r="C169" s="6" t="s">
        <v>1885</v>
      </c>
      <c r="D169" s="6" t="str">
        <f>"金瑶"</f>
        <v>金瑶</v>
      </c>
      <c r="E169" s="6" t="str">
        <f t="shared" si="4"/>
        <v>女</v>
      </c>
      <c r="F169" s="7" t="s">
        <v>722</v>
      </c>
    </row>
    <row r="170" spans="1:6" ht="20.100000000000001" customHeight="1" x14ac:dyDescent="0.15">
      <c r="A170" s="5">
        <v>167</v>
      </c>
      <c r="B170" s="6" t="str">
        <f>"30482021060209504371742"</f>
        <v>30482021060209504371742</v>
      </c>
      <c r="C170" s="6" t="s">
        <v>1885</v>
      </c>
      <c r="D170" s="6" t="str">
        <f>"冯娴恬"</f>
        <v>冯娴恬</v>
      </c>
      <c r="E170" s="6" t="str">
        <f t="shared" si="4"/>
        <v>女</v>
      </c>
      <c r="F170" s="7" t="s">
        <v>91</v>
      </c>
    </row>
    <row r="171" spans="1:6" ht="20.100000000000001" customHeight="1" x14ac:dyDescent="0.15">
      <c r="A171" s="5">
        <v>168</v>
      </c>
      <c r="B171" s="6" t="str">
        <f>"30482021060209505371744"</f>
        <v>30482021060209505371744</v>
      </c>
      <c r="C171" s="6" t="s">
        <v>1885</v>
      </c>
      <c r="D171" s="6" t="str">
        <f>"林芳宇"</f>
        <v>林芳宇</v>
      </c>
      <c r="E171" s="6" t="str">
        <f t="shared" si="4"/>
        <v>女</v>
      </c>
      <c r="F171" s="7" t="s">
        <v>43</v>
      </c>
    </row>
    <row r="172" spans="1:6" ht="20.100000000000001" customHeight="1" x14ac:dyDescent="0.15">
      <c r="A172" s="5">
        <v>169</v>
      </c>
      <c r="B172" s="6" t="str">
        <f>"30482021060209514471758"</f>
        <v>30482021060209514471758</v>
      </c>
      <c r="C172" s="6" t="s">
        <v>1885</v>
      </c>
      <c r="D172" s="6" t="str">
        <f>"梁文连"</f>
        <v>梁文连</v>
      </c>
      <c r="E172" s="6" t="str">
        <f t="shared" si="4"/>
        <v>女</v>
      </c>
      <c r="F172" s="7" t="s">
        <v>1911</v>
      </c>
    </row>
    <row r="173" spans="1:6" ht="20.100000000000001" customHeight="1" x14ac:dyDescent="0.15">
      <c r="A173" s="5">
        <v>170</v>
      </c>
      <c r="B173" s="6" t="str">
        <f>"30482021060209520371764"</f>
        <v>30482021060209520371764</v>
      </c>
      <c r="C173" s="6" t="s">
        <v>1885</v>
      </c>
      <c r="D173" s="6" t="str">
        <f>"周丹"</f>
        <v>周丹</v>
      </c>
      <c r="E173" s="6" t="str">
        <f t="shared" si="4"/>
        <v>女</v>
      </c>
      <c r="F173" s="7" t="s">
        <v>111</v>
      </c>
    </row>
    <row r="174" spans="1:6" ht="20.100000000000001" customHeight="1" x14ac:dyDescent="0.15">
      <c r="A174" s="5">
        <v>171</v>
      </c>
      <c r="B174" s="6" t="str">
        <f>"30482021060209544471795"</f>
        <v>30482021060209544471795</v>
      </c>
      <c r="C174" s="6" t="s">
        <v>1885</v>
      </c>
      <c r="D174" s="6" t="str">
        <f>"陈启霞"</f>
        <v>陈启霞</v>
      </c>
      <c r="E174" s="6" t="str">
        <f t="shared" si="4"/>
        <v>女</v>
      </c>
      <c r="F174" s="7" t="s">
        <v>1912</v>
      </c>
    </row>
    <row r="175" spans="1:6" ht="20.100000000000001" customHeight="1" x14ac:dyDescent="0.15">
      <c r="A175" s="5">
        <v>172</v>
      </c>
      <c r="B175" s="6" t="str">
        <f>"30482021060209594871848"</f>
        <v>30482021060209594871848</v>
      </c>
      <c r="C175" s="6" t="s">
        <v>1885</v>
      </c>
      <c r="D175" s="6" t="str">
        <f>"谭艳菊"</f>
        <v>谭艳菊</v>
      </c>
      <c r="E175" s="6" t="str">
        <f t="shared" si="4"/>
        <v>女</v>
      </c>
      <c r="F175" s="7" t="s">
        <v>168</v>
      </c>
    </row>
    <row r="176" spans="1:6" ht="20.100000000000001" customHeight="1" x14ac:dyDescent="0.15">
      <c r="A176" s="5">
        <v>173</v>
      </c>
      <c r="B176" s="6" t="str">
        <f>"30482021060210010571866"</f>
        <v>30482021060210010571866</v>
      </c>
      <c r="C176" s="6" t="s">
        <v>1885</v>
      </c>
      <c r="D176" s="6" t="str">
        <f>"吴海丽"</f>
        <v>吴海丽</v>
      </c>
      <c r="E176" s="6" t="str">
        <f t="shared" si="4"/>
        <v>女</v>
      </c>
      <c r="F176" s="7" t="s">
        <v>1913</v>
      </c>
    </row>
    <row r="177" spans="1:6" ht="20.100000000000001" customHeight="1" x14ac:dyDescent="0.15">
      <c r="A177" s="5">
        <v>174</v>
      </c>
      <c r="B177" s="6" t="str">
        <f>"30482021060210043871925"</f>
        <v>30482021060210043871925</v>
      </c>
      <c r="C177" s="6" t="s">
        <v>1885</v>
      </c>
      <c r="D177" s="6" t="str">
        <f>"叶丽妹"</f>
        <v>叶丽妹</v>
      </c>
      <c r="E177" s="6" t="str">
        <f t="shared" si="4"/>
        <v>女</v>
      </c>
      <c r="F177" s="7" t="s">
        <v>1596</v>
      </c>
    </row>
    <row r="178" spans="1:6" ht="20.100000000000001" customHeight="1" x14ac:dyDescent="0.15">
      <c r="A178" s="5">
        <v>175</v>
      </c>
      <c r="B178" s="6" t="str">
        <f>"30482021060210081271961"</f>
        <v>30482021060210081271961</v>
      </c>
      <c r="C178" s="6" t="s">
        <v>1885</v>
      </c>
      <c r="D178" s="6" t="str">
        <f>"陈小玉"</f>
        <v>陈小玉</v>
      </c>
      <c r="E178" s="6" t="str">
        <f t="shared" si="4"/>
        <v>女</v>
      </c>
      <c r="F178" s="7" t="s">
        <v>166</v>
      </c>
    </row>
    <row r="179" spans="1:6" ht="20.100000000000001" customHeight="1" x14ac:dyDescent="0.15">
      <c r="A179" s="5">
        <v>176</v>
      </c>
      <c r="B179" s="6" t="str">
        <f>"30482021060210190772116"</f>
        <v>30482021060210190772116</v>
      </c>
      <c r="C179" s="6" t="s">
        <v>1885</v>
      </c>
      <c r="D179" s="6" t="str">
        <f>"黄林墨"</f>
        <v>黄林墨</v>
      </c>
      <c r="E179" s="6" t="str">
        <f t="shared" si="4"/>
        <v>女</v>
      </c>
      <c r="F179" s="7" t="s">
        <v>56</v>
      </c>
    </row>
    <row r="180" spans="1:6" ht="20.100000000000001" customHeight="1" x14ac:dyDescent="0.15">
      <c r="A180" s="5">
        <v>177</v>
      </c>
      <c r="B180" s="6" t="str">
        <f>"30482021060210245372197"</f>
        <v>30482021060210245372197</v>
      </c>
      <c r="C180" s="6" t="s">
        <v>1885</v>
      </c>
      <c r="D180" s="6" t="str">
        <f>"陈丽冰"</f>
        <v>陈丽冰</v>
      </c>
      <c r="E180" s="6" t="str">
        <f t="shared" si="4"/>
        <v>女</v>
      </c>
      <c r="F180" s="7" t="s">
        <v>787</v>
      </c>
    </row>
    <row r="181" spans="1:6" ht="20.100000000000001" customHeight="1" x14ac:dyDescent="0.15">
      <c r="A181" s="5">
        <v>178</v>
      </c>
      <c r="B181" s="6" t="str">
        <f>"30482021060210300072277"</f>
        <v>30482021060210300072277</v>
      </c>
      <c r="C181" s="6" t="s">
        <v>1885</v>
      </c>
      <c r="D181" s="6" t="str">
        <f>"唐小香"</f>
        <v>唐小香</v>
      </c>
      <c r="E181" s="6" t="str">
        <f t="shared" si="4"/>
        <v>女</v>
      </c>
      <c r="F181" s="7" t="s">
        <v>1881</v>
      </c>
    </row>
    <row r="182" spans="1:6" ht="20.100000000000001" customHeight="1" x14ac:dyDescent="0.15">
      <c r="A182" s="5">
        <v>179</v>
      </c>
      <c r="B182" s="6" t="str">
        <f>"30482021060210314972301"</f>
        <v>30482021060210314972301</v>
      </c>
      <c r="C182" s="6" t="s">
        <v>1885</v>
      </c>
      <c r="D182" s="6" t="str">
        <f>"冯小娇"</f>
        <v>冯小娇</v>
      </c>
      <c r="E182" s="6" t="str">
        <f t="shared" si="4"/>
        <v>女</v>
      </c>
      <c r="F182" s="7" t="s">
        <v>1369</v>
      </c>
    </row>
    <row r="183" spans="1:6" ht="20.100000000000001" customHeight="1" x14ac:dyDescent="0.15">
      <c r="A183" s="5">
        <v>180</v>
      </c>
      <c r="B183" s="6" t="str">
        <f>"30482021060210330272315"</f>
        <v>30482021060210330272315</v>
      </c>
      <c r="C183" s="6" t="s">
        <v>1885</v>
      </c>
      <c r="D183" s="6" t="str">
        <f>"魏婷婷"</f>
        <v>魏婷婷</v>
      </c>
      <c r="E183" s="6" t="str">
        <f t="shared" si="4"/>
        <v>女</v>
      </c>
      <c r="F183" s="7" t="s">
        <v>37</v>
      </c>
    </row>
    <row r="184" spans="1:6" ht="20.100000000000001" customHeight="1" x14ac:dyDescent="0.15">
      <c r="A184" s="5">
        <v>181</v>
      </c>
      <c r="B184" s="6" t="str">
        <f>"30482021060210423772440"</f>
        <v>30482021060210423772440</v>
      </c>
      <c r="C184" s="6" t="s">
        <v>1885</v>
      </c>
      <c r="D184" s="6" t="str">
        <f>"刘若桦"</f>
        <v>刘若桦</v>
      </c>
      <c r="E184" s="6" t="str">
        <f t="shared" si="4"/>
        <v>女</v>
      </c>
      <c r="F184" s="7" t="s">
        <v>302</v>
      </c>
    </row>
    <row r="185" spans="1:6" ht="20.100000000000001" customHeight="1" x14ac:dyDescent="0.15">
      <c r="A185" s="5">
        <v>182</v>
      </c>
      <c r="B185" s="6" t="str">
        <f>"30482021060210443972470"</f>
        <v>30482021060210443972470</v>
      </c>
      <c r="C185" s="6" t="s">
        <v>1885</v>
      </c>
      <c r="D185" s="6" t="str">
        <f>"苏天玉"</f>
        <v>苏天玉</v>
      </c>
      <c r="E185" s="6" t="str">
        <f t="shared" si="4"/>
        <v>女</v>
      </c>
      <c r="F185" s="7" t="s">
        <v>607</v>
      </c>
    </row>
    <row r="186" spans="1:6" ht="20.100000000000001" customHeight="1" x14ac:dyDescent="0.15">
      <c r="A186" s="5">
        <v>183</v>
      </c>
      <c r="B186" s="6" t="str">
        <f>"30482021060210465272501"</f>
        <v>30482021060210465272501</v>
      </c>
      <c r="C186" s="6" t="s">
        <v>1885</v>
      </c>
      <c r="D186" s="6" t="str">
        <f>"陈少花"</f>
        <v>陈少花</v>
      </c>
      <c r="E186" s="6" t="str">
        <f t="shared" si="4"/>
        <v>女</v>
      </c>
      <c r="F186" s="7" t="s">
        <v>964</v>
      </c>
    </row>
    <row r="187" spans="1:6" ht="20.100000000000001" customHeight="1" x14ac:dyDescent="0.15">
      <c r="A187" s="5">
        <v>184</v>
      </c>
      <c r="B187" s="6" t="str">
        <f>"30482021060210501072545"</f>
        <v>30482021060210501072545</v>
      </c>
      <c r="C187" s="6" t="s">
        <v>1885</v>
      </c>
      <c r="D187" s="6" t="str">
        <f>"李小珍"</f>
        <v>李小珍</v>
      </c>
      <c r="E187" s="6" t="str">
        <f t="shared" si="4"/>
        <v>女</v>
      </c>
      <c r="F187" s="7" t="s">
        <v>1914</v>
      </c>
    </row>
    <row r="188" spans="1:6" ht="20.100000000000001" customHeight="1" x14ac:dyDescent="0.15">
      <c r="A188" s="5">
        <v>185</v>
      </c>
      <c r="B188" s="6" t="str">
        <f>"30482021060210542072599"</f>
        <v>30482021060210542072599</v>
      </c>
      <c r="C188" s="6" t="s">
        <v>1885</v>
      </c>
      <c r="D188" s="6" t="str">
        <f>"吴艳"</f>
        <v>吴艳</v>
      </c>
      <c r="E188" s="6" t="str">
        <f t="shared" si="4"/>
        <v>女</v>
      </c>
      <c r="F188" s="7" t="s">
        <v>630</v>
      </c>
    </row>
    <row r="189" spans="1:6" ht="20.100000000000001" customHeight="1" x14ac:dyDescent="0.15">
      <c r="A189" s="5">
        <v>186</v>
      </c>
      <c r="B189" s="6" t="str">
        <f>"30482021060210595072660"</f>
        <v>30482021060210595072660</v>
      </c>
      <c r="C189" s="6" t="s">
        <v>1885</v>
      </c>
      <c r="D189" s="6" t="str">
        <f>"黄彩英"</f>
        <v>黄彩英</v>
      </c>
      <c r="E189" s="6" t="str">
        <f t="shared" si="4"/>
        <v>女</v>
      </c>
      <c r="F189" s="7" t="s">
        <v>695</v>
      </c>
    </row>
    <row r="190" spans="1:6" ht="20.100000000000001" customHeight="1" x14ac:dyDescent="0.15">
      <c r="A190" s="5">
        <v>187</v>
      </c>
      <c r="B190" s="6" t="str">
        <f>"30482021060211172472871"</f>
        <v>30482021060211172472871</v>
      </c>
      <c r="C190" s="6" t="s">
        <v>1885</v>
      </c>
      <c r="D190" s="6" t="str">
        <f>"黄江夏"</f>
        <v>黄江夏</v>
      </c>
      <c r="E190" s="6" t="str">
        <f t="shared" si="4"/>
        <v>女</v>
      </c>
      <c r="F190" s="7" t="s">
        <v>898</v>
      </c>
    </row>
    <row r="191" spans="1:6" ht="20.100000000000001" customHeight="1" x14ac:dyDescent="0.15">
      <c r="A191" s="5">
        <v>188</v>
      </c>
      <c r="B191" s="6" t="str">
        <f>"30482021060211213472926"</f>
        <v>30482021060211213472926</v>
      </c>
      <c r="C191" s="6" t="s">
        <v>1885</v>
      </c>
      <c r="D191" s="6" t="str">
        <f>"吴贤花"</f>
        <v>吴贤花</v>
      </c>
      <c r="E191" s="6" t="str">
        <f t="shared" si="4"/>
        <v>女</v>
      </c>
      <c r="F191" s="7" t="s">
        <v>770</v>
      </c>
    </row>
    <row r="192" spans="1:6" ht="20.100000000000001" customHeight="1" x14ac:dyDescent="0.15">
      <c r="A192" s="5">
        <v>189</v>
      </c>
      <c r="B192" s="6" t="str">
        <f>"30482021060211264172966"</f>
        <v>30482021060211264172966</v>
      </c>
      <c r="C192" s="6" t="s">
        <v>1885</v>
      </c>
      <c r="D192" s="6" t="str">
        <f>"赵艳宁"</f>
        <v>赵艳宁</v>
      </c>
      <c r="E192" s="6" t="str">
        <f t="shared" si="4"/>
        <v>女</v>
      </c>
      <c r="F192" s="7" t="s">
        <v>223</v>
      </c>
    </row>
    <row r="193" spans="1:6" ht="20.100000000000001" customHeight="1" x14ac:dyDescent="0.15">
      <c r="A193" s="5">
        <v>190</v>
      </c>
      <c r="B193" s="6" t="str">
        <f>"30482021060211381073083"</f>
        <v>30482021060211381073083</v>
      </c>
      <c r="C193" s="6" t="s">
        <v>1885</v>
      </c>
      <c r="D193" s="6" t="str">
        <f>"梁玉"</f>
        <v>梁玉</v>
      </c>
      <c r="E193" s="6" t="str">
        <f t="shared" si="4"/>
        <v>女</v>
      </c>
      <c r="F193" s="7" t="s">
        <v>1409</v>
      </c>
    </row>
    <row r="194" spans="1:6" ht="20.100000000000001" customHeight="1" x14ac:dyDescent="0.15">
      <c r="A194" s="5">
        <v>191</v>
      </c>
      <c r="B194" s="6" t="str">
        <f>"30482021060211510973218"</f>
        <v>30482021060211510973218</v>
      </c>
      <c r="C194" s="6" t="s">
        <v>1885</v>
      </c>
      <c r="D194" s="6" t="str">
        <f>"郑以珍"</f>
        <v>郑以珍</v>
      </c>
      <c r="E194" s="6" t="str">
        <f t="shared" si="4"/>
        <v>女</v>
      </c>
      <c r="F194" s="7" t="s">
        <v>286</v>
      </c>
    </row>
    <row r="195" spans="1:6" ht="20.100000000000001" customHeight="1" x14ac:dyDescent="0.15">
      <c r="A195" s="5">
        <v>192</v>
      </c>
      <c r="B195" s="6" t="str">
        <f>"30482021060211543573240"</f>
        <v>30482021060211543573240</v>
      </c>
      <c r="C195" s="6" t="s">
        <v>1885</v>
      </c>
      <c r="D195" s="6" t="str">
        <f>"蔡玉婵"</f>
        <v>蔡玉婵</v>
      </c>
      <c r="E195" s="6" t="str">
        <f t="shared" si="4"/>
        <v>女</v>
      </c>
      <c r="F195" s="7" t="s">
        <v>167</v>
      </c>
    </row>
    <row r="196" spans="1:6" ht="20.100000000000001" customHeight="1" x14ac:dyDescent="0.15">
      <c r="A196" s="5">
        <v>193</v>
      </c>
      <c r="B196" s="6" t="str">
        <f>"30482021060212003473280"</f>
        <v>30482021060212003473280</v>
      </c>
      <c r="C196" s="6" t="s">
        <v>1885</v>
      </c>
      <c r="D196" s="6" t="str">
        <f>"潘宏"</f>
        <v>潘宏</v>
      </c>
      <c r="E196" s="6" t="str">
        <f t="shared" si="4"/>
        <v>女</v>
      </c>
      <c r="F196" s="7" t="s">
        <v>743</v>
      </c>
    </row>
    <row r="197" spans="1:6" ht="20.100000000000001" customHeight="1" x14ac:dyDescent="0.15">
      <c r="A197" s="5">
        <v>194</v>
      </c>
      <c r="B197" s="6" t="str">
        <f>"30482021060212174773406"</f>
        <v>30482021060212174773406</v>
      </c>
      <c r="C197" s="6" t="s">
        <v>1885</v>
      </c>
      <c r="D197" s="6" t="str">
        <f>"刘晓霞"</f>
        <v>刘晓霞</v>
      </c>
      <c r="E197" s="6" t="str">
        <f t="shared" si="4"/>
        <v>女</v>
      </c>
      <c r="F197" s="7" t="s">
        <v>1915</v>
      </c>
    </row>
    <row r="198" spans="1:6" ht="20.100000000000001" customHeight="1" x14ac:dyDescent="0.15">
      <c r="A198" s="5">
        <v>195</v>
      </c>
      <c r="B198" s="6" t="str">
        <f>"30482021060212191373420"</f>
        <v>30482021060212191373420</v>
      </c>
      <c r="C198" s="6" t="s">
        <v>1885</v>
      </c>
      <c r="D198" s="6" t="str">
        <f>"吴兴洁"</f>
        <v>吴兴洁</v>
      </c>
      <c r="E198" s="6" t="str">
        <f t="shared" si="4"/>
        <v>女</v>
      </c>
      <c r="F198" s="7" t="s">
        <v>329</v>
      </c>
    </row>
    <row r="199" spans="1:6" ht="20.100000000000001" customHeight="1" x14ac:dyDescent="0.15">
      <c r="A199" s="5">
        <v>196</v>
      </c>
      <c r="B199" s="6" t="str">
        <f>"30482021060212212373438"</f>
        <v>30482021060212212373438</v>
      </c>
      <c r="C199" s="6" t="s">
        <v>1885</v>
      </c>
      <c r="D199" s="6" t="str">
        <f>"吴剑玲"</f>
        <v>吴剑玲</v>
      </c>
      <c r="E199" s="6" t="str">
        <f t="shared" si="4"/>
        <v>女</v>
      </c>
      <c r="F199" s="7" t="s">
        <v>90</v>
      </c>
    </row>
    <row r="200" spans="1:6" ht="20.100000000000001" customHeight="1" x14ac:dyDescent="0.15">
      <c r="A200" s="5">
        <v>197</v>
      </c>
      <c r="B200" s="6" t="str">
        <f>"30482021060212242473461"</f>
        <v>30482021060212242473461</v>
      </c>
      <c r="C200" s="6" t="s">
        <v>1885</v>
      </c>
      <c r="D200" s="6" t="str">
        <f>"卢兰珍"</f>
        <v>卢兰珍</v>
      </c>
      <c r="E200" s="6" t="str">
        <f t="shared" si="4"/>
        <v>女</v>
      </c>
      <c r="F200" s="7" t="s">
        <v>451</v>
      </c>
    </row>
    <row r="201" spans="1:6" ht="20.100000000000001" customHeight="1" x14ac:dyDescent="0.15">
      <c r="A201" s="5">
        <v>198</v>
      </c>
      <c r="B201" s="6" t="str">
        <f>"30482021060212270273485"</f>
        <v>30482021060212270273485</v>
      </c>
      <c r="C201" s="6" t="s">
        <v>1885</v>
      </c>
      <c r="D201" s="6" t="str">
        <f>"沈金凤"</f>
        <v>沈金凤</v>
      </c>
      <c r="E201" s="6" t="str">
        <f t="shared" si="4"/>
        <v>女</v>
      </c>
      <c r="F201" s="7" t="s">
        <v>1194</v>
      </c>
    </row>
    <row r="202" spans="1:6" ht="20.100000000000001" customHeight="1" x14ac:dyDescent="0.15">
      <c r="A202" s="5">
        <v>199</v>
      </c>
      <c r="B202" s="6" t="str">
        <f>"30482021060212340473560"</f>
        <v>30482021060212340473560</v>
      </c>
      <c r="C202" s="6" t="s">
        <v>1885</v>
      </c>
      <c r="D202" s="6" t="str">
        <f>"叶嘉蔚"</f>
        <v>叶嘉蔚</v>
      </c>
      <c r="E202" s="6" t="str">
        <f t="shared" si="4"/>
        <v>女</v>
      </c>
      <c r="F202" s="7" t="s">
        <v>1916</v>
      </c>
    </row>
    <row r="203" spans="1:6" ht="20.100000000000001" customHeight="1" x14ac:dyDescent="0.15">
      <c r="A203" s="5">
        <v>200</v>
      </c>
      <c r="B203" s="6" t="str">
        <f>"30482021060212342373566"</f>
        <v>30482021060212342373566</v>
      </c>
      <c r="C203" s="6" t="s">
        <v>1885</v>
      </c>
      <c r="D203" s="6" t="str">
        <f>"邢增汝"</f>
        <v>邢增汝</v>
      </c>
      <c r="E203" s="6" t="str">
        <f t="shared" si="4"/>
        <v>女</v>
      </c>
      <c r="F203" s="7" t="s">
        <v>1259</v>
      </c>
    </row>
    <row r="204" spans="1:6" ht="20.100000000000001" customHeight="1" x14ac:dyDescent="0.15">
      <c r="A204" s="5">
        <v>201</v>
      </c>
      <c r="B204" s="6" t="str">
        <f>"30482021060212381973605"</f>
        <v>30482021060212381973605</v>
      </c>
      <c r="C204" s="6" t="s">
        <v>1885</v>
      </c>
      <c r="D204" s="6" t="str">
        <f>"林文英"</f>
        <v>林文英</v>
      </c>
      <c r="E204" s="6" t="str">
        <f t="shared" si="4"/>
        <v>女</v>
      </c>
      <c r="F204" s="7" t="s">
        <v>653</v>
      </c>
    </row>
    <row r="205" spans="1:6" ht="20.100000000000001" customHeight="1" x14ac:dyDescent="0.15">
      <c r="A205" s="5">
        <v>202</v>
      </c>
      <c r="B205" s="6" t="str">
        <f>"30482021060212422273646"</f>
        <v>30482021060212422273646</v>
      </c>
      <c r="C205" s="6" t="s">
        <v>1885</v>
      </c>
      <c r="D205" s="6" t="str">
        <f>"麦挚"</f>
        <v>麦挚</v>
      </c>
      <c r="E205" s="6" t="str">
        <f t="shared" si="4"/>
        <v>女</v>
      </c>
      <c r="F205" s="7" t="s">
        <v>529</v>
      </c>
    </row>
    <row r="206" spans="1:6" ht="20.100000000000001" customHeight="1" x14ac:dyDescent="0.15">
      <c r="A206" s="5">
        <v>203</v>
      </c>
      <c r="B206" s="6" t="str">
        <f>"30482021060212592973765"</f>
        <v>30482021060212592973765</v>
      </c>
      <c r="C206" s="6" t="s">
        <v>1885</v>
      </c>
      <c r="D206" s="6" t="str">
        <f>"陈树萍"</f>
        <v>陈树萍</v>
      </c>
      <c r="E206" s="6" t="str">
        <f t="shared" si="4"/>
        <v>女</v>
      </c>
      <c r="F206" s="7" t="s">
        <v>1917</v>
      </c>
    </row>
    <row r="207" spans="1:6" ht="20.100000000000001" customHeight="1" x14ac:dyDescent="0.15">
      <c r="A207" s="5">
        <v>204</v>
      </c>
      <c r="B207" s="6" t="str">
        <f>"30482021060213031073802"</f>
        <v>30482021060213031073802</v>
      </c>
      <c r="C207" s="6" t="s">
        <v>1885</v>
      </c>
      <c r="D207" s="6" t="str">
        <f>"王笛"</f>
        <v>王笛</v>
      </c>
      <c r="E207" s="6" t="str">
        <f t="shared" si="4"/>
        <v>女</v>
      </c>
      <c r="F207" s="7" t="s">
        <v>152</v>
      </c>
    </row>
    <row r="208" spans="1:6" ht="20.100000000000001" customHeight="1" x14ac:dyDescent="0.15">
      <c r="A208" s="5">
        <v>205</v>
      </c>
      <c r="B208" s="6" t="str">
        <f>"30482021060213033073804"</f>
        <v>30482021060213033073804</v>
      </c>
      <c r="C208" s="6" t="s">
        <v>1885</v>
      </c>
      <c r="D208" s="6" t="str">
        <f>"郑小萃"</f>
        <v>郑小萃</v>
      </c>
      <c r="E208" s="6" t="str">
        <f t="shared" si="4"/>
        <v>女</v>
      </c>
      <c r="F208" s="7" t="s">
        <v>1043</v>
      </c>
    </row>
    <row r="209" spans="1:6" ht="20.100000000000001" customHeight="1" x14ac:dyDescent="0.15">
      <c r="A209" s="5">
        <v>206</v>
      </c>
      <c r="B209" s="6" t="str">
        <f>"30482021060213051373815"</f>
        <v>30482021060213051373815</v>
      </c>
      <c r="C209" s="6" t="s">
        <v>1885</v>
      </c>
      <c r="D209" s="6" t="str">
        <f>"吴季娟"</f>
        <v>吴季娟</v>
      </c>
      <c r="E209" s="6" t="str">
        <f t="shared" si="4"/>
        <v>女</v>
      </c>
      <c r="F209" s="7" t="s">
        <v>552</v>
      </c>
    </row>
    <row r="210" spans="1:6" ht="20.100000000000001" customHeight="1" x14ac:dyDescent="0.15">
      <c r="A210" s="5">
        <v>207</v>
      </c>
      <c r="B210" s="6" t="str">
        <f>"30482021060213071573836"</f>
        <v>30482021060213071573836</v>
      </c>
      <c r="C210" s="6" t="s">
        <v>1885</v>
      </c>
      <c r="D210" s="6" t="str">
        <f>"戴榕"</f>
        <v>戴榕</v>
      </c>
      <c r="E210" s="6" t="str">
        <f t="shared" si="4"/>
        <v>女</v>
      </c>
      <c r="F210" s="7" t="s">
        <v>205</v>
      </c>
    </row>
    <row r="211" spans="1:6" ht="20.100000000000001" customHeight="1" x14ac:dyDescent="0.15">
      <c r="A211" s="5">
        <v>208</v>
      </c>
      <c r="B211" s="6" t="str">
        <f>"30482021060213075673847"</f>
        <v>30482021060213075673847</v>
      </c>
      <c r="C211" s="6" t="s">
        <v>1885</v>
      </c>
      <c r="D211" s="6" t="str">
        <f>"陈爱玉"</f>
        <v>陈爱玉</v>
      </c>
      <c r="E211" s="6" t="str">
        <f t="shared" si="4"/>
        <v>女</v>
      </c>
      <c r="F211" s="7" t="s">
        <v>631</v>
      </c>
    </row>
    <row r="212" spans="1:6" ht="20.100000000000001" customHeight="1" x14ac:dyDescent="0.15">
      <c r="A212" s="5">
        <v>209</v>
      </c>
      <c r="B212" s="6" t="str">
        <f>"30482021060213182973915"</f>
        <v>30482021060213182973915</v>
      </c>
      <c r="C212" s="6" t="s">
        <v>1885</v>
      </c>
      <c r="D212" s="6" t="str">
        <f>"符国艳"</f>
        <v>符国艳</v>
      </c>
      <c r="E212" s="6" t="str">
        <f t="shared" si="4"/>
        <v>女</v>
      </c>
      <c r="F212" s="7" t="s">
        <v>183</v>
      </c>
    </row>
    <row r="213" spans="1:6" ht="20.100000000000001" customHeight="1" x14ac:dyDescent="0.15">
      <c r="A213" s="5">
        <v>210</v>
      </c>
      <c r="B213" s="6" t="str">
        <f>"30482021060214152874231"</f>
        <v>30482021060214152874231</v>
      </c>
      <c r="C213" s="6" t="s">
        <v>1885</v>
      </c>
      <c r="D213" s="6" t="str">
        <f>"陈焕敏"</f>
        <v>陈焕敏</v>
      </c>
      <c r="E213" s="6" t="str">
        <f t="shared" si="4"/>
        <v>女</v>
      </c>
      <c r="F213" s="7" t="s">
        <v>249</v>
      </c>
    </row>
    <row r="214" spans="1:6" ht="20.100000000000001" customHeight="1" x14ac:dyDescent="0.15">
      <c r="A214" s="5">
        <v>211</v>
      </c>
      <c r="B214" s="6" t="str">
        <f>"30482021060214334974345"</f>
        <v>30482021060214334974345</v>
      </c>
      <c r="C214" s="6" t="s">
        <v>1885</v>
      </c>
      <c r="D214" s="6" t="str">
        <f>"陈秋如"</f>
        <v>陈秋如</v>
      </c>
      <c r="E214" s="6" t="str">
        <f t="shared" si="4"/>
        <v>女</v>
      </c>
      <c r="F214" s="7" t="s">
        <v>1918</v>
      </c>
    </row>
    <row r="215" spans="1:6" ht="20.100000000000001" customHeight="1" x14ac:dyDescent="0.15">
      <c r="A215" s="5">
        <v>212</v>
      </c>
      <c r="B215" s="6" t="str">
        <f>"30482021060214422074415"</f>
        <v>30482021060214422074415</v>
      </c>
      <c r="C215" s="6" t="s">
        <v>1885</v>
      </c>
      <c r="D215" s="6" t="str">
        <f>"陈少盈"</f>
        <v>陈少盈</v>
      </c>
      <c r="E215" s="6" t="str">
        <f t="shared" si="4"/>
        <v>女</v>
      </c>
      <c r="F215" s="7" t="s">
        <v>1409</v>
      </c>
    </row>
    <row r="216" spans="1:6" ht="20.100000000000001" customHeight="1" x14ac:dyDescent="0.15">
      <c r="A216" s="5">
        <v>213</v>
      </c>
      <c r="B216" s="6" t="str">
        <f>"30482021060215002774580"</f>
        <v>30482021060215002774580</v>
      </c>
      <c r="C216" s="6" t="s">
        <v>1885</v>
      </c>
      <c r="D216" s="6" t="str">
        <f>"符丁予"</f>
        <v>符丁予</v>
      </c>
      <c r="E216" s="6" t="str">
        <f t="shared" si="4"/>
        <v>女</v>
      </c>
      <c r="F216" s="7" t="s">
        <v>742</v>
      </c>
    </row>
    <row r="217" spans="1:6" ht="20.100000000000001" customHeight="1" x14ac:dyDescent="0.15">
      <c r="A217" s="5">
        <v>214</v>
      </c>
      <c r="B217" s="6" t="str">
        <f>"30482021060215061774644"</f>
        <v>30482021060215061774644</v>
      </c>
      <c r="C217" s="6" t="s">
        <v>1885</v>
      </c>
      <c r="D217" s="6" t="str">
        <f>"曹肇妃"</f>
        <v>曹肇妃</v>
      </c>
      <c r="E217" s="6" t="str">
        <f t="shared" si="4"/>
        <v>女</v>
      </c>
      <c r="F217" s="7" t="s">
        <v>1077</v>
      </c>
    </row>
    <row r="218" spans="1:6" ht="20.100000000000001" customHeight="1" x14ac:dyDescent="0.15">
      <c r="A218" s="5">
        <v>215</v>
      </c>
      <c r="B218" s="6" t="str">
        <f>"30482021060215102374677"</f>
        <v>30482021060215102374677</v>
      </c>
      <c r="C218" s="6" t="s">
        <v>1885</v>
      </c>
      <c r="D218" s="6" t="str">
        <f>"谢黄娇"</f>
        <v>谢黄娇</v>
      </c>
      <c r="E218" s="6" t="str">
        <f t="shared" si="4"/>
        <v>女</v>
      </c>
      <c r="F218" s="7" t="s">
        <v>1919</v>
      </c>
    </row>
    <row r="219" spans="1:6" ht="20.100000000000001" customHeight="1" x14ac:dyDescent="0.15">
      <c r="A219" s="5">
        <v>216</v>
      </c>
      <c r="B219" s="6" t="str">
        <f>"30482021060215122474702"</f>
        <v>30482021060215122474702</v>
      </c>
      <c r="C219" s="6" t="s">
        <v>1885</v>
      </c>
      <c r="D219" s="6" t="str">
        <f>"蔡汝娜"</f>
        <v>蔡汝娜</v>
      </c>
      <c r="E219" s="6" t="str">
        <f t="shared" si="4"/>
        <v>女</v>
      </c>
      <c r="F219" s="7" t="s">
        <v>930</v>
      </c>
    </row>
    <row r="220" spans="1:6" ht="20.100000000000001" customHeight="1" x14ac:dyDescent="0.15">
      <c r="A220" s="5">
        <v>217</v>
      </c>
      <c r="B220" s="6" t="str">
        <f>"30482021060215185274779"</f>
        <v>30482021060215185274779</v>
      </c>
      <c r="C220" s="6" t="s">
        <v>1885</v>
      </c>
      <c r="D220" s="6" t="str">
        <f>"李金霞"</f>
        <v>李金霞</v>
      </c>
      <c r="E220" s="6" t="str">
        <f t="shared" si="4"/>
        <v>女</v>
      </c>
      <c r="F220" s="7" t="s">
        <v>10</v>
      </c>
    </row>
    <row r="221" spans="1:6" ht="20.100000000000001" customHeight="1" x14ac:dyDescent="0.15">
      <c r="A221" s="5">
        <v>218</v>
      </c>
      <c r="B221" s="6" t="str">
        <f>"30482021060215250174836"</f>
        <v>30482021060215250174836</v>
      </c>
      <c r="C221" s="6" t="s">
        <v>1885</v>
      </c>
      <c r="D221" s="6" t="str">
        <f>"王清丽"</f>
        <v>王清丽</v>
      </c>
      <c r="E221" s="6" t="str">
        <f t="shared" si="4"/>
        <v>女</v>
      </c>
      <c r="F221" s="7" t="s">
        <v>30</v>
      </c>
    </row>
    <row r="222" spans="1:6" ht="20.100000000000001" customHeight="1" x14ac:dyDescent="0.15">
      <c r="A222" s="5">
        <v>219</v>
      </c>
      <c r="B222" s="6" t="str">
        <f>"30482021060215284874881"</f>
        <v>30482021060215284874881</v>
      </c>
      <c r="C222" s="6" t="s">
        <v>1885</v>
      </c>
      <c r="D222" s="6" t="str">
        <f>"符冬冬"</f>
        <v>符冬冬</v>
      </c>
      <c r="E222" s="6" t="str">
        <f t="shared" si="4"/>
        <v>女</v>
      </c>
      <c r="F222" s="7" t="s">
        <v>1920</v>
      </c>
    </row>
    <row r="223" spans="1:6" ht="20.100000000000001" customHeight="1" x14ac:dyDescent="0.15">
      <c r="A223" s="5">
        <v>220</v>
      </c>
      <c r="B223" s="6" t="str">
        <f>"30482021060215320674927"</f>
        <v>30482021060215320674927</v>
      </c>
      <c r="C223" s="6" t="s">
        <v>1885</v>
      </c>
      <c r="D223" s="6" t="str">
        <f>"王丽聪"</f>
        <v>王丽聪</v>
      </c>
      <c r="E223" s="6" t="str">
        <f t="shared" si="4"/>
        <v>女</v>
      </c>
      <c r="F223" s="7" t="s">
        <v>134</v>
      </c>
    </row>
    <row r="224" spans="1:6" ht="20.100000000000001" customHeight="1" x14ac:dyDescent="0.15">
      <c r="A224" s="5">
        <v>221</v>
      </c>
      <c r="B224" s="6" t="str">
        <f>"30482021060215374974995"</f>
        <v>30482021060215374974995</v>
      </c>
      <c r="C224" s="6" t="s">
        <v>1885</v>
      </c>
      <c r="D224" s="6" t="str">
        <f>"文坤婧"</f>
        <v>文坤婧</v>
      </c>
      <c r="E224" s="6" t="str">
        <f t="shared" si="4"/>
        <v>女</v>
      </c>
      <c r="F224" s="7" t="s">
        <v>1039</v>
      </c>
    </row>
    <row r="225" spans="1:6" ht="20.100000000000001" customHeight="1" x14ac:dyDescent="0.15">
      <c r="A225" s="5">
        <v>222</v>
      </c>
      <c r="B225" s="6" t="str">
        <f>"30482021060215403875021"</f>
        <v>30482021060215403875021</v>
      </c>
      <c r="C225" s="6" t="s">
        <v>1885</v>
      </c>
      <c r="D225" s="6" t="str">
        <f>"王冬圆"</f>
        <v>王冬圆</v>
      </c>
      <c r="E225" s="6" t="str">
        <f t="shared" si="4"/>
        <v>女</v>
      </c>
      <c r="F225" s="7" t="s">
        <v>647</v>
      </c>
    </row>
    <row r="226" spans="1:6" ht="20.100000000000001" customHeight="1" x14ac:dyDescent="0.15">
      <c r="A226" s="5">
        <v>223</v>
      </c>
      <c r="B226" s="6" t="str">
        <f>"30482021060215455375086"</f>
        <v>30482021060215455375086</v>
      </c>
      <c r="C226" s="6" t="s">
        <v>1885</v>
      </c>
      <c r="D226" s="6" t="str">
        <f>"李佳音"</f>
        <v>李佳音</v>
      </c>
      <c r="E226" s="6" t="str">
        <f t="shared" si="4"/>
        <v>女</v>
      </c>
      <c r="F226" s="7" t="s">
        <v>183</v>
      </c>
    </row>
    <row r="227" spans="1:6" ht="20.100000000000001" customHeight="1" x14ac:dyDescent="0.15">
      <c r="A227" s="5">
        <v>224</v>
      </c>
      <c r="B227" s="6" t="str">
        <f>"30482021060215532675171"</f>
        <v>30482021060215532675171</v>
      </c>
      <c r="C227" s="6" t="s">
        <v>1885</v>
      </c>
      <c r="D227" s="6" t="str">
        <f>"翁娇丽"</f>
        <v>翁娇丽</v>
      </c>
      <c r="E227" s="6" t="str">
        <f t="shared" ref="E227:E290" si="5">"女"</f>
        <v>女</v>
      </c>
      <c r="F227" s="7" t="s">
        <v>1114</v>
      </c>
    </row>
    <row r="228" spans="1:6" ht="20.100000000000001" customHeight="1" x14ac:dyDescent="0.15">
      <c r="A228" s="5">
        <v>225</v>
      </c>
      <c r="B228" s="6" t="str">
        <f>"30482021060215545275187"</f>
        <v>30482021060215545275187</v>
      </c>
      <c r="C228" s="6" t="s">
        <v>1885</v>
      </c>
      <c r="D228" s="6" t="str">
        <f>"唐心苗"</f>
        <v>唐心苗</v>
      </c>
      <c r="E228" s="6" t="str">
        <f t="shared" si="5"/>
        <v>女</v>
      </c>
      <c r="F228" s="7" t="s">
        <v>1449</v>
      </c>
    </row>
    <row r="229" spans="1:6" ht="20.100000000000001" customHeight="1" x14ac:dyDescent="0.15">
      <c r="A229" s="5">
        <v>226</v>
      </c>
      <c r="B229" s="6" t="str">
        <f>"30482021060215551475193"</f>
        <v>30482021060215551475193</v>
      </c>
      <c r="C229" s="6" t="s">
        <v>1885</v>
      </c>
      <c r="D229" s="6" t="str">
        <f>"詹先芹"</f>
        <v>詹先芹</v>
      </c>
      <c r="E229" s="6" t="str">
        <f t="shared" si="5"/>
        <v>女</v>
      </c>
      <c r="F229" s="7" t="s">
        <v>503</v>
      </c>
    </row>
    <row r="230" spans="1:6" ht="20.100000000000001" customHeight="1" x14ac:dyDescent="0.15">
      <c r="A230" s="5">
        <v>227</v>
      </c>
      <c r="B230" s="6" t="str">
        <f>"30482021060215580275225"</f>
        <v>30482021060215580275225</v>
      </c>
      <c r="C230" s="6" t="s">
        <v>1885</v>
      </c>
      <c r="D230" s="6" t="str">
        <f>"曾春玲"</f>
        <v>曾春玲</v>
      </c>
      <c r="E230" s="6" t="str">
        <f t="shared" si="5"/>
        <v>女</v>
      </c>
      <c r="F230" s="7" t="s">
        <v>1921</v>
      </c>
    </row>
    <row r="231" spans="1:6" ht="20.100000000000001" customHeight="1" x14ac:dyDescent="0.15">
      <c r="A231" s="5">
        <v>228</v>
      </c>
      <c r="B231" s="6" t="str">
        <f>"30482021060216034975288"</f>
        <v>30482021060216034975288</v>
      </c>
      <c r="C231" s="6" t="s">
        <v>1885</v>
      </c>
      <c r="D231" s="6" t="str">
        <f>"许慧敏"</f>
        <v>许慧敏</v>
      </c>
      <c r="E231" s="6" t="str">
        <f t="shared" si="5"/>
        <v>女</v>
      </c>
      <c r="F231" s="7" t="s">
        <v>138</v>
      </c>
    </row>
    <row r="232" spans="1:6" ht="20.100000000000001" customHeight="1" x14ac:dyDescent="0.15">
      <c r="A232" s="5">
        <v>229</v>
      </c>
      <c r="B232" s="6" t="str">
        <f>"30482021060216183875429"</f>
        <v>30482021060216183875429</v>
      </c>
      <c r="C232" s="6" t="s">
        <v>1885</v>
      </c>
      <c r="D232" s="6" t="str">
        <f>"汤博芬"</f>
        <v>汤博芬</v>
      </c>
      <c r="E232" s="6" t="str">
        <f t="shared" si="5"/>
        <v>女</v>
      </c>
      <c r="F232" s="7" t="s">
        <v>205</v>
      </c>
    </row>
    <row r="233" spans="1:6" ht="20.100000000000001" customHeight="1" x14ac:dyDescent="0.15">
      <c r="A233" s="5">
        <v>230</v>
      </c>
      <c r="B233" s="6" t="str">
        <f>"30482021060216203275452"</f>
        <v>30482021060216203275452</v>
      </c>
      <c r="C233" s="6" t="s">
        <v>1885</v>
      </c>
      <c r="D233" s="6" t="str">
        <f>"张晓翠"</f>
        <v>张晓翠</v>
      </c>
      <c r="E233" s="6" t="str">
        <f t="shared" si="5"/>
        <v>女</v>
      </c>
      <c r="F233" s="7" t="s">
        <v>1922</v>
      </c>
    </row>
    <row r="234" spans="1:6" ht="20.100000000000001" customHeight="1" x14ac:dyDescent="0.15">
      <c r="A234" s="5">
        <v>231</v>
      </c>
      <c r="B234" s="6" t="str">
        <f>"30482021060216205475456"</f>
        <v>30482021060216205475456</v>
      </c>
      <c r="C234" s="6" t="s">
        <v>1885</v>
      </c>
      <c r="D234" s="6" t="str">
        <f>"孙星"</f>
        <v>孙星</v>
      </c>
      <c r="E234" s="6" t="str">
        <f t="shared" si="5"/>
        <v>女</v>
      </c>
      <c r="F234" s="7" t="s">
        <v>160</v>
      </c>
    </row>
    <row r="235" spans="1:6" ht="20.100000000000001" customHeight="1" x14ac:dyDescent="0.15">
      <c r="A235" s="5">
        <v>232</v>
      </c>
      <c r="B235" s="6" t="str">
        <f>"30482021060216273075506"</f>
        <v>30482021060216273075506</v>
      </c>
      <c r="C235" s="6" t="s">
        <v>1885</v>
      </c>
      <c r="D235" s="6" t="str">
        <f>"姜姗姗"</f>
        <v>姜姗姗</v>
      </c>
      <c r="E235" s="6" t="str">
        <f t="shared" si="5"/>
        <v>女</v>
      </c>
      <c r="F235" s="7" t="s">
        <v>347</v>
      </c>
    </row>
    <row r="236" spans="1:6" ht="20.100000000000001" customHeight="1" x14ac:dyDescent="0.15">
      <c r="A236" s="5">
        <v>233</v>
      </c>
      <c r="B236" s="6" t="str">
        <f>"30482021060216394575637"</f>
        <v>30482021060216394575637</v>
      </c>
      <c r="C236" s="6" t="s">
        <v>1885</v>
      </c>
      <c r="D236" s="6" t="str">
        <f>"许碧慧"</f>
        <v>许碧慧</v>
      </c>
      <c r="E236" s="6" t="str">
        <f t="shared" si="5"/>
        <v>女</v>
      </c>
      <c r="F236" s="7" t="s">
        <v>1923</v>
      </c>
    </row>
    <row r="237" spans="1:6" ht="20.100000000000001" customHeight="1" x14ac:dyDescent="0.15">
      <c r="A237" s="5">
        <v>234</v>
      </c>
      <c r="B237" s="6" t="str">
        <f>"30482021060216513875747"</f>
        <v>30482021060216513875747</v>
      </c>
      <c r="C237" s="6" t="s">
        <v>1885</v>
      </c>
      <c r="D237" s="6" t="str">
        <f>"王春咪"</f>
        <v>王春咪</v>
      </c>
      <c r="E237" s="6" t="str">
        <f t="shared" si="5"/>
        <v>女</v>
      </c>
      <c r="F237" s="7" t="s">
        <v>1924</v>
      </c>
    </row>
    <row r="238" spans="1:6" ht="20.100000000000001" customHeight="1" x14ac:dyDescent="0.15">
      <c r="A238" s="5">
        <v>235</v>
      </c>
      <c r="B238" s="6" t="str">
        <f>"30482021060216525675759"</f>
        <v>30482021060216525675759</v>
      </c>
      <c r="C238" s="6" t="s">
        <v>1885</v>
      </c>
      <c r="D238" s="6" t="str">
        <f>"蒋婧娉"</f>
        <v>蒋婧娉</v>
      </c>
      <c r="E238" s="6" t="str">
        <f t="shared" si="5"/>
        <v>女</v>
      </c>
      <c r="F238" s="7" t="s">
        <v>362</v>
      </c>
    </row>
    <row r="239" spans="1:6" ht="20.100000000000001" customHeight="1" x14ac:dyDescent="0.15">
      <c r="A239" s="5">
        <v>236</v>
      </c>
      <c r="B239" s="6" t="str">
        <f>"30482021060217020175834"</f>
        <v>30482021060217020175834</v>
      </c>
      <c r="C239" s="6" t="s">
        <v>1885</v>
      </c>
      <c r="D239" s="6" t="str">
        <f>"王玉清"</f>
        <v>王玉清</v>
      </c>
      <c r="E239" s="6" t="str">
        <f t="shared" si="5"/>
        <v>女</v>
      </c>
      <c r="F239" s="7" t="s">
        <v>1925</v>
      </c>
    </row>
    <row r="240" spans="1:6" ht="20.100000000000001" customHeight="1" x14ac:dyDescent="0.15">
      <c r="A240" s="5">
        <v>237</v>
      </c>
      <c r="B240" s="6" t="str">
        <f>"30482021060217080875888"</f>
        <v>30482021060217080875888</v>
      </c>
      <c r="C240" s="6" t="s">
        <v>1885</v>
      </c>
      <c r="D240" s="6" t="str">
        <f>"彭慧"</f>
        <v>彭慧</v>
      </c>
      <c r="E240" s="6" t="str">
        <f t="shared" si="5"/>
        <v>女</v>
      </c>
      <c r="F240" s="7" t="s">
        <v>1399</v>
      </c>
    </row>
    <row r="241" spans="1:6" ht="20.100000000000001" customHeight="1" x14ac:dyDescent="0.15">
      <c r="A241" s="5">
        <v>238</v>
      </c>
      <c r="B241" s="6" t="str">
        <f>"30482021060217084375895"</f>
        <v>30482021060217084375895</v>
      </c>
      <c r="C241" s="6" t="s">
        <v>1885</v>
      </c>
      <c r="D241" s="6" t="str">
        <f>"黄晓素"</f>
        <v>黄晓素</v>
      </c>
      <c r="E241" s="6" t="str">
        <f t="shared" si="5"/>
        <v>女</v>
      </c>
      <c r="F241" s="7" t="s">
        <v>1533</v>
      </c>
    </row>
    <row r="242" spans="1:6" ht="20.100000000000001" customHeight="1" x14ac:dyDescent="0.15">
      <c r="A242" s="5">
        <v>239</v>
      </c>
      <c r="B242" s="6" t="str">
        <f>"30482021060217163775985"</f>
        <v>30482021060217163775985</v>
      </c>
      <c r="C242" s="6" t="s">
        <v>1885</v>
      </c>
      <c r="D242" s="6" t="str">
        <f>"周婷"</f>
        <v>周婷</v>
      </c>
      <c r="E242" s="6" t="str">
        <f t="shared" si="5"/>
        <v>女</v>
      </c>
      <c r="F242" s="7" t="s">
        <v>488</v>
      </c>
    </row>
    <row r="243" spans="1:6" ht="20.100000000000001" customHeight="1" x14ac:dyDescent="0.15">
      <c r="A243" s="5">
        <v>240</v>
      </c>
      <c r="B243" s="6" t="str">
        <f>"30482021060217521576275"</f>
        <v>30482021060217521576275</v>
      </c>
      <c r="C243" s="6" t="s">
        <v>1885</v>
      </c>
      <c r="D243" s="6" t="str">
        <f>"王海连"</f>
        <v>王海连</v>
      </c>
      <c r="E243" s="6" t="str">
        <f t="shared" si="5"/>
        <v>女</v>
      </c>
      <c r="F243" s="7" t="s">
        <v>1926</v>
      </c>
    </row>
    <row r="244" spans="1:6" ht="20.100000000000001" customHeight="1" x14ac:dyDescent="0.15">
      <c r="A244" s="5">
        <v>241</v>
      </c>
      <c r="B244" s="6" t="str">
        <f>"30482021060218172076448"</f>
        <v>30482021060218172076448</v>
      </c>
      <c r="C244" s="6" t="s">
        <v>1885</v>
      </c>
      <c r="D244" s="6" t="str">
        <f>"冯玉红"</f>
        <v>冯玉红</v>
      </c>
      <c r="E244" s="6" t="str">
        <f t="shared" si="5"/>
        <v>女</v>
      </c>
      <c r="F244" s="7" t="s">
        <v>1927</v>
      </c>
    </row>
    <row r="245" spans="1:6" ht="20.100000000000001" customHeight="1" x14ac:dyDescent="0.15">
      <c r="A245" s="5">
        <v>242</v>
      </c>
      <c r="B245" s="6" t="str">
        <f>"30482021060218195776466"</f>
        <v>30482021060218195776466</v>
      </c>
      <c r="C245" s="6" t="s">
        <v>1885</v>
      </c>
      <c r="D245" s="6" t="str">
        <f>"李祝秀"</f>
        <v>李祝秀</v>
      </c>
      <c r="E245" s="6" t="str">
        <f t="shared" si="5"/>
        <v>女</v>
      </c>
      <c r="F245" s="7" t="s">
        <v>1928</v>
      </c>
    </row>
    <row r="246" spans="1:6" ht="20.100000000000001" customHeight="1" x14ac:dyDescent="0.15">
      <c r="A246" s="5">
        <v>243</v>
      </c>
      <c r="B246" s="6" t="str">
        <f>"30482021060218244876497"</f>
        <v>30482021060218244876497</v>
      </c>
      <c r="C246" s="6" t="s">
        <v>1885</v>
      </c>
      <c r="D246" s="6" t="str">
        <f>"冯一梅"</f>
        <v>冯一梅</v>
      </c>
      <c r="E246" s="6" t="str">
        <f t="shared" si="5"/>
        <v>女</v>
      </c>
      <c r="F246" s="7" t="s">
        <v>355</v>
      </c>
    </row>
    <row r="247" spans="1:6" ht="20.100000000000001" customHeight="1" x14ac:dyDescent="0.15">
      <c r="A247" s="5">
        <v>244</v>
      </c>
      <c r="B247" s="6" t="str">
        <f>"30482021060218252676507"</f>
        <v>30482021060218252676507</v>
      </c>
      <c r="C247" s="6" t="s">
        <v>1885</v>
      </c>
      <c r="D247" s="6" t="str">
        <f>"羊彩珠"</f>
        <v>羊彩珠</v>
      </c>
      <c r="E247" s="6" t="str">
        <f t="shared" si="5"/>
        <v>女</v>
      </c>
      <c r="F247" s="7" t="s">
        <v>497</v>
      </c>
    </row>
    <row r="248" spans="1:6" ht="20.100000000000001" customHeight="1" x14ac:dyDescent="0.15">
      <c r="A248" s="5">
        <v>245</v>
      </c>
      <c r="B248" s="6" t="str">
        <f>"30482021060218281576533"</f>
        <v>30482021060218281576533</v>
      </c>
      <c r="C248" s="6" t="s">
        <v>1885</v>
      </c>
      <c r="D248" s="6" t="str">
        <f>"王神月"</f>
        <v>王神月</v>
      </c>
      <c r="E248" s="6" t="str">
        <f t="shared" si="5"/>
        <v>女</v>
      </c>
      <c r="F248" s="7" t="s">
        <v>56</v>
      </c>
    </row>
    <row r="249" spans="1:6" ht="20.100000000000001" customHeight="1" x14ac:dyDescent="0.15">
      <c r="A249" s="5">
        <v>246</v>
      </c>
      <c r="B249" s="6" t="str">
        <f>"30482021060218343676573"</f>
        <v>30482021060218343676573</v>
      </c>
      <c r="C249" s="6" t="s">
        <v>1885</v>
      </c>
      <c r="D249" s="6" t="str">
        <f>"苏云珍"</f>
        <v>苏云珍</v>
      </c>
      <c r="E249" s="6" t="str">
        <f t="shared" si="5"/>
        <v>女</v>
      </c>
      <c r="F249" s="7" t="s">
        <v>526</v>
      </c>
    </row>
    <row r="250" spans="1:6" ht="20.100000000000001" customHeight="1" x14ac:dyDescent="0.15">
      <c r="A250" s="5">
        <v>247</v>
      </c>
      <c r="B250" s="6" t="str">
        <f>"30482021060218511376691"</f>
        <v>30482021060218511376691</v>
      </c>
      <c r="C250" s="6" t="s">
        <v>1885</v>
      </c>
      <c r="D250" s="6" t="str">
        <f>"刘淑娜"</f>
        <v>刘淑娜</v>
      </c>
      <c r="E250" s="6" t="str">
        <f t="shared" si="5"/>
        <v>女</v>
      </c>
      <c r="F250" s="7" t="s">
        <v>449</v>
      </c>
    </row>
    <row r="251" spans="1:6" ht="20.100000000000001" customHeight="1" x14ac:dyDescent="0.15">
      <c r="A251" s="5">
        <v>248</v>
      </c>
      <c r="B251" s="6" t="str">
        <f>"30482021060218534476703"</f>
        <v>30482021060218534476703</v>
      </c>
      <c r="C251" s="6" t="s">
        <v>1885</v>
      </c>
      <c r="D251" s="6" t="str">
        <f>"刘易菲"</f>
        <v>刘易菲</v>
      </c>
      <c r="E251" s="6" t="str">
        <f t="shared" si="5"/>
        <v>女</v>
      </c>
      <c r="F251" s="7" t="s">
        <v>1929</v>
      </c>
    </row>
    <row r="252" spans="1:6" ht="20.100000000000001" customHeight="1" x14ac:dyDescent="0.15">
      <c r="A252" s="5">
        <v>249</v>
      </c>
      <c r="B252" s="6" t="str">
        <f>"30482021060218574276729"</f>
        <v>30482021060218574276729</v>
      </c>
      <c r="C252" s="6" t="s">
        <v>1885</v>
      </c>
      <c r="D252" s="6" t="str">
        <f>"黄小滨"</f>
        <v>黄小滨</v>
      </c>
      <c r="E252" s="6" t="str">
        <f t="shared" si="5"/>
        <v>女</v>
      </c>
      <c r="F252" s="7" t="s">
        <v>1930</v>
      </c>
    </row>
    <row r="253" spans="1:6" ht="20.100000000000001" customHeight="1" x14ac:dyDescent="0.15">
      <c r="A253" s="5">
        <v>250</v>
      </c>
      <c r="B253" s="6" t="str">
        <f>"30482021060219243676899"</f>
        <v>30482021060219243676899</v>
      </c>
      <c r="C253" s="6" t="s">
        <v>1885</v>
      </c>
      <c r="D253" s="6" t="str">
        <f>"符彬岭"</f>
        <v>符彬岭</v>
      </c>
      <c r="E253" s="6" t="str">
        <f t="shared" si="5"/>
        <v>女</v>
      </c>
      <c r="F253" s="7" t="s">
        <v>152</v>
      </c>
    </row>
    <row r="254" spans="1:6" ht="20.100000000000001" customHeight="1" x14ac:dyDescent="0.15">
      <c r="A254" s="5">
        <v>251</v>
      </c>
      <c r="B254" s="6" t="str">
        <f>"30482021060219262276907"</f>
        <v>30482021060219262276907</v>
      </c>
      <c r="C254" s="6" t="s">
        <v>1885</v>
      </c>
      <c r="D254" s="6" t="str">
        <f>"何乾女"</f>
        <v>何乾女</v>
      </c>
      <c r="E254" s="6" t="str">
        <f t="shared" si="5"/>
        <v>女</v>
      </c>
      <c r="F254" s="7" t="s">
        <v>334</v>
      </c>
    </row>
    <row r="255" spans="1:6" ht="20.100000000000001" customHeight="1" x14ac:dyDescent="0.15">
      <c r="A255" s="5">
        <v>252</v>
      </c>
      <c r="B255" s="6" t="str">
        <f>"30482021060219350876984"</f>
        <v>30482021060219350876984</v>
      </c>
      <c r="C255" s="6" t="s">
        <v>1885</v>
      </c>
      <c r="D255" s="6" t="str">
        <f>"王秀清"</f>
        <v>王秀清</v>
      </c>
      <c r="E255" s="6" t="str">
        <f t="shared" si="5"/>
        <v>女</v>
      </c>
      <c r="F255" s="7" t="s">
        <v>34</v>
      </c>
    </row>
    <row r="256" spans="1:6" ht="20.100000000000001" customHeight="1" x14ac:dyDescent="0.15">
      <c r="A256" s="5">
        <v>253</v>
      </c>
      <c r="B256" s="6" t="str">
        <f>"30482021060219374177000"</f>
        <v>30482021060219374177000</v>
      </c>
      <c r="C256" s="6" t="s">
        <v>1885</v>
      </c>
      <c r="D256" s="6" t="str">
        <f>"彭秋美"</f>
        <v>彭秋美</v>
      </c>
      <c r="E256" s="6" t="str">
        <f t="shared" si="5"/>
        <v>女</v>
      </c>
      <c r="F256" s="7" t="s">
        <v>1521</v>
      </c>
    </row>
    <row r="257" spans="1:6" ht="20.100000000000001" customHeight="1" x14ac:dyDescent="0.15">
      <c r="A257" s="5">
        <v>254</v>
      </c>
      <c r="B257" s="6" t="str">
        <f>"30482021060219595677186"</f>
        <v>30482021060219595677186</v>
      </c>
      <c r="C257" s="6" t="s">
        <v>1885</v>
      </c>
      <c r="D257" s="6" t="str">
        <f>"蔡春娇"</f>
        <v>蔡春娇</v>
      </c>
      <c r="E257" s="6" t="str">
        <f t="shared" si="5"/>
        <v>女</v>
      </c>
      <c r="F257" s="7" t="s">
        <v>44</v>
      </c>
    </row>
    <row r="258" spans="1:6" ht="20.100000000000001" customHeight="1" x14ac:dyDescent="0.15">
      <c r="A258" s="5">
        <v>255</v>
      </c>
      <c r="B258" s="6" t="str">
        <f>"30482021060220010777200"</f>
        <v>30482021060220010777200</v>
      </c>
      <c r="C258" s="6" t="s">
        <v>1885</v>
      </c>
      <c r="D258" s="6" t="str">
        <f>"王照珍"</f>
        <v>王照珍</v>
      </c>
      <c r="E258" s="6" t="str">
        <f t="shared" si="5"/>
        <v>女</v>
      </c>
      <c r="F258" s="7" t="s">
        <v>224</v>
      </c>
    </row>
    <row r="259" spans="1:6" ht="20.100000000000001" customHeight="1" x14ac:dyDescent="0.15">
      <c r="A259" s="5">
        <v>256</v>
      </c>
      <c r="B259" s="6" t="str">
        <f>"30482021060220030377218"</f>
        <v>30482021060220030377218</v>
      </c>
      <c r="C259" s="6" t="s">
        <v>1885</v>
      </c>
      <c r="D259" s="6" t="str">
        <f>"陈有善"</f>
        <v>陈有善</v>
      </c>
      <c r="E259" s="6" t="str">
        <f t="shared" si="5"/>
        <v>女</v>
      </c>
      <c r="F259" s="7" t="s">
        <v>690</v>
      </c>
    </row>
    <row r="260" spans="1:6" ht="20.100000000000001" customHeight="1" x14ac:dyDescent="0.15">
      <c r="A260" s="5">
        <v>257</v>
      </c>
      <c r="B260" s="6" t="str">
        <f>"30482021060220082177260"</f>
        <v>30482021060220082177260</v>
      </c>
      <c r="C260" s="6" t="s">
        <v>1885</v>
      </c>
      <c r="D260" s="6" t="str">
        <f>"翁小莉"</f>
        <v>翁小莉</v>
      </c>
      <c r="E260" s="6" t="str">
        <f t="shared" si="5"/>
        <v>女</v>
      </c>
      <c r="F260" s="7" t="s">
        <v>372</v>
      </c>
    </row>
    <row r="261" spans="1:6" ht="20.100000000000001" customHeight="1" x14ac:dyDescent="0.15">
      <c r="A261" s="5">
        <v>258</v>
      </c>
      <c r="B261" s="6" t="str">
        <f>"30482021060220105177279"</f>
        <v>30482021060220105177279</v>
      </c>
      <c r="C261" s="6" t="s">
        <v>1885</v>
      </c>
      <c r="D261" s="6" t="str">
        <f>"王诗诗"</f>
        <v>王诗诗</v>
      </c>
      <c r="E261" s="6" t="str">
        <f t="shared" si="5"/>
        <v>女</v>
      </c>
      <c r="F261" s="7" t="s">
        <v>1560</v>
      </c>
    </row>
    <row r="262" spans="1:6" ht="20.100000000000001" customHeight="1" x14ac:dyDescent="0.15">
      <c r="A262" s="5">
        <v>259</v>
      </c>
      <c r="B262" s="6" t="str">
        <f>"30482021060220143577302"</f>
        <v>30482021060220143577302</v>
      </c>
      <c r="C262" s="6" t="s">
        <v>1885</v>
      </c>
      <c r="D262" s="6" t="str">
        <f>"马小燕"</f>
        <v>马小燕</v>
      </c>
      <c r="E262" s="6" t="str">
        <f t="shared" si="5"/>
        <v>女</v>
      </c>
      <c r="F262" s="7" t="s">
        <v>1452</v>
      </c>
    </row>
    <row r="263" spans="1:6" ht="20.100000000000001" customHeight="1" x14ac:dyDescent="0.15">
      <c r="A263" s="5">
        <v>260</v>
      </c>
      <c r="B263" s="6" t="str">
        <f>"30482021060220162177316"</f>
        <v>30482021060220162177316</v>
      </c>
      <c r="C263" s="6" t="s">
        <v>1885</v>
      </c>
      <c r="D263" s="6" t="str">
        <f>"陈慧妤"</f>
        <v>陈慧妤</v>
      </c>
      <c r="E263" s="6" t="str">
        <f t="shared" si="5"/>
        <v>女</v>
      </c>
      <c r="F263" s="7" t="s">
        <v>1931</v>
      </c>
    </row>
    <row r="264" spans="1:6" ht="20.100000000000001" customHeight="1" x14ac:dyDescent="0.15">
      <c r="A264" s="5">
        <v>261</v>
      </c>
      <c r="B264" s="6" t="str">
        <f>"30482021060220174977333"</f>
        <v>30482021060220174977333</v>
      </c>
      <c r="C264" s="6" t="s">
        <v>1885</v>
      </c>
      <c r="D264" s="6" t="str">
        <f>"梁文芳"</f>
        <v>梁文芳</v>
      </c>
      <c r="E264" s="6" t="str">
        <f t="shared" si="5"/>
        <v>女</v>
      </c>
      <c r="F264" s="7" t="s">
        <v>923</v>
      </c>
    </row>
    <row r="265" spans="1:6" ht="20.100000000000001" customHeight="1" x14ac:dyDescent="0.15">
      <c r="A265" s="5">
        <v>262</v>
      </c>
      <c r="B265" s="6" t="str">
        <f>"30482021060220314777458"</f>
        <v>30482021060220314777458</v>
      </c>
      <c r="C265" s="6" t="s">
        <v>1885</v>
      </c>
      <c r="D265" s="6" t="str">
        <f>"谭慧"</f>
        <v>谭慧</v>
      </c>
      <c r="E265" s="6" t="str">
        <f t="shared" si="5"/>
        <v>女</v>
      </c>
      <c r="F265" s="7" t="s">
        <v>489</v>
      </c>
    </row>
    <row r="266" spans="1:6" ht="20.100000000000001" customHeight="1" x14ac:dyDescent="0.15">
      <c r="A266" s="5">
        <v>263</v>
      </c>
      <c r="B266" s="6" t="str">
        <f>"30482021060220514577632"</f>
        <v>30482021060220514577632</v>
      </c>
      <c r="C266" s="6" t="s">
        <v>1885</v>
      </c>
      <c r="D266" s="6" t="str">
        <f>"叶星余"</f>
        <v>叶星余</v>
      </c>
      <c r="E266" s="6" t="str">
        <f t="shared" si="5"/>
        <v>女</v>
      </c>
      <c r="F266" s="7" t="s">
        <v>106</v>
      </c>
    </row>
    <row r="267" spans="1:6" ht="20.100000000000001" customHeight="1" x14ac:dyDescent="0.15">
      <c r="A267" s="5">
        <v>264</v>
      </c>
      <c r="B267" s="6" t="str">
        <f>"30482021060220535077654"</f>
        <v>30482021060220535077654</v>
      </c>
      <c r="C267" s="6" t="s">
        <v>1885</v>
      </c>
      <c r="D267" s="6" t="str">
        <f>"符桂莲"</f>
        <v>符桂莲</v>
      </c>
      <c r="E267" s="6" t="str">
        <f t="shared" si="5"/>
        <v>女</v>
      </c>
      <c r="F267" s="7" t="s">
        <v>942</v>
      </c>
    </row>
    <row r="268" spans="1:6" ht="20.100000000000001" customHeight="1" x14ac:dyDescent="0.15">
      <c r="A268" s="5">
        <v>265</v>
      </c>
      <c r="B268" s="6" t="str">
        <f>"30482021060221015177723"</f>
        <v>30482021060221015177723</v>
      </c>
      <c r="C268" s="6" t="s">
        <v>1885</v>
      </c>
      <c r="D268" s="6" t="str">
        <f>"何美玉"</f>
        <v>何美玉</v>
      </c>
      <c r="E268" s="6" t="str">
        <f t="shared" si="5"/>
        <v>女</v>
      </c>
      <c r="F268" s="7" t="s">
        <v>493</v>
      </c>
    </row>
    <row r="269" spans="1:6" ht="20.100000000000001" customHeight="1" x14ac:dyDescent="0.15">
      <c r="A269" s="5">
        <v>266</v>
      </c>
      <c r="B269" s="6" t="str">
        <f>"30482021060221085377774"</f>
        <v>30482021060221085377774</v>
      </c>
      <c r="C269" s="6" t="s">
        <v>1885</v>
      </c>
      <c r="D269" s="6" t="str">
        <f>"朱柳芳"</f>
        <v>朱柳芳</v>
      </c>
      <c r="E269" s="6" t="str">
        <f t="shared" si="5"/>
        <v>女</v>
      </c>
      <c r="F269" s="7" t="s">
        <v>109</v>
      </c>
    </row>
    <row r="270" spans="1:6" ht="20.100000000000001" customHeight="1" x14ac:dyDescent="0.15">
      <c r="A270" s="5">
        <v>267</v>
      </c>
      <c r="B270" s="6" t="str">
        <f>"30482021060221134077809"</f>
        <v>30482021060221134077809</v>
      </c>
      <c r="C270" s="6" t="s">
        <v>1885</v>
      </c>
      <c r="D270" s="6" t="str">
        <f>"黄晶晶"</f>
        <v>黄晶晶</v>
      </c>
      <c r="E270" s="6" t="str">
        <f t="shared" si="5"/>
        <v>女</v>
      </c>
      <c r="F270" s="7" t="s">
        <v>1932</v>
      </c>
    </row>
    <row r="271" spans="1:6" ht="20.100000000000001" customHeight="1" x14ac:dyDescent="0.15">
      <c r="A271" s="5">
        <v>268</v>
      </c>
      <c r="B271" s="6" t="str">
        <f>"30482021060221220977892"</f>
        <v>30482021060221220977892</v>
      </c>
      <c r="C271" s="6" t="s">
        <v>1885</v>
      </c>
      <c r="D271" s="6" t="str">
        <f>"张雯"</f>
        <v>张雯</v>
      </c>
      <c r="E271" s="6" t="str">
        <f t="shared" si="5"/>
        <v>女</v>
      </c>
      <c r="F271" s="7" t="s">
        <v>183</v>
      </c>
    </row>
    <row r="272" spans="1:6" ht="20.100000000000001" customHeight="1" x14ac:dyDescent="0.15">
      <c r="A272" s="5">
        <v>269</v>
      </c>
      <c r="B272" s="6" t="str">
        <f>"30482021060221461778076"</f>
        <v>30482021060221461778076</v>
      </c>
      <c r="C272" s="6" t="s">
        <v>1885</v>
      </c>
      <c r="D272" s="6" t="str">
        <f>"王才蝶"</f>
        <v>王才蝶</v>
      </c>
      <c r="E272" s="6" t="str">
        <f t="shared" si="5"/>
        <v>女</v>
      </c>
      <c r="F272" s="7" t="s">
        <v>400</v>
      </c>
    </row>
    <row r="273" spans="1:6" ht="20.100000000000001" customHeight="1" x14ac:dyDescent="0.15">
      <c r="A273" s="5">
        <v>270</v>
      </c>
      <c r="B273" s="6" t="str">
        <f>"30482021060221532178120"</f>
        <v>30482021060221532178120</v>
      </c>
      <c r="C273" s="6" t="s">
        <v>1885</v>
      </c>
      <c r="D273" s="6" t="str">
        <f>"陈瑞玲"</f>
        <v>陈瑞玲</v>
      </c>
      <c r="E273" s="6" t="str">
        <f t="shared" si="5"/>
        <v>女</v>
      </c>
      <c r="F273" s="7" t="s">
        <v>1641</v>
      </c>
    </row>
    <row r="274" spans="1:6" ht="20.100000000000001" customHeight="1" x14ac:dyDescent="0.15">
      <c r="A274" s="5">
        <v>271</v>
      </c>
      <c r="B274" s="6" t="str">
        <f>"30482021060221542278127"</f>
        <v>30482021060221542278127</v>
      </c>
      <c r="C274" s="6" t="s">
        <v>1885</v>
      </c>
      <c r="D274" s="6" t="str">
        <f>"杨明桦"</f>
        <v>杨明桦</v>
      </c>
      <c r="E274" s="6" t="str">
        <f t="shared" si="5"/>
        <v>女</v>
      </c>
      <c r="F274" s="7" t="s">
        <v>1933</v>
      </c>
    </row>
    <row r="275" spans="1:6" ht="20.100000000000001" customHeight="1" x14ac:dyDescent="0.15">
      <c r="A275" s="5">
        <v>272</v>
      </c>
      <c r="B275" s="6" t="str">
        <f>"30482021060221584178174"</f>
        <v>30482021060221584178174</v>
      </c>
      <c r="C275" s="6" t="s">
        <v>1885</v>
      </c>
      <c r="D275" s="6" t="str">
        <f>"邝雪梅"</f>
        <v>邝雪梅</v>
      </c>
      <c r="E275" s="6" t="str">
        <f t="shared" si="5"/>
        <v>女</v>
      </c>
      <c r="F275" s="7" t="s">
        <v>1934</v>
      </c>
    </row>
    <row r="276" spans="1:6" ht="20.100000000000001" customHeight="1" x14ac:dyDescent="0.15">
      <c r="A276" s="5">
        <v>273</v>
      </c>
      <c r="B276" s="6" t="str">
        <f>"30482021060222135978290"</f>
        <v>30482021060222135978290</v>
      </c>
      <c r="C276" s="6" t="s">
        <v>1885</v>
      </c>
      <c r="D276" s="6" t="str">
        <f>"王妃"</f>
        <v>王妃</v>
      </c>
      <c r="E276" s="6" t="str">
        <f t="shared" si="5"/>
        <v>女</v>
      </c>
      <c r="F276" s="7" t="s">
        <v>643</v>
      </c>
    </row>
    <row r="277" spans="1:6" ht="20.100000000000001" customHeight="1" x14ac:dyDescent="0.15">
      <c r="A277" s="5">
        <v>274</v>
      </c>
      <c r="B277" s="6" t="str">
        <f>"30482021060222150078297"</f>
        <v>30482021060222150078297</v>
      </c>
      <c r="C277" s="6" t="s">
        <v>1885</v>
      </c>
      <c r="D277" s="6" t="str">
        <f>"胡婴儿"</f>
        <v>胡婴儿</v>
      </c>
      <c r="E277" s="6" t="str">
        <f t="shared" si="5"/>
        <v>女</v>
      </c>
      <c r="F277" s="7" t="s">
        <v>743</v>
      </c>
    </row>
    <row r="278" spans="1:6" ht="20.100000000000001" customHeight="1" x14ac:dyDescent="0.15">
      <c r="A278" s="5">
        <v>275</v>
      </c>
      <c r="B278" s="6" t="str">
        <f>"30482021060222195178340"</f>
        <v>30482021060222195178340</v>
      </c>
      <c r="C278" s="6" t="s">
        <v>1885</v>
      </c>
      <c r="D278" s="6" t="str">
        <f>"吴海燕"</f>
        <v>吴海燕</v>
      </c>
      <c r="E278" s="6" t="str">
        <f t="shared" si="5"/>
        <v>女</v>
      </c>
      <c r="F278" s="7" t="s">
        <v>161</v>
      </c>
    </row>
    <row r="279" spans="1:6" ht="20.100000000000001" customHeight="1" x14ac:dyDescent="0.15">
      <c r="A279" s="5">
        <v>276</v>
      </c>
      <c r="B279" s="6" t="str">
        <f>"30482021060222261478392"</f>
        <v>30482021060222261478392</v>
      </c>
      <c r="C279" s="6" t="s">
        <v>1885</v>
      </c>
      <c r="D279" s="6" t="str">
        <f>"韩海霞"</f>
        <v>韩海霞</v>
      </c>
      <c r="E279" s="6" t="str">
        <f t="shared" si="5"/>
        <v>女</v>
      </c>
      <c r="F279" s="7" t="s">
        <v>1935</v>
      </c>
    </row>
    <row r="280" spans="1:6" ht="20.100000000000001" customHeight="1" x14ac:dyDescent="0.15">
      <c r="A280" s="5">
        <v>277</v>
      </c>
      <c r="B280" s="6" t="str">
        <f>"30482021060222472178558"</f>
        <v>30482021060222472178558</v>
      </c>
      <c r="C280" s="6" t="s">
        <v>1885</v>
      </c>
      <c r="D280" s="6" t="str">
        <f>"王娟 "</f>
        <v xml:space="preserve">王娟 </v>
      </c>
      <c r="E280" s="6" t="str">
        <f t="shared" si="5"/>
        <v>女</v>
      </c>
      <c r="F280" s="7" t="s">
        <v>1936</v>
      </c>
    </row>
    <row r="281" spans="1:6" ht="20.100000000000001" customHeight="1" x14ac:dyDescent="0.15">
      <c r="A281" s="5">
        <v>278</v>
      </c>
      <c r="B281" s="6" t="str">
        <f>"30482021060222524778597"</f>
        <v>30482021060222524778597</v>
      </c>
      <c r="C281" s="6" t="s">
        <v>1885</v>
      </c>
      <c r="D281" s="6" t="str">
        <f>"吴捷"</f>
        <v>吴捷</v>
      </c>
      <c r="E281" s="6" t="str">
        <f t="shared" si="5"/>
        <v>女</v>
      </c>
      <c r="F281" s="7" t="s">
        <v>292</v>
      </c>
    </row>
    <row r="282" spans="1:6" ht="20.100000000000001" customHeight="1" x14ac:dyDescent="0.15">
      <c r="A282" s="5">
        <v>279</v>
      </c>
      <c r="B282" s="6" t="str">
        <f>"30482021060223102078714"</f>
        <v>30482021060223102078714</v>
      </c>
      <c r="C282" s="6" t="s">
        <v>1885</v>
      </c>
      <c r="D282" s="6" t="str">
        <f>"陈梦"</f>
        <v>陈梦</v>
      </c>
      <c r="E282" s="6" t="str">
        <f t="shared" si="5"/>
        <v>女</v>
      </c>
      <c r="F282" s="7" t="s">
        <v>31</v>
      </c>
    </row>
    <row r="283" spans="1:6" ht="20.100000000000001" customHeight="1" x14ac:dyDescent="0.15">
      <c r="A283" s="5">
        <v>280</v>
      </c>
      <c r="B283" s="6" t="str">
        <f>"30482021060223113378719"</f>
        <v>30482021060223113378719</v>
      </c>
      <c r="C283" s="6" t="s">
        <v>1885</v>
      </c>
      <c r="D283" s="6" t="str">
        <f>"王文河"</f>
        <v>王文河</v>
      </c>
      <c r="E283" s="6" t="str">
        <f t="shared" si="5"/>
        <v>女</v>
      </c>
      <c r="F283" s="7" t="s">
        <v>1449</v>
      </c>
    </row>
    <row r="284" spans="1:6" ht="20.100000000000001" customHeight="1" x14ac:dyDescent="0.15">
      <c r="A284" s="5">
        <v>281</v>
      </c>
      <c r="B284" s="6" t="str">
        <f>"30482021060223224778782"</f>
        <v>30482021060223224778782</v>
      </c>
      <c r="C284" s="6" t="s">
        <v>1885</v>
      </c>
      <c r="D284" s="6" t="str">
        <f>"王婷"</f>
        <v>王婷</v>
      </c>
      <c r="E284" s="6" t="str">
        <f t="shared" si="5"/>
        <v>女</v>
      </c>
      <c r="F284" s="7" t="s">
        <v>79</v>
      </c>
    </row>
    <row r="285" spans="1:6" ht="20.100000000000001" customHeight="1" x14ac:dyDescent="0.15">
      <c r="A285" s="5">
        <v>282</v>
      </c>
      <c r="B285" s="6" t="str">
        <f>"30482021060223443878900"</f>
        <v>30482021060223443878900</v>
      </c>
      <c r="C285" s="6" t="s">
        <v>1885</v>
      </c>
      <c r="D285" s="6" t="str">
        <f>"吴嘉敏"</f>
        <v>吴嘉敏</v>
      </c>
      <c r="E285" s="6" t="str">
        <f t="shared" si="5"/>
        <v>女</v>
      </c>
      <c r="F285" s="7" t="s">
        <v>1228</v>
      </c>
    </row>
    <row r="286" spans="1:6" ht="20.100000000000001" customHeight="1" x14ac:dyDescent="0.15">
      <c r="A286" s="5">
        <v>283</v>
      </c>
      <c r="B286" s="6" t="str">
        <f>"30482021060300102178991"</f>
        <v>30482021060300102178991</v>
      </c>
      <c r="C286" s="6" t="s">
        <v>1885</v>
      </c>
      <c r="D286" s="6" t="str">
        <f>"韩燕冰"</f>
        <v>韩燕冰</v>
      </c>
      <c r="E286" s="6" t="str">
        <f t="shared" si="5"/>
        <v>女</v>
      </c>
      <c r="F286" s="7" t="s">
        <v>1937</v>
      </c>
    </row>
    <row r="287" spans="1:6" ht="20.100000000000001" customHeight="1" x14ac:dyDescent="0.15">
      <c r="A287" s="5">
        <v>284</v>
      </c>
      <c r="B287" s="6" t="str">
        <f>"30482021060301194679098"</f>
        <v>30482021060301194679098</v>
      </c>
      <c r="C287" s="6" t="s">
        <v>1885</v>
      </c>
      <c r="D287" s="6" t="str">
        <f>"王娜"</f>
        <v>王娜</v>
      </c>
      <c r="E287" s="6" t="str">
        <f t="shared" si="5"/>
        <v>女</v>
      </c>
      <c r="F287" s="7" t="s">
        <v>486</v>
      </c>
    </row>
    <row r="288" spans="1:6" ht="20.100000000000001" customHeight="1" x14ac:dyDescent="0.15">
      <c r="A288" s="5">
        <v>285</v>
      </c>
      <c r="B288" s="6" t="str">
        <f>"30482021060307215779189"</f>
        <v>30482021060307215779189</v>
      </c>
      <c r="C288" s="6" t="s">
        <v>1885</v>
      </c>
      <c r="D288" s="6" t="str">
        <f>"郭仁暖"</f>
        <v>郭仁暖</v>
      </c>
      <c r="E288" s="6" t="str">
        <f t="shared" si="5"/>
        <v>女</v>
      </c>
      <c r="F288" s="7" t="s">
        <v>1938</v>
      </c>
    </row>
    <row r="289" spans="1:6" ht="20.100000000000001" customHeight="1" x14ac:dyDescent="0.15">
      <c r="A289" s="5">
        <v>286</v>
      </c>
      <c r="B289" s="6" t="str">
        <f>"30482021060308032379274"</f>
        <v>30482021060308032379274</v>
      </c>
      <c r="C289" s="6" t="s">
        <v>1885</v>
      </c>
      <c r="D289" s="6" t="str">
        <f>"李冬景"</f>
        <v>李冬景</v>
      </c>
      <c r="E289" s="6" t="str">
        <f t="shared" si="5"/>
        <v>女</v>
      </c>
      <c r="F289" s="7" t="s">
        <v>530</v>
      </c>
    </row>
    <row r="290" spans="1:6" ht="20.100000000000001" customHeight="1" x14ac:dyDescent="0.15">
      <c r="A290" s="5">
        <v>287</v>
      </c>
      <c r="B290" s="6" t="str">
        <f>"30482021060308391879551"</f>
        <v>30482021060308391879551</v>
      </c>
      <c r="C290" s="6" t="s">
        <v>1885</v>
      </c>
      <c r="D290" s="6" t="str">
        <f>"陈婉茜"</f>
        <v>陈婉茜</v>
      </c>
      <c r="E290" s="6" t="str">
        <f t="shared" si="5"/>
        <v>女</v>
      </c>
      <c r="F290" s="7" t="s">
        <v>345</v>
      </c>
    </row>
    <row r="291" spans="1:6" ht="20.100000000000001" customHeight="1" x14ac:dyDescent="0.15">
      <c r="A291" s="5">
        <v>288</v>
      </c>
      <c r="B291" s="6" t="str">
        <f>"30482021060308513779674"</f>
        <v>30482021060308513779674</v>
      </c>
      <c r="C291" s="6" t="s">
        <v>1885</v>
      </c>
      <c r="D291" s="6" t="str">
        <f>"吴舒雅"</f>
        <v>吴舒雅</v>
      </c>
      <c r="E291" s="6" t="str">
        <f t="shared" ref="E291:E354" si="6">"女"</f>
        <v>女</v>
      </c>
      <c r="F291" s="7" t="s">
        <v>1939</v>
      </c>
    </row>
    <row r="292" spans="1:6" ht="20.100000000000001" customHeight="1" x14ac:dyDescent="0.15">
      <c r="A292" s="5">
        <v>289</v>
      </c>
      <c r="B292" s="6" t="str">
        <f>"30482021060309055779872"</f>
        <v>30482021060309055779872</v>
      </c>
      <c r="C292" s="6" t="s">
        <v>1885</v>
      </c>
      <c r="D292" s="6" t="str">
        <f>"李妮"</f>
        <v>李妮</v>
      </c>
      <c r="E292" s="6" t="str">
        <f t="shared" si="6"/>
        <v>女</v>
      </c>
      <c r="F292" s="7" t="s">
        <v>1940</v>
      </c>
    </row>
    <row r="293" spans="1:6" ht="20.100000000000001" customHeight="1" x14ac:dyDescent="0.15">
      <c r="A293" s="5">
        <v>290</v>
      </c>
      <c r="B293" s="6" t="str">
        <f>"30482021060309151379986"</f>
        <v>30482021060309151379986</v>
      </c>
      <c r="C293" s="6" t="s">
        <v>1885</v>
      </c>
      <c r="D293" s="6" t="str">
        <f>"王芳"</f>
        <v>王芳</v>
      </c>
      <c r="E293" s="6" t="str">
        <f t="shared" si="6"/>
        <v>女</v>
      </c>
      <c r="F293" s="7" t="s">
        <v>543</v>
      </c>
    </row>
    <row r="294" spans="1:6" ht="20.100000000000001" customHeight="1" x14ac:dyDescent="0.15">
      <c r="A294" s="5">
        <v>291</v>
      </c>
      <c r="B294" s="6" t="str">
        <f>"30482021060309194080054"</f>
        <v>30482021060309194080054</v>
      </c>
      <c r="C294" s="6" t="s">
        <v>1885</v>
      </c>
      <c r="D294" s="6" t="str">
        <f>"陈嘉红"</f>
        <v>陈嘉红</v>
      </c>
      <c r="E294" s="6" t="str">
        <f t="shared" si="6"/>
        <v>女</v>
      </c>
      <c r="F294" s="7" t="s">
        <v>108</v>
      </c>
    </row>
    <row r="295" spans="1:6" ht="20.100000000000001" customHeight="1" x14ac:dyDescent="0.15">
      <c r="A295" s="5">
        <v>292</v>
      </c>
      <c r="B295" s="6" t="str">
        <f>"30482021060309294580205"</f>
        <v>30482021060309294580205</v>
      </c>
      <c r="C295" s="6" t="s">
        <v>1885</v>
      </c>
      <c r="D295" s="6" t="str">
        <f>"李文莹"</f>
        <v>李文莹</v>
      </c>
      <c r="E295" s="6" t="str">
        <f t="shared" si="6"/>
        <v>女</v>
      </c>
      <c r="F295" s="7" t="s">
        <v>1450</v>
      </c>
    </row>
    <row r="296" spans="1:6" ht="20.100000000000001" customHeight="1" x14ac:dyDescent="0.15">
      <c r="A296" s="5">
        <v>293</v>
      </c>
      <c r="B296" s="6" t="str">
        <f>"30482021060309393080350"</f>
        <v>30482021060309393080350</v>
      </c>
      <c r="C296" s="6" t="s">
        <v>1885</v>
      </c>
      <c r="D296" s="6" t="str">
        <f>"钱丽云"</f>
        <v>钱丽云</v>
      </c>
      <c r="E296" s="6" t="str">
        <f t="shared" si="6"/>
        <v>女</v>
      </c>
      <c r="F296" s="7" t="s">
        <v>1242</v>
      </c>
    </row>
    <row r="297" spans="1:6" ht="20.100000000000001" customHeight="1" x14ac:dyDescent="0.15">
      <c r="A297" s="5">
        <v>294</v>
      </c>
      <c r="B297" s="6" t="str">
        <f>"30482021060309403880369"</f>
        <v>30482021060309403880369</v>
      </c>
      <c r="C297" s="6" t="s">
        <v>1885</v>
      </c>
      <c r="D297" s="6" t="str">
        <f>"陈蕾"</f>
        <v>陈蕾</v>
      </c>
      <c r="E297" s="6" t="str">
        <f t="shared" si="6"/>
        <v>女</v>
      </c>
      <c r="F297" s="7" t="s">
        <v>50</v>
      </c>
    </row>
    <row r="298" spans="1:6" ht="20.100000000000001" customHeight="1" x14ac:dyDescent="0.15">
      <c r="A298" s="5">
        <v>295</v>
      </c>
      <c r="B298" s="6" t="str">
        <f>"30482021060309405480372"</f>
        <v>30482021060309405480372</v>
      </c>
      <c r="C298" s="6" t="s">
        <v>1885</v>
      </c>
      <c r="D298" s="6" t="str">
        <f>"陈蝶"</f>
        <v>陈蝶</v>
      </c>
      <c r="E298" s="6" t="str">
        <f t="shared" si="6"/>
        <v>女</v>
      </c>
      <c r="F298" s="7" t="s">
        <v>1941</v>
      </c>
    </row>
    <row r="299" spans="1:6" ht="20.100000000000001" customHeight="1" x14ac:dyDescent="0.15">
      <c r="A299" s="5">
        <v>296</v>
      </c>
      <c r="B299" s="6" t="str">
        <f>"30482021060309434180414"</f>
        <v>30482021060309434180414</v>
      </c>
      <c r="C299" s="6" t="s">
        <v>1885</v>
      </c>
      <c r="D299" s="6" t="str">
        <f>"李相"</f>
        <v>李相</v>
      </c>
      <c r="E299" s="6" t="str">
        <f t="shared" si="6"/>
        <v>女</v>
      </c>
      <c r="F299" s="7" t="s">
        <v>1376</v>
      </c>
    </row>
    <row r="300" spans="1:6" ht="20.100000000000001" customHeight="1" x14ac:dyDescent="0.15">
      <c r="A300" s="5">
        <v>297</v>
      </c>
      <c r="B300" s="6" t="str">
        <f>"30482021060309571880632"</f>
        <v>30482021060309571880632</v>
      </c>
      <c r="C300" s="6" t="s">
        <v>1885</v>
      </c>
      <c r="D300" s="6" t="str">
        <f>"卢裕月"</f>
        <v>卢裕月</v>
      </c>
      <c r="E300" s="6" t="str">
        <f t="shared" si="6"/>
        <v>女</v>
      </c>
      <c r="F300" s="7" t="s">
        <v>1942</v>
      </c>
    </row>
    <row r="301" spans="1:6" ht="20.100000000000001" customHeight="1" x14ac:dyDescent="0.15">
      <c r="A301" s="5">
        <v>298</v>
      </c>
      <c r="B301" s="6" t="str">
        <f>"30482021060310043180753"</f>
        <v>30482021060310043180753</v>
      </c>
      <c r="C301" s="6" t="s">
        <v>1885</v>
      </c>
      <c r="D301" s="6" t="str">
        <f>"蔡兴燕"</f>
        <v>蔡兴燕</v>
      </c>
      <c r="E301" s="6" t="str">
        <f t="shared" si="6"/>
        <v>女</v>
      </c>
      <c r="F301" s="7" t="s">
        <v>168</v>
      </c>
    </row>
    <row r="302" spans="1:6" ht="20.100000000000001" customHeight="1" x14ac:dyDescent="0.15">
      <c r="A302" s="5">
        <v>299</v>
      </c>
      <c r="B302" s="6" t="str">
        <f>"30482021060310122980884"</f>
        <v>30482021060310122980884</v>
      </c>
      <c r="C302" s="6" t="s">
        <v>1885</v>
      </c>
      <c r="D302" s="6" t="str">
        <f>"赵恒艺"</f>
        <v>赵恒艺</v>
      </c>
      <c r="E302" s="6" t="str">
        <f t="shared" si="6"/>
        <v>女</v>
      </c>
      <c r="F302" s="7" t="s">
        <v>1943</v>
      </c>
    </row>
    <row r="303" spans="1:6" ht="20.100000000000001" customHeight="1" x14ac:dyDescent="0.15">
      <c r="A303" s="5">
        <v>300</v>
      </c>
      <c r="B303" s="6" t="str">
        <f>"30482021060310123680886"</f>
        <v>30482021060310123680886</v>
      </c>
      <c r="C303" s="6" t="s">
        <v>1885</v>
      </c>
      <c r="D303" s="6" t="str">
        <f>"邓桂梅"</f>
        <v>邓桂梅</v>
      </c>
      <c r="E303" s="6" t="str">
        <f t="shared" si="6"/>
        <v>女</v>
      </c>
      <c r="F303" s="7" t="s">
        <v>725</v>
      </c>
    </row>
    <row r="304" spans="1:6" ht="20.100000000000001" customHeight="1" x14ac:dyDescent="0.15">
      <c r="A304" s="5">
        <v>301</v>
      </c>
      <c r="B304" s="6" t="str">
        <f>"30482021060310161080955"</f>
        <v>30482021060310161080955</v>
      </c>
      <c r="C304" s="6" t="s">
        <v>1885</v>
      </c>
      <c r="D304" s="6" t="str">
        <f>"林鲜"</f>
        <v>林鲜</v>
      </c>
      <c r="E304" s="6" t="str">
        <f t="shared" si="6"/>
        <v>女</v>
      </c>
      <c r="F304" s="7" t="s">
        <v>1809</v>
      </c>
    </row>
    <row r="305" spans="1:6" ht="20.100000000000001" customHeight="1" x14ac:dyDescent="0.15">
      <c r="A305" s="5">
        <v>302</v>
      </c>
      <c r="B305" s="6" t="str">
        <f>"30482021060310235781076"</f>
        <v>30482021060310235781076</v>
      </c>
      <c r="C305" s="6" t="s">
        <v>1885</v>
      </c>
      <c r="D305" s="6" t="str">
        <f>"张可欣"</f>
        <v>张可欣</v>
      </c>
      <c r="E305" s="6" t="str">
        <f t="shared" si="6"/>
        <v>女</v>
      </c>
      <c r="F305" s="7" t="s">
        <v>767</v>
      </c>
    </row>
    <row r="306" spans="1:6" ht="20.100000000000001" customHeight="1" x14ac:dyDescent="0.15">
      <c r="A306" s="5">
        <v>303</v>
      </c>
      <c r="B306" s="6" t="str">
        <f>"30482021060310275381136"</f>
        <v>30482021060310275381136</v>
      </c>
      <c r="C306" s="6" t="s">
        <v>1885</v>
      </c>
      <c r="D306" s="6" t="str">
        <f>"徐志萍"</f>
        <v>徐志萍</v>
      </c>
      <c r="E306" s="6" t="str">
        <f t="shared" si="6"/>
        <v>女</v>
      </c>
      <c r="F306" s="7" t="s">
        <v>1631</v>
      </c>
    </row>
    <row r="307" spans="1:6" ht="20.100000000000001" customHeight="1" x14ac:dyDescent="0.15">
      <c r="A307" s="5">
        <v>304</v>
      </c>
      <c r="B307" s="6" t="str">
        <f>"30482021060310423981367"</f>
        <v>30482021060310423981367</v>
      </c>
      <c r="C307" s="6" t="s">
        <v>1885</v>
      </c>
      <c r="D307" s="6" t="str">
        <f>"莫春梅"</f>
        <v>莫春梅</v>
      </c>
      <c r="E307" s="6" t="str">
        <f t="shared" si="6"/>
        <v>女</v>
      </c>
      <c r="F307" s="7" t="s">
        <v>414</v>
      </c>
    </row>
    <row r="308" spans="1:6" ht="20.100000000000001" customHeight="1" x14ac:dyDescent="0.15">
      <c r="A308" s="5">
        <v>305</v>
      </c>
      <c r="B308" s="6" t="str">
        <f>"30482021060310500181498"</f>
        <v>30482021060310500181498</v>
      </c>
      <c r="C308" s="6" t="s">
        <v>1885</v>
      </c>
      <c r="D308" s="6" t="str">
        <f>"温小曼"</f>
        <v>温小曼</v>
      </c>
      <c r="E308" s="6" t="str">
        <f t="shared" si="6"/>
        <v>女</v>
      </c>
      <c r="F308" s="7" t="s">
        <v>106</v>
      </c>
    </row>
    <row r="309" spans="1:6" ht="20.100000000000001" customHeight="1" x14ac:dyDescent="0.15">
      <c r="A309" s="5">
        <v>306</v>
      </c>
      <c r="B309" s="6" t="str">
        <f>"30482021060311032181720"</f>
        <v>30482021060311032181720</v>
      </c>
      <c r="C309" s="6" t="s">
        <v>1885</v>
      </c>
      <c r="D309" s="6" t="str">
        <f>"林燕"</f>
        <v>林燕</v>
      </c>
      <c r="E309" s="6" t="str">
        <f t="shared" si="6"/>
        <v>女</v>
      </c>
      <c r="F309" s="7" t="s">
        <v>345</v>
      </c>
    </row>
    <row r="310" spans="1:6" ht="20.100000000000001" customHeight="1" x14ac:dyDescent="0.15">
      <c r="A310" s="5">
        <v>307</v>
      </c>
      <c r="B310" s="6" t="str">
        <f>"30482021060311042081740"</f>
        <v>30482021060311042081740</v>
      </c>
      <c r="C310" s="6" t="s">
        <v>1885</v>
      </c>
      <c r="D310" s="6" t="str">
        <f>"陈秋暧"</f>
        <v>陈秋暧</v>
      </c>
      <c r="E310" s="6" t="str">
        <f t="shared" si="6"/>
        <v>女</v>
      </c>
      <c r="F310" s="7" t="s">
        <v>887</v>
      </c>
    </row>
    <row r="311" spans="1:6" ht="20.100000000000001" customHeight="1" x14ac:dyDescent="0.15">
      <c r="A311" s="5">
        <v>308</v>
      </c>
      <c r="B311" s="6" t="str">
        <f>"30482021060311224982004"</f>
        <v>30482021060311224982004</v>
      </c>
      <c r="C311" s="6" t="s">
        <v>1885</v>
      </c>
      <c r="D311" s="6" t="str">
        <f>"郑东娜"</f>
        <v>郑东娜</v>
      </c>
      <c r="E311" s="6" t="str">
        <f t="shared" si="6"/>
        <v>女</v>
      </c>
      <c r="F311" s="7" t="s">
        <v>643</v>
      </c>
    </row>
    <row r="312" spans="1:6" ht="20.100000000000001" customHeight="1" x14ac:dyDescent="0.15">
      <c r="A312" s="5">
        <v>309</v>
      </c>
      <c r="B312" s="6" t="str">
        <f>"30482021060311390982198"</f>
        <v>30482021060311390982198</v>
      </c>
      <c r="C312" s="6" t="s">
        <v>1885</v>
      </c>
      <c r="D312" s="6" t="str">
        <f>"钟招弟"</f>
        <v>钟招弟</v>
      </c>
      <c r="E312" s="6" t="str">
        <f t="shared" si="6"/>
        <v>女</v>
      </c>
      <c r="F312" s="7" t="s">
        <v>1944</v>
      </c>
    </row>
    <row r="313" spans="1:6" ht="20.100000000000001" customHeight="1" x14ac:dyDescent="0.15">
      <c r="A313" s="5">
        <v>310</v>
      </c>
      <c r="B313" s="6" t="str">
        <f>"30482021060312331882756"</f>
        <v>30482021060312331882756</v>
      </c>
      <c r="C313" s="6" t="s">
        <v>1885</v>
      </c>
      <c r="D313" s="6" t="str">
        <f>"符文玉"</f>
        <v>符文玉</v>
      </c>
      <c r="E313" s="6" t="str">
        <f t="shared" si="6"/>
        <v>女</v>
      </c>
      <c r="F313" s="7" t="s">
        <v>1945</v>
      </c>
    </row>
    <row r="314" spans="1:6" ht="20.100000000000001" customHeight="1" x14ac:dyDescent="0.15">
      <c r="A314" s="5">
        <v>311</v>
      </c>
      <c r="B314" s="6" t="str">
        <f>"30482021060312380882795"</f>
        <v>30482021060312380882795</v>
      </c>
      <c r="C314" s="6" t="s">
        <v>1885</v>
      </c>
      <c r="D314" s="6" t="str">
        <f>"杜小妹"</f>
        <v>杜小妹</v>
      </c>
      <c r="E314" s="6" t="str">
        <f t="shared" si="6"/>
        <v>女</v>
      </c>
      <c r="F314" s="7" t="s">
        <v>1942</v>
      </c>
    </row>
    <row r="315" spans="1:6" ht="20.100000000000001" customHeight="1" x14ac:dyDescent="0.15">
      <c r="A315" s="5">
        <v>312</v>
      </c>
      <c r="B315" s="6" t="str">
        <f>"30482021060312494282920"</f>
        <v>30482021060312494282920</v>
      </c>
      <c r="C315" s="6" t="s">
        <v>1885</v>
      </c>
      <c r="D315" s="6" t="str">
        <f>"陈苗"</f>
        <v>陈苗</v>
      </c>
      <c r="E315" s="6" t="str">
        <f t="shared" si="6"/>
        <v>女</v>
      </c>
      <c r="F315" s="7" t="s">
        <v>44</v>
      </c>
    </row>
    <row r="316" spans="1:6" ht="20.100000000000001" customHeight="1" x14ac:dyDescent="0.15">
      <c r="A316" s="5">
        <v>313</v>
      </c>
      <c r="B316" s="6" t="str">
        <f>"30482021060313152983157"</f>
        <v>30482021060313152983157</v>
      </c>
      <c r="C316" s="6" t="s">
        <v>1885</v>
      </c>
      <c r="D316" s="6" t="str">
        <f>"王梦婕"</f>
        <v>王梦婕</v>
      </c>
      <c r="E316" s="6" t="str">
        <f t="shared" si="6"/>
        <v>女</v>
      </c>
      <c r="F316" s="7" t="s">
        <v>706</v>
      </c>
    </row>
    <row r="317" spans="1:6" ht="20.100000000000001" customHeight="1" x14ac:dyDescent="0.15">
      <c r="A317" s="5">
        <v>314</v>
      </c>
      <c r="B317" s="6" t="str">
        <f>"30482021060313405683344"</f>
        <v>30482021060313405683344</v>
      </c>
      <c r="C317" s="6" t="s">
        <v>1885</v>
      </c>
      <c r="D317" s="6" t="str">
        <f>"陈期虹"</f>
        <v>陈期虹</v>
      </c>
      <c r="E317" s="6" t="str">
        <f t="shared" si="6"/>
        <v>女</v>
      </c>
      <c r="F317" s="7" t="s">
        <v>31</v>
      </c>
    </row>
    <row r="318" spans="1:6" ht="20.100000000000001" customHeight="1" x14ac:dyDescent="0.15">
      <c r="A318" s="5">
        <v>315</v>
      </c>
      <c r="B318" s="6" t="str">
        <f>"30482021060313544283430"</f>
        <v>30482021060313544283430</v>
      </c>
      <c r="C318" s="6" t="s">
        <v>1885</v>
      </c>
      <c r="D318" s="6" t="str">
        <f>"陈正"</f>
        <v>陈正</v>
      </c>
      <c r="E318" s="6" t="str">
        <f t="shared" si="6"/>
        <v>女</v>
      </c>
      <c r="F318" s="7" t="s">
        <v>1259</v>
      </c>
    </row>
    <row r="319" spans="1:6" ht="20.100000000000001" customHeight="1" x14ac:dyDescent="0.15">
      <c r="A319" s="5">
        <v>316</v>
      </c>
      <c r="B319" s="6" t="str">
        <f>"30482021060314252283662"</f>
        <v>30482021060314252283662</v>
      </c>
      <c r="C319" s="6" t="s">
        <v>1885</v>
      </c>
      <c r="D319" s="6" t="str">
        <f>"李娜"</f>
        <v>李娜</v>
      </c>
      <c r="E319" s="6" t="str">
        <f t="shared" si="6"/>
        <v>女</v>
      </c>
      <c r="F319" s="7" t="s">
        <v>1942</v>
      </c>
    </row>
    <row r="320" spans="1:6" ht="20.100000000000001" customHeight="1" x14ac:dyDescent="0.15">
      <c r="A320" s="5">
        <v>317</v>
      </c>
      <c r="B320" s="6" t="str">
        <f>"30482021060314270083678"</f>
        <v>30482021060314270083678</v>
      </c>
      <c r="C320" s="6" t="s">
        <v>1885</v>
      </c>
      <c r="D320" s="6" t="str">
        <f>"陈明月"</f>
        <v>陈明月</v>
      </c>
      <c r="E320" s="6" t="str">
        <f t="shared" si="6"/>
        <v>女</v>
      </c>
      <c r="F320" s="7" t="s">
        <v>1946</v>
      </c>
    </row>
    <row r="321" spans="1:6" ht="20.100000000000001" customHeight="1" x14ac:dyDescent="0.15">
      <c r="A321" s="5">
        <v>318</v>
      </c>
      <c r="B321" s="6" t="str">
        <f>"30482021060314400483824"</f>
        <v>30482021060314400483824</v>
      </c>
      <c r="C321" s="6" t="s">
        <v>1885</v>
      </c>
      <c r="D321" s="6" t="str">
        <f>"何小燕"</f>
        <v>何小燕</v>
      </c>
      <c r="E321" s="6" t="str">
        <f t="shared" si="6"/>
        <v>女</v>
      </c>
      <c r="F321" s="7" t="s">
        <v>648</v>
      </c>
    </row>
    <row r="322" spans="1:6" ht="20.100000000000001" customHeight="1" x14ac:dyDescent="0.15">
      <c r="A322" s="5">
        <v>319</v>
      </c>
      <c r="B322" s="6" t="str">
        <f>"30482021060314460383882"</f>
        <v>30482021060314460383882</v>
      </c>
      <c r="C322" s="6" t="s">
        <v>1885</v>
      </c>
      <c r="D322" s="6" t="str">
        <f>"陈钰童"</f>
        <v>陈钰童</v>
      </c>
      <c r="E322" s="6" t="str">
        <f t="shared" si="6"/>
        <v>女</v>
      </c>
      <c r="F322" s="7" t="s">
        <v>1947</v>
      </c>
    </row>
    <row r="323" spans="1:6" ht="20.100000000000001" customHeight="1" x14ac:dyDescent="0.15">
      <c r="A323" s="5">
        <v>320</v>
      </c>
      <c r="B323" s="6" t="str">
        <f>"30482021060315003684062"</f>
        <v>30482021060315003684062</v>
      </c>
      <c r="C323" s="6" t="s">
        <v>1885</v>
      </c>
      <c r="D323" s="6" t="str">
        <f>"马卓言"</f>
        <v>马卓言</v>
      </c>
      <c r="E323" s="6" t="str">
        <f t="shared" si="6"/>
        <v>女</v>
      </c>
      <c r="F323" s="7" t="s">
        <v>396</v>
      </c>
    </row>
    <row r="324" spans="1:6" ht="20.100000000000001" customHeight="1" x14ac:dyDescent="0.15">
      <c r="A324" s="5">
        <v>321</v>
      </c>
      <c r="B324" s="6" t="str">
        <f>"30482021060315143484238"</f>
        <v>30482021060315143484238</v>
      </c>
      <c r="C324" s="6" t="s">
        <v>1885</v>
      </c>
      <c r="D324" s="6" t="str">
        <f>"许美诗"</f>
        <v>许美诗</v>
      </c>
      <c r="E324" s="6" t="str">
        <f t="shared" si="6"/>
        <v>女</v>
      </c>
      <c r="F324" s="7" t="s">
        <v>396</v>
      </c>
    </row>
    <row r="325" spans="1:6" ht="20.100000000000001" customHeight="1" x14ac:dyDescent="0.15">
      <c r="A325" s="5">
        <v>322</v>
      </c>
      <c r="B325" s="6" t="str">
        <f>"30482021060315151184246"</f>
        <v>30482021060315151184246</v>
      </c>
      <c r="C325" s="6" t="s">
        <v>1885</v>
      </c>
      <c r="D325" s="6" t="str">
        <f>"郭珍珍"</f>
        <v>郭珍珍</v>
      </c>
      <c r="E325" s="6" t="str">
        <f t="shared" si="6"/>
        <v>女</v>
      </c>
      <c r="F325" s="7" t="s">
        <v>1948</v>
      </c>
    </row>
    <row r="326" spans="1:6" ht="20.100000000000001" customHeight="1" x14ac:dyDescent="0.15">
      <c r="A326" s="5">
        <v>323</v>
      </c>
      <c r="B326" s="6" t="str">
        <f>"30482021060315244084365"</f>
        <v>30482021060315244084365</v>
      </c>
      <c r="C326" s="6" t="s">
        <v>1885</v>
      </c>
      <c r="D326" s="6" t="str">
        <f>"王李映"</f>
        <v>王李映</v>
      </c>
      <c r="E326" s="6" t="str">
        <f t="shared" si="6"/>
        <v>女</v>
      </c>
      <c r="F326" s="7" t="s">
        <v>34</v>
      </c>
    </row>
    <row r="327" spans="1:6" ht="20.100000000000001" customHeight="1" x14ac:dyDescent="0.15">
      <c r="A327" s="5">
        <v>324</v>
      </c>
      <c r="B327" s="6" t="str">
        <f>"30482021060315435284651"</f>
        <v>30482021060315435284651</v>
      </c>
      <c r="C327" s="6" t="s">
        <v>1885</v>
      </c>
      <c r="D327" s="6" t="str">
        <f>"胡慧婷"</f>
        <v>胡慧婷</v>
      </c>
      <c r="E327" s="6" t="str">
        <f t="shared" si="6"/>
        <v>女</v>
      </c>
      <c r="F327" s="7" t="s">
        <v>942</v>
      </c>
    </row>
    <row r="328" spans="1:6" ht="20.100000000000001" customHeight="1" x14ac:dyDescent="0.15">
      <c r="A328" s="5">
        <v>325</v>
      </c>
      <c r="B328" s="6" t="str">
        <f>"30482021060316002584881"</f>
        <v>30482021060316002584881</v>
      </c>
      <c r="C328" s="6" t="s">
        <v>1885</v>
      </c>
      <c r="D328" s="6" t="str">
        <f>"罗欣"</f>
        <v>罗欣</v>
      </c>
      <c r="E328" s="6" t="str">
        <f t="shared" si="6"/>
        <v>女</v>
      </c>
      <c r="F328" s="7" t="s">
        <v>414</v>
      </c>
    </row>
    <row r="329" spans="1:6" ht="20.100000000000001" customHeight="1" x14ac:dyDescent="0.15">
      <c r="A329" s="5">
        <v>326</v>
      </c>
      <c r="B329" s="6" t="str">
        <f>"30482021060316021384905"</f>
        <v>30482021060316021384905</v>
      </c>
      <c r="C329" s="6" t="s">
        <v>1885</v>
      </c>
      <c r="D329" s="6" t="str">
        <f>"羊丽秀"</f>
        <v>羊丽秀</v>
      </c>
      <c r="E329" s="6" t="str">
        <f t="shared" si="6"/>
        <v>女</v>
      </c>
      <c r="F329" s="7" t="s">
        <v>875</v>
      </c>
    </row>
    <row r="330" spans="1:6" ht="20.100000000000001" customHeight="1" x14ac:dyDescent="0.15">
      <c r="A330" s="5">
        <v>327</v>
      </c>
      <c r="B330" s="6" t="str">
        <f>"30482021060316035784929"</f>
        <v>30482021060316035784929</v>
      </c>
      <c r="C330" s="6" t="s">
        <v>1885</v>
      </c>
      <c r="D330" s="6" t="str">
        <f>"关凯尹"</f>
        <v>关凯尹</v>
      </c>
      <c r="E330" s="6" t="str">
        <f t="shared" si="6"/>
        <v>女</v>
      </c>
      <c r="F330" s="7" t="s">
        <v>1949</v>
      </c>
    </row>
    <row r="331" spans="1:6" ht="20.100000000000001" customHeight="1" x14ac:dyDescent="0.15">
      <c r="A331" s="5">
        <v>328</v>
      </c>
      <c r="B331" s="6" t="str">
        <f>"30482021060316120385023"</f>
        <v>30482021060316120385023</v>
      </c>
      <c r="C331" s="6" t="s">
        <v>1885</v>
      </c>
      <c r="D331" s="6" t="str">
        <f>"吴欢"</f>
        <v>吴欢</v>
      </c>
      <c r="E331" s="6" t="str">
        <f t="shared" si="6"/>
        <v>女</v>
      </c>
      <c r="F331" s="7" t="s">
        <v>345</v>
      </c>
    </row>
    <row r="332" spans="1:6" ht="20.100000000000001" customHeight="1" x14ac:dyDescent="0.15">
      <c r="A332" s="5">
        <v>329</v>
      </c>
      <c r="B332" s="6" t="str">
        <f>"30482021060316171885090"</f>
        <v>30482021060316171885090</v>
      </c>
      <c r="C332" s="6" t="s">
        <v>1885</v>
      </c>
      <c r="D332" s="6" t="str">
        <f>"翁文紫"</f>
        <v>翁文紫</v>
      </c>
      <c r="E332" s="6" t="str">
        <f t="shared" si="6"/>
        <v>女</v>
      </c>
      <c r="F332" s="7" t="s">
        <v>345</v>
      </c>
    </row>
    <row r="333" spans="1:6" ht="20.100000000000001" customHeight="1" x14ac:dyDescent="0.15">
      <c r="A333" s="5">
        <v>330</v>
      </c>
      <c r="B333" s="6" t="str">
        <f>"30482021060316312985247"</f>
        <v>30482021060316312985247</v>
      </c>
      <c r="C333" s="6" t="s">
        <v>1885</v>
      </c>
      <c r="D333" s="6" t="str">
        <f>"蔡兴南"</f>
        <v>蔡兴南</v>
      </c>
      <c r="E333" s="6" t="str">
        <f t="shared" si="6"/>
        <v>女</v>
      </c>
      <c r="F333" s="7" t="s">
        <v>497</v>
      </c>
    </row>
    <row r="334" spans="1:6" ht="20.100000000000001" customHeight="1" x14ac:dyDescent="0.15">
      <c r="A334" s="5">
        <v>331</v>
      </c>
      <c r="B334" s="6" t="str">
        <f>"30482021060317093485686"</f>
        <v>30482021060317093485686</v>
      </c>
      <c r="C334" s="6" t="s">
        <v>1885</v>
      </c>
      <c r="D334" s="6" t="str">
        <f>"周欣欣"</f>
        <v>周欣欣</v>
      </c>
      <c r="E334" s="6" t="str">
        <f t="shared" si="6"/>
        <v>女</v>
      </c>
      <c r="F334" s="7" t="s">
        <v>140</v>
      </c>
    </row>
    <row r="335" spans="1:6" ht="20.100000000000001" customHeight="1" x14ac:dyDescent="0.15">
      <c r="A335" s="5">
        <v>332</v>
      </c>
      <c r="B335" s="6" t="str">
        <f>"30482021060317240085851"</f>
        <v>30482021060317240085851</v>
      </c>
      <c r="C335" s="6" t="s">
        <v>1885</v>
      </c>
      <c r="D335" s="6" t="str">
        <f>"吴华贵"</f>
        <v>吴华贵</v>
      </c>
      <c r="E335" s="6" t="str">
        <f t="shared" si="6"/>
        <v>女</v>
      </c>
      <c r="F335" s="7" t="s">
        <v>1950</v>
      </c>
    </row>
    <row r="336" spans="1:6" ht="20.100000000000001" customHeight="1" x14ac:dyDescent="0.15">
      <c r="A336" s="5">
        <v>333</v>
      </c>
      <c r="B336" s="6" t="str">
        <f>"30482021060317415286032"</f>
        <v>30482021060317415286032</v>
      </c>
      <c r="C336" s="6" t="s">
        <v>1885</v>
      </c>
      <c r="D336" s="6" t="str">
        <f>"陈元冰"</f>
        <v>陈元冰</v>
      </c>
      <c r="E336" s="6" t="str">
        <f t="shared" si="6"/>
        <v>女</v>
      </c>
      <c r="F336" s="7" t="s">
        <v>1951</v>
      </c>
    </row>
    <row r="337" spans="1:6" ht="20.100000000000001" customHeight="1" x14ac:dyDescent="0.15">
      <c r="A337" s="5">
        <v>334</v>
      </c>
      <c r="B337" s="6" t="str">
        <f>"30482021060317443486059"</f>
        <v>30482021060317443486059</v>
      </c>
      <c r="C337" s="6" t="s">
        <v>1885</v>
      </c>
      <c r="D337" s="6" t="str">
        <f>"邹彤"</f>
        <v>邹彤</v>
      </c>
      <c r="E337" s="6" t="str">
        <f t="shared" si="6"/>
        <v>女</v>
      </c>
      <c r="F337" s="7" t="s">
        <v>1393</v>
      </c>
    </row>
    <row r="338" spans="1:6" ht="20.100000000000001" customHeight="1" x14ac:dyDescent="0.15">
      <c r="A338" s="5">
        <v>335</v>
      </c>
      <c r="B338" s="6" t="str">
        <f>"30482021060318170886342"</f>
        <v>30482021060318170886342</v>
      </c>
      <c r="C338" s="6" t="s">
        <v>1885</v>
      </c>
      <c r="D338" s="6" t="str">
        <f>"韦选金"</f>
        <v>韦选金</v>
      </c>
      <c r="E338" s="6" t="str">
        <f t="shared" si="6"/>
        <v>女</v>
      </c>
      <c r="F338" s="7" t="s">
        <v>659</v>
      </c>
    </row>
    <row r="339" spans="1:6" ht="20.100000000000001" customHeight="1" x14ac:dyDescent="0.15">
      <c r="A339" s="5">
        <v>336</v>
      </c>
      <c r="B339" s="6" t="str">
        <f>"30482021060318513886649"</f>
        <v>30482021060318513886649</v>
      </c>
      <c r="C339" s="6" t="s">
        <v>1885</v>
      </c>
      <c r="D339" s="6" t="str">
        <f>"薛春驳"</f>
        <v>薛春驳</v>
      </c>
      <c r="E339" s="6" t="str">
        <f t="shared" si="6"/>
        <v>女</v>
      </c>
      <c r="F339" s="7" t="s">
        <v>439</v>
      </c>
    </row>
    <row r="340" spans="1:6" ht="20.100000000000001" customHeight="1" x14ac:dyDescent="0.15">
      <c r="A340" s="5">
        <v>337</v>
      </c>
      <c r="B340" s="6" t="str">
        <f>"30482021060318581486703"</f>
        <v>30482021060318581486703</v>
      </c>
      <c r="C340" s="6" t="s">
        <v>1885</v>
      </c>
      <c r="D340" s="6" t="str">
        <f>"杨馥源"</f>
        <v>杨馥源</v>
      </c>
      <c r="E340" s="6" t="str">
        <f t="shared" si="6"/>
        <v>女</v>
      </c>
      <c r="F340" s="7" t="s">
        <v>37</v>
      </c>
    </row>
    <row r="341" spans="1:6" ht="20.100000000000001" customHeight="1" x14ac:dyDescent="0.15">
      <c r="A341" s="5">
        <v>338</v>
      </c>
      <c r="B341" s="6" t="str">
        <f>"30482021060319311786974"</f>
        <v>30482021060319311786974</v>
      </c>
      <c r="C341" s="6" t="s">
        <v>1885</v>
      </c>
      <c r="D341" s="6" t="str">
        <f>"汪玉苗"</f>
        <v>汪玉苗</v>
      </c>
      <c r="E341" s="6" t="str">
        <f t="shared" si="6"/>
        <v>女</v>
      </c>
      <c r="F341" s="7" t="s">
        <v>1880</v>
      </c>
    </row>
    <row r="342" spans="1:6" ht="20.100000000000001" customHeight="1" x14ac:dyDescent="0.15">
      <c r="A342" s="5">
        <v>339</v>
      </c>
      <c r="B342" s="6" t="str">
        <f>"30482021060319342186995"</f>
        <v>30482021060319342186995</v>
      </c>
      <c r="C342" s="6" t="s">
        <v>1885</v>
      </c>
      <c r="D342" s="6" t="str">
        <f>"谢小静"</f>
        <v>谢小静</v>
      </c>
      <c r="E342" s="6" t="str">
        <f t="shared" si="6"/>
        <v>女</v>
      </c>
      <c r="F342" s="7" t="s">
        <v>94</v>
      </c>
    </row>
    <row r="343" spans="1:6" ht="20.100000000000001" customHeight="1" x14ac:dyDescent="0.15">
      <c r="A343" s="5">
        <v>340</v>
      </c>
      <c r="B343" s="6" t="str">
        <f>"30482021060319372587021"</f>
        <v>30482021060319372587021</v>
      </c>
      <c r="C343" s="6" t="s">
        <v>1885</v>
      </c>
      <c r="D343" s="6" t="str">
        <f>"王海云"</f>
        <v>王海云</v>
      </c>
      <c r="E343" s="6" t="str">
        <f t="shared" si="6"/>
        <v>女</v>
      </c>
      <c r="F343" s="7" t="s">
        <v>1952</v>
      </c>
    </row>
    <row r="344" spans="1:6" ht="20.100000000000001" customHeight="1" x14ac:dyDescent="0.15">
      <c r="A344" s="5">
        <v>341</v>
      </c>
      <c r="B344" s="6" t="str">
        <f>"30482021060319391487043"</f>
        <v>30482021060319391487043</v>
      </c>
      <c r="C344" s="6" t="s">
        <v>1885</v>
      </c>
      <c r="D344" s="6" t="str">
        <f>"王丹"</f>
        <v>王丹</v>
      </c>
      <c r="E344" s="6" t="str">
        <f t="shared" si="6"/>
        <v>女</v>
      </c>
      <c r="F344" s="7" t="s">
        <v>1953</v>
      </c>
    </row>
    <row r="345" spans="1:6" ht="20.100000000000001" customHeight="1" x14ac:dyDescent="0.15">
      <c r="A345" s="5">
        <v>342</v>
      </c>
      <c r="B345" s="6" t="str">
        <f>"30482021060319401487052"</f>
        <v>30482021060319401487052</v>
      </c>
      <c r="C345" s="6" t="s">
        <v>1885</v>
      </c>
      <c r="D345" s="6" t="str">
        <f>"陈春敏"</f>
        <v>陈春敏</v>
      </c>
      <c r="E345" s="6" t="str">
        <f t="shared" si="6"/>
        <v>女</v>
      </c>
      <c r="F345" s="7" t="s">
        <v>1954</v>
      </c>
    </row>
    <row r="346" spans="1:6" ht="20.100000000000001" customHeight="1" x14ac:dyDescent="0.15">
      <c r="A346" s="5">
        <v>343</v>
      </c>
      <c r="B346" s="6" t="str">
        <f>"30482021060320110787324"</f>
        <v>30482021060320110787324</v>
      </c>
      <c r="C346" s="6" t="s">
        <v>1885</v>
      </c>
      <c r="D346" s="6" t="str">
        <f>"陈会"</f>
        <v>陈会</v>
      </c>
      <c r="E346" s="6" t="str">
        <f t="shared" si="6"/>
        <v>女</v>
      </c>
      <c r="F346" s="7" t="s">
        <v>1955</v>
      </c>
    </row>
    <row r="347" spans="1:6" ht="20.100000000000001" customHeight="1" x14ac:dyDescent="0.15">
      <c r="A347" s="5">
        <v>344</v>
      </c>
      <c r="B347" s="6" t="str">
        <f>"30482021060320194987428"</f>
        <v>30482021060320194987428</v>
      </c>
      <c r="C347" s="6" t="s">
        <v>1885</v>
      </c>
      <c r="D347" s="6" t="str">
        <f>"杨菁菁"</f>
        <v>杨菁菁</v>
      </c>
      <c r="E347" s="6" t="str">
        <f t="shared" si="6"/>
        <v>女</v>
      </c>
      <c r="F347" s="7" t="s">
        <v>1099</v>
      </c>
    </row>
    <row r="348" spans="1:6" ht="20.100000000000001" customHeight="1" x14ac:dyDescent="0.15">
      <c r="A348" s="5">
        <v>345</v>
      </c>
      <c r="B348" s="6" t="str">
        <f>"30482021060320232987479"</f>
        <v>30482021060320232987479</v>
      </c>
      <c r="C348" s="6" t="s">
        <v>1885</v>
      </c>
      <c r="D348" s="6" t="str">
        <f>"王小蕊"</f>
        <v>王小蕊</v>
      </c>
      <c r="E348" s="6" t="str">
        <f t="shared" si="6"/>
        <v>女</v>
      </c>
      <c r="F348" s="7" t="s">
        <v>719</v>
      </c>
    </row>
    <row r="349" spans="1:6" ht="20.100000000000001" customHeight="1" x14ac:dyDescent="0.15">
      <c r="A349" s="5">
        <v>346</v>
      </c>
      <c r="B349" s="6" t="str">
        <f>"30482021060322245688908"</f>
        <v>30482021060322245688908</v>
      </c>
      <c r="C349" s="6" t="s">
        <v>1885</v>
      </c>
      <c r="D349" s="6" t="str">
        <f>"龙娇媛"</f>
        <v>龙娇媛</v>
      </c>
      <c r="E349" s="6" t="str">
        <f t="shared" si="6"/>
        <v>女</v>
      </c>
      <c r="F349" s="7" t="s">
        <v>1956</v>
      </c>
    </row>
    <row r="350" spans="1:6" ht="20.100000000000001" customHeight="1" x14ac:dyDescent="0.15">
      <c r="A350" s="5">
        <v>347</v>
      </c>
      <c r="B350" s="6" t="str">
        <f>"30482021060322373789029"</f>
        <v>30482021060322373789029</v>
      </c>
      <c r="C350" s="6" t="s">
        <v>1885</v>
      </c>
      <c r="D350" s="6" t="str">
        <f>"何玲"</f>
        <v>何玲</v>
      </c>
      <c r="E350" s="6" t="str">
        <f t="shared" si="6"/>
        <v>女</v>
      </c>
      <c r="F350" s="7" t="s">
        <v>791</v>
      </c>
    </row>
    <row r="351" spans="1:6" ht="20.100000000000001" customHeight="1" x14ac:dyDescent="0.15">
      <c r="A351" s="5">
        <v>348</v>
      </c>
      <c r="B351" s="6" t="str">
        <f>"30482021060322563789207"</f>
        <v>30482021060322563789207</v>
      </c>
      <c r="C351" s="6" t="s">
        <v>1885</v>
      </c>
      <c r="D351" s="6" t="str">
        <f>"曾子桐"</f>
        <v>曾子桐</v>
      </c>
      <c r="E351" s="6" t="str">
        <f t="shared" si="6"/>
        <v>女</v>
      </c>
      <c r="F351" s="7" t="s">
        <v>787</v>
      </c>
    </row>
    <row r="352" spans="1:6" ht="20.100000000000001" customHeight="1" x14ac:dyDescent="0.15">
      <c r="A352" s="5">
        <v>349</v>
      </c>
      <c r="B352" s="6" t="str">
        <f>"30482021060323145189371"</f>
        <v>30482021060323145189371</v>
      </c>
      <c r="C352" s="6" t="s">
        <v>1885</v>
      </c>
      <c r="D352" s="6" t="str">
        <f>"朱贵乔"</f>
        <v>朱贵乔</v>
      </c>
      <c r="E352" s="6" t="str">
        <f t="shared" si="6"/>
        <v>女</v>
      </c>
      <c r="F352" s="7" t="s">
        <v>1814</v>
      </c>
    </row>
    <row r="353" spans="1:6" ht="20.100000000000001" customHeight="1" x14ac:dyDescent="0.15">
      <c r="A353" s="5">
        <v>350</v>
      </c>
      <c r="B353" s="6" t="str">
        <f>"30482021060323224389433"</f>
        <v>30482021060323224389433</v>
      </c>
      <c r="C353" s="6" t="s">
        <v>1885</v>
      </c>
      <c r="D353" s="6" t="str">
        <f>"徐文玲"</f>
        <v>徐文玲</v>
      </c>
      <c r="E353" s="6" t="str">
        <f t="shared" si="6"/>
        <v>女</v>
      </c>
      <c r="F353" s="7" t="s">
        <v>1957</v>
      </c>
    </row>
    <row r="354" spans="1:6" ht="20.100000000000001" customHeight="1" x14ac:dyDescent="0.15">
      <c r="A354" s="5">
        <v>351</v>
      </c>
      <c r="B354" s="6" t="str">
        <f>"30482021060408084490169"</f>
        <v>30482021060408084490169</v>
      </c>
      <c r="C354" s="6" t="s">
        <v>1885</v>
      </c>
      <c r="D354" s="6" t="str">
        <f>"温伯婵"</f>
        <v>温伯婵</v>
      </c>
      <c r="E354" s="6" t="str">
        <f t="shared" si="6"/>
        <v>女</v>
      </c>
      <c r="F354" s="7" t="s">
        <v>433</v>
      </c>
    </row>
    <row r="355" spans="1:6" ht="20.100000000000001" customHeight="1" x14ac:dyDescent="0.15">
      <c r="A355" s="5">
        <v>352</v>
      </c>
      <c r="B355" s="6" t="str">
        <f>"30482021060409070390659"</f>
        <v>30482021060409070390659</v>
      </c>
      <c r="C355" s="6" t="s">
        <v>1885</v>
      </c>
      <c r="D355" s="6" t="str">
        <f>"王月"</f>
        <v>王月</v>
      </c>
      <c r="E355" s="6" t="str">
        <f t="shared" ref="E355:E375" si="7">"女"</f>
        <v>女</v>
      </c>
      <c r="F355" s="7" t="s">
        <v>1958</v>
      </c>
    </row>
    <row r="356" spans="1:6" ht="20.100000000000001" customHeight="1" x14ac:dyDescent="0.15">
      <c r="A356" s="5">
        <v>353</v>
      </c>
      <c r="B356" s="6" t="str">
        <f>"30482021060409152490758"</f>
        <v>30482021060409152490758</v>
      </c>
      <c r="C356" s="6" t="s">
        <v>1885</v>
      </c>
      <c r="D356" s="6" t="str">
        <f>"符丽萍"</f>
        <v>符丽萍</v>
      </c>
      <c r="E356" s="6" t="str">
        <f t="shared" si="7"/>
        <v>女</v>
      </c>
      <c r="F356" s="7" t="s">
        <v>979</v>
      </c>
    </row>
    <row r="357" spans="1:6" ht="20.100000000000001" customHeight="1" x14ac:dyDescent="0.15">
      <c r="A357" s="5">
        <v>354</v>
      </c>
      <c r="B357" s="6" t="str">
        <f>"30482021060409333990954"</f>
        <v>30482021060409333990954</v>
      </c>
      <c r="C357" s="6" t="s">
        <v>1885</v>
      </c>
      <c r="D357" s="6" t="str">
        <f>"黄向"</f>
        <v>黄向</v>
      </c>
      <c r="E357" s="6" t="str">
        <f t="shared" si="7"/>
        <v>女</v>
      </c>
      <c r="F357" s="7" t="s">
        <v>424</v>
      </c>
    </row>
    <row r="358" spans="1:6" ht="20.100000000000001" customHeight="1" x14ac:dyDescent="0.15">
      <c r="A358" s="5">
        <v>355</v>
      </c>
      <c r="B358" s="6" t="str">
        <f>"30482021060410233891611"</f>
        <v>30482021060410233891611</v>
      </c>
      <c r="C358" s="6" t="s">
        <v>1885</v>
      </c>
      <c r="D358" s="6" t="str">
        <f>"符海冬"</f>
        <v>符海冬</v>
      </c>
      <c r="E358" s="6" t="str">
        <f t="shared" si="7"/>
        <v>女</v>
      </c>
      <c r="F358" s="7" t="s">
        <v>1959</v>
      </c>
    </row>
    <row r="359" spans="1:6" ht="20.100000000000001" customHeight="1" x14ac:dyDescent="0.15">
      <c r="A359" s="5">
        <v>356</v>
      </c>
      <c r="B359" s="6" t="str">
        <f>"30482021060410271391657"</f>
        <v>30482021060410271391657</v>
      </c>
      <c r="C359" s="6" t="s">
        <v>1885</v>
      </c>
      <c r="D359" s="6" t="str">
        <f>"钟晓辉"</f>
        <v>钟晓辉</v>
      </c>
      <c r="E359" s="6" t="str">
        <f t="shared" si="7"/>
        <v>女</v>
      </c>
      <c r="F359" s="7" t="s">
        <v>1851</v>
      </c>
    </row>
    <row r="360" spans="1:6" ht="20.100000000000001" customHeight="1" x14ac:dyDescent="0.15">
      <c r="A360" s="5">
        <v>357</v>
      </c>
      <c r="B360" s="6" t="str">
        <f>"30482021060410400591837"</f>
        <v>30482021060410400591837</v>
      </c>
      <c r="C360" s="6" t="s">
        <v>1885</v>
      </c>
      <c r="D360" s="6" t="str">
        <f>"曾丽丽"</f>
        <v>曾丽丽</v>
      </c>
      <c r="E360" s="6" t="str">
        <f t="shared" si="7"/>
        <v>女</v>
      </c>
      <c r="F360" s="7" t="s">
        <v>1960</v>
      </c>
    </row>
    <row r="361" spans="1:6" ht="20.100000000000001" customHeight="1" x14ac:dyDescent="0.15">
      <c r="A361" s="5">
        <v>358</v>
      </c>
      <c r="B361" s="6" t="str">
        <f>"30482021060410415191865"</f>
        <v>30482021060410415191865</v>
      </c>
      <c r="C361" s="6" t="s">
        <v>1885</v>
      </c>
      <c r="D361" s="6" t="str">
        <f>"杨娇娇"</f>
        <v>杨娇娇</v>
      </c>
      <c r="E361" s="6" t="str">
        <f t="shared" si="7"/>
        <v>女</v>
      </c>
      <c r="F361" s="7" t="s">
        <v>256</v>
      </c>
    </row>
    <row r="362" spans="1:6" ht="20.100000000000001" customHeight="1" x14ac:dyDescent="0.15">
      <c r="A362" s="5">
        <v>359</v>
      </c>
      <c r="B362" s="6" t="str">
        <f>"30482021060410503291970"</f>
        <v>30482021060410503291970</v>
      </c>
      <c r="C362" s="6" t="s">
        <v>1885</v>
      </c>
      <c r="D362" s="6" t="str">
        <f>"符金玉"</f>
        <v>符金玉</v>
      </c>
      <c r="E362" s="6" t="str">
        <f t="shared" si="7"/>
        <v>女</v>
      </c>
      <c r="F362" s="7" t="s">
        <v>1961</v>
      </c>
    </row>
    <row r="363" spans="1:6" ht="20.100000000000001" customHeight="1" x14ac:dyDescent="0.15">
      <c r="A363" s="5">
        <v>360</v>
      </c>
      <c r="B363" s="6" t="str">
        <f>"30482021060410520491987"</f>
        <v>30482021060410520491987</v>
      </c>
      <c r="C363" s="6" t="s">
        <v>1885</v>
      </c>
      <c r="D363" s="6" t="str">
        <f>"林顺"</f>
        <v>林顺</v>
      </c>
      <c r="E363" s="6" t="str">
        <f t="shared" si="7"/>
        <v>女</v>
      </c>
      <c r="F363" s="7" t="s">
        <v>1962</v>
      </c>
    </row>
    <row r="364" spans="1:6" ht="20.100000000000001" customHeight="1" x14ac:dyDescent="0.15">
      <c r="A364" s="5">
        <v>361</v>
      </c>
      <c r="B364" s="6" t="str">
        <f>"30482021060411195392948"</f>
        <v>30482021060411195392948</v>
      </c>
      <c r="C364" s="6" t="s">
        <v>1885</v>
      </c>
      <c r="D364" s="6" t="str">
        <f>"李天香"</f>
        <v>李天香</v>
      </c>
      <c r="E364" s="6" t="str">
        <f t="shared" si="7"/>
        <v>女</v>
      </c>
      <c r="F364" s="7" t="s">
        <v>1114</v>
      </c>
    </row>
    <row r="365" spans="1:6" ht="20.100000000000001" customHeight="1" x14ac:dyDescent="0.15">
      <c r="A365" s="5">
        <v>362</v>
      </c>
      <c r="B365" s="6" t="str">
        <f>"30482021060412174793538"</f>
        <v>30482021060412174793538</v>
      </c>
      <c r="C365" s="6" t="s">
        <v>1885</v>
      </c>
      <c r="D365" s="6" t="str">
        <f>"黄小红"</f>
        <v>黄小红</v>
      </c>
      <c r="E365" s="6" t="str">
        <f t="shared" si="7"/>
        <v>女</v>
      </c>
      <c r="F365" s="7" t="s">
        <v>1963</v>
      </c>
    </row>
    <row r="366" spans="1:6" ht="20.100000000000001" customHeight="1" x14ac:dyDescent="0.15">
      <c r="A366" s="5">
        <v>363</v>
      </c>
      <c r="B366" s="6" t="str">
        <f>"30482021060412193993561"</f>
        <v>30482021060412193993561</v>
      </c>
      <c r="C366" s="6" t="s">
        <v>1885</v>
      </c>
      <c r="D366" s="6" t="str">
        <f>"陈秋月"</f>
        <v>陈秋月</v>
      </c>
      <c r="E366" s="6" t="str">
        <f t="shared" si="7"/>
        <v>女</v>
      </c>
      <c r="F366" s="7" t="s">
        <v>165</v>
      </c>
    </row>
    <row r="367" spans="1:6" ht="20.100000000000001" customHeight="1" x14ac:dyDescent="0.15">
      <c r="A367" s="5">
        <v>364</v>
      </c>
      <c r="B367" s="6" t="str">
        <f>"30482021060412340393717"</f>
        <v>30482021060412340393717</v>
      </c>
      <c r="C367" s="6" t="s">
        <v>1885</v>
      </c>
      <c r="D367" s="6" t="str">
        <f>"宋艳芳"</f>
        <v>宋艳芳</v>
      </c>
      <c r="E367" s="6" t="str">
        <f t="shared" si="7"/>
        <v>女</v>
      </c>
      <c r="F367" s="7" t="s">
        <v>1240</v>
      </c>
    </row>
    <row r="368" spans="1:6" ht="20.100000000000001" customHeight="1" x14ac:dyDescent="0.15">
      <c r="A368" s="5">
        <v>365</v>
      </c>
      <c r="B368" s="6" t="str">
        <f>"30482021060412554893954"</f>
        <v>30482021060412554893954</v>
      </c>
      <c r="C368" s="6" t="s">
        <v>1885</v>
      </c>
      <c r="D368" s="6" t="str">
        <f>"冯海颜"</f>
        <v>冯海颜</v>
      </c>
      <c r="E368" s="6" t="str">
        <f t="shared" si="7"/>
        <v>女</v>
      </c>
      <c r="F368" s="7" t="s">
        <v>497</v>
      </c>
    </row>
    <row r="369" spans="1:6" ht="20.100000000000001" customHeight="1" x14ac:dyDescent="0.15">
      <c r="A369" s="5">
        <v>366</v>
      </c>
      <c r="B369" s="6" t="str">
        <f>"30482021060413034894060"</f>
        <v>30482021060413034894060</v>
      </c>
      <c r="C369" s="6" t="s">
        <v>1885</v>
      </c>
      <c r="D369" s="6" t="str">
        <f>"林子靖"</f>
        <v>林子靖</v>
      </c>
      <c r="E369" s="6" t="str">
        <f t="shared" si="7"/>
        <v>女</v>
      </c>
      <c r="F369" s="7" t="s">
        <v>1964</v>
      </c>
    </row>
    <row r="370" spans="1:6" ht="20.100000000000001" customHeight="1" x14ac:dyDescent="0.15">
      <c r="A370" s="5">
        <v>367</v>
      </c>
      <c r="B370" s="6" t="str">
        <f>"30482021060413254994279"</f>
        <v>30482021060413254994279</v>
      </c>
      <c r="C370" s="6" t="s">
        <v>1885</v>
      </c>
      <c r="D370" s="6" t="str">
        <f>"杨茗"</f>
        <v>杨茗</v>
      </c>
      <c r="E370" s="6" t="str">
        <f t="shared" si="7"/>
        <v>女</v>
      </c>
      <c r="F370" s="7" t="s">
        <v>1662</v>
      </c>
    </row>
    <row r="371" spans="1:6" ht="20.100000000000001" customHeight="1" x14ac:dyDescent="0.15">
      <c r="A371" s="5">
        <v>368</v>
      </c>
      <c r="B371" s="6" t="str">
        <f>"30482021060413331294343"</f>
        <v>30482021060413331294343</v>
      </c>
      <c r="C371" s="6" t="s">
        <v>1885</v>
      </c>
      <c r="D371" s="6" t="str">
        <f>"何妙羽"</f>
        <v>何妙羽</v>
      </c>
      <c r="E371" s="6" t="str">
        <f t="shared" si="7"/>
        <v>女</v>
      </c>
      <c r="F371" s="7" t="s">
        <v>1879</v>
      </c>
    </row>
    <row r="372" spans="1:6" ht="20.100000000000001" customHeight="1" x14ac:dyDescent="0.15">
      <c r="A372" s="5">
        <v>369</v>
      </c>
      <c r="B372" s="6" t="str">
        <f>"30482021060414575695857"</f>
        <v>30482021060414575695857</v>
      </c>
      <c r="C372" s="6" t="s">
        <v>1885</v>
      </c>
      <c r="D372" s="6" t="str">
        <f>"潘虹"</f>
        <v>潘虹</v>
      </c>
      <c r="E372" s="6" t="str">
        <f t="shared" si="7"/>
        <v>女</v>
      </c>
      <c r="F372" s="7" t="s">
        <v>345</v>
      </c>
    </row>
    <row r="373" spans="1:6" ht="20.100000000000001" customHeight="1" x14ac:dyDescent="0.15">
      <c r="A373" s="5">
        <v>370</v>
      </c>
      <c r="B373" s="6" t="str">
        <f>"30482021060415090296014"</f>
        <v>30482021060415090296014</v>
      </c>
      <c r="C373" s="6" t="s">
        <v>1885</v>
      </c>
      <c r="D373" s="6" t="str">
        <f>"王叶"</f>
        <v>王叶</v>
      </c>
      <c r="E373" s="6" t="str">
        <f t="shared" si="7"/>
        <v>女</v>
      </c>
      <c r="F373" s="7" t="s">
        <v>43</v>
      </c>
    </row>
    <row r="374" spans="1:6" ht="20.100000000000001" customHeight="1" x14ac:dyDescent="0.15">
      <c r="A374" s="5">
        <v>371</v>
      </c>
      <c r="B374" s="6" t="str">
        <f>"30482021060415144796119"</f>
        <v>30482021060415144796119</v>
      </c>
      <c r="C374" s="6" t="s">
        <v>1885</v>
      </c>
      <c r="D374" s="6" t="str">
        <f>"吴晓娜"</f>
        <v>吴晓娜</v>
      </c>
      <c r="E374" s="6" t="str">
        <f t="shared" si="7"/>
        <v>女</v>
      </c>
      <c r="F374" s="7" t="s">
        <v>415</v>
      </c>
    </row>
    <row r="375" spans="1:6" ht="20.100000000000001" customHeight="1" x14ac:dyDescent="0.15">
      <c r="A375" s="5">
        <v>372</v>
      </c>
      <c r="B375" s="6" t="str">
        <f>"30482021060415512996630"</f>
        <v>30482021060415512996630</v>
      </c>
      <c r="C375" s="6" t="s">
        <v>1885</v>
      </c>
      <c r="D375" s="6" t="str">
        <f>"吕全教"</f>
        <v>吕全教</v>
      </c>
      <c r="E375" s="6" t="str">
        <f t="shared" si="7"/>
        <v>女</v>
      </c>
      <c r="F375" s="7" t="s">
        <v>1174</v>
      </c>
    </row>
    <row r="376" spans="1:6" ht="20.100000000000001" customHeight="1" x14ac:dyDescent="0.15">
      <c r="A376" s="5">
        <v>373</v>
      </c>
      <c r="B376" s="6" t="str">
        <f>"30482021060416023196758"</f>
        <v>30482021060416023196758</v>
      </c>
      <c r="C376" s="6" t="s">
        <v>1885</v>
      </c>
      <c r="D376" s="6" t="str">
        <f>"卢超"</f>
        <v>卢超</v>
      </c>
      <c r="E376" s="6" t="str">
        <f>"男"</f>
        <v>男</v>
      </c>
      <c r="F376" s="7" t="s">
        <v>1965</v>
      </c>
    </row>
    <row r="377" spans="1:6" ht="20.100000000000001" customHeight="1" x14ac:dyDescent="0.15">
      <c r="A377" s="5">
        <v>374</v>
      </c>
      <c r="B377" s="6" t="str">
        <f>"30482021060416043296787"</f>
        <v>30482021060416043296787</v>
      </c>
      <c r="C377" s="6" t="s">
        <v>1885</v>
      </c>
      <c r="D377" s="6" t="str">
        <f>"周晓艳"</f>
        <v>周晓艳</v>
      </c>
      <c r="E377" s="6" t="str">
        <f t="shared" ref="E377:E440" si="8">"女"</f>
        <v>女</v>
      </c>
      <c r="F377" s="7" t="s">
        <v>100</v>
      </c>
    </row>
    <row r="378" spans="1:6" ht="20.100000000000001" customHeight="1" x14ac:dyDescent="0.15">
      <c r="A378" s="5">
        <v>375</v>
      </c>
      <c r="B378" s="6" t="str">
        <f>"30482021060416161696957"</f>
        <v>30482021060416161696957</v>
      </c>
      <c r="C378" s="6" t="s">
        <v>1885</v>
      </c>
      <c r="D378" s="6" t="str">
        <f>"冯锦鸯"</f>
        <v>冯锦鸯</v>
      </c>
      <c r="E378" s="6" t="str">
        <f t="shared" si="8"/>
        <v>女</v>
      </c>
      <c r="F378" s="7" t="s">
        <v>196</v>
      </c>
    </row>
    <row r="379" spans="1:6" ht="20.100000000000001" customHeight="1" x14ac:dyDescent="0.15">
      <c r="A379" s="5">
        <v>376</v>
      </c>
      <c r="B379" s="6" t="str">
        <f>"30482021060416170896965"</f>
        <v>30482021060416170896965</v>
      </c>
      <c r="C379" s="6" t="s">
        <v>1885</v>
      </c>
      <c r="D379" s="6" t="str">
        <f>"黎吉逢"</f>
        <v>黎吉逢</v>
      </c>
      <c r="E379" s="6" t="str">
        <f t="shared" si="8"/>
        <v>女</v>
      </c>
      <c r="F379" s="7" t="s">
        <v>760</v>
      </c>
    </row>
    <row r="380" spans="1:6" ht="20.100000000000001" customHeight="1" x14ac:dyDescent="0.15">
      <c r="A380" s="5">
        <v>377</v>
      </c>
      <c r="B380" s="6" t="str">
        <f>"30482021060416231597040"</f>
        <v>30482021060416231597040</v>
      </c>
      <c r="C380" s="6" t="s">
        <v>1885</v>
      </c>
      <c r="D380" s="6" t="str">
        <f>" 陈景玉"</f>
        <v xml:space="preserve"> 陈景玉</v>
      </c>
      <c r="E380" s="6" t="str">
        <f t="shared" si="8"/>
        <v>女</v>
      </c>
      <c r="F380" s="7" t="s">
        <v>1214</v>
      </c>
    </row>
    <row r="381" spans="1:6" ht="20.100000000000001" customHeight="1" x14ac:dyDescent="0.15">
      <c r="A381" s="5">
        <v>378</v>
      </c>
      <c r="B381" s="6" t="str">
        <f>"30482021060417124497682"</f>
        <v>30482021060417124497682</v>
      </c>
      <c r="C381" s="6" t="s">
        <v>1885</v>
      </c>
      <c r="D381" s="6" t="str">
        <f>"李秋"</f>
        <v>李秋</v>
      </c>
      <c r="E381" s="6" t="str">
        <f t="shared" si="8"/>
        <v>女</v>
      </c>
      <c r="F381" s="7" t="s">
        <v>401</v>
      </c>
    </row>
    <row r="382" spans="1:6" ht="20.100000000000001" customHeight="1" x14ac:dyDescent="0.15">
      <c r="A382" s="5">
        <v>379</v>
      </c>
      <c r="B382" s="6" t="str">
        <f>"30482021060417192597787"</f>
        <v>30482021060417192597787</v>
      </c>
      <c r="C382" s="6" t="s">
        <v>1885</v>
      </c>
      <c r="D382" s="6" t="str">
        <f>"王慧"</f>
        <v>王慧</v>
      </c>
      <c r="E382" s="6" t="str">
        <f t="shared" si="8"/>
        <v>女</v>
      </c>
      <c r="F382" s="7" t="s">
        <v>179</v>
      </c>
    </row>
    <row r="383" spans="1:6" ht="20.100000000000001" customHeight="1" x14ac:dyDescent="0.15">
      <c r="A383" s="5">
        <v>380</v>
      </c>
      <c r="B383" s="6" t="str">
        <f>"30482021060417283497916"</f>
        <v>30482021060417283497916</v>
      </c>
      <c r="C383" s="6" t="s">
        <v>1885</v>
      </c>
      <c r="D383" s="6" t="str">
        <f>"何潮潮"</f>
        <v>何潮潮</v>
      </c>
      <c r="E383" s="6" t="str">
        <f t="shared" si="8"/>
        <v>女</v>
      </c>
      <c r="F383" s="7" t="s">
        <v>1796</v>
      </c>
    </row>
    <row r="384" spans="1:6" ht="20.100000000000001" customHeight="1" x14ac:dyDescent="0.15">
      <c r="A384" s="5">
        <v>381</v>
      </c>
      <c r="B384" s="6" t="str">
        <f>"30482021060417333697979"</f>
        <v>30482021060417333697979</v>
      </c>
      <c r="C384" s="6" t="s">
        <v>1885</v>
      </c>
      <c r="D384" s="6" t="str">
        <f>"马晓蕾"</f>
        <v>马晓蕾</v>
      </c>
      <c r="E384" s="6" t="str">
        <f t="shared" si="8"/>
        <v>女</v>
      </c>
      <c r="F384" s="7" t="s">
        <v>1047</v>
      </c>
    </row>
    <row r="385" spans="1:6" ht="20.100000000000001" customHeight="1" x14ac:dyDescent="0.15">
      <c r="A385" s="5">
        <v>382</v>
      </c>
      <c r="B385" s="6" t="str">
        <f>"30482021060417431198113"</f>
        <v>30482021060417431198113</v>
      </c>
      <c r="C385" s="6" t="s">
        <v>1885</v>
      </c>
      <c r="D385" s="6" t="str">
        <f>"林芳君"</f>
        <v>林芳君</v>
      </c>
      <c r="E385" s="6" t="str">
        <f t="shared" si="8"/>
        <v>女</v>
      </c>
      <c r="F385" s="7" t="s">
        <v>793</v>
      </c>
    </row>
    <row r="386" spans="1:6" ht="20.100000000000001" customHeight="1" x14ac:dyDescent="0.15">
      <c r="A386" s="5">
        <v>383</v>
      </c>
      <c r="B386" s="6" t="str">
        <f>"30482021060417512898205"</f>
        <v>30482021060417512898205</v>
      </c>
      <c r="C386" s="6" t="s">
        <v>1885</v>
      </c>
      <c r="D386" s="6" t="str">
        <f>"潘玲"</f>
        <v>潘玲</v>
      </c>
      <c r="E386" s="6" t="str">
        <f t="shared" si="8"/>
        <v>女</v>
      </c>
      <c r="F386" s="7" t="s">
        <v>463</v>
      </c>
    </row>
    <row r="387" spans="1:6" ht="20.100000000000001" customHeight="1" x14ac:dyDescent="0.15">
      <c r="A387" s="5">
        <v>384</v>
      </c>
      <c r="B387" s="6" t="str">
        <f>"30482021060418174198355"</f>
        <v>30482021060418174198355</v>
      </c>
      <c r="C387" s="6" t="s">
        <v>1885</v>
      </c>
      <c r="D387" s="6" t="str">
        <f>"符艳姣"</f>
        <v>符艳姣</v>
      </c>
      <c r="E387" s="6" t="str">
        <f t="shared" si="8"/>
        <v>女</v>
      </c>
      <c r="F387" s="7" t="s">
        <v>1966</v>
      </c>
    </row>
    <row r="388" spans="1:6" ht="20.100000000000001" customHeight="1" x14ac:dyDescent="0.15">
      <c r="A388" s="5">
        <v>385</v>
      </c>
      <c r="B388" s="6" t="str">
        <f>"30482021060418305398399"</f>
        <v>30482021060418305398399</v>
      </c>
      <c r="C388" s="6" t="s">
        <v>1885</v>
      </c>
      <c r="D388" s="6" t="str">
        <f>"王娜"</f>
        <v>王娜</v>
      </c>
      <c r="E388" s="6" t="str">
        <f t="shared" si="8"/>
        <v>女</v>
      </c>
      <c r="F388" s="7" t="s">
        <v>164</v>
      </c>
    </row>
    <row r="389" spans="1:6" ht="20.100000000000001" customHeight="1" x14ac:dyDescent="0.15">
      <c r="A389" s="5">
        <v>386</v>
      </c>
      <c r="B389" s="6" t="str">
        <f>"30482021060418464698441"</f>
        <v>30482021060418464698441</v>
      </c>
      <c r="C389" s="6" t="s">
        <v>1885</v>
      </c>
      <c r="D389" s="6" t="str">
        <f>"桂小孟"</f>
        <v>桂小孟</v>
      </c>
      <c r="E389" s="6" t="str">
        <f t="shared" si="8"/>
        <v>女</v>
      </c>
      <c r="F389" s="7" t="s">
        <v>1967</v>
      </c>
    </row>
    <row r="390" spans="1:6" ht="20.100000000000001" customHeight="1" x14ac:dyDescent="0.15">
      <c r="A390" s="5">
        <v>387</v>
      </c>
      <c r="B390" s="6" t="str">
        <f>"30482021060419164499159"</f>
        <v>30482021060419164499159</v>
      </c>
      <c r="C390" s="6" t="s">
        <v>1885</v>
      </c>
      <c r="D390" s="6" t="str">
        <f>"冯雅伦"</f>
        <v>冯雅伦</v>
      </c>
      <c r="E390" s="6" t="str">
        <f t="shared" si="8"/>
        <v>女</v>
      </c>
      <c r="F390" s="7" t="s">
        <v>1814</v>
      </c>
    </row>
    <row r="391" spans="1:6" ht="20.100000000000001" customHeight="1" x14ac:dyDescent="0.15">
      <c r="A391" s="5">
        <v>388</v>
      </c>
      <c r="B391" s="6" t="str">
        <f>"30482021060419331199209"</f>
        <v>30482021060419331199209</v>
      </c>
      <c r="C391" s="6" t="s">
        <v>1885</v>
      </c>
      <c r="D391" s="6" t="str">
        <f>"韦温馨"</f>
        <v>韦温馨</v>
      </c>
      <c r="E391" s="6" t="str">
        <f t="shared" si="8"/>
        <v>女</v>
      </c>
      <c r="F391" s="7" t="s">
        <v>1968</v>
      </c>
    </row>
    <row r="392" spans="1:6" ht="20.100000000000001" customHeight="1" x14ac:dyDescent="0.15">
      <c r="A392" s="5">
        <v>389</v>
      </c>
      <c r="B392" s="6" t="str">
        <f>"30482021060419500899266"</f>
        <v>30482021060419500899266</v>
      </c>
      <c r="C392" s="6" t="s">
        <v>1885</v>
      </c>
      <c r="D392" s="6" t="str">
        <f>"张薇"</f>
        <v>张薇</v>
      </c>
      <c r="E392" s="6" t="str">
        <f t="shared" si="8"/>
        <v>女</v>
      </c>
      <c r="F392" s="7" t="s">
        <v>1969</v>
      </c>
    </row>
    <row r="393" spans="1:6" ht="20.100000000000001" customHeight="1" x14ac:dyDescent="0.15">
      <c r="A393" s="5">
        <v>390</v>
      </c>
      <c r="B393" s="6" t="str">
        <f>"30482021060420024899306"</f>
        <v>30482021060420024899306</v>
      </c>
      <c r="C393" s="6" t="s">
        <v>1885</v>
      </c>
      <c r="D393" s="6" t="str">
        <f>"王蔚"</f>
        <v>王蔚</v>
      </c>
      <c r="E393" s="6" t="str">
        <f t="shared" si="8"/>
        <v>女</v>
      </c>
      <c r="F393" s="7" t="s">
        <v>591</v>
      </c>
    </row>
    <row r="394" spans="1:6" ht="20.100000000000001" customHeight="1" x14ac:dyDescent="0.15">
      <c r="A394" s="5">
        <v>391</v>
      </c>
      <c r="B394" s="6" t="str">
        <f>"30482021060420081899327"</f>
        <v>30482021060420081899327</v>
      </c>
      <c r="C394" s="6" t="s">
        <v>1885</v>
      </c>
      <c r="D394" s="6" t="str">
        <f>"潘甫虹"</f>
        <v>潘甫虹</v>
      </c>
      <c r="E394" s="6" t="str">
        <f t="shared" si="8"/>
        <v>女</v>
      </c>
      <c r="F394" s="7" t="s">
        <v>689</v>
      </c>
    </row>
    <row r="395" spans="1:6" ht="20.100000000000001" customHeight="1" x14ac:dyDescent="0.15">
      <c r="A395" s="5">
        <v>392</v>
      </c>
      <c r="B395" s="6" t="str">
        <f>"30482021060420532699470"</f>
        <v>30482021060420532699470</v>
      </c>
      <c r="C395" s="6" t="s">
        <v>1885</v>
      </c>
      <c r="D395" s="6" t="str">
        <f>"杜秀明"</f>
        <v>杜秀明</v>
      </c>
      <c r="E395" s="6" t="str">
        <f t="shared" si="8"/>
        <v>女</v>
      </c>
      <c r="F395" s="7" t="s">
        <v>1970</v>
      </c>
    </row>
    <row r="396" spans="1:6" ht="20.100000000000001" customHeight="1" x14ac:dyDescent="0.15">
      <c r="A396" s="5">
        <v>393</v>
      </c>
      <c r="B396" s="6" t="str">
        <f>"30482021060421595999672"</f>
        <v>30482021060421595999672</v>
      </c>
      <c r="C396" s="6" t="s">
        <v>1885</v>
      </c>
      <c r="D396" s="6" t="str">
        <f>"黄子殷"</f>
        <v>黄子殷</v>
      </c>
      <c r="E396" s="6" t="str">
        <f t="shared" si="8"/>
        <v>女</v>
      </c>
      <c r="F396" s="7" t="s">
        <v>37</v>
      </c>
    </row>
    <row r="397" spans="1:6" ht="20.100000000000001" customHeight="1" x14ac:dyDescent="0.15">
      <c r="A397" s="5">
        <v>394</v>
      </c>
      <c r="B397" s="6" t="str">
        <f>"30482021060422164299723"</f>
        <v>30482021060422164299723</v>
      </c>
      <c r="C397" s="6" t="s">
        <v>1885</v>
      </c>
      <c r="D397" s="6" t="str">
        <f>"文丽"</f>
        <v>文丽</v>
      </c>
      <c r="E397" s="6" t="str">
        <f t="shared" si="8"/>
        <v>女</v>
      </c>
      <c r="F397" s="7" t="s">
        <v>1971</v>
      </c>
    </row>
    <row r="398" spans="1:6" ht="20.100000000000001" customHeight="1" x14ac:dyDescent="0.15">
      <c r="A398" s="5">
        <v>395</v>
      </c>
      <c r="B398" s="6" t="str">
        <f>"30482021060422250299740"</f>
        <v>30482021060422250299740</v>
      </c>
      <c r="C398" s="6" t="s">
        <v>1885</v>
      </c>
      <c r="D398" s="6" t="str">
        <f>"苏桂英"</f>
        <v>苏桂英</v>
      </c>
      <c r="E398" s="6" t="str">
        <f t="shared" si="8"/>
        <v>女</v>
      </c>
      <c r="F398" s="7" t="s">
        <v>324</v>
      </c>
    </row>
    <row r="399" spans="1:6" ht="20.100000000000001" customHeight="1" x14ac:dyDescent="0.15">
      <c r="A399" s="5">
        <v>396</v>
      </c>
      <c r="B399" s="6" t="str">
        <f>"30482021060422371899790"</f>
        <v>30482021060422371899790</v>
      </c>
      <c r="C399" s="6" t="s">
        <v>1885</v>
      </c>
      <c r="D399" s="6" t="str">
        <f>"卜开英"</f>
        <v>卜开英</v>
      </c>
      <c r="E399" s="6" t="str">
        <f t="shared" si="8"/>
        <v>女</v>
      </c>
      <c r="F399" s="7" t="s">
        <v>566</v>
      </c>
    </row>
    <row r="400" spans="1:6" ht="20.100000000000001" customHeight="1" x14ac:dyDescent="0.15">
      <c r="A400" s="5">
        <v>397</v>
      </c>
      <c r="B400" s="6" t="str">
        <f>"30482021060423071099882"</f>
        <v>30482021060423071099882</v>
      </c>
      <c r="C400" s="6" t="s">
        <v>1885</v>
      </c>
      <c r="D400" s="6" t="str">
        <f>"马莫凡"</f>
        <v>马莫凡</v>
      </c>
      <c r="E400" s="6" t="str">
        <f t="shared" si="8"/>
        <v>女</v>
      </c>
      <c r="F400" s="7" t="s">
        <v>887</v>
      </c>
    </row>
    <row r="401" spans="1:6" ht="20.100000000000001" customHeight="1" x14ac:dyDescent="0.15">
      <c r="A401" s="5">
        <v>398</v>
      </c>
      <c r="B401" s="6" t="str">
        <f>"30482021060423270599927"</f>
        <v>30482021060423270599927</v>
      </c>
      <c r="C401" s="6" t="s">
        <v>1885</v>
      </c>
      <c r="D401" s="6" t="str">
        <f>"王雅"</f>
        <v>王雅</v>
      </c>
      <c r="E401" s="6" t="str">
        <f t="shared" si="8"/>
        <v>女</v>
      </c>
      <c r="F401" s="7" t="s">
        <v>332</v>
      </c>
    </row>
    <row r="402" spans="1:6" ht="20.100000000000001" customHeight="1" x14ac:dyDescent="0.15">
      <c r="A402" s="5">
        <v>399</v>
      </c>
      <c r="B402" s="6" t="str">
        <f>"30482021060500062499992"</f>
        <v>30482021060500062499992</v>
      </c>
      <c r="C402" s="6" t="s">
        <v>1885</v>
      </c>
      <c r="D402" s="6" t="str">
        <f>"许蓝荻"</f>
        <v>许蓝荻</v>
      </c>
      <c r="E402" s="6" t="str">
        <f t="shared" si="8"/>
        <v>女</v>
      </c>
      <c r="F402" s="7" t="s">
        <v>717</v>
      </c>
    </row>
    <row r="403" spans="1:6" ht="20.100000000000001" customHeight="1" x14ac:dyDescent="0.15">
      <c r="A403" s="5">
        <v>400</v>
      </c>
      <c r="B403" s="6" t="str">
        <f>"304820210605011949100053"</f>
        <v>304820210605011949100053</v>
      </c>
      <c r="C403" s="6" t="s">
        <v>1885</v>
      </c>
      <c r="D403" s="6" t="str">
        <f>"陈湘琴"</f>
        <v>陈湘琴</v>
      </c>
      <c r="E403" s="6" t="str">
        <f t="shared" si="8"/>
        <v>女</v>
      </c>
      <c r="F403" s="7" t="s">
        <v>770</v>
      </c>
    </row>
    <row r="404" spans="1:6" ht="20.100000000000001" customHeight="1" x14ac:dyDescent="0.15">
      <c r="A404" s="5">
        <v>401</v>
      </c>
      <c r="B404" s="6" t="str">
        <f>"304820210605074818100130"</f>
        <v>304820210605074818100130</v>
      </c>
      <c r="C404" s="6" t="s">
        <v>1885</v>
      </c>
      <c r="D404" s="6" t="str">
        <f>"简金妹"</f>
        <v>简金妹</v>
      </c>
      <c r="E404" s="6" t="str">
        <f t="shared" si="8"/>
        <v>女</v>
      </c>
      <c r="F404" s="7" t="s">
        <v>411</v>
      </c>
    </row>
    <row r="405" spans="1:6" ht="20.100000000000001" customHeight="1" x14ac:dyDescent="0.15">
      <c r="A405" s="5">
        <v>402</v>
      </c>
      <c r="B405" s="6" t="str">
        <f>"304820210605095348100328"</f>
        <v>304820210605095348100328</v>
      </c>
      <c r="C405" s="6" t="s">
        <v>1885</v>
      </c>
      <c r="D405" s="6" t="str">
        <f>"王媛悦"</f>
        <v>王媛悦</v>
      </c>
      <c r="E405" s="6" t="str">
        <f t="shared" si="8"/>
        <v>女</v>
      </c>
      <c r="F405" s="7" t="s">
        <v>1972</v>
      </c>
    </row>
    <row r="406" spans="1:6" ht="20.100000000000001" customHeight="1" x14ac:dyDescent="0.15">
      <c r="A406" s="5">
        <v>403</v>
      </c>
      <c r="B406" s="6" t="str">
        <f>"304820210605100419100362"</f>
        <v>304820210605100419100362</v>
      </c>
      <c r="C406" s="6" t="s">
        <v>1885</v>
      </c>
      <c r="D406" s="6" t="str">
        <f>"韩璎"</f>
        <v>韩璎</v>
      </c>
      <c r="E406" s="6" t="str">
        <f t="shared" si="8"/>
        <v>女</v>
      </c>
      <c r="F406" s="7" t="s">
        <v>14</v>
      </c>
    </row>
    <row r="407" spans="1:6" ht="20.100000000000001" customHeight="1" x14ac:dyDescent="0.15">
      <c r="A407" s="5">
        <v>404</v>
      </c>
      <c r="B407" s="6" t="str">
        <f>"304820210605103307100442"</f>
        <v>304820210605103307100442</v>
      </c>
      <c r="C407" s="6" t="s">
        <v>1885</v>
      </c>
      <c r="D407" s="6" t="str">
        <f>"符方婷"</f>
        <v>符方婷</v>
      </c>
      <c r="E407" s="6" t="str">
        <f t="shared" si="8"/>
        <v>女</v>
      </c>
      <c r="F407" s="7" t="s">
        <v>1555</v>
      </c>
    </row>
    <row r="408" spans="1:6" ht="20.100000000000001" customHeight="1" x14ac:dyDescent="0.15">
      <c r="A408" s="5">
        <v>405</v>
      </c>
      <c r="B408" s="6" t="str">
        <f>"304820210605103822100459"</f>
        <v>304820210605103822100459</v>
      </c>
      <c r="C408" s="6" t="s">
        <v>1885</v>
      </c>
      <c r="D408" s="6" t="str">
        <f>"李艳"</f>
        <v>李艳</v>
      </c>
      <c r="E408" s="6" t="str">
        <f t="shared" si="8"/>
        <v>女</v>
      </c>
      <c r="F408" s="7" t="s">
        <v>1973</v>
      </c>
    </row>
    <row r="409" spans="1:6" ht="20.100000000000001" customHeight="1" x14ac:dyDescent="0.15">
      <c r="A409" s="5">
        <v>406</v>
      </c>
      <c r="B409" s="6" t="str">
        <f>"304820210605104037100467"</f>
        <v>304820210605104037100467</v>
      </c>
      <c r="C409" s="6" t="s">
        <v>1885</v>
      </c>
      <c r="D409" s="6" t="str">
        <f>"王彬"</f>
        <v>王彬</v>
      </c>
      <c r="E409" s="6" t="str">
        <f t="shared" si="8"/>
        <v>女</v>
      </c>
      <c r="F409" s="7" t="s">
        <v>58</v>
      </c>
    </row>
    <row r="410" spans="1:6" ht="20.100000000000001" customHeight="1" x14ac:dyDescent="0.15">
      <c r="A410" s="5">
        <v>407</v>
      </c>
      <c r="B410" s="6" t="str">
        <f>"304820210605104611100490"</f>
        <v>304820210605104611100490</v>
      </c>
      <c r="C410" s="6" t="s">
        <v>1885</v>
      </c>
      <c r="D410" s="6" t="str">
        <f>"张春联"</f>
        <v>张春联</v>
      </c>
      <c r="E410" s="6" t="str">
        <f t="shared" si="8"/>
        <v>女</v>
      </c>
      <c r="F410" s="7" t="s">
        <v>1243</v>
      </c>
    </row>
    <row r="411" spans="1:6" ht="20.100000000000001" customHeight="1" x14ac:dyDescent="0.15">
      <c r="A411" s="5">
        <v>408</v>
      </c>
      <c r="B411" s="6" t="str">
        <f>"304820210605111844100600"</f>
        <v>304820210605111844100600</v>
      </c>
      <c r="C411" s="6" t="s">
        <v>1885</v>
      </c>
      <c r="D411" s="6" t="str">
        <f>"陈瑜"</f>
        <v>陈瑜</v>
      </c>
      <c r="E411" s="6" t="str">
        <f t="shared" si="8"/>
        <v>女</v>
      </c>
      <c r="F411" s="7" t="s">
        <v>1146</v>
      </c>
    </row>
    <row r="412" spans="1:6" ht="20.100000000000001" customHeight="1" x14ac:dyDescent="0.15">
      <c r="A412" s="5">
        <v>409</v>
      </c>
      <c r="B412" s="6" t="str">
        <f>"304820210605113636100656"</f>
        <v>304820210605113636100656</v>
      </c>
      <c r="C412" s="6" t="s">
        <v>1885</v>
      </c>
      <c r="D412" s="6" t="str">
        <f>"周梦怡"</f>
        <v>周梦怡</v>
      </c>
      <c r="E412" s="6" t="str">
        <f t="shared" si="8"/>
        <v>女</v>
      </c>
      <c r="F412" s="7" t="s">
        <v>1394</v>
      </c>
    </row>
    <row r="413" spans="1:6" ht="20.100000000000001" customHeight="1" x14ac:dyDescent="0.15">
      <c r="A413" s="5">
        <v>410</v>
      </c>
      <c r="B413" s="6" t="str">
        <f>"304820210605121310100751"</f>
        <v>304820210605121310100751</v>
      </c>
      <c r="C413" s="6" t="s">
        <v>1885</v>
      </c>
      <c r="D413" s="6" t="str">
        <f>"王桂平"</f>
        <v>王桂平</v>
      </c>
      <c r="E413" s="6" t="str">
        <f t="shared" si="8"/>
        <v>女</v>
      </c>
      <c r="F413" s="7" t="s">
        <v>218</v>
      </c>
    </row>
    <row r="414" spans="1:6" ht="20.100000000000001" customHeight="1" x14ac:dyDescent="0.15">
      <c r="A414" s="5">
        <v>411</v>
      </c>
      <c r="B414" s="6" t="str">
        <f>"304820210605131247100885"</f>
        <v>304820210605131247100885</v>
      </c>
      <c r="C414" s="6" t="s">
        <v>1885</v>
      </c>
      <c r="D414" s="6" t="str">
        <f>"黎憬梅"</f>
        <v>黎憬梅</v>
      </c>
      <c r="E414" s="6" t="str">
        <f t="shared" si="8"/>
        <v>女</v>
      </c>
      <c r="F414" s="7" t="s">
        <v>1466</v>
      </c>
    </row>
    <row r="415" spans="1:6" ht="20.100000000000001" customHeight="1" x14ac:dyDescent="0.15">
      <c r="A415" s="5">
        <v>412</v>
      </c>
      <c r="B415" s="6" t="str">
        <f>"304820210605150823101185"</f>
        <v>304820210605150823101185</v>
      </c>
      <c r="C415" s="6" t="s">
        <v>1885</v>
      </c>
      <c r="D415" s="6" t="str">
        <f>"陈雪盈"</f>
        <v>陈雪盈</v>
      </c>
      <c r="E415" s="6" t="str">
        <f t="shared" si="8"/>
        <v>女</v>
      </c>
      <c r="F415" s="7" t="s">
        <v>1428</v>
      </c>
    </row>
    <row r="416" spans="1:6" ht="20.100000000000001" customHeight="1" x14ac:dyDescent="0.15">
      <c r="A416" s="5">
        <v>413</v>
      </c>
      <c r="B416" s="6" t="str">
        <f>"304820210605154917101288"</f>
        <v>304820210605154917101288</v>
      </c>
      <c r="C416" s="6" t="s">
        <v>1885</v>
      </c>
      <c r="D416" s="6" t="str">
        <f>"陈贻艳"</f>
        <v>陈贻艳</v>
      </c>
      <c r="E416" s="6" t="str">
        <f t="shared" si="8"/>
        <v>女</v>
      </c>
      <c r="F416" s="7" t="s">
        <v>30</v>
      </c>
    </row>
    <row r="417" spans="1:6" ht="20.100000000000001" customHeight="1" x14ac:dyDescent="0.15">
      <c r="A417" s="5">
        <v>414</v>
      </c>
      <c r="B417" s="6" t="str">
        <f>"304820210605160555101330"</f>
        <v>304820210605160555101330</v>
      </c>
      <c r="C417" s="6" t="s">
        <v>1885</v>
      </c>
      <c r="D417" s="6" t="str">
        <f>"何水银"</f>
        <v>何水银</v>
      </c>
      <c r="E417" s="6" t="str">
        <f t="shared" si="8"/>
        <v>女</v>
      </c>
      <c r="F417" s="7" t="s">
        <v>1974</v>
      </c>
    </row>
    <row r="418" spans="1:6" ht="20.100000000000001" customHeight="1" x14ac:dyDescent="0.15">
      <c r="A418" s="5">
        <v>415</v>
      </c>
      <c r="B418" s="6" t="str">
        <f>"304820210605171222101532"</f>
        <v>304820210605171222101532</v>
      </c>
      <c r="C418" s="6" t="s">
        <v>1885</v>
      </c>
      <c r="D418" s="6" t="str">
        <f>"韦力"</f>
        <v>韦力</v>
      </c>
      <c r="E418" s="6" t="str">
        <f t="shared" si="8"/>
        <v>女</v>
      </c>
      <c r="F418" s="7" t="s">
        <v>606</v>
      </c>
    </row>
    <row r="419" spans="1:6" ht="20.100000000000001" customHeight="1" x14ac:dyDescent="0.15">
      <c r="A419" s="5">
        <v>416</v>
      </c>
      <c r="B419" s="6" t="str">
        <f>"304820210605172328101564"</f>
        <v>304820210605172328101564</v>
      </c>
      <c r="C419" s="6" t="s">
        <v>1885</v>
      </c>
      <c r="D419" s="6" t="str">
        <f>"符丹凤"</f>
        <v>符丹凤</v>
      </c>
      <c r="E419" s="6" t="str">
        <f t="shared" si="8"/>
        <v>女</v>
      </c>
      <c r="F419" s="7" t="s">
        <v>364</v>
      </c>
    </row>
    <row r="420" spans="1:6" ht="20.100000000000001" customHeight="1" x14ac:dyDescent="0.15">
      <c r="A420" s="5">
        <v>417</v>
      </c>
      <c r="B420" s="6" t="str">
        <f>"304820210605174756101635"</f>
        <v>304820210605174756101635</v>
      </c>
      <c r="C420" s="6" t="s">
        <v>1885</v>
      </c>
      <c r="D420" s="6" t="str">
        <f>"杜晓莹"</f>
        <v>杜晓莹</v>
      </c>
      <c r="E420" s="6" t="str">
        <f t="shared" si="8"/>
        <v>女</v>
      </c>
      <c r="F420" s="7" t="s">
        <v>1975</v>
      </c>
    </row>
    <row r="421" spans="1:6" ht="20.100000000000001" customHeight="1" x14ac:dyDescent="0.15">
      <c r="A421" s="5">
        <v>418</v>
      </c>
      <c r="B421" s="6" t="str">
        <f>"304820210605175319101648"</f>
        <v>304820210605175319101648</v>
      </c>
      <c r="C421" s="6" t="s">
        <v>1885</v>
      </c>
      <c r="D421" s="6" t="str">
        <f>"高芳琳"</f>
        <v>高芳琳</v>
      </c>
      <c r="E421" s="6" t="str">
        <f t="shared" si="8"/>
        <v>女</v>
      </c>
      <c r="F421" s="7" t="s">
        <v>1976</v>
      </c>
    </row>
    <row r="422" spans="1:6" ht="20.100000000000001" customHeight="1" x14ac:dyDescent="0.15">
      <c r="A422" s="5">
        <v>419</v>
      </c>
      <c r="B422" s="6" t="str">
        <f>"304820210605175949101665"</f>
        <v>304820210605175949101665</v>
      </c>
      <c r="C422" s="6" t="s">
        <v>1885</v>
      </c>
      <c r="D422" s="6" t="str">
        <f>"蒙文燕"</f>
        <v>蒙文燕</v>
      </c>
      <c r="E422" s="6" t="str">
        <f t="shared" si="8"/>
        <v>女</v>
      </c>
      <c r="F422" s="7" t="s">
        <v>1977</v>
      </c>
    </row>
    <row r="423" spans="1:6" ht="20.100000000000001" customHeight="1" x14ac:dyDescent="0.15">
      <c r="A423" s="5">
        <v>420</v>
      </c>
      <c r="B423" s="6" t="str">
        <f>"304820210605183307101752"</f>
        <v>304820210605183307101752</v>
      </c>
      <c r="C423" s="6" t="s">
        <v>1885</v>
      </c>
      <c r="D423" s="6" t="str">
        <f>"黄婷婷"</f>
        <v>黄婷婷</v>
      </c>
      <c r="E423" s="6" t="str">
        <f t="shared" si="8"/>
        <v>女</v>
      </c>
      <c r="F423" s="7" t="s">
        <v>1239</v>
      </c>
    </row>
    <row r="424" spans="1:6" ht="20.100000000000001" customHeight="1" x14ac:dyDescent="0.15">
      <c r="A424" s="5">
        <v>421</v>
      </c>
      <c r="B424" s="6" t="str">
        <f>"304820210605193050101873"</f>
        <v>304820210605193050101873</v>
      </c>
      <c r="C424" s="6" t="s">
        <v>1885</v>
      </c>
      <c r="D424" s="6" t="str">
        <f>"吴柳铮"</f>
        <v>吴柳铮</v>
      </c>
      <c r="E424" s="6" t="str">
        <f t="shared" si="8"/>
        <v>女</v>
      </c>
      <c r="F424" s="7" t="s">
        <v>582</v>
      </c>
    </row>
    <row r="425" spans="1:6" ht="20.100000000000001" customHeight="1" x14ac:dyDescent="0.15">
      <c r="A425" s="5">
        <v>422</v>
      </c>
      <c r="B425" s="6" t="str">
        <f>"304820210605195855101946"</f>
        <v>304820210605195855101946</v>
      </c>
      <c r="C425" s="6" t="s">
        <v>1885</v>
      </c>
      <c r="D425" s="6" t="str">
        <f>"黄茹"</f>
        <v>黄茹</v>
      </c>
      <c r="E425" s="6" t="str">
        <f t="shared" si="8"/>
        <v>女</v>
      </c>
      <c r="F425" s="7" t="s">
        <v>250</v>
      </c>
    </row>
    <row r="426" spans="1:6" ht="20.100000000000001" customHeight="1" x14ac:dyDescent="0.15">
      <c r="A426" s="5">
        <v>423</v>
      </c>
      <c r="B426" s="6" t="str">
        <f>"304820210605201024101977"</f>
        <v>304820210605201024101977</v>
      </c>
      <c r="C426" s="6" t="s">
        <v>1885</v>
      </c>
      <c r="D426" s="6" t="str">
        <f>"谭纯妮"</f>
        <v>谭纯妮</v>
      </c>
      <c r="E426" s="6" t="str">
        <f t="shared" si="8"/>
        <v>女</v>
      </c>
      <c r="F426" s="7" t="s">
        <v>1220</v>
      </c>
    </row>
    <row r="427" spans="1:6" ht="20.100000000000001" customHeight="1" x14ac:dyDescent="0.15">
      <c r="A427" s="5">
        <v>424</v>
      </c>
      <c r="B427" s="6" t="str">
        <f>"304820210605203747102037"</f>
        <v>304820210605203747102037</v>
      </c>
      <c r="C427" s="6" t="s">
        <v>1885</v>
      </c>
      <c r="D427" s="6" t="str">
        <f>"王蕾"</f>
        <v>王蕾</v>
      </c>
      <c r="E427" s="6" t="str">
        <f t="shared" si="8"/>
        <v>女</v>
      </c>
      <c r="F427" s="7" t="s">
        <v>9</v>
      </c>
    </row>
    <row r="428" spans="1:6" ht="20.100000000000001" customHeight="1" x14ac:dyDescent="0.15">
      <c r="A428" s="5">
        <v>425</v>
      </c>
      <c r="B428" s="6" t="str">
        <f>"304820210605221405102321"</f>
        <v>304820210605221405102321</v>
      </c>
      <c r="C428" s="6" t="s">
        <v>1885</v>
      </c>
      <c r="D428" s="6" t="str">
        <f>"黄晓虹"</f>
        <v>黄晓虹</v>
      </c>
      <c r="E428" s="6" t="str">
        <f t="shared" si="8"/>
        <v>女</v>
      </c>
      <c r="F428" s="7" t="s">
        <v>965</v>
      </c>
    </row>
    <row r="429" spans="1:6" ht="20.100000000000001" customHeight="1" x14ac:dyDescent="0.15">
      <c r="A429" s="5">
        <v>426</v>
      </c>
      <c r="B429" s="6" t="str">
        <f>"304820210605222352102356"</f>
        <v>304820210605222352102356</v>
      </c>
      <c r="C429" s="6" t="s">
        <v>1885</v>
      </c>
      <c r="D429" s="6" t="str">
        <f>"曹德莲"</f>
        <v>曹德莲</v>
      </c>
      <c r="E429" s="6" t="str">
        <f t="shared" si="8"/>
        <v>女</v>
      </c>
      <c r="F429" s="7" t="s">
        <v>1978</v>
      </c>
    </row>
    <row r="430" spans="1:6" ht="20.100000000000001" customHeight="1" x14ac:dyDescent="0.15">
      <c r="A430" s="5">
        <v>427</v>
      </c>
      <c r="B430" s="6" t="str">
        <f>"304820210605222540102367"</f>
        <v>304820210605222540102367</v>
      </c>
      <c r="C430" s="6" t="s">
        <v>1885</v>
      </c>
      <c r="D430" s="6" t="str">
        <f>"冼慧敏"</f>
        <v>冼慧敏</v>
      </c>
      <c r="E430" s="6" t="str">
        <f t="shared" si="8"/>
        <v>女</v>
      </c>
      <c r="F430" s="7" t="s">
        <v>249</v>
      </c>
    </row>
    <row r="431" spans="1:6" ht="20.100000000000001" customHeight="1" x14ac:dyDescent="0.15">
      <c r="A431" s="5">
        <v>428</v>
      </c>
      <c r="B431" s="6" t="str">
        <f>"304820210605233005102512"</f>
        <v>304820210605233005102512</v>
      </c>
      <c r="C431" s="6" t="s">
        <v>1885</v>
      </c>
      <c r="D431" s="6" t="str">
        <f>"陈红荣"</f>
        <v>陈红荣</v>
      </c>
      <c r="E431" s="6" t="str">
        <f t="shared" si="8"/>
        <v>女</v>
      </c>
      <c r="F431" s="7" t="s">
        <v>1979</v>
      </c>
    </row>
    <row r="432" spans="1:6" ht="20.100000000000001" customHeight="1" x14ac:dyDescent="0.15">
      <c r="A432" s="5">
        <v>429</v>
      </c>
      <c r="B432" s="6" t="str">
        <f>"304820210606074709102686"</f>
        <v>304820210606074709102686</v>
      </c>
      <c r="C432" s="6" t="s">
        <v>1885</v>
      </c>
      <c r="D432" s="6" t="str">
        <f>"冯小翠"</f>
        <v>冯小翠</v>
      </c>
      <c r="E432" s="6" t="str">
        <f t="shared" si="8"/>
        <v>女</v>
      </c>
      <c r="F432" s="7" t="s">
        <v>32</v>
      </c>
    </row>
    <row r="433" spans="1:6" ht="20.100000000000001" customHeight="1" x14ac:dyDescent="0.15">
      <c r="A433" s="5">
        <v>430</v>
      </c>
      <c r="B433" s="6" t="str">
        <f>"304820210606085040102761"</f>
        <v>304820210606085040102761</v>
      </c>
      <c r="C433" s="6" t="s">
        <v>1885</v>
      </c>
      <c r="D433" s="6" t="str">
        <f>"陈文萃"</f>
        <v>陈文萃</v>
      </c>
      <c r="E433" s="6" t="str">
        <f t="shared" si="8"/>
        <v>女</v>
      </c>
      <c r="F433" s="7" t="s">
        <v>1142</v>
      </c>
    </row>
    <row r="434" spans="1:6" ht="20.100000000000001" customHeight="1" x14ac:dyDescent="0.15">
      <c r="A434" s="5">
        <v>431</v>
      </c>
      <c r="B434" s="6" t="str">
        <f>"304820210606091026102806"</f>
        <v>304820210606091026102806</v>
      </c>
      <c r="C434" s="6" t="s">
        <v>1885</v>
      </c>
      <c r="D434" s="6" t="str">
        <f>"曾倩倩"</f>
        <v>曾倩倩</v>
      </c>
      <c r="E434" s="6" t="str">
        <f t="shared" si="8"/>
        <v>女</v>
      </c>
      <c r="F434" s="7" t="s">
        <v>102</v>
      </c>
    </row>
    <row r="435" spans="1:6" ht="20.100000000000001" customHeight="1" x14ac:dyDescent="0.15">
      <c r="A435" s="5">
        <v>432</v>
      </c>
      <c r="B435" s="6" t="str">
        <f>"304820210606092728102840"</f>
        <v>304820210606092728102840</v>
      </c>
      <c r="C435" s="6" t="s">
        <v>1885</v>
      </c>
      <c r="D435" s="6" t="str">
        <f>"张文婕"</f>
        <v>张文婕</v>
      </c>
      <c r="E435" s="6" t="str">
        <f t="shared" si="8"/>
        <v>女</v>
      </c>
      <c r="F435" s="7" t="s">
        <v>1499</v>
      </c>
    </row>
    <row r="436" spans="1:6" ht="20.100000000000001" customHeight="1" x14ac:dyDescent="0.15">
      <c r="A436" s="5">
        <v>433</v>
      </c>
      <c r="B436" s="6" t="str">
        <f>"304820210606093049102846"</f>
        <v>304820210606093049102846</v>
      </c>
      <c r="C436" s="6" t="s">
        <v>1885</v>
      </c>
      <c r="D436" s="6" t="str">
        <f>"曾万英"</f>
        <v>曾万英</v>
      </c>
      <c r="E436" s="6" t="str">
        <f t="shared" si="8"/>
        <v>女</v>
      </c>
      <c r="F436" s="7" t="s">
        <v>519</v>
      </c>
    </row>
    <row r="437" spans="1:6" ht="20.100000000000001" customHeight="1" x14ac:dyDescent="0.15">
      <c r="A437" s="5">
        <v>434</v>
      </c>
      <c r="B437" s="6" t="str">
        <f>"304820210606095128102898"</f>
        <v>304820210606095128102898</v>
      </c>
      <c r="C437" s="6" t="s">
        <v>1885</v>
      </c>
      <c r="D437" s="6" t="str">
        <f>"莫佳华"</f>
        <v>莫佳华</v>
      </c>
      <c r="E437" s="6" t="str">
        <f t="shared" si="8"/>
        <v>女</v>
      </c>
      <c r="F437" s="7" t="s">
        <v>434</v>
      </c>
    </row>
    <row r="438" spans="1:6" ht="20.100000000000001" customHeight="1" x14ac:dyDescent="0.15">
      <c r="A438" s="5">
        <v>435</v>
      </c>
      <c r="B438" s="6" t="str">
        <f>"304820210606104416103064"</f>
        <v>304820210606104416103064</v>
      </c>
      <c r="C438" s="6" t="s">
        <v>1885</v>
      </c>
      <c r="D438" s="6" t="str">
        <f>"郑顺花"</f>
        <v>郑顺花</v>
      </c>
      <c r="E438" s="6" t="str">
        <f t="shared" si="8"/>
        <v>女</v>
      </c>
      <c r="F438" s="7" t="s">
        <v>1980</v>
      </c>
    </row>
    <row r="439" spans="1:6" ht="20.100000000000001" customHeight="1" x14ac:dyDescent="0.15">
      <c r="A439" s="5">
        <v>436</v>
      </c>
      <c r="B439" s="6" t="str">
        <f>"304820210606111925103174"</f>
        <v>304820210606111925103174</v>
      </c>
      <c r="C439" s="6" t="s">
        <v>1885</v>
      </c>
      <c r="D439" s="6" t="str">
        <f>"潘娜"</f>
        <v>潘娜</v>
      </c>
      <c r="E439" s="6" t="str">
        <f t="shared" si="8"/>
        <v>女</v>
      </c>
      <c r="F439" s="7" t="s">
        <v>1950</v>
      </c>
    </row>
    <row r="440" spans="1:6" ht="20.100000000000001" customHeight="1" x14ac:dyDescent="0.15">
      <c r="A440" s="5">
        <v>437</v>
      </c>
      <c r="B440" s="6" t="str">
        <f>"304820210606113529103223"</f>
        <v>304820210606113529103223</v>
      </c>
      <c r="C440" s="6" t="s">
        <v>1885</v>
      </c>
      <c r="D440" s="6" t="str">
        <f>"王诗怡"</f>
        <v>王诗怡</v>
      </c>
      <c r="E440" s="6" t="str">
        <f t="shared" si="8"/>
        <v>女</v>
      </c>
      <c r="F440" s="7" t="s">
        <v>100</v>
      </c>
    </row>
    <row r="441" spans="1:6" ht="20.100000000000001" customHeight="1" x14ac:dyDescent="0.15">
      <c r="A441" s="5">
        <v>438</v>
      </c>
      <c r="B441" s="6" t="str">
        <f>"304820210606123352103402"</f>
        <v>304820210606123352103402</v>
      </c>
      <c r="C441" s="6" t="s">
        <v>1885</v>
      </c>
      <c r="D441" s="6" t="str">
        <f>"郑媛媛"</f>
        <v>郑媛媛</v>
      </c>
      <c r="E441" s="6" t="str">
        <f t="shared" ref="E441:E466" si="9">"女"</f>
        <v>女</v>
      </c>
      <c r="F441" s="7" t="s">
        <v>582</v>
      </c>
    </row>
    <row r="442" spans="1:6" ht="20.100000000000001" customHeight="1" x14ac:dyDescent="0.15">
      <c r="A442" s="5">
        <v>439</v>
      </c>
      <c r="B442" s="6" t="str">
        <f>"304820210606135618103635"</f>
        <v>304820210606135618103635</v>
      </c>
      <c r="C442" s="6" t="s">
        <v>1885</v>
      </c>
      <c r="D442" s="6" t="str">
        <f>"张建萍"</f>
        <v>张建萍</v>
      </c>
      <c r="E442" s="6" t="str">
        <f t="shared" si="9"/>
        <v>女</v>
      </c>
      <c r="F442" s="7" t="s">
        <v>1633</v>
      </c>
    </row>
    <row r="443" spans="1:6" ht="20.100000000000001" customHeight="1" x14ac:dyDescent="0.15">
      <c r="A443" s="5">
        <v>440</v>
      </c>
      <c r="B443" s="6" t="str">
        <f>"304820210606141820103699"</f>
        <v>304820210606141820103699</v>
      </c>
      <c r="C443" s="6" t="s">
        <v>1885</v>
      </c>
      <c r="D443" s="6" t="str">
        <f>"吴环琴"</f>
        <v>吴环琴</v>
      </c>
      <c r="E443" s="6" t="str">
        <f t="shared" si="9"/>
        <v>女</v>
      </c>
      <c r="F443" s="7" t="s">
        <v>1981</v>
      </c>
    </row>
    <row r="444" spans="1:6" ht="20.100000000000001" customHeight="1" x14ac:dyDescent="0.15">
      <c r="A444" s="5">
        <v>441</v>
      </c>
      <c r="B444" s="6" t="str">
        <f>"304820210606152422103850"</f>
        <v>304820210606152422103850</v>
      </c>
      <c r="C444" s="6" t="s">
        <v>1885</v>
      </c>
      <c r="D444" s="6" t="str">
        <f>"赵联馨"</f>
        <v>赵联馨</v>
      </c>
      <c r="E444" s="6" t="str">
        <f t="shared" si="9"/>
        <v>女</v>
      </c>
      <c r="F444" s="7" t="s">
        <v>1228</v>
      </c>
    </row>
    <row r="445" spans="1:6" ht="20.100000000000001" customHeight="1" x14ac:dyDescent="0.15">
      <c r="A445" s="5">
        <v>442</v>
      </c>
      <c r="B445" s="6" t="str">
        <f>"304820210606152756103870"</f>
        <v>304820210606152756103870</v>
      </c>
      <c r="C445" s="6" t="s">
        <v>1885</v>
      </c>
      <c r="D445" s="6" t="str">
        <f>"吴李莲"</f>
        <v>吴李莲</v>
      </c>
      <c r="E445" s="6" t="str">
        <f t="shared" si="9"/>
        <v>女</v>
      </c>
      <c r="F445" s="7" t="s">
        <v>625</v>
      </c>
    </row>
    <row r="446" spans="1:6" ht="20.100000000000001" customHeight="1" x14ac:dyDescent="0.15">
      <c r="A446" s="5">
        <v>443</v>
      </c>
      <c r="B446" s="6" t="str">
        <f>"304820210606153911103905"</f>
        <v>304820210606153911103905</v>
      </c>
      <c r="C446" s="6" t="s">
        <v>1885</v>
      </c>
      <c r="D446" s="6" t="str">
        <f>"曾丽霖"</f>
        <v>曾丽霖</v>
      </c>
      <c r="E446" s="6" t="str">
        <f t="shared" si="9"/>
        <v>女</v>
      </c>
      <c r="F446" s="7" t="s">
        <v>160</v>
      </c>
    </row>
    <row r="447" spans="1:6" ht="20.100000000000001" customHeight="1" x14ac:dyDescent="0.15">
      <c r="A447" s="5">
        <v>444</v>
      </c>
      <c r="B447" s="6" t="str">
        <f>"304820210606162012104039"</f>
        <v>304820210606162012104039</v>
      </c>
      <c r="C447" s="6" t="s">
        <v>1885</v>
      </c>
      <c r="D447" s="6" t="str">
        <f>"邓永馨"</f>
        <v>邓永馨</v>
      </c>
      <c r="E447" s="6" t="str">
        <f t="shared" si="9"/>
        <v>女</v>
      </c>
      <c r="F447" s="7" t="s">
        <v>782</v>
      </c>
    </row>
    <row r="448" spans="1:6" ht="20.100000000000001" customHeight="1" x14ac:dyDescent="0.15">
      <c r="A448" s="5">
        <v>445</v>
      </c>
      <c r="B448" s="6" t="str">
        <f>"304820210606163126104075"</f>
        <v>304820210606163126104075</v>
      </c>
      <c r="C448" s="6" t="s">
        <v>1885</v>
      </c>
      <c r="D448" s="6" t="str">
        <f>"蔡美彩"</f>
        <v>蔡美彩</v>
      </c>
      <c r="E448" s="6" t="str">
        <f t="shared" si="9"/>
        <v>女</v>
      </c>
      <c r="F448" s="7" t="s">
        <v>282</v>
      </c>
    </row>
    <row r="449" spans="1:6" ht="20.100000000000001" customHeight="1" x14ac:dyDescent="0.15">
      <c r="A449" s="5">
        <v>446</v>
      </c>
      <c r="B449" s="6" t="str">
        <f>"304820210606174722104350"</f>
        <v>304820210606174722104350</v>
      </c>
      <c r="C449" s="6" t="s">
        <v>1885</v>
      </c>
      <c r="D449" s="6" t="str">
        <f>"林道君"</f>
        <v>林道君</v>
      </c>
      <c r="E449" s="6" t="str">
        <f t="shared" si="9"/>
        <v>女</v>
      </c>
      <c r="F449" s="7" t="s">
        <v>1982</v>
      </c>
    </row>
    <row r="450" spans="1:6" ht="20.100000000000001" customHeight="1" x14ac:dyDescent="0.15">
      <c r="A450" s="5">
        <v>447</v>
      </c>
      <c r="B450" s="6" t="str">
        <f>"304820210606182214104426"</f>
        <v>304820210606182214104426</v>
      </c>
      <c r="C450" s="6" t="s">
        <v>1885</v>
      </c>
      <c r="D450" s="6" t="str">
        <f>"王雪连"</f>
        <v>王雪连</v>
      </c>
      <c r="E450" s="6" t="str">
        <f t="shared" si="9"/>
        <v>女</v>
      </c>
      <c r="F450" s="7" t="s">
        <v>499</v>
      </c>
    </row>
    <row r="451" spans="1:6" ht="20.100000000000001" customHeight="1" x14ac:dyDescent="0.15">
      <c r="A451" s="5">
        <v>448</v>
      </c>
      <c r="B451" s="6" t="str">
        <f>"304820210606183528104447"</f>
        <v>304820210606183528104447</v>
      </c>
      <c r="C451" s="6" t="s">
        <v>1885</v>
      </c>
      <c r="D451" s="6" t="str">
        <f>"邝琼容"</f>
        <v>邝琼容</v>
      </c>
      <c r="E451" s="6" t="str">
        <f t="shared" si="9"/>
        <v>女</v>
      </c>
      <c r="F451" s="7" t="s">
        <v>1561</v>
      </c>
    </row>
    <row r="452" spans="1:6" ht="20.100000000000001" customHeight="1" x14ac:dyDescent="0.15">
      <c r="A452" s="5">
        <v>449</v>
      </c>
      <c r="B452" s="6" t="str">
        <f>"304820210606195033104570"</f>
        <v>304820210606195033104570</v>
      </c>
      <c r="C452" s="6" t="s">
        <v>1885</v>
      </c>
      <c r="D452" s="6" t="str">
        <f>"洪雪花"</f>
        <v>洪雪花</v>
      </c>
      <c r="E452" s="6" t="str">
        <f t="shared" si="9"/>
        <v>女</v>
      </c>
      <c r="F452" s="7" t="s">
        <v>1096</v>
      </c>
    </row>
    <row r="453" spans="1:6" ht="20.100000000000001" customHeight="1" x14ac:dyDescent="0.15">
      <c r="A453" s="5">
        <v>450</v>
      </c>
      <c r="B453" s="6" t="str">
        <f>"304820210606195830104580"</f>
        <v>304820210606195830104580</v>
      </c>
      <c r="C453" s="6" t="s">
        <v>1885</v>
      </c>
      <c r="D453" s="6" t="str">
        <f>"陈仪华"</f>
        <v>陈仪华</v>
      </c>
      <c r="E453" s="6" t="str">
        <f t="shared" si="9"/>
        <v>女</v>
      </c>
      <c r="F453" s="7" t="s">
        <v>1983</v>
      </c>
    </row>
    <row r="454" spans="1:6" ht="20.100000000000001" customHeight="1" x14ac:dyDescent="0.15">
      <c r="A454" s="5">
        <v>451</v>
      </c>
      <c r="B454" s="6" t="str">
        <f>"304820210606200014104584"</f>
        <v>304820210606200014104584</v>
      </c>
      <c r="C454" s="6" t="s">
        <v>1885</v>
      </c>
      <c r="D454" s="6" t="str">
        <f>"赖敏敏"</f>
        <v>赖敏敏</v>
      </c>
      <c r="E454" s="6" t="str">
        <f t="shared" si="9"/>
        <v>女</v>
      </c>
      <c r="F454" s="7" t="s">
        <v>100</v>
      </c>
    </row>
    <row r="455" spans="1:6" ht="20.100000000000001" customHeight="1" x14ac:dyDescent="0.15">
      <c r="A455" s="5">
        <v>452</v>
      </c>
      <c r="B455" s="6" t="str">
        <f>"304820210606210235104740"</f>
        <v>304820210606210235104740</v>
      </c>
      <c r="C455" s="6" t="s">
        <v>1885</v>
      </c>
      <c r="D455" s="6" t="str">
        <f>"陈俊璇"</f>
        <v>陈俊璇</v>
      </c>
      <c r="E455" s="6" t="str">
        <f t="shared" si="9"/>
        <v>女</v>
      </c>
      <c r="F455" s="7" t="s">
        <v>788</v>
      </c>
    </row>
    <row r="456" spans="1:6" ht="20.100000000000001" customHeight="1" x14ac:dyDescent="0.15">
      <c r="A456" s="5">
        <v>453</v>
      </c>
      <c r="B456" s="6" t="str">
        <f>"304820210606211840104780"</f>
        <v>304820210606211840104780</v>
      </c>
      <c r="C456" s="6" t="s">
        <v>1885</v>
      </c>
      <c r="D456" s="6" t="str">
        <f>"罗玉"</f>
        <v>罗玉</v>
      </c>
      <c r="E456" s="6" t="str">
        <f t="shared" si="9"/>
        <v>女</v>
      </c>
      <c r="F456" s="7" t="s">
        <v>1984</v>
      </c>
    </row>
    <row r="457" spans="1:6" ht="20.100000000000001" customHeight="1" x14ac:dyDescent="0.15">
      <c r="A457" s="5">
        <v>454</v>
      </c>
      <c r="B457" s="6" t="str">
        <f>"304820210606213350104828"</f>
        <v>304820210606213350104828</v>
      </c>
      <c r="C457" s="6" t="s">
        <v>1885</v>
      </c>
      <c r="D457" s="6" t="str">
        <f>"迟嘉"</f>
        <v>迟嘉</v>
      </c>
      <c r="E457" s="6" t="str">
        <f t="shared" si="9"/>
        <v>女</v>
      </c>
      <c r="F457" s="7" t="s">
        <v>123</v>
      </c>
    </row>
    <row r="458" spans="1:6" ht="20.100000000000001" customHeight="1" x14ac:dyDescent="0.15">
      <c r="A458" s="5">
        <v>455</v>
      </c>
      <c r="B458" s="6" t="str">
        <f>"304820210606215042104869"</f>
        <v>304820210606215042104869</v>
      </c>
      <c r="C458" s="6" t="s">
        <v>1885</v>
      </c>
      <c r="D458" s="6" t="str">
        <f>"张琳琳"</f>
        <v>张琳琳</v>
      </c>
      <c r="E458" s="6" t="str">
        <f t="shared" si="9"/>
        <v>女</v>
      </c>
      <c r="F458" s="7" t="s">
        <v>1523</v>
      </c>
    </row>
    <row r="459" spans="1:6" ht="20.100000000000001" customHeight="1" x14ac:dyDescent="0.15">
      <c r="A459" s="5">
        <v>456</v>
      </c>
      <c r="B459" s="6" t="str">
        <f>"304820210606215707104891"</f>
        <v>304820210606215707104891</v>
      </c>
      <c r="C459" s="6" t="s">
        <v>1885</v>
      </c>
      <c r="D459" s="6" t="str">
        <f>"哈聪晓"</f>
        <v>哈聪晓</v>
      </c>
      <c r="E459" s="6" t="str">
        <f t="shared" si="9"/>
        <v>女</v>
      </c>
      <c r="F459" s="7" t="s">
        <v>1985</v>
      </c>
    </row>
    <row r="460" spans="1:6" ht="20.100000000000001" customHeight="1" x14ac:dyDescent="0.15">
      <c r="A460" s="5">
        <v>457</v>
      </c>
      <c r="B460" s="6" t="str">
        <f>"304820210606215934104898"</f>
        <v>304820210606215934104898</v>
      </c>
      <c r="C460" s="6" t="s">
        <v>1885</v>
      </c>
      <c r="D460" s="6" t="str">
        <f>"吴雪蓉"</f>
        <v>吴雪蓉</v>
      </c>
      <c r="E460" s="6" t="str">
        <f t="shared" si="9"/>
        <v>女</v>
      </c>
      <c r="F460" s="7" t="s">
        <v>91</v>
      </c>
    </row>
    <row r="461" spans="1:6" ht="20.100000000000001" customHeight="1" x14ac:dyDescent="0.15">
      <c r="A461" s="5">
        <v>458</v>
      </c>
      <c r="B461" s="6" t="str">
        <f>"304820210606220638104920"</f>
        <v>304820210606220638104920</v>
      </c>
      <c r="C461" s="6" t="s">
        <v>1885</v>
      </c>
      <c r="D461" s="6" t="str">
        <f>"夏雪婷"</f>
        <v>夏雪婷</v>
      </c>
      <c r="E461" s="6" t="str">
        <f t="shared" si="9"/>
        <v>女</v>
      </c>
      <c r="F461" s="7" t="s">
        <v>1986</v>
      </c>
    </row>
    <row r="462" spans="1:6" ht="20.100000000000001" customHeight="1" x14ac:dyDescent="0.15">
      <c r="A462" s="5">
        <v>459</v>
      </c>
      <c r="B462" s="6" t="str">
        <f>"304820210606221022104934"</f>
        <v>304820210606221022104934</v>
      </c>
      <c r="C462" s="6" t="s">
        <v>1885</v>
      </c>
      <c r="D462" s="6" t="str">
        <f>"黄雯婷"</f>
        <v>黄雯婷</v>
      </c>
      <c r="E462" s="6" t="str">
        <f t="shared" si="9"/>
        <v>女</v>
      </c>
      <c r="F462" s="7" t="s">
        <v>313</v>
      </c>
    </row>
    <row r="463" spans="1:6" ht="20.100000000000001" customHeight="1" x14ac:dyDescent="0.15">
      <c r="A463" s="5">
        <v>460</v>
      </c>
      <c r="B463" s="6" t="str">
        <f>"304820210606224454105037"</f>
        <v>304820210606224454105037</v>
      </c>
      <c r="C463" s="6" t="s">
        <v>1885</v>
      </c>
      <c r="D463" s="6" t="str">
        <f>"邢倩"</f>
        <v>邢倩</v>
      </c>
      <c r="E463" s="6" t="str">
        <f t="shared" si="9"/>
        <v>女</v>
      </c>
      <c r="F463" s="7" t="s">
        <v>61</v>
      </c>
    </row>
    <row r="464" spans="1:6" ht="20.100000000000001" customHeight="1" x14ac:dyDescent="0.15">
      <c r="A464" s="5">
        <v>461</v>
      </c>
      <c r="B464" s="6" t="str">
        <f>"304820210606230702105101"</f>
        <v>304820210606230702105101</v>
      </c>
      <c r="C464" s="6" t="s">
        <v>1885</v>
      </c>
      <c r="D464" s="6" t="str">
        <f>"梁其益"</f>
        <v>梁其益</v>
      </c>
      <c r="E464" s="6" t="str">
        <f t="shared" si="9"/>
        <v>女</v>
      </c>
      <c r="F464" s="7" t="s">
        <v>1814</v>
      </c>
    </row>
    <row r="465" spans="1:6" ht="20.100000000000001" customHeight="1" x14ac:dyDescent="0.15">
      <c r="A465" s="5">
        <v>462</v>
      </c>
      <c r="B465" s="6" t="str">
        <f>"304820210606231352105121"</f>
        <v>304820210606231352105121</v>
      </c>
      <c r="C465" s="6" t="s">
        <v>1885</v>
      </c>
      <c r="D465" s="6" t="str">
        <f>"何那女"</f>
        <v>何那女</v>
      </c>
      <c r="E465" s="6" t="str">
        <f t="shared" si="9"/>
        <v>女</v>
      </c>
      <c r="F465" s="7" t="s">
        <v>1987</v>
      </c>
    </row>
    <row r="466" spans="1:6" ht="20.100000000000001" customHeight="1" x14ac:dyDescent="0.15">
      <c r="A466" s="5">
        <v>463</v>
      </c>
      <c r="B466" s="6" t="str">
        <f>"304820210606231651105133"</f>
        <v>304820210606231651105133</v>
      </c>
      <c r="C466" s="6" t="s">
        <v>1885</v>
      </c>
      <c r="D466" s="6" t="str">
        <f>"苏紫菲"</f>
        <v>苏紫菲</v>
      </c>
      <c r="E466" s="6" t="str">
        <f t="shared" si="9"/>
        <v>女</v>
      </c>
      <c r="F466" s="7" t="s">
        <v>1988</v>
      </c>
    </row>
    <row r="467" spans="1:6" ht="20.100000000000001" customHeight="1" x14ac:dyDescent="0.15">
      <c r="A467" s="5">
        <v>464</v>
      </c>
      <c r="B467" s="6" t="str">
        <f>"304820210607001957105244"</f>
        <v>304820210607001957105244</v>
      </c>
      <c r="C467" s="6" t="s">
        <v>1885</v>
      </c>
      <c r="D467" s="6" t="str">
        <f>"王萃逢"</f>
        <v>王萃逢</v>
      </c>
      <c r="E467" s="6" t="str">
        <f>"男"</f>
        <v>男</v>
      </c>
      <c r="F467" s="7" t="s">
        <v>1989</v>
      </c>
    </row>
    <row r="468" spans="1:6" ht="20.100000000000001" customHeight="1" x14ac:dyDescent="0.15">
      <c r="A468" s="5">
        <v>465</v>
      </c>
      <c r="B468" s="6" t="str">
        <f>"304820210607004730105292"</f>
        <v>304820210607004730105292</v>
      </c>
      <c r="C468" s="6" t="s">
        <v>1885</v>
      </c>
      <c r="D468" s="6" t="str">
        <f>"陈莹"</f>
        <v>陈莹</v>
      </c>
      <c r="E468" s="6" t="str">
        <f t="shared" ref="E468:E486" si="10">"女"</f>
        <v>女</v>
      </c>
      <c r="F468" s="7" t="s">
        <v>131</v>
      </c>
    </row>
    <row r="469" spans="1:6" ht="20.100000000000001" customHeight="1" x14ac:dyDescent="0.15">
      <c r="A469" s="5">
        <v>466</v>
      </c>
      <c r="B469" s="6" t="str">
        <f>"304820210607012522105320"</f>
        <v>304820210607012522105320</v>
      </c>
      <c r="C469" s="6" t="s">
        <v>1885</v>
      </c>
      <c r="D469" s="6" t="str">
        <f>"林丽"</f>
        <v>林丽</v>
      </c>
      <c r="E469" s="6" t="str">
        <f t="shared" si="10"/>
        <v>女</v>
      </c>
      <c r="F469" s="7" t="s">
        <v>1990</v>
      </c>
    </row>
    <row r="470" spans="1:6" ht="20.100000000000001" customHeight="1" x14ac:dyDescent="0.15">
      <c r="A470" s="5">
        <v>467</v>
      </c>
      <c r="B470" s="6" t="str">
        <f>"304820210607081314105391"</f>
        <v>304820210607081314105391</v>
      </c>
      <c r="C470" s="6" t="s">
        <v>1885</v>
      </c>
      <c r="D470" s="6" t="str">
        <f>"黄丽娇"</f>
        <v>黄丽娇</v>
      </c>
      <c r="E470" s="6" t="str">
        <f t="shared" si="10"/>
        <v>女</v>
      </c>
      <c r="F470" s="7" t="s">
        <v>1508</v>
      </c>
    </row>
    <row r="471" spans="1:6" ht="20.100000000000001" customHeight="1" x14ac:dyDescent="0.15">
      <c r="A471" s="5">
        <v>468</v>
      </c>
      <c r="B471" s="6" t="str">
        <f>"304820210607082020105404"</f>
        <v>304820210607082020105404</v>
      </c>
      <c r="C471" s="6" t="s">
        <v>1885</v>
      </c>
      <c r="D471" s="6" t="str">
        <f>"王依芸"</f>
        <v>王依芸</v>
      </c>
      <c r="E471" s="6" t="str">
        <f t="shared" si="10"/>
        <v>女</v>
      </c>
      <c r="F471" s="7" t="s">
        <v>31</v>
      </c>
    </row>
    <row r="472" spans="1:6" ht="20.100000000000001" customHeight="1" x14ac:dyDescent="0.15">
      <c r="A472" s="5">
        <v>469</v>
      </c>
      <c r="B472" s="6" t="str">
        <f>"304820210607082730105416"</f>
        <v>304820210607082730105416</v>
      </c>
      <c r="C472" s="6" t="s">
        <v>1885</v>
      </c>
      <c r="D472" s="6" t="str">
        <f>"冯丽朱"</f>
        <v>冯丽朱</v>
      </c>
      <c r="E472" s="6" t="str">
        <f t="shared" si="10"/>
        <v>女</v>
      </c>
      <c r="F472" s="7" t="s">
        <v>205</v>
      </c>
    </row>
    <row r="473" spans="1:6" ht="20.100000000000001" customHeight="1" x14ac:dyDescent="0.15">
      <c r="A473" s="5">
        <v>470</v>
      </c>
      <c r="B473" s="6" t="str">
        <f>"304820210607083730105440"</f>
        <v>304820210607083730105440</v>
      </c>
      <c r="C473" s="6" t="s">
        <v>1885</v>
      </c>
      <c r="D473" s="6" t="str">
        <f>"王英秀"</f>
        <v>王英秀</v>
      </c>
      <c r="E473" s="6" t="str">
        <f t="shared" si="10"/>
        <v>女</v>
      </c>
      <c r="F473" s="7" t="s">
        <v>1991</v>
      </c>
    </row>
    <row r="474" spans="1:6" ht="20.100000000000001" customHeight="1" x14ac:dyDescent="0.15">
      <c r="A474" s="5">
        <v>471</v>
      </c>
      <c r="B474" s="6" t="str">
        <f>"304820210607083952105444"</f>
        <v>304820210607083952105444</v>
      </c>
      <c r="C474" s="6" t="s">
        <v>1885</v>
      </c>
      <c r="D474" s="6" t="str">
        <f>"曾雪敏"</f>
        <v>曾雪敏</v>
      </c>
      <c r="E474" s="6" t="str">
        <f t="shared" si="10"/>
        <v>女</v>
      </c>
      <c r="F474" s="7" t="s">
        <v>243</v>
      </c>
    </row>
    <row r="475" spans="1:6" ht="20.100000000000001" customHeight="1" x14ac:dyDescent="0.15">
      <c r="A475" s="5">
        <v>472</v>
      </c>
      <c r="B475" s="6" t="str">
        <f>"304820210607084345105456"</f>
        <v>304820210607084345105456</v>
      </c>
      <c r="C475" s="6" t="s">
        <v>1885</v>
      </c>
      <c r="D475" s="6" t="str">
        <f>"张小燕"</f>
        <v>张小燕</v>
      </c>
      <c r="E475" s="6" t="str">
        <f t="shared" si="10"/>
        <v>女</v>
      </c>
      <c r="F475" s="7" t="s">
        <v>456</v>
      </c>
    </row>
    <row r="476" spans="1:6" ht="20.100000000000001" customHeight="1" x14ac:dyDescent="0.15">
      <c r="A476" s="5">
        <v>473</v>
      </c>
      <c r="B476" s="6" t="str">
        <f>"304820210607085447105472"</f>
        <v>304820210607085447105472</v>
      </c>
      <c r="C476" s="6" t="s">
        <v>1885</v>
      </c>
      <c r="D476" s="6" t="str">
        <f>"陈丽萍"</f>
        <v>陈丽萍</v>
      </c>
      <c r="E476" s="6" t="str">
        <f t="shared" si="10"/>
        <v>女</v>
      </c>
      <c r="F476" s="7" t="s">
        <v>1992</v>
      </c>
    </row>
    <row r="477" spans="1:6" ht="20.100000000000001" customHeight="1" x14ac:dyDescent="0.15">
      <c r="A477" s="5">
        <v>474</v>
      </c>
      <c r="B477" s="6" t="str">
        <f>"304820210607085504105475"</f>
        <v>304820210607085504105475</v>
      </c>
      <c r="C477" s="6" t="s">
        <v>1885</v>
      </c>
      <c r="D477" s="6" t="str">
        <f>"吴文得"</f>
        <v>吴文得</v>
      </c>
      <c r="E477" s="6" t="str">
        <f t="shared" si="10"/>
        <v>女</v>
      </c>
      <c r="F477" s="7" t="s">
        <v>1766</v>
      </c>
    </row>
    <row r="478" spans="1:6" ht="20.100000000000001" customHeight="1" x14ac:dyDescent="0.15">
      <c r="A478" s="5">
        <v>475</v>
      </c>
      <c r="B478" s="6" t="str">
        <f>"304820210607090704105567"</f>
        <v>304820210607090704105567</v>
      </c>
      <c r="C478" s="6" t="s">
        <v>1885</v>
      </c>
      <c r="D478" s="6" t="str">
        <f>"何玉艾"</f>
        <v>何玉艾</v>
      </c>
      <c r="E478" s="6" t="str">
        <f t="shared" si="10"/>
        <v>女</v>
      </c>
      <c r="F478" s="7" t="s">
        <v>1993</v>
      </c>
    </row>
    <row r="479" spans="1:6" ht="20.100000000000001" customHeight="1" x14ac:dyDescent="0.15">
      <c r="A479" s="5">
        <v>476</v>
      </c>
      <c r="B479" s="6" t="str">
        <f>"304820210607094251105779"</f>
        <v>304820210607094251105779</v>
      </c>
      <c r="C479" s="6" t="s">
        <v>1885</v>
      </c>
      <c r="D479" s="6" t="str">
        <f>"王燕英"</f>
        <v>王燕英</v>
      </c>
      <c r="E479" s="6" t="str">
        <f t="shared" si="10"/>
        <v>女</v>
      </c>
      <c r="F479" s="7" t="s">
        <v>1994</v>
      </c>
    </row>
    <row r="480" spans="1:6" ht="20.100000000000001" customHeight="1" x14ac:dyDescent="0.15">
      <c r="A480" s="5">
        <v>477</v>
      </c>
      <c r="B480" s="6" t="str">
        <f>"304820210607094733105814"</f>
        <v>304820210607094733105814</v>
      </c>
      <c r="C480" s="6" t="s">
        <v>1885</v>
      </c>
      <c r="D480" s="6" t="str">
        <f>"何桂芬"</f>
        <v>何桂芬</v>
      </c>
      <c r="E480" s="6" t="str">
        <f t="shared" si="10"/>
        <v>女</v>
      </c>
      <c r="F480" s="7" t="s">
        <v>1995</v>
      </c>
    </row>
    <row r="481" spans="1:6" ht="20.100000000000001" customHeight="1" x14ac:dyDescent="0.15">
      <c r="A481" s="5">
        <v>478</v>
      </c>
      <c r="B481" s="6" t="str">
        <f>"304820210607095350105846"</f>
        <v>304820210607095350105846</v>
      </c>
      <c r="C481" s="6" t="s">
        <v>1885</v>
      </c>
      <c r="D481" s="6" t="str">
        <f>"黄丹"</f>
        <v>黄丹</v>
      </c>
      <c r="E481" s="6" t="str">
        <f t="shared" si="10"/>
        <v>女</v>
      </c>
      <c r="F481" s="7" t="s">
        <v>1273</v>
      </c>
    </row>
    <row r="482" spans="1:6" ht="20.100000000000001" customHeight="1" x14ac:dyDescent="0.15">
      <c r="A482" s="5">
        <v>479</v>
      </c>
      <c r="B482" s="6" t="str">
        <f>"304820210607101140105962"</f>
        <v>304820210607101140105962</v>
      </c>
      <c r="C482" s="6" t="s">
        <v>1885</v>
      </c>
      <c r="D482" s="6" t="str">
        <f>"蔡金桂"</f>
        <v>蔡金桂</v>
      </c>
      <c r="E482" s="6" t="str">
        <f t="shared" si="10"/>
        <v>女</v>
      </c>
      <c r="F482" s="7" t="s">
        <v>43</v>
      </c>
    </row>
    <row r="483" spans="1:6" ht="20.100000000000001" customHeight="1" x14ac:dyDescent="0.15">
      <c r="A483" s="5">
        <v>480</v>
      </c>
      <c r="B483" s="6" t="str">
        <f>"304820210607101353105976"</f>
        <v>304820210607101353105976</v>
      </c>
      <c r="C483" s="6" t="s">
        <v>1885</v>
      </c>
      <c r="D483" s="6" t="str">
        <f>"陈艳"</f>
        <v>陈艳</v>
      </c>
      <c r="E483" s="6" t="str">
        <f t="shared" si="10"/>
        <v>女</v>
      </c>
      <c r="F483" s="7" t="s">
        <v>1099</v>
      </c>
    </row>
    <row r="484" spans="1:6" ht="20.100000000000001" customHeight="1" x14ac:dyDescent="0.15">
      <c r="A484" s="5">
        <v>481</v>
      </c>
      <c r="B484" s="6" t="str">
        <f>"304820210607102850106071"</f>
        <v>304820210607102850106071</v>
      </c>
      <c r="C484" s="6" t="s">
        <v>1885</v>
      </c>
      <c r="D484" s="6" t="str">
        <f>"吴玉霞"</f>
        <v>吴玉霞</v>
      </c>
      <c r="E484" s="6" t="str">
        <f t="shared" si="10"/>
        <v>女</v>
      </c>
      <c r="F484" s="7" t="s">
        <v>302</v>
      </c>
    </row>
    <row r="485" spans="1:6" ht="20.100000000000001" customHeight="1" x14ac:dyDescent="0.15">
      <c r="A485" s="5">
        <v>482</v>
      </c>
      <c r="B485" s="6" t="str">
        <f>"304820210607110623106273"</f>
        <v>304820210607110623106273</v>
      </c>
      <c r="C485" s="6" t="s">
        <v>1885</v>
      </c>
      <c r="D485" s="6" t="str">
        <f>"林小菊"</f>
        <v>林小菊</v>
      </c>
      <c r="E485" s="6" t="str">
        <f t="shared" si="10"/>
        <v>女</v>
      </c>
      <c r="F485" s="7" t="s">
        <v>790</v>
      </c>
    </row>
    <row r="486" spans="1:6" ht="20.100000000000001" customHeight="1" x14ac:dyDescent="0.15">
      <c r="A486" s="5">
        <v>483</v>
      </c>
      <c r="B486" s="6" t="str">
        <f>"304820210607114138106449"</f>
        <v>304820210607114138106449</v>
      </c>
      <c r="C486" s="6" t="s">
        <v>1885</v>
      </c>
      <c r="D486" s="6" t="str">
        <f>"陈淑娟"</f>
        <v>陈淑娟</v>
      </c>
      <c r="E486" s="6" t="str">
        <f t="shared" si="10"/>
        <v>女</v>
      </c>
      <c r="F486" s="7" t="s">
        <v>43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5" style="1" customWidth="1"/>
    <col min="2" max="2" width="24.625" style="1" customWidth="1"/>
    <col min="3" max="3" width="15.5" style="1" customWidth="1"/>
    <col min="4" max="4" width="10.875" style="1" customWidth="1"/>
    <col min="5" max="5" width="7.875" style="1" customWidth="1"/>
    <col min="6" max="6" width="17.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"30482021060114031763470"</f>
        <v>30482021060114031763470</v>
      </c>
      <c r="C4" s="6" t="s">
        <v>1996</v>
      </c>
      <c r="D4" s="6" t="str">
        <f>"李娟"</f>
        <v>李娟</v>
      </c>
      <c r="E4" s="6" t="str">
        <f t="shared" ref="E4:E12" si="0">"女"</f>
        <v>女</v>
      </c>
      <c r="F4" s="7" t="s">
        <v>570</v>
      </c>
    </row>
    <row r="5" spans="1:6" ht="20.100000000000001" customHeight="1" x14ac:dyDescent="0.15">
      <c r="A5" s="5">
        <v>2</v>
      </c>
      <c r="B5" s="6" t="str">
        <f>"30482021060114184663630"</f>
        <v>30482021060114184663630</v>
      </c>
      <c r="C5" s="6" t="s">
        <v>1996</v>
      </c>
      <c r="D5" s="6" t="str">
        <f>"陈朝夏"</f>
        <v>陈朝夏</v>
      </c>
      <c r="E5" s="6" t="str">
        <f t="shared" si="0"/>
        <v>女</v>
      </c>
      <c r="F5" s="7" t="s">
        <v>891</v>
      </c>
    </row>
    <row r="6" spans="1:6" ht="20.100000000000001" customHeight="1" x14ac:dyDescent="0.15">
      <c r="A6" s="5">
        <v>3</v>
      </c>
      <c r="B6" s="6" t="str">
        <f>"30482021060114334563791"</f>
        <v>30482021060114334563791</v>
      </c>
      <c r="C6" s="6" t="s">
        <v>1996</v>
      </c>
      <c r="D6" s="6" t="str">
        <f>"严方来"</f>
        <v>严方来</v>
      </c>
      <c r="E6" s="6" t="str">
        <f t="shared" si="0"/>
        <v>女</v>
      </c>
      <c r="F6" s="7" t="s">
        <v>1390</v>
      </c>
    </row>
    <row r="7" spans="1:6" ht="20.100000000000001" customHeight="1" x14ac:dyDescent="0.15">
      <c r="A7" s="5">
        <v>4</v>
      </c>
      <c r="B7" s="6" t="str">
        <f>"30482021060114442963922"</f>
        <v>30482021060114442963922</v>
      </c>
      <c r="C7" s="6" t="s">
        <v>1996</v>
      </c>
      <c r="D7" s="6" t="str">
        <f>"陆桂女"</f>
        <v>陆桂女</v>
      </c>
      <c r="E7" s="6" t="str">
        <f t="shared" si="0"/>
        <v>女</v>
      </c>
      <c r="F7" s="7" t="s">
        <v>1997</v>
      </c>
    </row>
    <row r="8" spans="1:6" ht="20.100000000000001" customHeight="1" x14ac:dyDescent="0.15">
      <c r="A8" s="5">
        <v>5</v>
      </c>
      <c r="B8" s="6" t="str">
        <f>"30482021060114451463929"</f>
        <v>30482021060114451463929</v>
      </c>
      <c r="C8" s="6" t="s">
        <v>1996</v>
      </c>
      <c r="D8" s="6" t="str">
        <f>"颜丹丹"</f>
        <v>颜丹丹</v>
      </c>
      <c r="E8" s="6" t="str">
        <f t="shared" si="0"/>
        <v>女</v>
      </c>
      <c r="F8" s="7" t="s">
        <v>689</v>
      </c>
    </row>
    <row r="9" spans="1:6" ht="20.100000000000001" customHeight="1" x14ac:dyDescent="0.15">
      <c r="A9" s="5">
        <v>6</v>
      </c>
      <c r="B9" s="6" t="str">
        <f>"30482021060115125864309"</f>
        <v>30482021060115125864309</v>
      </c>
      <c r="C9" s="6" t="s">
        <v>1996</v>
      </c>
      <c r="D9" s="6" t="str">
        <f>"梁晶玉"</f>
        <v>梁晶玉</v>
      </c>
      <c r="E9" s="6" t="str">
        <f t="shared" si="0"/>
        <v>女</v>
      </c>
      <c r="F9" s="7" t="s">
        <v>436</v>
      </c>
    </row>
    <row r="10" spans="1:6" ht="20.100000000000001" customHeight="1" x14ac:dyDescent="0.15">
      <c r="A10" s="5">
        <v>7</v>
      </c>
      <c r="B10" s="6" t="str">
        <f>"30482021060117190265915"</f>
        <v>30482021060117190265915</v>
      </c>
      <c r="C10" s="6" t="s">
        <v>1996</v>
      </c>
      <c r="D10" s="6" t="str">
        <f>"龙惠雅"</f>
        <v>龙惠雅</v>
      </c>
      <c r="E10" s="6" t="str">
        <f t="shared" si="0"/>
        <v>女</v>
      </c>
      <c r="F10" s="7" t="s">
        <v>1690</v>
      </c>
    </row>
    <row r="11" spans="1:6" ht="20.100000000000001" customHeight="1" x14ac:dyDescent="0.15">
      <c r="A11" s="5">
        <v>8</v>
      </c>
      <c r="B11" s="6" t="str">
        <f>"30482021060117400866142"</f>
        <v>30482021060117400866142</v>
      </c>
      <c r="C11" s="6" t="s">
        <v>1996</v>
      </c>
      <c r="D11" s="6" t="str">
        <f>"许晓彤"</f>
        <v>许晓彤</v>
      </c>
      <c r="E11" s="6" t="str">
        <f t="shared" si="0"/>
        <v>女</v>
      </c>
      <c r="F11" s="7" t="s">
        <v>250</v>
      </c>
    </row>
    <row r="12" spans="1:6" ht="20.100000000000001" customHeight="1" x14ac:dyDescent="0.15">
      <c r="A12" s="5">
        <v>9</v>
      </c>
      <c r="B12" s="6" t="str">
        <f>"30482021060119064466865"</f>
        <v>30482021060119064466865</v>
      </c>
      <c r="C12" s="6" t="s">
        <v>1996</v>
      </c>
      <c r="D12" s="6" t="str">
        <f>"伍华丽"</f>
        <v>伍华丽</v>
      </c>
      <c r="E12" s="6" t="str">
        <f t="shared" si="0"/>
        <v>女</v>
      </c>
      <c r="F12" s="7" t="s">
        <v>173</v>
      </c>
    </row>
    <row r="13" spans="1:6" ht="20.100000000000001" customHeight="1" x14ac:dyDescent="0.15">
      <c r="A13" s="5">
        <v>10</v>
      </c>
      <c r="B13" s="6" t="str">
        <f>"30482021060119370867075"</f>
        <v>30482021060119370867075</v>
      </c>
      <c r="C13" s="6" t="s">
        <v>1996</v>
      </c>
      <c r="D13" s="6" t="str">
        <f>"殷礼亮"</f>
        <v>殷礼亮</v>
      </c>
      <c r="E13" s="6" t="str">
        <f>"男"</f>
        <v>男</v>
      </c>
      <c r="F13" s="7" t="s">
        <v>242</v>
      </c>
    </row>
    <row r="14" spans="1:6" ht="20.100000000000001" customHeight="1" x14ac:dyDescent="0.15">
      <c r="A14" s="5">
        <v>11</v>
      </c>
      <c r="B14" s="6" t="str">
        <f>"30482021060120242668098"</f>
        <v>30482021060120242668098</v>
      </c>
      <c r="C14" s="6" t="s">
        <v>1996</v>
      </c>
      <c r="D14" s="6" t="str">
        <f>"肖丽"</f>
        <v>肖丽</v>
      </c>
      <c r="E14" s="6" t="str">
        <f t="shared" ref="E14:E26" si="1">"女"</f>
        <v>女</v>
      </c>
      <c r="F14" s="7" t="s">
        <v>486</v>
      </c>
    </row>
    <row r="15" spans="1:6" ht="20.100000000000001" customHeight="1" x14ac:dyDescent="0.15">
      <c r="A15" s="5">
        <v>12</v>
      </c>
      <c r="B15" s="6" t="str">
        <f>"30482021060120343068179"</f>
        <v>30482021060120343068179</v>
      </c>
      <c r="C15" s="6" t="s">
        <v>1996</v>
      </c>
      <c r="D15" s="6" t="str">
        <f>"张友娥"</f>
        <v>张友娥</v>
      </c>
      <c r="E15" s="6" t="str">
        <f t="shared" si="1"/>
        <v>女</v>
      </c>
      <c r="F15" s="7" t="s">
        <v>1998</v>
      </c>
    </row>
    <row r="16" spans="1:6" ht="20.100000000000001" customHeight="1" x14ac:dyDescent="0.15">
      <c r="A16" s="5">
        <v>13</v>
      </c>
      <c r="B16" s="6" t="str">
        <f>"30482021060120363268195"</f>
        <v>30482021060120363268195</v>
      </c>
      <c r="C16" s="6" t="s">
        <v>1996</v>
      </c>
      <c r="D16" s="6" t="str">
        <f>"龙曼"</f>
        <v>龙曼</v>
      </c>
      <c r="E16" s="6" t="str">
        <f t="shared" si="1"/>
        <v>女</v>
      </c>
      <c r="F16" s="7" t="s">
        <v>1961</v>
      </c>
    </row>
    <row r="17" spans="1:6" ht="20.100000000000001" customHeight="1" x14ac:dyDescent="0.15">
      <c r="A17" s="5">
        <v>14</v>
      </c>
      <c r="B17" s="6" t="str">
        <f>"30482021060122274269853"</f>
        <v>30482021060122274269853</v>
      </c>
      <c r="C17" s="6" t="s">
        <v>1996</v>
      </c>
      <c r="D17" s="6" t="str">
        <f>"麦茹巾"</f>
        <v>麦茹巾</v>
      </c>
      <c r="E17" s="6" t="str">
        <f t="shared" si="1"/>
        <v>女</v>
      </c>
      <c r="F17" s="7" t="s">
        <v>25</v>
      </c>
    </row>
    <row r="18" spans="1:6" ht="20.100000000000001" customHeight="1" x14ac:dyDescent="0.15">
      <c r="A18" s="5">
        <v>15</v>
      </c>
      <c r="B18" s="6" t="str">
        <f>"30482021060122384569962"</f>
        <v>30482021060122384569962</v>
      </c>
      <c r="C18" s="6" t="s">
        <v>1996</v>
      </c>
      <c r="D18" s="6" t="str">
        <f>"符小莉"</f>
        <v>符小莉</v>
      </c>
      <c r="E18" s="6" t="str">
        <f t="shared" si="1"/>
        <v>女</v>
      </c>
      <c r="F18" s="7" t="s">
        <v>139</v>
      </c>
    </row>
    <row r="19" spans="1:6" ht="20.100000000000001" customHeight="1" x14ac:dyDescent="0.15">
      <c r="A19" s="5">
        <v>16</v>
      </c>
      <c r="B19" s="6" t="str">
        <f>"30482021060207453970639"</f>
        <v>30482021060207453970639</v>
      </c>
      <c r="C19" s="6" t="s">
        <v>1996</v>
      </c>
      <c r="D19" s="6" t="str">
        <f>"王康惠"</f>
        <v>王康惠</v>
      </c>
      <c r="E19" s="6" t="str">
        <f t="shared" si="1"/>
        <v>女</v>
      </c>
      <c r="F19" s="7" t="s">
        <v>1222</v>
      </c>
    </row>
    <row r="20" spans="1:6" ht="20.100000000000001" customHeight="1" x14ac:dyDescent="0.15">
      <c r="A20" s="5">
        <v>17</v>
      </c>
      <c r="B20" s="6" t="str">
        <f>"30482021060208403070932"</f>
        <v>30482021060208403070932</v>
      </c>
      <c r="C20" s="6" t="s">
        <v>1996</v>
      </c>
      <c r="D20" s="6" t="str">
        <f>"王连芳"</f>
        <v>王连芳</v>
      </c>
      <c r="E20" s="6" t="str">
        <f t="shared" si="1"/>
        <v>女</v>
      </c>
      <c r="F20" s="7" t="s">
        <v>66</v>
      </c>
    </row>
    <row r="21" spans="1:6" ht="20.100000000000001" customHeight="1" x14ac:dyDescent="0.15">
      <c r="A21" s="5">
        <v>18</v>
      </c>
      <c r="B21" s="6" t="str">
        <f>"30482021060209262971397"</f>
        <v>30482021060209262971397</v>
      </c>
      <c r="C21" s="6" t="s">
        <v>1996</v>
      </c>
      <c r="D21" s="6" t="str">
        <f>"李朝翠"</f>
        <v>李朝翠</v>
      </c>
      <c r="E21" s="6" t="str">
        <f t="shared" si="1"/>
        <v>女</v>
      </c>
      <c r="F21" s="7" t="s">
        <v>653</v>
      </c>
    </row>
    <row r="22" spans="1:6" ht="20.100000000000001" customHeight="1" x14ac:dyDescent="0.15">
      <c r="A22" s="5">
        <v>19</v>
      </c>
      <c r="B22" s="6" t="str">
        <f>"30482021060209370971548"</f>
        <v>30482021060209370971548</v>
      </c>
      <c r="C22" s="6" t="s">
        <v>1996</v>
      </c>
      <c r="D22" s="6" t="str">
        <f>"陈心如"</f>
        <v>陈心如</v>
      </c>
      <c r="E22" s="6" t="str">
        <f t="shared" si="1"/>
        <v>女</v>
      </c>
      <c r="F22" s="7" t="s">
        <v>401</v>
      </c>
    </row>
    <row r="23" spans="1:6" ht="20.100000000000001" customHeight="1" x14ac:dyDescent="0.15">
      <c r="A23" s="5">
        <v>20</v>
      </c>
      <c r="B23" s="6" t="str">
        <f>"30482021060210324472311"</f>
        <v>30482021060210324472311</v>
      </c>
      <c r="C23" s="6" t="s">
        <v>1996</v>
      </c>
      <c r="D23" s="6" t="str">
        <f>"歹雪"</f>
        <v>歹雪</v>
      </c>
      <c r="E23" s="6" t="str">
        <f t="shared" si="1"/>
        <v>女</v>
      </c>
      <c r="F23" s="7" t="s">
        <v>1661</v>
      </c>
    </row>
    <row r="24" spans="1:6" ht="20.100000000000001" customHeight="1" x14ac:dyDescent="0.15">
      <c r="A24" s="5">
        <v>21</v>
      </c>
      <c r="B24" s="6" t="str">
        <f>"30482021060210422872437"</f>
        <v>30482021060210422872437</v>
      </c>
      <c r="C24" s="6" t="s">
        <v>1996</v>
      </c>
      <c r="D24" s="6" t="str">
        <f>"陈杏"</f>
        <v>陈杏</v>
      </c>
      <c r="E24" s="6" t="str">
        <f t="shared" si="1"/>
        <v>女</v>
      </c>
      <c r="F24" s="7" t="s">
        <v>31</v>
      </c>
    </row>
    <row r="25" spans="1:6" ht="20.100000000000001" customHeight="1" x14ac:dyDescent="0.15">
      <c r="A25" s="5">
        <v>22</v>
      </c>
      <c r="B25" s="6" t="str">
        <f>"30482021060211014172682"</f>
        <v>30482021060211014172682</v>
      </c>
      <c r="C25" s="6" t="s">
        <v>1996</v>
      </c>
      <c r="D25" s="6" t="str">
        <f>"孙子雯"</f>
        <v>孙子雯</v>
      </c>
      <c r="E25" s="6" t="str">
        <f t="shared" si="1"/>
        <v>女</v>
      </c>
      <c r="F25" s="7" t="s">
        <v>140</v>
      </c>
    </row>
    <row r="26" spans="1:6" ht="20.100000000000001" customHeight="1" x14ac:dyDescent="0.15">
      <c r="A26" s="5">
        <v>23</v>
      </c>
      <c r="B26" s="6" t="str">
        <f>"30482021060212205773433"</f>
        <v>30482021060212205773433</v>
      </c>
      <c r="C26" s="6" t="s">
        <v>1996</v>
      </c>
      <c r="D26" s="6" t="str">
        <f>"郑清雯"</f>
        <v>郑清雯</v>
      </c>
      <c r="E26" s="6" t="str">
        <f t="shared" si="1"/>
        <v>女</v>
      </c>
      <c r="F26" s="7" t="s">
        <v>757</v>
      </c>
    </row>
    <row r="27" spans="1:6" ht="20.100000000000001" customHeight="1" x14ac:dyDescent="0.15">
      <c r="A27" s="5">
        <v>24</v>
      </c>
      <c r="B27" s="6" t="str">
        <f>"30482021060213014173789"</f>
        <v>30482021060213014173789</v>
      </c>
      <c r="C27" s="6" t="s">
        <v>1996</v>
      </c>
      <c r="D27" s="6" t="str">
        <f>"郑心龙"</f>
        <v>郑心龙</v>
      </c>
      <c r="E27" s="6" t="str">
        <f>"男"</f>
        <v>男</v>
      </c>
      <c r="F27" s="7" t="s">
        <v>1999</v>
      </c>
    </row>
    <row r="28" spans="1:6" ht="20.100000000000001" customHeight="1" x14ac:dyDescent="0.15">
      <c r="A28" s="5">
        <v>25</v>
      </c>
      <c r="B28" s="6" t="str">
        <f>"30482021060214425674418"</f>
        <v>30482021060214425674418</v>
      </c>
      <c r="C28" s="6" t="s">
        <v>1996</v>
      </c>
      <c r="D28" s="6" t="str">
        <f>"范芬霞"</f>
        <v>范芬霞</v>
      </c>
      <c r="E28" s="6" t="str">
        <f t="shared" ref="E28:E42" si="2">"女"</f>
        <v>女</v>
      </c>
      <c r="F28" s="7" t="s">
        <v>519</v>
      </c>
    </row>
    <row r="29" spans="1:6" ht="20.100000000000001" customHeight="1" x14ac:dyDescent="0.15">
      <c r="A29" s="5">
        <v>26</v>
      </c>
      <c r="B29" s="6" t="str">
        <f>"30482021060218262276518"</f>
        <v>30482021060218262276518</v>
      </c>
      <c r="C29" s="6" t="s">
        <v>1996</v>
      </c>
      <c r="D29" s="6" t="str">
        <f>"刘咪雪"</f>
        <v>刘咪雪</v>
      </c>
      <c r="E29" s="6" t="str">
        <f t="shared" si="2"/>
        <v>女</v>
      </c>
      <c r="F29" s="7" t="s">
        <v>820</v>
      </c>
    </row>
    <row r="30" spans="1:6" ht="20.100000000000001" customHeight="1" x14ac:dyDescent="0.15">
      <c r="A30" s="5">
        <v>27</v>
      </c>
      <c r="B30" s="6" t="str">
        <f>"30482021060218445376637"</f>
        <v>30482021060218445376637</v>
      </c>
      <c r="C30" s="6" t="s">
        <v>1996</v>
      </c>
      <c r="D30" s="6" t="str">
        <f>"王秋萍"</f>
        <v>王秋萍</v>
      </c>
      <c r="E30" s="6" t="str">
        <f t="shared" si="2"/>
        <v>女</v>
      </c>
      <c r="F30" s="7" t="s">
        <v>1058</v>
      </c>
    </row>
    <row r="31" spans="1:6" ht="20.100000000000001" customHeight="1" x14ac:dyDescent="0.15">
      <c r="A31" s="5">
        <v>28</v>
      </c>
      <c r="B31" s="6" t="str">
        <f>"30482021060219323676964"</f>
        <v>30482021060219323676964</v>
      </c>
      <c r="C31" s="6" t="s">
        <v>1996</v>
      </c>
      <c r="D31" s="6" t="str">
        <f>"欧路芳"</f>
        <v>欧路芳</v>
      </c>
      <c r="E31" s="6" t="str">
        <f t="shared" si="2"/>
        <v>女</v>
      </c>
      <c r="F31" s="7" t="s">
        <v>1570</v>
      </c>
    </row>
    <row r="32" spans="1:6" ht="20.100000000000001" customHeight="1" x14ac:dyDescent="0.15">
      <c r="A32" s="5">
        <v>29</v>
      </c>
      <c r="B32" s="6" t="str">
        <f>"30482021060220074577249"</f>
        <v>30482021060220074577249</v>
      </c>
      <c r="C32" s="6" t="s">
        <v>1996</v>
      </c>
      <c r="D32" s="6" t="str">
        <f>"符金玉"</f>
        <v>符金玉</v>
      </c>
      <c r="E32" s="6" t="str">
        <f t="shared" si="2"/>
        <v>女</v>
      </c>
      <c r="F32" s="7" t="s">
        <v>1555</v>
      </c>
    </row>
    <row r="33" spans="1:6" ht="20.100000000000001" customHeight="1" x14ac:dyDescent="0.15">
      <c r="A33" s="5">
        <v>30</v>
      </c>
      <c r="B33" s="6" t="str">
        <f>"30482021060220405577544"</f>
        <v>30482021060220405577544</v>
      </c>
      <c r="C33" s="6" t="s">
        <v>1996</v>
      </c>
      <c r="D33" s="6" t="str">
        <f>"吴晴晴"</f>
        <v>吴晴晴</v>
      </c>
      <c r="E33" s="6" t="str">
        <f t="shared" si="2"/>
        <v>女</v>
      </c>
      <c r="F33" s="7" t="s">
        <v>1029</v>
      </c>
    </row>
    <row r="34" spans="1:6" ht="20.100000000000001" customHeight="1" x14ac:dyDescent="0.15">
      <c r="A34" s="5">
        <v>31</v>
      </c>
      <c r="B34" s="6" t="str">
        <f>"30482021060223064278694"</f>
        <v>30482021060223064278694</v>
      </c>
      <c r="C34" s="6" t="s">
        <v>1996</v>
      </c>
      <c r="D34" s="6" t="str">
        <f>"陈丽云"</f>
        <v>陈丽云</v>
      </c>
      <c r="E34" s="6" t="str">
        <f t="shared" si="2"/>
        <v>女</v>
      </c>
      <c r="F34" s="7" t="s">
        <v>942</v>
      </c>
    </row>
    <row r="35" spans="1:6" ht="20.100000000000001" customHeight="1" x14ac:dyDescent="0.15">
      <c r="A35" s="5">
        <v>32</v>
      </c>
      <c r="B35" s="6" t="str">
        <f>"30482021060310001280681"</f>
        <v>30482021060310001280681</v>
      </c>
      <c r="C35" s="6" t="s">
        <v>1996</v>
      </c>
      <c r="D35" s="6" t="str">
        <f>"陈国霜"</f>
        <v>陈国霜</v>
      </c>
      <c r="E35" s="6" t="str">
        <f t="shared" si="2"/>
        <v>女</v>
      </c>
      <c r="F35" s="7" t="s">
        <v>1835</v>
      </c>
    </row>
    <row r="36" spans="1:6" ht="20.100000000000001" customHeight="1" x14ac:dyDescent="0.15">
      <c r="A36" s="5">
        <v>33</v>
      </c>
      <c r="B36" s="6" t="str">
        <f>"30482021060322011788618"</f>
        <v>30482021060322011788618</v>
      </c>
      <c r="C36" s="6" t="s">
        <v>1996</v>
      </c>
      <c r="D36" s="6" t="str">
        <f>"韩鸿"</f>
        <v>韩鸿</v>
      </c>
      <c r="E36" s="6" t="str">
        <f t="shared" si="2"/>
        <v>女</v>
      </c>
      <c r="F36" s="7" t="s">
        <v>1185</v>
      </c>
    </row>
    <row r="37" spans="1:6" ht="20.100000000000001" customHeight="1" x14ac:dyDescent="0.15">
      <c r="A37" s="5">
        <v>34</v>
      </c>
      <c r="B37" s="6" t="str">
        <f>"30482021060401000089832"</f>
        <v>30482021060401000089832</v>
      </c>
      <c r="C37" s="6" t="s">
        <v>1996</v>
      </c>
      <c r="D37" s="6" t="str">
        <f>"邢芳凝"</f>
        <v>邢芳凝</v>
      </c>
      <c r="E37" s="6" t="str">
        <f t="shared" si="2"/>
        <v>女</v>
      </c>
      <c r="F37" s="7" t="s">
        <v>1964</v>
      </c>
    </row>
    <row r="38" spans="1:6" ht="20.100000000000001" customHeight="1" x14ac:dyDescent="0.15">
      <c r="A38" s="5">
        <v>35</v>
      </c>
      <c r="B38" s="6" t="str">
        <f>"30482021060410530591996"</f>
        <v>30482021060410530591996</v>
      </c>
      <c r="C38" s="6" t="s">
        <v>1996</v>
      </c>
      <c r="D38" s="6" t="str">
        <f>"王小月"</f>
        <v>王小月</v>
      </c>
      <c r="E38" s="6" t="str">
        <f t="shared" si="2"/>
        <v>女</v>
      </c>
      <c r="F38" s="7" t="s">
        <v>2000</v>
      </c>
    </row>
    <row r="39" spans="1:6" ht="20.100000000000001" customHeight="1" x14ac:dyDescent="0.15">
      <c r="A39" s="5">
        <v>36</v>
      </c>
      <c r="B39" s="6" t="str">
        <f>"30482021060415284896314"</f>
        <v>30482021060415284896314</v>
      </c>
      <c r="C39" s="6" t="s">
        <v>1996</v>
      </c>
      <c r="D39" s="6" t="str">
        <f>"林莉娅"</f>
        <v>林莉娅</v>
      </c>
      <c r="E39" s="6" t="str">
        <f t="shared" si="2"/>
        <v>女</v>
      </c>
      <c r="F39" s="7" t="s">
        <v>529</v>
      </c>
    </row>
    <row r="40" spans="1:6" ht="20.100000000000001" customHeight="1" x14ac:dyDescent="0.15">
      <c r="A40" s="5">
        <v>37</v>
      </c>
      <c r="B40" s="6" t="str">
        <f>"30482021060415531396643"</f>
        <v>30482021060415531396643</v>
      </c>
      <c r="C40" s="6" t="s">
        <v>1996</v>
      </c>
      <c r="D40" s="6" t="str">
        <f>"李海秋"</f>
        <v>李海秋</v>
      </c>
      <c r="E40" s="6" t="str">
        <f t="shared" si="2"/>
        <v>女</v>
      </c>
      <c r="F40" s="7" t="s">
        <v>2001</v>
      </c>
    </row>
    <row r="41" spans="1:6" ht="20.100000000000001" customHeight="1" x14ac:dyDescent="0.15">
      <c r="A41" s="5">
        <v>38</v>
      </c>
      <c r="B41" s="6" t="str">
        <f>"30482021060417435498120"</f>
        <v>30482021060417435498120</v>
      </c>
      <c r="C41" s="6" t="s">
        <v>1996</v>
      </c>
      <c r="D41" s="6" t="str">
        <f>"李焕虹"</f>
        <v>李焕虹</v>
      </c>
      <c r="E41" s="6" t="str">
        <f t="shared" si="2"/>
        <v>女</v>
      </c>
      <c r="F41" s="7" t="s">
        <v>1221</v>
      </c>
    </row>
    <row r="42" spans="1:6" ht="20.100000000000001" customHeight="1" x14ac:dyDescent="0.15">
      <c r="A42" s="5">
        <v>39</v>
      </c>
      <c r="B42" s="6" t="str">
        <f>"304820210606113414103220"</f>
        <v>304820210606113414103220</v>
      </c>
      <c r="C42" s="6" t="s">
        <v>1996</v>
      </c>
      <c r="D42" s="6" t="str">
        <f>"姚虹妃"</f>
        <v>姚虹妃</v>
      </c>
      <c r="E42" s="6" t="str">
        <f t="shared" si="2"/>
        <v>女</v>
      </c>
      <c r="F42" s="7" t="s">
        <v>665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" style="1" customWidth="1"/>
    <col min="2" max="2" width="24.625" style="1" customWidth="1"/>
    <col min="3" max="3" width="14.125" style="1" customWidth="1"/>
    <col min="4" max="4" width="11" style="1" customWidth="1"/>
    <col min="5" max="5" width="8" style="1" customWidth="1"/>
    <col min="6" max="6" width="15.8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"30482021060114010463447"</f>
        <v>30482021060114010463447</v>
      </c>
      <c r="C4" s="6" t="s">
        <v>2002</v>
      </c>
      <c r="D4" s="6" t="str">
        <f>"王花好"</f>
        <v>王花好</v>
      </c>
      <c r="E4" s="6" t="str">
        <f t="shared" ref="E4:E7" si="0">"女"</f>
        <v>女</v>
      </c>
      <c r="F4" s="7" t="s">
        <v>431</v>
      </c>
    </row>
    <row r="5" spans="1:6" ht="20.100000000000001" customHeight="1" x14ac:dyDescent="0.15">
      <c r="A5" s="5">
        <v>2</v>
      </c>
      <c r="B5" s="6" t="str">
        <f>"30482021060114300763754"</f>
        <v>30482021060114300763754</v>
      </c>
      <c r="C5" s="6" t="s">
        <v>2002</v>
      </c>
      <c r="D5" s="6" t="str">
        <f>"陈志莲"</f>
        <v>陈志莲</v>
      </c>
      <c r="E5" s="6" t="str">
        <f t="shared" si="0"/>
        <v>女</v>
      </c>
      <c r="F5" s="7" t="s">
        <v>1202</v>
      </c>
    </row>
    <row r="6" spans="1:6" ht="20.100000000000001" customHeight="1" x14ac:dyDescent="0.15">
      <c r="A6" s="5">
        <v>3</v>
      </c>
      <c r="B6" s="6" t="str">
        <f>"30482021060114484363972"</f>
        <v>30482021060114484363972</v>
      </c>
      <c r="C6" s="6" t="s">
        <v>2002</v>
      </c>
      <c r="D6" s="6" t="str">
        <f>"吴超颖"</f>
        <v>吴超颖</v>
      </c>
      <c r="E6" s="6" t="str">
        <f t="shared" si="0"/>
        <v>女</v>
      </c>
      <c r="F6" s="7" t="s">
        <v>2003</v>
      </c>
    </row>
    <row r="7" spans="1:6" ht="20.100000000000001" customHeight="1" x14ac:dyDescent="0.15">
      <c r="A7" s="5">
        <v>4</v>
      </c>
      <c r="B7" s="6" t="str">
        <f>"30482021060114495663988"</f>
        <v>30482021060114495663988</v>
      </c>
      <c r="C7" s="6" t="s">
        <v>2002</v>
      </c>
      <c r="D7" s="6" t="str">
        <f>"姚诗瑜"</f>
        <v>姚诗瑜</v>
      </c>
      <c r="E7" s="6" t="str">
        <f t="shared" si="0"/>
        <v>女</v>
      </c>
      <c r="F7" s="7" t="s">
        <v>404</v>
      </c>
    </row>
    <row r="8" spans="1:6" ht="20.100000000000001" customHeight="1" x14ac:dyDescent="0.15">
      <c r="A8" s="5">
        <v>5</v>
      </c>
      <c r="B8" s="6" t="str">
        <f>"30482021060114520564013"</f>
        <v>30482021060114520564013</v>
      </c>
      <c r="C8" s="6" t="s">
        <v>2002</v>
      </c>
      <c r="D8" s="6" t="str">
        <f>"史贻鹏"</f>
        <v>史贻鹏</v>
      </c>
      <c r="E8" s="6" t="str">
        <f>"男"</f>
        <v>男</v>
      </c>
      <c r="F8" s="7" t="s">
        <v>153</v>
      </c>
    </row>
    <row r="9" spans="1:6" ht="20.100000000000001" customHeight="1" x14ac:dyDescent="0.15">
      <c r="A9" s="5">
        <v>6</v>
      </c>
      <c r="B9" s="6" t="str">
        <f>"30482021060115254864463"</f>
        <v>30482021060115254864463</v>
      </c>
      <c r="C9" s="6" t="s">
        <v>2002</v>
      </c>
      <c r="D9" s="6" t="str">
        <f>"韩丽芳"</f>
        <v>韩丽芳</v>
      </c>
      <c r="E9" s="6" t="str">
        <f t="shared" ref="E9:E16" si="1">"女"</f>
        <v>女</v>
      </c>
      <c r="F9" s="7" t="s">
        <v>161</v>
      </c>
    </row>
    <row r="10" spans="1:6" ht="20.100000000000001" customHeight="1" x14ac:dyDescent="0.15">
      <c r="A10" s="5">
        <v>7</v>
      </c>
      <c r="B10" s="6" t="str">
        <f>"30482021060115414264663"</f>
        <v>30482021060115414264663</v>
      </c>
      <c r="C10" s="6" t="s">
        <v>2002</v>
      </c>
      <c r="D10" s="6" t="str">
        <f>"潘宁静"</f>
        <v>潘宁静</v>
      </c>
      <c r="E10" s="6" t="str">
        <f t="shared" si="1"/>
        <v>女</v>
      </c>
      <c r="F10" s="7" t="s">
        <v>944</v>
      </c>
    </row>
    <row r="11" spans="1:6" ht="20.100000000000001" customHeight="1" x14ac:dyDescent="0.15">
      <c r="A11" s="5">
        <v>8</v>
      </c>
      <c r="B11" s="6" t="str">
        <f>"30482021060115440364696"</f>
        <v>30482021060115440364696</v>
      </c>
      <c r="C11" s="6" t="s">
        <v>2002</v>
      </c>
      <c r="D11" s="6" t="str">
        <f>"符婷婷"</f>
        <v>符婷婷</v>
      </c>
      <c r="E11" s="6" t="str">
        <f t="shared" si="1"/>
        <v>女</v>
      </c>
      <c r="F11" s="7" t="s">
        <v>1634</v>
      </c>
    </row>
    <row r="12" spans="1:6" ht="20.100000000000001" customHeight="1" x14ac:dyDescent="0.15">
      <c r="A12" s="5">
        <v>9</v>
      </c>
      <c r="B12" s="6" t="str">
        <f>"30482021060115460364725"</f>
        <v>30482021060115460364725</v>
      </c>
      <c r="C12" s="6" t="s">
        <v>2002</v>
      </c>
      <c r="D12" s="6" t="str">
        <f>"蒋莹"</f>
        <v>蒋莹</v>
      </c>
      <c r="E12" s="6" t="str">
        <f t="shared" si="1"/>
        <v>女</v>
      </c>
      <c r="F12" s="7" t="s">
        <v>31</v>
      </c>
    </row>
    <row r="13" spans="1:6" ht="20.100000000000001" customHeight="1" x14ac:dyDescent="0.15">
      <c r="A13" s="5">
        <v>10</v>
      </c>
      <c r="B13" s="6" t="str">
        <f>"30482021060115542864840"</f>
        <v>30482021060115542864840</v>
      </c>
      <c r="C13" s="6" t="s">
        <v>2002</v>
      </c>
      <c r="D13" s="6" t="str">
        <f>"徐宜滨"</f>
        <v>徐宜滨</v>
      </c>
      <c r="E13" s="6" t="str">
        <f t="shared" si="1"/>
        <v>女</v>
      </c>
      <c r="F13" s="7" t="s">
        <v>152</v>
      </c>
    </row>
    <row r="14" spans="1:6" ht="20.100000000000001" customHeight="1" x14ac:dyDescent="0.15">
      <c r="A14" s="5">
        <v>11</v>
      </c>
      <c r="B14" s="6" t="str">
        <f>"30482021060115542964841"</f>
        <v>30482021060115542964841</v>
      </c>
      <c r="C14" s="6" t="s">
        <v>2002</v>
      </c>
      <c r="D14" s="6" t="str">
        <f>"吴婷婷"</f>
        <v>吴婷婷</v>
      </c>
      <c r="E14" s="6" t="str">
        <f t="shared" si="1"/>
        <v>女</v>
      </c>
      <c r="F14" s="7" t="s">
        <v>557</v>
      </c>
    </row>
    <row r="15" spans="1:6" ht="20.100000000000001" customHeight="1" x14ac:dyDescent="0.15">
      <c r="A15" s="5">
        <v>12</v>
      </c>
      <c r="B15" s="6" t="str">
        <f>"30482021060116500765558"</f>
        <v>30482021060116500765558</v>
      </c>
      <c r="C15" s="6" t="s">
        <v>2002</v>
      </c>
      <c r="D15" s="6" t="str">
        <f>"徐锦雯"</f>
        <v>徐锦雯</v>
      </c>
      <c r="E15" s="6" t="str">
        <f t="shared" si="1"/>
        <v>女</v>
      </c>
      <c r="F15" s="7" t="s">
        <v>44</v>
      </c>
    </row>
    <row r="16" spans="1:6" ht="20.100000000000001" customHeight="1" x14ac:dyDescent="0.15">
      <c r="A16" s="5">
        <v>13</v>
      </c>
      <c r="B16" s="6" t="str">
        <f>"30482021060117024165713"</f>
        <v>30482021060117024165713</v>
      </c>
      <c r="C16" s="6" t="s">
        <v>2002</v>
      </c>
      <c r="D16" s="6" t="str">
        <f>"吴恒菲"</f>
        <v>吴恒菲</v>
      </c>
      <c r="E16" s="6" t="str">
        <f t="shared" si="1"/>
        <v>女</v>
      </c>
      <c r="F16" s="7" t="s">
        <v>152</v>
      </c>
    </row>
    <row r="17" spans="1:6" ht="20.100000000000001" customHeight="1" x14ac:dyDescent="0.15">
      <c r="A17" s="5">
        <v>14</v>
      </c>
      <c r="B17" s="6" t="str">
        <f>"30482021060117202265929"</f>
        <v>30482021060117202265929</v>
      </c>
      <c r="C17" s="6" t="s">
        <v>2002</v>
      </c>
      <c r="D17" s="6" t="str">
        <f>"高昂"</f>
        <v>高昂</v>
      </c>
      <c r="E17" s="6" t="str">
        <f>"男"</f>
        <v>男</v>
      </c>
      <c r="F17" s="7" t="s">
        <v>2004</v>
      </c>
    </row>
    <row r="18" spans="1:6" ht="20.100000000000001" customHeight="1" x14ac:dyDescent="0.15">
      <c r="A18" s="5">
        <v>15</v>
      </c>
      <c r="B18" s="6" t="str">
        <f>"30482021060118285166563"</f>
        <v>30482021060118285166563</v>
      </c>
      <c r="C18" s="6" t="s">
        <v>2002</v>
      </c>
      <c r="D18" s="6" t="str">
        <f>"卓亚妹"</f>
        <v>卓亚妹</v>
      </c>
      <c r="E18" s="6" t="str">
        <f t="shared" ref="E18:E25" si="2">"女"</f>
        <v>女</v>
      </c>
      <c r="F18" s="7" t="s">
        <v>711</v>
      </c>
    </row>
    <row r="19" spans="1:6" ht="20.100000000000001" customHeight="1" x14ac:dyDescent="0.15">
      <c r="A19" s="5">
        <v>16</v>
      </c>
      <c r="B19" s="6" t="str">
        <f>"30482021060118364266628"</f>
        <v>30482021060118364266628</v>
      </c>
      <c r="C19" s="6" t="s">
        <v>2002</v>
      </c>
      <c r="D19" s="6" t="str">
        <f>"胡海娟"</f>
        <v>胡海娟</v>
      </c>
      <c r="E19" s="6" t="str">
        <f t="shared" si="2"/>
        <v>女</v>
      </c>
      <c r="F19" s="7" t="s">
        <v>2005</v>
      </c>
    </row>
    <row r="20" spans="1:6" ht="20.100000000000001" customHeight="1" x14ac:dyDescent="0.15">
      <c r="A20" s="5">
        <v>17</v>
      </c>
      <c r="B20" s="6" t="str">
        <f>"30482021060119271566995"</f>
        <v>30482021060119271566995</v>
      </c>
      <c r="C20" s="6" t="s">
        <v>2002</v>
      </c>
      <c r="D20" s="6" t="str">
        <f>"羊丽妍"</f>
        <v>羊丽妍</v>
      </c>
      <c r="E20" s="6" t="str">
        <f t="shared" si="2"/>
        <v>女</v>
      </c>
      <c r="F20" s="7" t="s">
        <v>177</v>
      </c>
    </row>
    <row r="21" spans="1:6" ht="20.100000000000001" customHeight="1" x14ac:dyDescent="0.15">
      <c r="A21" s="5">
        <v>18</v>
      </c>
      <c r="B21" s="6" t="str">
        <f>"30482021060119314367038"</f>
        <v>30482021060119314367038</v>
      </c>
      <c r="C21" s="6" t="s">
        <v>2002</v>
      </c>
      <c r="D21" s="6" t="str">
        <f>"薛宝莹"</f>
        <v>薛宝莹</v>
      </c>
      <c r="E21" s="6" t="str">
        <f t="shared" si="2"/>
        <v>女</v>
      </c>
      <c r="F21" s="7" t="s">
        <v>679</v>
      </c>
    </row>
    <row r="22" spans="1:6" ht="20.100000000000001" customHeight="1" x14ac:dyDescent="0.15">
      <c r="A22" s="5">
        <v>19</v>
      </c>
      <c r="B22" s="6" t="str">
        <f>"30482021060120062367939"</f>
        <v>30482021060120062367939</v>
      </c>
      <c r="C22" s="6" t="s">
        <v>2002</v>
      </c>
      <c r="D22" s="6" t="str">
        <f>"符冬筠"</f>
        <v>符冬筠</v>
      </c>
      <c r="E22" s="6" t="str">
        <f t="shared" si="2"/>
        <v>女</v>
      </c>
      <c r="F22" s="7" t="s">
        <v>923</v>
      </c>
    </row>
    <row r="23" spans="1:6" ht="20.100000000000001" customHeight="1" x14ac:dyDescent="0.15">
      <c r="A23" s="5">
        <v>20</v>
      </c>
      <c r="B23" s="6" t="str">
        <f>"30482021060121441569464"</f>
        <v>30482021060121441569464</v>
      </c>
      <c r="C23" s="6" t="s">
        <v>2002</v>
      </c>
      <c r="D23" s="6" t="str">
        <f>"林莎"</f>
        <v>林莎</v>
      </c>
      <c r="E23" s="6" t="str">
        <f t="shared" si="2"/>
        <v>女</v>
      </c>
      <c r="F23" s="7" t="s">
        <v>280</v>
      </c>
    </row>
    <row r="24" spans="1:6" ht="20.100000000000001" customHeight="1" x14ac:dyDescent="0.15">
      <c r="A24" s="5">
        <v>21</v>
      </c>
      <c r="B24" s="6" t="str">
        <f>"30482021060122241669826"</f>
        <v>30482021060122241669826</v>
      </c>
      <c r="C24" s="6" t="s">
        <v>2002</v>
      </c>
      <c r="D24" s="6" t="str">
        <f>"王彬彬"</f>
        <v>王彬彬</v>
      </c>
      <c r="E24" s="6" t="str">
        <f t="shared" si="2"/>
        <v>女</v>
      </c>
      <c r="F24" s="7" t="s">
        <v>743</v>
      </c>
    </row>
    <row r="25" spans="1:6" ht="20.100000000000001" customHeight="1" x14ac:dyDescent="0.15">
      <c r="A25" s="5">
        <v>22</v>
      </c>
      <c r="B25" s="6" t="str">
        <f>"30482021060122385069964"</f>
        <v>30482021060122385069964</v>
      </c>
      <c r="C25" s="6" t="s">
        <v>2002</v>
      </c>
      <c r="D25" s="6" t="str">
        <f>"梁敏莉"</f>
        <v>梁敏莉</v>
      </c>
      <c r="E25" s="6" t="str">
        <f t="shared" si="2"/>
        <v>女</v>
      </c>
      <c r="F25" s="7" t="s">
        <v>462</v>
      </c>
    </row>
    <row r="26" spans="1:6" ht="20.100000000000001" customHeight="1" x14ac:dyDescent="0.15">
      <c r="A26" s="5">
        <v>23</v>
      </c>
      <c r="B26" s="6" t="str">
        <f>"30482021060123314770279"</f>
        <v>30482021060123314770279</v>
      </c>
      <c r="C26" s="6" t="s">
        <v>2002</v>
      </c>
      <c r="D26" s="6" t="str">
        <f>"楼晓钢"</f>
        <v>楼晓钢</v>
      </c>
      <c r="E26" s="6" t="str">
        <f>"男"</f>
        <v>男</v>
      </c>
      <c r="F26" s="7" t="s">
        <v>405</v>
      </c>
    </row>
    <row r="27" spans="1:6" ht="20.100000000000001" customHeight="1" x14ac:dyDescent="0.15">
      <c r="A27" s="5">
        <v>24</v>
      </c>
      <c r="B27" s="6" t="str">
        <f>"30482021060200385370457"</f>
        <v>30482021060200385370457</v>
      </c>
      <c r="C27" s="6" t="s">
        <v>2002</v>
      </c>
      <c r="D27" s="6" t="str">
        <f>"黄佳佳"</f>
        <v>黄佳佳</v>
      </c>
      <c r="E27" s="6" t="str">
        <f t="shared" ref="E27:E39" si="3">"女"</f>
        <v>女</v>
      </c>
      <c r="F27" s="7" t="s">
        <v>922</v>
      </c>
    </row>
    <row r="28" spans="1:6" ht="20.100000000000001" customHeight="1" x14ac:dyDescent="0.15">
      <c r="A28" s="5">
        <v>25</v>
      </c>
      <c r="B28" s="6" t="str">
        <f>"30482021060200393770459"</f>
        <v>30482021060200393770459</v>
      </c>
      <c r="C28" s="6" t="s">
        <v>2002</v>
      </c>
      <c r="D28" s="6" t="str">
        <f>"吴艳"</f>
        <v>吴艳</v>
      </c>
      <c r="E28" s="6" t="str">
        <f t="shared" si="3"/>
        <v>女</v>
      </c>
      <c r="F28" s="7" t="s">
        <v>2006</v>
      </c>
    </row>
    <row r="29" spans="1:6" ht="20.100000000000001" customHeight="1" x14ac:dyDescent="0.15">
      <c r="A29" s="5">
        <v>26</v>
      </c>
      <c r="B29" s="6" t="str">
        <f>"30482021060203552770548"</f>
        <v>30482021060203552770548</v>
      </c>
      <c r="C29" s="6" t="s">
        <v>2002</v>
      </c>
      <c r="D29" s="6" t="str">
        <f>"韩金灵"</f>
        <v>韩金灵</v>
      </c>
      <c r="E29" s="6" t="str">
        <f t="shared" si="3"/>
        <v>女</v>
      </c>
      <c r="F29" s="7" t="s">
        <v>2007</v>
      </c>
    </row>
    <row r="30" spans="1:6" ht="20.100000000000001" customHeight="1" x14ac:dyDescent="0.15">
      <c r="A30" s="5">
        <v>27</v>
      </c>
      <c r="B30" s="6" t="str">
        <f>"30482021060207282370610"</f>
        <v>30482021060207282370610</v>
      </c>
      <c r="C30" s="6" t="s">
        <v>2002</v>
      </c>
      <c r="D30" s="6" t="str">
        <f>"彭丽曼"</f>
        <v>彭丽曼</v>
      </c>
      <c r="E30" s="6" t="str">
        <f t="shared" si="3"/>
        <v>女</v>
      </c>
      <c r="F30" s="7" t="s">
        <v>1411</v>
      </c>
    </row>
    <row r="31" spans="1:6" ht="20.100000000000001" customHeight="1" x14ac:dyDescent="0.15">
      <c r="A31" s="5">
        <v>28</v>
      </c>
      <c r="B31" s="6" t="str">
        <f>"30482021060207391070629"</f>
        <v>30482021060207391070629</v>
      </c>
      <c r="C31" s="6" t="s">
        <v>2002</v>
      </c>
      <c r="D31" s="6" t="str">
        <f>"符海滨"</f>
        <v>符海滨</v>
      </c>
      <c r="E31" s="6" t="str">
        <f t="shared" si="3"/>
        <v>女</v>
      </c>
      <c r="F31" s="7" t="s">
        <v>1736</v>
      </c>
    </row>
    <row r="32" spans="1:6" ht="20.100000000000001" customHeight="1" x14ac:dyDescent="0.15">
      <c r="A32" s="5">
        <v>29</v>
      </c>
      <c r="B32" s="6" t="str">
        <f>"30482021060207471070643"</f>
        <v>30482021060207471070643</v>
      </c>
      <c r="C32" s="6" t="s">
        <v>2002</v>
      </c>
      <c r="D32" s="6" t="str">
        <f>"符茵茵"</f>
        <v>符茵茵</v>
      </c>
      <c r="E32" s="6" t="str">
        <f t="shared" si="3"/>
        <v>女</v>
      </c>
      <c r="F32" s="7" t="s">
        <v>140</v>
      </c>
    </row>
    <row r="33" spans="1:6" ht="20.100000000000001" customHeight="1" x14ac:dyDescent="0.15">
      <c r="A33" s="5">
        <v>30</v>
      </c>
      <c r="B33" s="6" t="str">
        <f>"30482021060208135070737"</f>
        <v>30482021060208135070737</v>
      </c>
      <c r="C33" s="6" t="s">
        <v>2002</v>
      </c>
      <c r="D33" s="6" t="str">
        <f>"陈昕"</f>
        <v>陈昕</v>
      </c>
      <c r="E33" s="6" t="str">
        <f t="shared" si="3"/>
        <v>女</v>
      </c>
      <c r="F33" s="7" t="s">
        <v>793</v>
      </c>
    </row>
    <row r="34" spans="1:6" ht="20.100000000000001" customHeight="1" x14ac:dyDescent="0.15">
      <c r="A34" s="5">
        <v>31</v>
      </c>
      <c r="B34" s="6" t="str">
        <f>"30482021060208182770766"</f>
        <v>30482021060208182770766</v>
      </c>
      <c r="C34" s="6" t="s">
        <v>2002</v>
      </c>
      <c r="D34" s="6" t="str">
        <f>"王雅婷"</f>
        <v>王雅婷</v>
      </c>
      <c r="E34" s="6" t="str">
        <f t="shared" si="3"/>
        <v>女</v>
      </c>
      <c r="F34" s="7" t="s">
        <v>2008</v>
      </c>
    </row>
    <row r="35" spans="1:6" ht="20.100000000000001" customHeight="1" x14ac:dyDescent="0.15">
      <c r="A35" s="5">
        <v>32</v>
      </c>
      <c r="B35" s="6" t="str">
        <f>"30482021060208344070880"</f>
        <v>30482021060208344070880</v>
      </c>
      <c r="C35" s="6" t="s">
        <v>2002</v>
      </c>
      <c r="D35" s="6" t="str">
        <f>"陈翠婷"</f>
        <v>陈翠婷</v>
      </c>
      <c r="E35" s="6" t="str">
        <f t="shared" si="3"/>
        <v>女</v>
      </c>
      <c r="F35" s="7" t="s">
        <v>345</v>
      </c>
    </row>
    <row r="36" spans="1:6" ht="20.100000000000001" customHeight="1" x14ac:dyDescent="0.15">
      <c r="A36" s="5">
        <v>33</v>
      </c>
      <c r="B36" s="6" t="str">
        <f>"30482021060209385471569"</f>
        <v>30482021060209385471569</v>
      </c>
      <c r="C36" s="6" t="s">
        <v>2002</v>
      </c>
      <c r="D36" s="6" t="str">
        <f>"韩璐"</f>
        <v>韩璐</v>
      </c>
      <c r="E36" s="6" t="str">
        <f t="shared" si="3"/>
        <v>女</v>
      </c>
      <c r="F36" s="7" t="s">
        <v>219</v>
      </c>
    </row>
    <row r="37" spans="1:6" ht="20.100000000000001" customHeight="1" x14ac:dyDescent="0.15">
      <c r="A37" s="5">
        <v>34</v>
      </c>
      <c r="B37" s="6" t="str">
        <f>"30482021060209503171735"</f>
        <v>30482021060209503171735</v>
      </c>
      <c r="C37" s="6" t="s">
        <v>2002</v>
      </c>
      <c r="D37" s="6" t="str">
        <f>"林丽娜"</f>
        <v>林丽娜</v>
      </c>
      <c r="E37" s="6" t="str">
        <f t="shared" si="3"/>
        <v>女</v>
      </c>
      <c r="F37" s="7" t="s">
        <v>228</v>
      </c>
    </row>
    <row r="38" spans="1:6" ht="20.100000000000001" customHeight="1" x14ac:dyDescent="0.15">
      <c r="A38" s="5">
        <v>35</v>
      </c>
      <c r="B38" s="6" t="str">
        <f>"30482021060210022771886"</f>
        <v>30482021060210022771886</v>
      </c>
      <c r="C38" s="6" t="s">
        <v>2002</v>
      </c>
      <c r="D38" s="6" t="str">
        <f>"冯华希"</f>
        <v>冯华希</v>
      </c>
      <c r="E38" s="6" t="str">
        <f t="shared" si="3"/>
        <v>女</v>
      </c>
      <c r="F38" s="7" t="s">
        <v>2009</v>
      </c>
    </row>
    <row r="39" spans="1:6" ht="20.100000000000001" customHeight="1" x14ac:dyDescent="0.15">
      <c r="A39" s="5">
        <v>36</v>
      </c>
      <c r="B39" s="6" t="str">
        <f>"30482021060210031671895"</f>
        <v>30482021060210031671895</v>
      </c>
      <c r="C39" s="6" t="s">
        <v>2002</v>
      </c>
      <c r="D39" s="6" t="str">
        <f>"李玉婷"</f>
        <v>李玉婷</v>
      </c>
      <c r="E39" s="6" t="str">
        <f t="shared" si="3"/>
        <v>女</v>
      </c>
      <c r="F39" s="7" t="s">
        <v>1155</v>
      </c>
    </row>
    <row r="40" spans="1:6" ht="20.100000000000001" customHeight="1" x14ac:dyDescent="0.15">
      <c r="A40" s="5">
        <v>37</v>
      </c>
      <c r="B40" s="6" t="str">
        <f>"30482021060210084971967"</f>
        <v>30482021060210084971967</v>
      </c>
      <c r="C40" s="6" t="s">
        <v>2002</v>
      </c>
      <c r="D40" s="6" t="str">
        <f>"陈焕冠"</f>
        <v>陈焕冠</v>
      </c>
      <c r="E40" s="6" t="str">
        <f t="shared" ref="E40:E44" si="4">"男"</f>
        <v>男</v>
      </c>
      <c r="F40" s="7" t="s">
        <v>2010</v>
      </c>
    </row>
    <row r="41" spans="1:6" ht="20.100000000000001" customHeight="1" x14ac:dyDescent="0.15">
      <c r="A41" s="5">
        <v>38</v>
      </c>
      <c r="B41" s="6" t="str">
        <f>"30482021060210483372525"</f>
        <v>30482021060210483372525</v>
      </c>
      <c r="C41" s="6" t="s">
        <v>2002</v>
      </c>
      <c r="D41" s="6" t="str">
        <f>"阮真宇"</f>
        <v>阮真宇</v>
      </c>
      <c r="E41" s="6" t="str">
        <f t="shared" ref="E41:E54" si="5">"女"</f>
        <v>女</v>
      </c>
      <c r="F41" s="7" t="s">
        <v>44</v>
      </c>
    </row>
    <row r="42" spans="1:6" ht="20.100000000000001" customHeight="1" x14ac:dyDescent="0.15">
      <c r="A42" s="5">
        <v>39</v>
      </c>
      <c r="B42" s="6" t="str">
        <f>"30482021060210583472651"</f>
        <v>30482021060210583472651</v>
      </c>
      <c r="C42" s="6" t="s">
        <v>2002</v>
      </c>
      <c r="D42" s="6" t="str">
        <f>"罗丁蓝"</f>
        <v>罗丁蓝</v>
      </c>
      <c r="E42" s="6" t="str">
        <f t="shared" si="5"/>
        <v>女</v>
      </c>
      <c r="F42" s="7" t="s">
        <v>1558</v>
      </c>
    </row>
    <row r="43" spans="1:6" ht="20.100000000000001" customHeight="1" x14ac:dyDescent="0.15">
      <c r="A43" s="5">
        <v>40</v>
      </c>
      <c r="B43" s="6" t="str">
        <f>"30482021060211141072834"</f>
        <v>30482021060211141072834</v>
      </c>
      <c r="C43" s="6" t="s">
        <v>2002</v>
      </c>
      <c r="D43" s="6" t="str">
        <f>"邓又榕"</f>
        <v>邓又榕</v>
      </c>
      <c r="E43" s="6" t="str">
        <f t="shared" si="4"/>
        <v>男</v>
      </c>
      <c r="F43" s="7" t="s">
        <v>1017</v>
      </c>
    </row>
    <row r="44" spans="1:6" ht="20.100000000000001" customHeight="1" x14ac:dyDescent="0.15">
      <c r="A44" s="5">
        <v>41</v>
      </c>
      <c r="B44" s="6" t="str">
        <f>"30482021060211561273254"</f>
        <v>30482021060211561273254</v>
      </c>
      <c r="C44" s="6" t="s">
        <v>2002</v>
      </c>
      <c r="D44" s="6" t="str">
        <f>"黄富"</f>
        <v>黄富</v>
      </c>
      <c r="E44" s="6" t="str">
        <f t="shared" si="4"/>
        <v>男</v>
      </c>
      <c r="F44" s="7" t="s">
        <v>1305</v>
      </c>
    </row>
    <row r="45" spans="1:6" ht="20.100000000000001" customHeight="1" x14ac:dyDescent="0.15">
      <c r="A45" s="5">
        <v>42</v>
      </c>
      <c r="B45" s="6" t="str">
        <f>"30482021060212421973645"</f>
        <v>30482021060212421973645</v>
      </c>
      <c r="C45" s="6" t="s">
        <v>2002</v>
      </c>
      <c r="D45" s="6" t="str">
        <f>"王彩虹"</f>
        <v>王彩虹</v>
      </c>
      <c r="E45" s="6" t="str">
        <f t="shared" si="5"/>
        <v>女</v>
      </c>
      <c r="F45" s="7" t="s">
        <v>1231</v>
      </c>
    </row>
    <row r="46" spans="1:6" ht="20.100000000000001" customHeight="1" x14ac:dyDescent="0.15">
      <c r="A46" s="5">
        <v>43</v>
      </c>
      <c r="B46" s="6" t="str">
        <f>"30482021060213062573821"</f>
        <v>30482021060213062573821</v>
      </c>
      <c r="C46" s="6" t="s">
        <v>2002</v>
      </c>
      <c r="D46" s="6" t="str">
        <f>"钟石婷"</f>
        <v>钟石婷</v>
      </c>
      <c r="E46" s="6" t="str">
        <f t="shared" si="5"/>
        <v>女</v>
      </c>
      <c r="F46" s="7" t="s">
        <v>2011</v>
      </c>
    </row>
    <row r="47" spans="1:6" ht="20.100000000000001" customHeight="1" x14ac:dyDescent="0.15">
      <c r="A47" s="5">
        <v>44</v>
      </c>
      <c r="B47" s="6" t="str">
        <f>"30482021060213100573863"</f>
        <v>30482021060213100573863</v>
      </c>
      <c r="C47" s="6" t="s">
        <v>2002</v>
      </c>
      <c r="D47" s="6" t="str">
        <f>"陈颖"</f>
        <v>陈颖</v>
      </c>
      <c r="E47" s="6" t="str">
        <f t="shared" si="5"/>
        <v>女</v>
      </c>
      <c r="F47" s="7" t="s">
        <v>1282</v>
      </c>
    </row>
    <row r="48" spans="1:6" ht="20.100000000000001" customHeight="1" x14ac:dyDescent="0.15">
      <c r="A48" s="5">
        <v>45</v>
      </c>
      <c r="B48" s="6" t="str">
        <f>"30482021060213474174086"</f>
        <v>30482021060213474174086</v>
      </c>
      <c r="C48" s="6" t="s">
        <v>2002</v>
      </c>
      <c r="D48" s="6" t="str">
        <f>"王晓君"</f>
        <v>王晓君</v>
      </c>
      <c r="E48" s="6" t="str">
        <f t="shared" si="5"/>
        <v>女</v>
      </c>
      <c r="F48" s="7" t="s">
        <v>396</v>
      </c>
    </row>
    <row r="49" spans="1:6" ht="20.100000000000001" customHeight="1" x14ac:dyDescent="0.15">
      <c r="A49" s="5">
        <v>46</v>
      </c>
      <c r="B49" s="6" t="str">
        <f>"30482021060213502274102"</f>
        <v>30482021060213502274102</v>
      </c>
      <c r="C49" s="6" t="s">
        <v>2002</v>
      </c>
      <c r="D49" s="6" t="str">
        <f>"陈丽妃"</f>
        <v>陈丽妃</v>
      </c>
      <c r="E49" s="6" t="str">
        <f t="shared" si="5"/>
        <v>女</v>
      </c>
      <c r="F49" s="7" t="s">
        <v>1399</v>
      </c>
    </row>
    <row r="50" spans="1:6" ht="20.100000000000001" customHeight="1" x14ac:dyDescent="0.15">
      <c r="A50" s="5">
        <v>47</v>
      </c>
      <c r="B50" s="6" t="str">
        <f>"30482021060216053575309"</f>
        <v>30482021060216053575309</v>
      </c>
      <c r="C50" s="6" t="s">
        <v>2002</v>
      </c>
      <c r="D50" s="6" t="str">
        <f>"丁婉"</f>
        <v>丁婉</v>
      </c>
      <c r="E50" s="6" t="str">
        <f t="shared" si="5"/>
        <v>女</v>
      </c>
      <c r="F50" s="7" t="s">
        <v>1231</v>
      </c>
    </row>
    <row r="51" spans="1:6" ht="20.100000000000001" customHeight="1" x14ac:dyDescent="0.15">
      <c r="A51" s="5">
        <v>48</v>
      </c>
      <c r="B51" s="6" t="str">
        <f>"30482021060216120475366"</f>
        <v>30482021060216120475366</v>
      </c>
      <c r="C51" s="6" t="s">
        <v>2002</v>
      </c>
      <c r="D51" s="6" t="str">
        <f>"韩芳"</f>
        <v>韩芳</v>
      </c>
      <c r="E51" s="6" t="str">
        <f t="shared" si="5"/>
        <v>女</v>
      </c>
      <c r="F51" s="7" t="s">
        <v>2012</v>
      </c>
    </row>
    <row r="52" spans="1:6" ht="20.100000000000001" customHeight="1" x14ac:dyDescent="0.15">
      <c r="A52" s="5">
        <v>49</v>
      </c>
      <c r="B52" s="6" t="str">
        <f>"30482021060216344775580"</f>
        <v>30482021060216344775580</v>
      </c>
      <c r="C52" s="6" t="s">
        <v>2002</v>
      </c>
      <c r="D52" s="6" t="str">
        <f>"吴益运"</f>
        <v>吴益运</v>
      </c>
      <c r="E52" s="6" t="str">
        <f t="shared" si="5"/>
        <v>女</v>
      </c>
      <c r="F52" s="7" t="s">
        <v>963</v>
      </c>
    </row>
    <row r="53" spans="1:6" ht="20.100000000000001" customHeight="1" x14ac:dyDescent="0.15">
      <c r="A53" s="5">
        <v>50</v>
      </c>
      <c r="B53" s="6" t="str">
        <f>"30482021060216405875651"</f>
        <v>30482021060216405875651</v>
      </c>
      <c r="C53" s="6" t="s">
        <v>2002</v>
      </c>
      <c r="D53" s="6" t="str">
        <f>"邓婷尹"</f>
        <v>邓婷尹</v>
      </c>
      <c r="E53" s="6" t="str">
        <f t="shared" si="5"/>
        <v>女</v>
      </c>
      <c r="F53" s="7" t="s">
        <v>1307</v>
      </c>
    </row>
    <row r="54" spans="1:6" ht="20.100000000000001" customHeight="1" x14ac:dyDescent="0.15">
      <c r="A54" s="5">
        <v>51</v>
      </c>
      <c r="B54" s="6" t="str">
        <f>"30482021060216454875693"</f>
        <v>30482021060216454875693</v>
      </c>
      <c r="C54" s="6" t="s">
        <v>2002</v>
      </c>
      <c r="D54" s="6" t="str">
        <f>"符天虹"</f>
        <v>符天虹</v>
      </c>
      <c r="E54" s="6" t="str">
        <f t="shared" si="5"/>
        <v>女</v>
      </c>
      <c r="F54" s="7" t="s">
        <v>1494</v>
      </c>
    </row>
    <row r="55" spans="1:6" ht="20.100000000000001" customHeight="1" x14ac:dyDescent="0.15">
      <c r="A55" s="5">
        <v>52</v>
      </c>
      <c r="B55" s="6" t="str">
        <f>"30482021060217094575907"</f>
        <v>30482021060217094575907</v>
      </c>
      <c r="C55" s="6" t="s">
        <v>2002</v>
      </c>
      <c r="D55" s="6" t="str">
        <f>"周克山"</f>
        <v>周克山</v>
      </c>
      <c r="E55" s="6" t="str">
        <f>"男"</f>
        <v>男</v>
      </c>
      <c r="F55" s="7" t="s">
        <v>691</v>
      </c>
    </row>
    <row r="56" spans="1:6" ht="20.100000000000001" customHeight="1" x14ac:dyDescent="0.15">
      <c r="A56" s="5">
        <v>53</v>
      </c>
      <c r="B56" s="6" t="str">
        <f>"30482021060217501476253"</f>
        <v>30482021060217501476253</v>
      </c>
      <c r="C56" s="6" t="s">
        <v>2002</v>
      </c>
      <c r="D56" s="6" t="str">
        <f>"符媚"</f>
        <v>符媚</v>
      </c>
      <c r="E56" s="6" t="str">
        <f t="shared" ref="E56:E63" si="6">"女"</f>
        <v>女</v>
      </c>
      <c r="F56" s="7" t="s">
        <v>442</v>
      </c>
    </row>
    <row r="57" spans="1:6" ht="20.100000000000001" customHeight="1" x14ac:dyDescent="0.15">
      <c r="A57" s="5">
        <v>54</v>
      </c>
      <c r="B57" s="6" t="str">
        <f>"30482021060217501976254"</f>
        <v>30482021060217501976254</v>
      </c>
      <c r="C57" s="6" t="s">
        <v>2002</v>
      </c>
      <c r="D57" s="6" t="str">
        <f>"林道光"</f>
        <v>林道光</v>
      </c>
      <c r="E57" s="6" t="str">
        <f>"男"</f>
        <v>男</v>
      </c>
      <c r="F57" s="7" t="s">
        <v>2013</v>
      </c>
    </row>
    <row r="58" spans="1:6" ht="20.100000000000001" customHeight="1" x14ac:dyDescent="0.15">
      <c r="A58" s="5">
        <v>55</v>
      </c>
      <c r="B58" s="6" t="str">
        <f>"30482021060219560977154"</f>
        <v>30482021060219560977154</v>
      </c>
      <c r="C58" s="6" t="s">
        <v>2002</v>
      </c>
      <c r="D58" s="6" t="str">
        <f>"林小钰"</f>
        <v>林小钰</v>
      </c>
      <c r="E58" s="6" t="str">
        <f t="shared" si="6"/>
        <v>女</v>
      </c>
      <c r="F58" s="7" t="s">
        <v>1994</v>
      </c>
    </row>
    <row r="59" spans="1:6" ht="20.100000000000001" customHeight="1" x14ac:dyDescent="0.15">
      <c r="A59" s="5">
        <v>56</v>
      </c>
      <c r="B59" s="6" t="str">
        <f>"30482021060220135377295"</f>
        <v>30482021060220135377295</v>
      </c>
      <c r="C59" s="6" t="s">
        <v>2002</v>
      </c>
      <c r="D59" s="6" t="str">
        <f>"周云青"</f>
        <v>周云青</v>
      </c>
      <c r="E59" s="6" t="str">
        <f t="shared" si="6"/>
        <v>女</v>
      </c>
      <c r="F59" s="7" t="s">
        <v>160</v>
      </c>
    </row>
    <row r="60" spans="1:6" ht="20.100000000000001" customHeight="1" x14ac:dyDescent="0.15">
      <c r="A60" s="5">
        <v>57</v>
      </c>
      <c r="B60" s="6" t="str">
        <f>"30482021060223302778829"</f>
        <v>30482021060223302778829</v>
      </c>
      <c r="C60" s="6" t="s">
        <v>2002</v>
      </c>
      <c r="D60" s="6" t="str">
        <f>"吴林真"</f>
        <v>吴林真</v>
      </c>
      <c r="E60" s="6" t="str">
        <f t="shared" si="6"/>
        <v>女</v>
      </c>
      <c r="F60" s="7" t="s">
        <v>635</v>
      </c>
    </row>
    <row r="61" spans="1:6" ht="20.100000000000001" customHeight="1" x14ac:dyDescent="0.15">
      <c r="A61" s="5">
        <v>58</v>
      </c>
      <c r="B61" s="6" t="str">
        <f>"30482021060223553278944"</f>
        <v>30482021060223553278944</v>
      </c>
      <c r="C61" s="6" t="s">
        <v>2002</v>
      </c>
      <c r="D61" s="6" t="str">
        <f>"梁宝文"</f>
        <v>梁宝文</v>
      </c>
      <c r="E61" s="6" t="str">
        <f t="shared" si="6"/>
        <v>女</v>
      </c>
      <c r="F61" s="7" t="s">
        <v>1278</v>
      </c>
    </row>
    <row r="62" spans="1:6" ht="20.100000000000001" customHeight="1" x14ac:dyDescent="0.15">
      <c r="A62" s="5">
        <v>59</v>
      </c>
      <c r="B62" s="6" t="str">
        <f>"30482021060309283380194"</f>
        <v>30482021060309283380194</v>
      </c>
      <c r="C62" s="6" t="s">
        <v>2002</v>
      </c>
      <c r="D62" s="6" t="str">
        <f>"林小雨"</f>
        <v>林小雨</v>
      </c>
      <c r="E62" s="6" t="str">
        <f t="shared" si="6"/>
        <v>女</v>
      </c>
      <c r="F62" s="7" t="s">
        <v>1782</v>
      </c>
    </row>
    <row r="63" spans="1:6" ht="20.100000000000001" customHeight="1" x14ac:dyDescent="0.15">
      <c r="A63" s="5">
        <v>60</v>
      </c>
      <c r="B63" s="6" t="str">
        <f>"30482021060309433680413"</f>
        <v>30482021060309433680413</v>
      </c>
      <c r="C63" s="6" t="s">
        <v>2002</v>
      </c>
      <c r="D63" s="6" t="str">
        <f>"郭飞雪"</f>
        <v>郭飞雪</v>
      </c>
      <c r="E63" s="6" t="str">
        <f t="shared" si="6"/>
        <v>女</v>
      </c>
      <c r="F63" s="7" t="s">
        <v>614</v>
      </c>
    </row>
    <row r="64" spans="1:6" ht="20.100000000000001" customHeight="1" x14ac:dyDescent="0.15">
      <c r="A64" s="5">
        <v>61</v>
      </c>
      <c r="B64" s="6" t="str">
        <f>"30482021060309480680476"</f>
        <v>30482021060309480680476</v>
      </c>
      <c r="C64" s="6" t="s">
        <v>2002</v>
      </c>
      <c r="D64" s="6" t="str">
        <f>"卢哨"</f>
        <v>卢哨</v>
      </c>
      <c r="E64" s="6" t="str">
        <f>"男"</f>
        <v>男</v>
      </c>
      <c r="F64" s="7" t="s">
        <v>1126</v>
      </c>
    </row>
    <row r="65" spans="1:6" ht="20.100000000000001" customHeight="1" x14ac:dyDescent="0.15">
      <c r="A65" s="5">
        <v>62</v>
      </c>
      <c r="B65" s="6" t="str">
        <f>"30482021060310162080959"</f>
        <v>30482021060310162080959</v>
      </c>
      <c r="C65" s="6" t="s">
        <v>2002</v>
      </c>
      <c r="D65" s="6" t="str">
        <f>"关弘"</f>
        <v>关弘</v>
      </c>
      <c r="E65" s="6" t="str">
        <f t="shared" ref="E65:E69" si="7">"女"</f>
        <v>女</v>
      </c>
      <c r="F65" s="7" t="s">
        <v>1994</v>
      </c>
    </row>
    <row r="66" spans="1:6" ht="20.100000000000001" customHeight="1" x14ac:dyDescent="0.15">
      <c r="A66" s="5">
        <v>63</v>
      </c>
      <c r="B66" s="6" t="str">
        <f>"30482021060312241482651"</f>
        <v>30482021060312241482651</v>
      </c>
      <c r="C66" s="6" t="s">
        <v>2002</v>
      </c>
      <c r="D66" s="6" t="str">
        <f>"蔡雪贞"</f>
        <v>蔡雪贞</v>
      </c>
      <c r="E66" s="6" t="str">
        <f t="shared" si="7"/>
        <v>女</v>
      </c>
      <c r="F66" s="7" t="s">
        <v>2014</v>
      </c>
    </row>
    <row r="67" spans="1:6" ht="20.100000000000001" customHeight="1" x14ac:dyDescent="0.15">
      <c r="A67" s="5">
        <v>64</v>
      </c>
      <c r="B67" s="6" t="str">
        <f>"30482021060312394482814"</f>
        <v>30482021060312394482814</v>
      </c>
      <c r="C67" s="6" t="s">
        <v>2002</v>
      </c>
      <c r="D67" s="6" t="str">
        <f>"符莉"</f>
        <v>符莉</v>
      </c>
      <c r="E67" s="6" t="str">
        <f t="shared" si="7"/>
        <v>女</v>
      </c>
      <c r="F67" s="7" t="s">
        <v>43</v>
      </c>
    </row>
    <row r="68" spans="1:6" ht="20.100000000000001" customHeight="1" x14ac:dyDescent="0.15">
      <c r="A68" s="5">
        <v>65</v>
      </c>
      <c r="B68" s="6" t="str">
        <f>"30482021060313031283023"</f>
        <v>30482021060313031283023</v>
      </c>
      <c r="C68" s="6" t="s">
        <v>2002</v>
      </c>
      <c r="D68" s="6" t="str">
        <f>"刘高吏"</f>
        <v>刘高吏</v>
      </c>
      <c r="E68" s="6" t="str">
        <f t="shared" si="7"/>
        <v>女</v>
      </c>
      <c r="F68" s="7" t="s">
        <v>520</v>
      </c>
    </row>
    <row r="69" spans="1:6" ht="20.100000000000001" customHeight="1" x14ac:dyDescent="0.15">
      <c r="A69" s="5">
        <v>66</v>
      </c>
      <c r="B69" s="6" t="str">
        <f>"30482021060316482785450"</f>
        <v>30482021060316482785450</v>
      </c>
      <c r="C69" s="6" t="s">
        <v>2002</v>
      </c>
      <c r="D69" s="6" t="str">
        <f>"陈梦薇"</f>
        <v>陈梦薇</v>
      </c>
      <c r="E69" s="6" t="str">
        <f t="shared" si="7"/>
        <v>女</v>
      </c>
      <c r="F69" s="7" t="s">
        <v>93</v>
      </c>
    </row>
    <row r="70" spans="1:6" ht="20.100000000000001" customHeight="1" x14ac:dyDescent="0.15">
      <c r="A70" s="5">
        <v>67</v>
      </c>
      <c r="B70" s="6" t="str">
        <f>"30482021060319362687010"</f>
        <v>30482021060319362687010</v>
      </c>
      <c r="C70" s="6" t="s">
        <v>2002</v>
      </c>
      <c r="D70" s="6" t="str">
        <f>"史运鹏"</f>
        <v>史运鹏</v>
      </c>
      <c r="E70" s="6" t="str">
        <f>"男"</f>
        <v>男</v>
      </c>
      <c r="F70" s="7" t="s">
        <v>852</v>
      </c>
    </row>
    <row r="71" spans="1:6" ht="20.100000000000001" customHeight="1" x14ac:dyDescent="0.15">
      <c r="A71" s="5">
        <v>68</v>
      </c>
      <c r="B71" s="6" t="str">
        <f>"30482021060320583887883"</f>
        <v>30482021060320583887883</v>
      </c>
      <c r="C71" s="6" t="s">
        <v>2002</v>
      </c>
      <c r="D71" s="6" t="str">
        <f>"刘佳"</f>
        <v>刘佳</v>
      </c>
      <c r="E71" s="6" t="str">
        <f t="shared" ref="E71:E73" si="8">"女"</f>
        <v>女</v>
      </c>
      <c r="F71" s="7" t="s">
        <v>1499</v>
      </c>
    </row>
    <row r="72" spans="1:6" ht="20.100000000000001" customHeight="1" x14ac:dyDescent="0.15">
      <c r="A72" s="5">
        <v>69</v>
      </c>
      <c r="B72" s="6" t="str">
        <f>"30482021060322451589098"</f>
        <v>30482021060322451589098</v>
      </c>
      <c r="C72" s="6" t="s">
        <v>2002</v>
      </c>
      <c r="D72" s="6" t="str">
        <f>"陈莹"</f>
        <v>陈莹</v>
      </c>
      <c r="E72" s="6" t="str">
        <f t="shared" si="8"/>
        <v>女</v>
      </c>
      <c r="F72" s="7" t="s">
        <v>2015</v>
      </c>
    </row>
    <row r="73" spans="1:6" ht="20.100000000000001" customHeight="1" x14ac:dyDescent="0.15">
      <c r="A73" s="5">
        <v>70</v>
      </c>
      <c r="B73" s="6" t="str">
        <f>"30482021060323174289397"</f>
        <v>30482021060323174289397</v>
      </c>
      <c r="C73" s="6" t="s">
        <v>2002</v>
      </c>
      <c r="D73" s="6" t="str">
        <f>"吴尚书"</f>
        <v>吴尚书</v>
      </c>
      <c r="E73" s="6" t="str">
        <f t="shared" si="8"/>
        <v>女</v>
      </c>
      <c r="F73" s="7" t="s">
        <v>1399</v>
      </c>
    </row>
    <row r="74" spans="1:6" ht="20.100000000000001" customHeight="1" x14ac:dyDescent="0.15">
      <c r="A74" s="5">
        <v>71</v>
      </c>
      <c r="B74" s="6" t="str">
        <f>"30482021060400034789673"</f>
        <v>30482021060400034789673</v>
      </c>
      <c r="C74" s="6" t="s">
        <v>2002</v>
      </c>
      <c r="D74" s="6" t="str">
        <f>"何盛元"</f>
        <v>何盛元</v>
      </c>
      <c r="E74" s="6" t="str">
        <f>"男"</f>
        <v>男</v>
      </c>
      <c r="F74" s="7" t="s">
        <v>2016</v>
      </c>
    </row>
    <row r="75" spans="1:6" ht="20.100000000000001" customHeight="1" x14ac:dyDescent="0.15">
      <c r="A75" s="5">
        <v>72</v>
      </c>
      <c r="B75" s="6" t="str">
        <f>"30482021060408161690206"</f>
        <v>30482021060408161690206</v>
      </c>
      <c r="C75" s="6" t="s">
        <v>2002</v>
      </c>
      <c r="D75" s="6" t="str">
        <f>"吴佳柳"</f>
        <v>吴佳柳</v>
      </c>
      <c r="E75" s="6" t="str">
        <f t="shared" ref="E75:E99" si="9">"女"</f>
        <v>女</v>
      </c>
      <c r="F75" s="7" t="s">
        <v>1402</v>
      </c>
    </row>
    <row r="76" spans="1:6" ht="20.100000000000001" customHeight="1" x14ac:dyDescent="0.15">
      <c r="A76" s="5">
        <v>73</v>
      </c>
      <c r="B76" s="6" t="str">
        <f>"30482021060410490691950"</f>
        <v>30482021060410490691950</v>
      </c>
      <c r="C76" s="6" t="s">
        <v>2002</v>
      </c>
      <c r="D76" s="6" t="str">
        <f>"周景蓉"</f>
        <v>周景蓉</v>
      </c>
      <c r="E76" s="6" t="str">
        <f t="shared" si="9"/>
        <v>女</v>
      </c>
      <c r="F76" s="7" t="s">
        <v>43</v>
      </c>
    </row>
    <row r="77" spans="1:6" ht="20.100000000000001" customHeight="1" x14ac:dyDescent="0.15">
      <c r="A77" s="5">
        <v>74</v>
      </c>
      <c r="B77" s="6" t="str">
        <f>"30482021060411014392708"</f>
        <v>30482021060411014392708</v>
      </c>
      <c r="C77" s="6" t="s">
        <v>2002</v>
      </c>
      <c r="D77" s="6" t="str">
        <f>"曾巧"</f>
        <v>曾巧</v>
      </c>
      <c r="E77" s="6" t="str">
        <f t="shared" si="9"/>
        <v>女</v>
      </c>
      <c r="F77" s="7" t="s">
        <v>2017</v>
      </c>
    </row>
    <row r="78" spans="1:6" ht="20.100000000000001" customHeight="1" x14ac:dyDescent="0.15">
      <c r="A78" s="5">
        <v>75</v>
      </c>
      <c r="B78" s="6" t="str">
        <f>"30482021060414501295760"</f>
        <v>30482021060414501295760</v>
      </c>
      <c r="C78" s="6" t="s">
        <v>2002</v>
      </c>
      <c r="D78" s="6" t="str">
        <f>"潘敏"</f>
        <v>潘敏</v>
      </c>
      <c r="E78" s="6" t="str">
        <f t="shared" si="9"/>
        <v>女</v>
      </c>
      <c r="F78" s="7" t="s">
        <v>1007</v>
      </c>
    </row>
    <row r="79" spans="1:6" ht="20.100000000000001" customHeight="1" x14ac:dyDescent="0.15">
      <c r="A79" s="5">
        <v>76</v>
      </c>
      <c r="B79" s="6" t="str">
        <f>"30482021060418381898417"</f>
        <v>30482021060418381898417</v>
      </c>
      <c r="C79" s="6" t="s">
        <v>2002</v>
      </c>
      <c r="D79" s="6" t="str">
        <f>"陈秀尼"</f>
        <v>陈秀尼</v>
      </c>
      <c r="E79" s="6" t="str">
        <f t="shared" si="9"/>
        <v>女</v>
      </c>
      <c r="F79" s="7" t="s">
        <v>166</v>
      </c>
    </row>
    <row r="80" spans="1:6" ht="20.100000000000001" customHeight="1" x14ac:dyDescent="0.15">
      <c r="A80" s="5">
        <v>77</v>
      </c>
      <c r="B80" s="6" t="str">
        <f>"30482021060421361099611"</f>
        <v>30482021060421361099611</v>
      </c>
      <c r="C80" s="6" t="s">
        <v>2002</v>
      </c>
      <c r="D80" s="6" t="str">
        <f>"高敏"</f>
        <v>高敏</v>
      </c>
      <c r="E80" s="6" t="str">
        <f t="shared" si="9"/>
        <v>女</v>
      </c>
      <c r="F80" s="7" t="s">
        <v>746</v>
      </c>
    </row>
    <row r="81" spans="1:6" ht="20.100000000000001" customHeight="1" x14ac:dyDescent="0.15">
      <c r="A81" s="5">
        <v>78</v>
      </c>
      <c r="B81" s="6" t="str">
        <f>"304820210605013314100060"</f>
        <v>304820210605013314100060</v>
      </c>
      <c r="C81" s="6" t="s">
        <v>2002</v>
      </c>
      <c r="D81" s="6" t="str">
        <f>"罗伟晶"</f>
        <v>罗伟晶</v>
      </c>
      <c r="E81" s="6" t="str">
        <f t="shared" si="9"/>
        <v>女</v>
      </c>
      <c r="F81" s="7" t="s">
        <v>956</v>
      </c>
    </row>
    <row r="82" spans="1:6" ht="20.100000000000001" customHeight="1" x14ac:dyDescent="0.15">
      <c r="A82" s="5">
        <v>79</v>
      </c>
      <c r="B82" s="6" t="str">
        <f>"304820210605082701100165"</f>
        <v>304820210605082701100165</v>
      </c>
      <c r="C82" s="6" t="s">
        <v>2002</v>
      </c>
      <c r="D82" s="6" t="str">
        <f>"吴小花"</f>
        <v>吴小花</v>
      </c>
      <c r="E82" s="6" t="str">
        <f t="shared" si="9"/>
        <v>女</v>
      </c>
      <c r="F82" s="7" t="s">
        <v>2018</v>
      </c>
    </row>
    <row r="83" spans="1:6" ht="20.100000000000001" customHeight="1" x14ac:dyDescent="0.15">
      <c r="A83" s="5">
        <v>80</v>
      </c>
      <c r="B83" s="6" t="str">
        <f>"304820210605095445100330"</f>
        <v>304820210605095445100330</v>
      </c>
      <c r="C83" s="6" t="s">
        <v>2002</v>
      </c>
      <c r="D83" s="6" t="str">
        <f>"邓小娜"</f>
        <v>邓小娜</v>
      </c>
      <c r="E83" s="6" t="str">
        <f t="shared" si="9"/>
        <v>女</v>
      </c>
      <c r="F83" s="7" t="s">
        <v>238</v>
      </c>
    </row>
    <row r="84" spans="1:6" ht="20.100000000000001" customHeight="1" x14ac:dyDescent="0.15">
      <c r="A84" s="5">
        <v>81</v>
      </c>
      <c r="B84" s="6" t="str">
        <f>"304820210605112852100631"</f>
        <v>304820210605112852100631</v>
      </c>
      <c r="C84" s="6" t="s">
        <v>2002</v>
      </c>
      <c r="D84" s="6" t="str">
        <f>"邱依婷"</f>
        <v>邱依婷</v>
      </c>
      <c r="E84" s="6" t="str">
        <f t="shared" si="9"/>
        <v>女</v>
      </c>
      <c r="F84" s="7" t="s">
        <v>476</v>
      </c>
    </row>
    <row r="85" spans="1:6" ht="20.100000000000001" customHeight="1" x14ac:dyDescent="0.15">
      <c r="A85" s="5">
        <v>82</v>
      </c>
      <c r="B85" s="6" t="str">
        <f>"304820210605132934100922"</f>
        <v>304820210605132934100922</v>
      </c>
      <c r="C85" s="6" t="s">
        <v>2002</v>
      </c>
      <c r="D85" s="6" t="str">
        <f>"彭玉琼"</f>
        <v>彭玉琼</v>
      </c>
      <c r="E85" s="6" t="str">
        <f t="shared" si="9"/>
        <v>女</v>
      </c>
      <c r="F85" s="7" t="s">
        <v>436</v>
      </c>
    </row>
    <row r="86" spans="1:6" ht="20.100000000000001" customHeight="1" x14ac:dyDescent="0.15">
      <c r="A86" s="5">
        <v>83</v>
      </c>
      <c r="B86" s="6" t="str">
        <f>"304820210605170354101507"</f>
        <v>304820210605170354101507</v>
      </c>
      <c r="C86" s="6" t="s">
        <v>2002</v>
      </c>
      <c r="D86" s="6" t="str">
        <f>"王丽艳"</f>
        <v>王丽艳</v>
      </c>
      <c r="E86" s="6" t="str">
        <f t="shared" si="9"/>
        <v>女</v>
      </c>
      <c r="F86" s="7" t="s">
        <v>1721</v>
      </c>
    </row>
    <row r="87" spans="1:6" ht="20.100000000000001" customHeight="1" x14ac:dyDescent="0.15">
      <c r="A87" s="5">
        <v>84</v>
      </c>
      <c r="B87" s="6" t="str">
        <f>"304820210605181612101710"</f>
        <v>304820210605181612101710</v>
      </c>
      <c r="C87" s="6" t="s">
        <v>2002</v>
      </c>
      <c r="D87" s="6" t="str">
        <f>"曾文"</f>
        <v>曾文</v>
      </c>
      <c r="E87" s="6" t="str">
        <f t="shared" si="9"/>
        <v>女</v>
      </c>
      <c r="F87" s="7" t="s">
        <v>656</v>
      </c>
    </row>
    <row r="88" spans="1:6" ht="20.100000000000001" customHeight="1" x14ac:dyDescent="0.15">
      <c r="A88" s="5">
        <v>85</v>
      </c>
      <c r="B88" s="6" t="str">
        <f>"304820210605181815101718"</f>
        <v>304820210605181815101718</v>
      </c>
      <c r="C88" s="6" t="s">
        <v>2002</v>
      </c>
      <c r="D88" s="6" t="str">
        <f>"黄丽巧"</f>
        <v>黄丽巧</v>
      </c>
      <c r="E88" s="6" t="str">
        <f t="shared" si="9"/>
        <v>女</v>
      </c>
      <c r="F88" s="7" t="s">
        <v>2019</v>
      </c>
    </row>
    <row r="89" spans="1:6" ht="20.100000000000001" customHeight="1" x14ac:dyDescent="0.15">
      <c r="A89" s="5">
        <v>86</v>
      </c>
      <c r="B89" s="6" t="str">
        <f>"304820210605184237101777"</f>
        <v>304820210605184237101777</v>
      </c>
      <c r="C89" s="6" t="s">
        <v>2002</v>
      </c>
      <c r="D89" s="6" t="str">
        <f>"吴姣仪"</f>
        <v>吴姣仪</v>
      </c>
      <c r="E89" s="6" t="str">
        <f t="shared" si="9"/>
        <v>女</v>
      </c>
      <c r="F89" s="7" t="s">
        <v>924</v>
      </c>
    </row>
    <row r="90" spans="1:6" ht="20.100000000000001" customHeight="1" x14ac:dyDescent="0.15">
      <c r="A90" s="5">
        <v>87</v>
      </c>
      <c r="B90" s="6" t="str">
        <f>"304820210605224541102424"</f>
        <v>304820210605224541102424</v>
      </c>
      <c r="C90" s="6" t="s">
        <v>2002</v>
      </c>
      <c r="D90" s="6" t="str">
        <f>"刘美茜"</f>
        <v>刘美茜</v>
      </c>
      <c r="E90" s="6" t="str">
        <f t="shared" si="9"/>
        <v>女</v>
      </c>
      <c r="F90" s="7" t="s">
        <v>400</v>
      </c>
    </row>
    <row r="91" spans="1:6" ht="20.100000000000001" customHeight="1" x14ac:dyDescent="0.15">
      <c r="A91" s="5">
        <v>88</v>
      </c>
      <c r="B91" s="6" t="str">
        <f>"304820210606090738102801"</f>
        <v>304820210606090738102801</v>
      </c>
      <c r="C91" s="6" t="s">
        <v>2002</v>
      </c>
      <c r="D91" s="6" t="str">
        <f>"卢玉妃"</f>
        <v>卢玉妃</v>
      </c>
      <c r="E91" s="6" t="str">
        <f t="shared" si="9"/>
        <v>女</v>
      </c>
      <c r="F91" s="7" t="s">
        <v>321</v>
      </c>
    </row>
    <row r="92" spans="1:6" ht="20.100000000000001" customHeight="1" x14ac:dyDescent="0.15">
      <c r="A92" s="5">
        <v>89</v>
      </c>
      <c r="B92" s="6" t="str">
        <f>"304820210606133945103584"</f>
        <v>304820210606133945103584</v>
      </c>
      <c r="C92" s="6" t="s">
        <v>2002</v>
      </c>
      <c r="D92" s="6" t="str">
        <f>"陈思铮"</f>
        <v>陈思铮</v>
      </c>
      <c r="E92" s="6" t="str">
        <f t="shared" si="9"/>
        <v>女</v>
      </c>
      <c r="F92" s="7" t="s">
        <v>787</v>
      </c>
    </row>
    <row r="93" spans="1:6" ht="20.100000000000001" customHeight="1" x14ac:dyDescent="0.15">
      <c r="A93" s="5">
        <v>90</v>
      </c>
      <c r="B93" s="6" t="str">
        <f>"304820210606151515103831"</f>
        <v>304820210606151515103831</v>
      </c>
      <c r="C93" s="6" t="s">
        <v>2002</v>
      </c>
      <c r="D93" s="6" t="str">
        <f>"孙荣"</f>
        <v>孙荣</v>
      </c>
      <c r="E93" s="6" t="str">
        <f t="shared" si="9"/>
        <v>女</v>
      </c>
      <c r="F93" s="7" t="s">
        <v>2020</v>
      </c>
    </row>
    <row r="94" spans="1:6" ht="20.100000000000001" customHeight="1" x14ac:dyDescent="0.15">
      <c r="A94" s="5">
        <v>91</v>
      </c>
      <c r="B94" s="6" t="str">
        <f>"304820210606154440103934"</f>
        <v>304820210606154440103934</v>
      </c>
      <c r="C94" s="6" t="s">
        <v>2002</v>
      </c>
      <c r="D94" s="6" t="str">
        <f>"庄越"</f>
        <v>庄越</v>
      </c>
      <c r="E94" s="6" t="str">
        <f t="shared" si="9"/>
        <v>女</v>
      </c>
      <c r="F94" s="7" t="s">
        <v>140</v>
      </c>
    </row>
    <row r="95" spans="1:6" ht="20.100000000000001" customHeight="1" x14ac:dyDescent="0.15">
      <c r="A95" s="5">
        <v>92</v>
      </c>
      <c r="B95" s="6" t="str">
        <f>"304820210606190658104493"</f>
        <v>304820210606190658104493</v>
      </c>
      <c r="C95" s="6" t="s">
        <v>2002</v>
      </c>
      <c r="D95" s="6" t="str">
        <f>"羊芸瑜"</f>
        <v>羊芸瑜</v>
      </c>
      <c r="E95" s="6" t="str">
        <f t="shared" si="9"/>
        <v>女</v>
      </c>
      <c r="F95" s="7" t="s">
        <v>1878</v>
      </c>
    </row>
    <row r="96" spans="1:6" ht="20.100000000000001" customHeight="1" x14ac:dyDescent="0.15">
      <c r="A96" s="5">
        <v>93</v>
      </c>
      <c r="B96" s="6" t="str">
        <f>"304820210606203607104663"</f>
        <v>304820210606203607104663</v>
      </c>
      <c r="C96" s="6" t="s">
        <v>2002</v>
      </c>
      <c r="D96" s="6" t="str">
        <f>"甘怀霜"</f>
        <v>甘怀霜</v>
      </c>
      <c r="E96" s="6" t="str">
        <f t="shared" si="9"/>
        <v>女</v>
      </c>
      <c r="F96" s="7" t="s">
        <v>643</v>
      </c>
    </row>
    <row r="97" spans="1:6" ht="20.100000000000001" customHeight="1" x14ac:dyDescent="0.15">
      <c r="A97" s="5">
        <v>94</v>
      </c>
      <c r="B97" s="6" t="str">
        <f>"304820210607021544105340"</f>
        <v>304820210607021544105340</v>
      </c>
      <c r="C97" s="6" t="s">
        <v>2002</v>
      </c>
      <c r="D97" s="6" t="str">
        <f>"李柔仙"</f>
        <v>李柔仙</v>
      </c>
      <c r="E97" s="6" t="str">
        <f t="shared" si="9"/>
        <v>女</v>
      </c>
      <c r="F97" s="7" t="s">
        <v>460</v>
      </c>
    </row>
    <row r="98" spans="1:6" ht="20.100000000000001" customHeight="1" x14ac:dyDescent="0.15">
      <c r="A98" s="5">
        <v>95</v>
      </c>
      <c r="B98" s="6" t="str">
        <f>"304820210607090509105545"</f>
        <v>304820210607090509105545</v>
      </c>
      <c r="C98" s="6" t="s">
        <v>2002</v>
      </c>
      <c r="D98" s="6" t="str">
        <f>"覃学新"</f>
        <v>覃学新</v>
      </c>
      <c r="E98" s="6" t="str">
        <f t="shared" si="9"/>
        <v>女</v>
      </c>
      <c r="F98" s="7" t="s">
        <v>2021</v>
      </c>
    </row>
    <row r="99" spans="1:6" ht="20.100000000000001" customHeight="1" x14ac:dyDescent="0.15">
      <c r="A99" s="5">
        <v>96</v>
      </c>
      <c r="B99" s="6" t="str">
        <f>"304820210607113949106443"</f>
        <v>304820210607113949106443</v>
      </c>
      <c r="C99" s="6" t="s">
        <v>2002</v>
      </c>
      <c r="D99" s="6" t="str">
        <f>"黄香郁"</f>
        <v>黄香郁</v>
      </c>
      <c r="E99" s="6" t="str">
        <f t="shared" si="9"/>
        <v>女</v>
      </c>
      <c r="F99" s="7" t="s">
        <v>2022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J8" sqref="J8"/>
    </sheetView>
  </sheetViews>
  <sheetFormatPr defaultColWidth="9" defaultRowHeight="20.100000000000001" customHeight="1" x14ac:dyDescent="0.15"/>
  <cols>
    <col min="1" max="1" width="7.25" style="1" customWidth="1"/>
    <col min="2" max="2" width="24.625" style="1" customWidth="1"/>
    <col min="3" max="3" width="15.125" style="1" customWidth="1"/>
    <col min="4" max="4" width="10.75" style="1" customWidth="1"/>
    <col min="5" max="5" width="8.75" style="1" customWidth="1"/>
    <col min="6" max="6" width="1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"30482021060120425868253"</f>
        <v>30482021060120425868253</v>
      </c>
      <c r="C4" s="6" t="s">
        <v>2023</v>
      </c>
      <c r="D4" s="6" t="str">
        <f>"杨杏"</f>
        <v>杨杏</v>
      </c>
      <c r="E4" s="6" t="str">
        <f t="shared" ref="E4:E7" si="0">"女"</f>
        <v>女</v>
      </c>
      <c r="F4" s="7" t="s">
        <v>2024</v>
      </c>
    </row>
    <row r="5" spans="1:6" ht="20.100000000000001" customHeight="1" x14ac:dyDescent="0.15">
      <c r="A5" s="5">
        <v>2</v>
      </c>
      <c r="B5" s="6" t="str">
        <f>"30482021060215110774689"</f>
        <v>30482021060215110774689</v>
      </c>
      <c r="C5" s="6" t="s">
        <v>2023</v>
      </c>
      <c r="D5" s="6" t="str">
        <f>"王孟牙"</f>
        <v>王孟牙</v>
      </c>
      <c r="E5" s="6" t="str">
        <f t="shared" si="0"/>
        <v>女</v>
      </c>
      <c r="F5" s="7" t="s">
        <v>1499</v>
      </c>
    </row>
    <row r="6" spans="1:6" ht="20.100000000000001" customHeight="1" x14ac:dyDescent="0.15">
      <c r="A6" s="5">
        <v>3</v>
      </c>
      <c r="B6" s="6" t="str">
        <f>"30482021060310244881086"</f>
        <v>30482021060310244881086</v>
      </c>
      <c r="C6" s="6" t="s">
        <v>2023</v>
      </c>
      <c r="D6" s="6" t="str">
        <f>"符琚"</f>
        <v>符琚</v>
      </c>
      <c r="E6" s="6" t="str">
        <f>"男"</f>
        <v>男</v>
      </c>
      <c r="F6" s="7" t="s">
        <v>848</v>
      </c>
    </row>
    <row r="7" spans="1:6" ht="20.100000000000001" customHeight="1" x14ac:dyDescent="0.15">
      <c r="A7" s="5">
        <v>4</v>
      </c>
      <c r="B7" s="6" t="str">
        <f>"30482021060311531882347"</f>
        <v>30482021060311531882347</v>
      </c>
      <c r="C7" s="6" t="s">
        <v>2023</v>
      </c>
      <c r="D7" s="6" t="str">
        <f>"王妙玲"</f>
        <v>王妙玲</v>
      </c>
      <c r="E7" s="6" t="str">
        <f t="shared" si="0"/>
        <v>女</v>
      </c>
      <c r="F7" s="7" t="s">
        <v>393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" style="1" customWidth="1"/>
    <col min="2" max="2" width="24.625" style="1" customWidth="1"/>
    <col min="3" max="3" width="14.125" style="1" customWidth="1"/>
    <col min="4" max="4" width="10.875" style="1" customWidth="1"/>
    <col min="5" max="5" width="9.75" style="1" customWidth="1"/>
    <col min="6" max="6" width="16.8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">
        <v>2025</v>
      </c>
      <c r="C4" s="6" t="s">
        <v>2026</v>
      </c>
      <c r="D4" s="6" t="s">
        <v>2027</v>
      </c>
      <c r="E4" s="6" t="s">
        <v>2028</v>
      </c>
      <c r="F4" s="7" t="s">
        <v>828</v>
      </c>
    </row>
    <row r="5" spans="1:6" ht="20.100000000000001" customHeight="1" x14ac:dyDescent="0.15">
      <c r="A5" s="5">
        <v>2</v>
      </c>
      <c r="B5" s="6" t="s">
        <v>2029</v>
      </c>
      <c r="C5" s="6" t="s">
        <v>2026</v>
      </c>
      <c r="D5" s="6" t="s">
        <v>2030</v>
      </c>
      <c r="E5" s="6" t="s">
        <v>2031</v>
      </c>
      <c r="F5" s="7" t="s">
        <v>242</v>
      </c>
    </row>
    <row r="6" spans="1:6" ht="20.100000000000001" customHeight="1" x14ac:dyDescent="0.15">
      <c r="A6" s="5">
        <v>3</v>
      </c>
      <c r="B6" s="6" t="s">
        <v>2032</v>
      </c>
      <c r="C6" s="6" t="s">
        <v>2026</v>
      </c>
      <c r="D6" s="6" t="s">
        <v>2033</v>
      </c>
      <c r="E6" s="6" t="s">
        <v>2028</v>
      </c>
      <c r="F6" s="7" t="s">
        <v>1233</v>
      </c>
    </row>
    <row r="7" spans="1:6" ht="20.100000000000001" customHeight="1" x14ac:dyDescent="0.15">
      <c r="A7" s="5">
        <v>4</v>
      </c>
      <c r="B7" s="6" t="s">
        <v>2034</v>
      </c>
      <c r="C7" s="6" t="s">
        <v>2026</v>
      </c>
      <c r="D7" s="6" t="s">
        <v>2035</v>
      </c>
      <c r="E7" s="6" t="s">
        <v>2028</v>
      </c>
      <c r="F7" s="7" t="s">
        <v>1499</v>
      </c>
    </row>
    <row r="8" spans="1:6" ht="20.100000000000001" customHeight="1" x14ac:dyDescent="0.15">
      <c r="A8" s="5">
        <v>5</v>
      </c>
      <c r="B8" s="6" t="s">
        <v>2036</v>
      </c>
      <c r="C8" s="6" t="s">
        <v>2026</v>
      </c>
      <c r="D8" s="6" t="s">
        <v>2037</v>
      </c>
      <c r="E8" s="6" t="s">
        <v>2028</v>
      </c>
      <c r="F8" s="7" t="s">
        <v>587</v>
      </c>
    </row>
    <row r="9" spans="1:6" ht="20.100000000000001" customHeight="1" x14ac:dyDescent="0.15">
      <c r="A9" s="5">
        <v>6</v>
      </c>
      <c r="B9" s="6" t="s">
        <v>2038</v>
      </c>
      <c r="C9" s="6" t="s">
        <v>2026</v>
      </c>
      <c r="D9" s="6" t="s">
        <v>2039</v>
      </c>
      <c r="E9" s="6" t="s">
        <v>2028</v>
      </c>
      <c r="F9" s="7" t="s">
        <v>777</v>
      </c>
    </row>
    <row r="10" spans="1:6" ht="20.100000000000001" customHeight="1" x14ac:dyDescent="0.15">
      <c r="A10" s="5">
        <v>7</v>
      </c>
      <c r="B10" s="6" t="s">
        <v>2040</v>
      </c>
      <c r="C10" s="6" t="s">
        <v>2026</v>
      </c>
      <c r="D10" s="6" t="s">
        <v>2041</v>
      </c>
      <c r="E10" s="6" t="s">
        <v>2028</v>
      </c>
      <c r="F10" s="7" t="s">
        <v>960</v>
      </c>
    </row>
    <row r="11" spans="1:6" ht="20.100000000000001" customHeight="1" x14ac:dyDescent="0.15">
      <c r="A11" s="5">
        <v>8</v>
      </c>
      <c r="B11" s="6" t="s">
        <v>2042</v>
      </c>
      <c r="C11" s="6" t="s">
        <v>2026</v>
      </c>
      <c r="D11" s="6" t="s">
        <v>2043</v>
      </c>
      <c r="E11" s="6" t="s">
        <v>2028</v>
      </c>
      <c r="F11" s="7" t="s">
        <v>403</v>
      </c>
    </row>
    <row r="12" spans="1:6" ht="20.100000000000001" customHeight="1" x14ac:dyDescent="0.15">
      <c r="A12" s="5">
        <v>9</v>
      </c>
      <c r="B12" s="6" t="s">
        <v>2044</v>
      </c>
      <c r="C12" s="6" t="s">
        <v>2026</v>
      </c>
      <c r="D12" s="6" t="s">
        <v>2045</v>
      </c>
      <c r="E12" s="6" t="s">
        <v>2028</v>
      </c>
      <c r="F12" s="7" t="s">
        <v>2046</v>
      </c>
    </row>
    <row r="13" spans="1:6" ht="20.100000000000001" customHeight="1" x14ac:dyDescent="0.15">
      <c r="A13" s="5">
        <v>10</v>
      </c>
      <c r="B13" s="6" t="s">
        <v>2047</v>
      </c>
      <c r="C13" s="6" t="s">
        <v>2026</v>
      </c>
      <c r="D13" s="6" t="s">
        <v>2048</v>
      </c>
      <c r="E13" s="6" t="s">
        <v>2028</v>
      </c>
      <c r="F13" s="7" t="s">
        <v>2049</v>
      </c>
    </row>
    <row r="14" spans="1:6" ht="20.100000000000001" customHeight="1" x14ac:dyDescent="0.15">
      <c r="A14" s="5">
        <v>11</v>
      </c>
      <c r="B14" s="6" t="s">
        <v>2050</v>
      </c>
      <c r="C14" s="6" t="s">
        <v>2026</v>
      </c>
      <c r="D14" s="6" t="s">
        <v>2051</v>
      </c>
      <c r="E14" s="6" t="s">
        <v>2031</v>
      </c>
      <c r="F14" s="7" t="s">
        <v>2052</v>
      </c>
    </row>
    <row r="15" spans="1:6" ht="20.100000000000001" customHeight="1" x14ac:dyDescent="0.15">
      <c r="A15" s="5">
        <v>12</v>
      </c>
      <c r="B15" s="6" t="s">
        <v>2053</v>
      </c>
      <c r="C15" s="6" t="s">
        <v>2026</v>
      </c>
      <c r="D15" s="6" t="s">
        <v>2054</v>
      </c>
      <c r="E15" s="6" t="s">
        <v>2028</v>
      </c>
      <c r="F15" s="7" t="s">
        <v>483</v>
      </c>
    </row>
    <row r="16" spans="1:6" ht="20.100000000000001" customHeight="1" x14ac:dyDescent="0.15">
      <c r="A16" s="5">
        <v>13</v>
      </c>
      <c r="B16" s="6" t="s">
        <v>2055</v>
      </c>
      <c r="C16" s="6" t="s">
        <v>2026</v>
      </c>
      <c r="D16" s="6" t="s">
        <v>2056</v>
      </c>
      <c r="E16" s="6" t="s">
        <v>2028</v>
      </c>
      <c r="F16" s="7" t="s">
        <v>1695</v>
      </c>
    </row>
    <row r="17" spans="1:6" ht="20.100000000000001" customHeight="1" x14ac:dyDescent="0.15">
      <c r="A17" s="5">
        <v>14</v>
      </c>
      <c r="B17" s="6" t="s">
        <v>2057</v>
      </c>
      <c r="C17" s="6" t="s">
        <v>2026</v>
      </c>
      <c r="D17" s="6" t="s">
        <v>2058</v>
      </c>
      <c r="E17" s="6" t="s">
        <v>2028</v>
      </c>
      <c r="F17" s="7" t="s">
        <v>435</v>
      </c>
    </row>
    <row r="18" spans="1:6" ht="20.100000000000001" customHeight="1" x14ac:dyDescent="0.15">
      <c r="A18" s="5">
        <v>15</v>
      </c>
      <c r="B18" s="6" t="s">
        <v>2059</v>
      </c>
      <c r="C18" s="6" t="s">
        <v>2026</v>
      </c>
      <c r="D18" s="6" t="s">
        <v>2060</v>
      </c>
      <c r="E18" s="6" t="s">
        <v>2028</v>
      </c>
      <c r="F18" s="7" t="s">
        <v>42</v>
      </c>
    </row>
    <row r="19" spans="1:6" ht="20.100000000000001" customHeight="1" x14ac:dyDescent="0.15">
      <c r="A19" s="5">
        <v>16</v>
      </c>
      <c r="B19" s="6" t="s">
        <v>2061</v>
      </c>
      <c r="C19" s="6" t="s">
        <v>2026</v>
      </c>
      <c r="D19" s="6" t="s">
        <v>2062</v>
      </c>
      <c r="E19" s="6" t="s">
        <v>2028</v>
      </c>
      <c r="F19" s="7" t="s">
        <v>537</v>
      </c>
    </row>
    <row r="20" spans="1:6" ht="20.100000000000001" customHeight="1" x14ac:dyDescent="0.15">
      <c r="A20" s="5">
        <v>17</v>
      </c>
      <c r="B20" s="6" t="s">
        <v>2063</v>
      </c>
      <c r="C20" s="6" t="s">
        <v>2026</v>
      </c>
      <c r="D20" s="6" t="s">
        <v>2064</v>
      </c>
      <c r="E20" s="6" t="s">
        <v>2028</v>
      </c>
      <c r="F20" s="7" t="s">
        <v>152</v>
      </c>
    </row>
    <row r="21" spans="1:6" ht="20.100000000000001" customHeight="1" x14ac:dyDescent="0.15">
      <c r="A21" s="5">
        <v>18</v>
      </c>
      <c r="B21" s="6" t="s">
        <v>2065</v>
      </c>
      <c r="C21" s="6" t="s">
        <v>2026</v>
      </c>
      <c r="D21" s="6" t="s">
        <v>2066</v>
      </c>
      <c r="E21" s="6" t="s">
        <v>2028</v>
      </c>
      <c r="F21" s="7" t="s">
        <v>1211</v>
      </c>
    </row>
    <row r="22" spans="1:6" ht="20.100000000000001" customHeight="1" x14ac:dyDescent="0.15">
      <c r="A22" s="5">
        <v>19</v>
      </c>
      <c r="B22" s="6" t="s">
        <v>2067</v>
      </c>
      <c r="C22" s="6" t="s">
        <v>2026</v>
      </c>
      <c r="D22" s="6" t="s">
        <v>2068</v>
      </c>
      <c r="E22" s="6" t="s">
        <v>2028</v>
      </c>
      <c r="F22" s="7" t="s">
        <v>2069</v>
      </c>
    </row>
    <row r="23" spans="1:6" ht="20.100000000000001" customHeight="1" x14ac:dyDescent="0.15">
      <c r="A23" s="5">
        <v>20</v>
      </c>
      <c r="B23" s="6" t="s">
        <v>2070</v>
      </c>
      <c r="C23" s="6" t="s">
        <v>2026</v>
      </c>
      <c r="D23" s="6" t="s">
        <v>2071</v>
      </c>
      <c r="E23" s="6" t="s">
        <v>2028</v>
      </c>
      <c r="F23" s="7" t="s">
        <v>1180</v>
      </c>
    </row>
    <row r="24" spans="1:6" ht="20.100000000000001" customHeight="1" x14ac:dyDescent="0.15">
      <c r="A24" s="5">
        <v>21</v>
      </c>
      <c r="B24" s="6" t="s">
        <v>2072</v>
      </c>
      <c r="C24" s="6" t="s">
        <v>2026</v>
      </c>
      <c r="D24" s="6" t="s">
        <v>2073</v>
      </c>
      <c r="E24" s="6" t="s">
        <v>2028</v>
      </c>
      <c r="F24" s="7" t="s">
        <v>1176</v>
      </c>
    </row>
    <row r="25" spans="1:6" ht="20.100000000000001" customHeight="1" x14ac:dyDescent="0.15">
      <c r="A25" s="5">
        <v>22</v>
      </c>
      <c r="B25" s="6" t="s">
        <v>2074</v>
      </c>
      <c r="C25" s="6" t="s">
        <v>2026</v>
      </c>
      <c r="D25" s="6" t="s">
        <v>2075</v>
      </c>
      <c r="E25" s="6" t="s">
        <v>2028</v>
      </c>
      <c r="F25" s="7" t="s">
        <v>485</v>
      </c>
    </row>
    <row r="26" spans="1:6" ht="20.100000000000001" customHeight="1" x14ac:dyDescent="0.15">
      <c r="A26" s="5">
        <v>23</v>
      </c>
      <c r="B26" s="6" t="s">
        <v>2076</v>
      </c>
      <c r="C26" s="6" t="s">
        <v>2026</v>
      </c>
      <c r="D26" s="6" t="s">
        <v>2077</v>
      </c>
      <c r="E26" s="6" t="s">
        <v>2031</v>
      </c>
      <c r="F26" s="7" t="s">
        <v>2078</v>
      </c>
    </row>
    <row r="27" spans="1:6" ht="20.100000000000001" customHeight="1" x14ac:dyDescent="0.15">
      <c r="A27" s="5">
        <v>24</v>
      </c>
      <c r="B27" s="6" t="s">
        <v>2079</v>
      </c>
      <c r="C27" s="6" t="s">
        <v>2026</v>
      </c>
      <c r="D27" s="6" t="s">
        <v>2080</v>
      </c>
      <c r="E27" s="6" t="s">
        <v>2028</v>
      </c>
      <c r="F27" s="7" t="s">
        <v>2008</v>
      </c>
    </row>
    <row r="28" spans="1:6" ht="20.100000000000001" customHeight="1" x14ac:dyDescent="0.15">
      <c r="A28" s="5">
        <v>25</v>
      </c>
      <c r="B28" s="6" t="s">
        <v>2081</v>
      </c>
      <c r="C28" s="6" t="s">
        <v>2026</v>
      </c>
      <c r="D28" s="6" t="s">
        <v>2082</v>
      </c>
      <c r="E28" s="6" t="s">
        <v>2028</v>
      </c>
      <c r="F28" s="7" t="s">
        <v>106</v>
      </c>
    </row>
    <row r="29" spans="1:6" ht="20.100000000000001" customHeight="1" x14ac:dyDescent="0.15">
      <c r="A29" s="5">
        <v>26</v>
      </c>
      <c r="B29" s="6" t="s">
        <v>2083</v>
      </c>
      <c r="C29" s="6" t="s">
        <v>2026</v>
      </c>
      <c r="D29" s="6" t="s">
        <v>2084</v>
      </c>
      <c r="E29" s="6" t="s">
        <v>2028</v>
      </c>
      <c r="F29" s="7" t="s">
        <v>463</v>
      </c>
    </row>
    <row r="30" spans="1:6" ht="20.100000000000001" customHeight="1" x14ac:dyDescent="0.15">
      <c r="A30" s="5">
        <v>27</v>
      </c>
      <c r="B30" s="6" t="s">
        <v>2085</v>
      </c>
      <c r="C30" s="6" t="s">
        <v>2026</v>
      </c>
      <c r="D30" s="6" t="s">
        <v>2086</v>
      </c>
      <c r="E30" s="6" t="s">
        <v>2028</v>
      </c>
      <c r="F30" s="7" t="s">
        <v>1844</v>
      </c>
    </row>
    <row r="31" spans="1:6" ht="20.100000000000001" customHeight="1" x14ac:dyDescent="0.15">
      <c r="A31" s="5">
        <v>28</v>
      </c>
      <c r="B31" s="6" t="s">
        <v>2087</v>
      </c>
      <c r="C31" s="6" t="s">
        <v>2026</v>
      </c>
      <c r="D31" s="6" t="s">
        <v>2088</v>
      </c>
      <c r="E31" s="6" t="s">
        <v>2028</v>
      </c>
      <c r="F31" s="7" t="s">
        <v>2089</v>
      </c>
    </row>
    <row r="32" spans="1:6" ht="20.100000000000001" customHeight="1" x14ac:dyDescent="0.15">
      <c r="A32" s="5">
        <v>29</v>
      </c>
      <c r="B32" s="6" t="s">
        <v>2090</v>
      </c>
      <c r="C32" s="6" t="s">
        <v>2026</v>
      </c>
      <c r="D32" s="6" t="s">
        <v>2091</v>
      </c>
      <c r="E32" s="6" t="s">
        <v>2028</v>
      </c>
      <c r="F32" s="7" t="s">
        <v>250</v>
      </c>
    </row>
    <row r="33" spans="1:6" ht="20.100000000000001" customHeight="1" x14ac:dyDescent="0.15">
      <c r="A33" s="5">
        <v>30</v>
      </c>
      <c r="B33" s="6" t="s">
        <v>2092</v>
      </c>
      <c r="C33" s="6" t="s">
        <v>2026</v>
      </c>
      <c r="D33" s="6" t="s">
        <v>2093</v>
      </c>
      <c r="E33" s="6" t="s">
        <v>2028</v>
      </c>
      <c r="F33" s="7" t="s">
        <v>31</v>
      </c>
    </row>
    <row r="34" spans="1:6" ht="20.100000000000001" customHeight="1" x14ac:dyDescent="0.15">
      <c r="A34" s="5">
        <v>31</v>
      </c>
      <c r="B34" s="6" t="s">
        <v>2094</v>
      </c>
      <c r="C34" s="6" t="s">
        <v>2026</v>
      </c>
      <c r="D34" s="6" t="s">
        <v>2095</v>
      </c>
      <c r="E34" s="6" t="s">
        <v>2031</v>
      </c>
      <c r="F34" s="7" t="s">
        <v>2096</v>
      </c>
    </row>
    <row r="35" spans="1:6" ht="20.100000000000001" customHeight="1" x14ac:dyDescent="0.15">
      <c r="A35" s="5">
        <v>32</v>
      </c>
      <c r="B35" s="6" t="s">
        <v>2097</v>
      </c>
      <c r="C35" s="6" t="s">
        <v>2026</v>
      </c>
      <c r="D35" s="6" t="s">
        <v>2098</v>
      </c>
      <c r="E35" s="6" t="s">
        <v>2028</v>
      </c>
      <c r="F35" s="7" t="s">
        <v>152</v>
      </c>
    </row>
    <row r="36" spans="1:6" ht="20.100000000000001" customHeight="1" x14ac:dyDescent="0.15">
      <c r="A36" s="5">
        <v>33</v>
      </c>
      <c r="B36" s="6" t="s">
        <v>2099</v>
      </c>
      <c r="C36" s="6" t="s">
        <v>2026</v>
      </c>
      <c r="D36" s="6" t="s">
        <v>2100</v>
      </c>
      <c r="E36" s="6" t="s">
        <v>2028</v>
      </c>
      <c r="F36" s="7" t="s">
        <v>1278</v>
      </c>
    </row>
    <row r="37" spans="1:6" ht="20.100000000000001" customHeight="1" x14ac:dyDescent="0.15">
      <c r="A37" s="5">
        <v>34</v>
      </c>
      <c r="B37" s="6" t="s">
        <v>2101</v>
      </c>
      <c r="C37" s="6" t="s">
        <v>2026</v>
      </c>
      <c r="D37" s="6" t="s">
        <v>2102</v>
      </c>
      <c r="E37" s="6" t="s">
        <v>2028</v>
      </c>
      <c r="F37" s="7" t="s">
        <v>2103</v>
      </c>
    </row>
    <row r="38" spans="1:6" ht="20.100000000000001" customHeight="1" x14ac:dyDescent="0.15">
      <c r="A38" s="5">
        <v>35</v>
      </c>
      <c r="B38" s="6" t="s">
        <v>2104</v>
      </c>
      <c r="C38" s="6" t="s">
        <v>2026</v>
      </c>
      <c r="D38" s="6" t="s">
        <v>2105</v>
      </c>
      <c r="E38" s="6" t="s">
        <v>2028</v>
      </c>
      <c r="F38" s="7" t="s">
        <v>57</v>
      </c>
    </row>
    <row r="39" spans="1:6" ht="20.100000000000001" customHeight="1" x14ac:dyDescent="0.15">
      <c r="A39" s="5">
        <v>36</v>
      </c>
      <c r="B39" s="6" t="s">
        <v>2106</v>
      </c>
      <c r="C39" s="6" t="s">
        <v>2026</v>
      </c>
      <c r="D39" s="6" t="s">
        <v>2107</v>
      </c>
      <c r="E39" s="6" t="s">
        <v>2031</v>
      </c>
      <c r="F39" s="7" t="s">
        <v>1120</v>
      </c>
    </row>
    <row r="40" spans="1:6" ht="20.100000000000001" customHeight="1" x14ac:dyDescent="0.15">
      <c r="A40" s="5">
        <v>37</v>
      </c>
      <c r="B40" s="6" t="s">
        <v>2108</v>
      </c>
      <c r="C40" s="6" t="s">
        <v>2026</v>
      </c>
      <c r="D40" s="6" t="s">
        <v>2109</v>
      </c>
      <c r="E40" s="6" t="s">
        <v>2028</v>
      </c>
      <c r="F40" s="7" t="s">
        <v>521</v>
      </c>
    </row>
    <row r="41" spans="1:6" ht="20.100000000000001" customHeight="1" x14ac:dyDescent="0.15">
      <c r="A41" s="5">
        <v>38</v>
      </c>
      <c r="B41" s="6" t="s">
        <v>2110</v>
      </c>
      <c r="C41" s="6" t="s">
        <v>2026</v>
      </c>
      <c r="D41" s="6" t="s">
        <v>2111</v>
      </c>
      <c r="E41" s="6" t="s">
        <v>2028</v>
      </c>
      <c r="F41" s="7" t="s">
        <v>223</v>
      </c>
    </row>
    <row r="42" spans="1:6" ht="20.100000000000001" customHeight="1" x14ac:dyDescent="0.15">
      <c r="A42" s="5">
        <v>39</v>
      </c>
      <c r="B42" s="6" t="s">
        <v>2112</v>
      </c>
      <c r="C42" s="6" t="s">
        <v>2026</v>
      </c>
      <c r="D42" s="6" t="s">
        <v>2113</v>
      </c>
      <c r="E42" s="6" t="s">
        <v>2028</v>
      </c>
      <c r="F42" s="7" t="s">
        <v>2114</v>
      </c>
    </row>
    <row r="43" spans="1:6" ht="20.100000000000001" customHeight="1" x14ac:dyDescent="0.15">
      <c r="A43" s="5">
        <v>40</v>
      </c>
      <c r="B43" s="6" t="s">
        <v>2115</v>
      </c>
      <c r="C43" s="6" t="s">
        <v>2026</v>
      </c>
      <c r="D43" s="6" t="s">
        <v>2116</v>
      </c>
      <c r="E43" s="6" t="s">
        <v>2028</v>
      </c>
      <c r="F43" s="7" t="s">
        <v>138</v>
      </c>
    </row>
    <row r="44" spans="1:6" ht="20.100000000000001" customHeight="1" x14ac:dyDescent="0.15">
      <c r="A44" s="5">
        <v>41</v>
      </c>
      <c r="B44" s="6" t="s">
        <v>2117</v>
      </c>
      <c r="C44" s="6" t="s">
        <v>2026</v>
      </c>
      <c r="D44" s="6" t="s">
        <v>2118</v>
      </c>
      <c r="E44" s="6" t="s">
        <v>2028</v>
      </c>
      <c r="F44" s="7" t="s">
        <v>173</v>
      </c>
    </row>
    <row r="45" spans="1:6" ht="20.100000000000001" customHeight="1" x14ac:dyDescent="0.15">
      <c r="A45" s="5">
        <v>42</v>
      </c>
      <c r="B45" s="6" t="s">
        <v>2119</v>
      </c>
      <c r="C45" s="6" t="s">
        <v>2026</v>
      </c>
      <c r="D45" s="6" t="s">
        <v>2120</v>
      </c>
      <c r="E45" s="6" t="s">
        <v>2028</v>
      </c>
      <c r="F45" s="7" t="s">
        <v>151</v>
      </c>
    </row>
    <row r="46" spans="1:6" ht="20.100000000000001" customHeight="1" x14ac:dyDescent="0.15">
      <c r="A46" s="5">
        <v>43</v>
      </c>
      <c r="B46" s="6" t="s">
        <v>2121</v>
      </c>
      <c r="C46" s="6" t="s">
        <v>2026</v>
      </c>
      <c r="D46" s="6" t="s">
        <v>2122</v>
      </c>
      <c r="E46" s="6" t="s">
        <v>2028</v>
      </c>
      <c r="F46" s="7" t="s">
        <v>2123</v>
      </c>
    </row>
    <row r="47" spans="1:6" ht="20.100000000000001" customHeight="1" x14ac:dyDescent="0.15">
      <c r="A47" s="5">
        <v>44</v>
      </c>
      <c r="B47" s="6" t="s">
        <v>2124</v>
      </c>
      <c r="C47" s="6" t="s">
        <v>2026</v>
      </c>
      <c r="D47" s="6" t="s">
        <v>2125</v>
      </c>
      <c r="E47" s="6" t="s">
        <v>2028</v>
      </c>
      <c r="F47" s="7" t="s">
        <v>973</v>
      </c>
    </row>
    <row r="48" spans="1:6" ht="20.100000000000001" customHeight="1" x14ac:dyDescent="0.15">
      <c r="A48" s="5">
        <v>45</v>
      </c>
      <c r="B48" s="6" t="s">
        <v>2126</v>
      </c>
      <c r="C48" s="6" t="s">
        <v>2026</v>
      </c>
      <c r="D48" s="6" t="s">
        <v>2127</v>
      </c>
      <c r="E48" s="6" t="s">
        <v>2028</v>
      </c>
      <c r="F48" s="7" t="s">
        <v>518</v>
      </c>
    </row>
    <row r="49" spans="1:6" ht="20.100000000000001" customHeight="1" x14ac:dyDescent="0.15">
      <c r="A49" s="5">
        <v>46</v>
      </c>
      <c r="B49" s="6" t="s">
        <v>2128</v>
      </c>
      <c r="C49" s="6" t="s">
        <v>2026</v>
      </c>
      <c r="D49" s="6" t="s">
        <v>2129</v>
      </c>
      <c r="E49" s="6" t="s">
        <v>2028</v>
      </c>
      <c r="F49" s="7" t="s">
        <v>2130</v>
      </c>
    </row>
    <row r="50" spans="1:6" ht="20.100000000000001" customHeight="1" x14ac:dyDescent="0.15">
      <c r="A50" s="5">
        <v>47</v>
      </c>
      <c r="B50" s="6" t="s">
        <v>2131</v>
      </c>
      <c r="C50" s="6" t="s">
        <v>2026</v>
      </c>
      <c r="D50" s="6" t="s">
        <v>2132</v>
      </c>
      <c r="E50" s="6" t="s">
        <v>2028</v>
      </c>
      <c r="F50" s="7" t="s">
        <v>2133</v>
      </c>
    </row>
    <row r="51" spans="1:6" ht="20.100000000000001" customHeight="1" x14ac:dyDescent="0.15">
      <c r="A51" s="5">
        <v>48</v>
      </c>
      <c r="B51" s="6" t="s">
        <v>2134</v>
      </c>
      <c r="C51" s="6" t="s">
        <v>2026</v>
      </c>
      <c r="D51" s="6" t="s">
        <v>2135</v>
      </c>
      <c r="E51" s="6" t="s">
        <v>2031</v>
      </c>
      <c r="F51" s="7" t="s">
        <v>2136</v>
      </c>
    </row>
    <row r="52" spans="1:6" ht="20.100000000000001" customHeight="1" x14ac:dyDescent="0.15">
      <c r="A52" s="5">
        <v>49</v>
      </c>
      <c r="B52" s="6" t="s">
        <v>2137</v>
      </c>
      <c r="C52" s="6" t="s">
        <v>2026</v>
      </c>
      <c r="D52" s="6" t="s">
        <v>2138</v>
      </c>
      <c r="E52" s="6" t="s">
        <v>2028</v>
      </c>
      <c r="F52" s="7" t="s">
        <v>2139</v>
      </c>
    </row>
    <row r="53" spans="1:6" ht="20.100000000000001" customHeight="1" x14ac:dyDescent="0.15">
      <c r="A53" s="5">
        <v>50</v>
      </c>
      <c r="B53" s="6" t="s">
        <v>2140</v>
      </c>
      <c r="C53" s="6" t="s">
        <v>2026</v>
      </c>
      <c r="D53" s="6" t="s">
        <v>2141</v>
      </c>
      <c r="E53" s="6" t="s">
        <v>2028</v>
      </c>
      <c r="F53" s="7" t="s">
        <v>1320</v>
      </c>
    </row>
    <row r="54" spans="1:6" ht="20.100000000000001" customHeight="1" x14ac:dyDescent="0.15">
      <c r="A54" s="5">
        <v>51</v>
      </c>
      <c r="B54" s="6" t="s">
        <v>2142</v>
      </c>
      <c r="C54" s="6" t="s">
        <v>2026</v>
      </c>
      <c r="D54" s="6" t="s">
        <v>2143</v>
      </c>
      <c r="E54" s="6" t="s">
        <v>2028</v>
      </c>
      <c r="F54" s="7" t="s">
        <v>152</v>
      </c>
    </row>
    <row r="55" spans="1:6" ht="20.100000000000001" customHeight="1" x14ac:dyDescent="0.15">
      <c r="A55" s="5">
        <v>52</v>
      </c>
      <c r="B55" s="6" t="s">
        <v>2144</v>
      </c>
      <c r="C55" s="6" t="s">
        <v>2026</v>
      </c>
      <c r="D55" s="6" t="s">
        <v>2145</v>
      </c>
      <c r="E55" s="6" t="s">
        <v>2028</v>
      </c>
      <c r="F55" s="7" t="s">
        <v>648</v>
      </c>
    </row>
    <row r="56" spans="1:6" ht="20.100000000000001" customHeight="1" x14ac:dyDescent="0.15">
      <c r="A56" s="5">
        <v>53</v>
      </c>
      <c r="B56" s="6" t="s">
        <v>2146</v>
      </c>
      <c r="C56" s="6" t="s">
        <v>2026</v>
      </c>
      <c r="D56" s="6" t="s">
        <v>2147</v>
      </c>
      <c r="E56" s="6" t="s">
        <v>2028</v>
      </c>
      <c r="F56" s="7" t="s">
        <v>196</v>
      </c>
    </row>
    <row r="57" spans="1:6" ht="20.100000000000001" customHeight="1" x14ac:dyDescent="0.15">
      <c r="A57" s="5">
        <v>54</v>
      </c>
      <c r="B57" s="6" t="s">
        <v>2148</v>
      </c>
      <c r="C57" s="6" t="s">
        <v>2026</v>
      </c>
      <c r="D57" s="6" t="s">
        <v>2149</v>
      </c>
      <c r="E57" s="6" t="s">
        <v>2028</v>
      </c>
      <c r="F57" s="7" t="s">
        <v>2150</v>
      </c>
    </row>
    <row r="58" spans="1:6" ht="20.100000000000001" customHeight="1" x14ac:dyDescent="0.15">
      <c r="A58" s="5">
        <v>55</v>
      </c>
      <c r="B58" s="6" t="s">
        <v>2151</v>
      </c>
      <c r="C58" s="6" t="s">
        <v>2026</v>
      </c>
      <c r="D58" s="6" t="s">
        <v>2152</v>
      </c>
      <c r="E58" s="6" t="s">
        <v>2028</v>
      </c>
      <c r="F58" s="7" t="s">
        <v>318</v>
      </c>
    </row>
    <row r="59" spans="1:6" ht="20.100000000000001" customHeight="1" x14ac:dyDescent="0.15">
      <c r="A59" s="5">
        <v>56</v>
      </c>
      <c r="B59" s="6" t="s">
        <v>2153</v>
      </c>
      <c r="C59" s="6" t="s">
        <v>2026</v>
      </c>
      <c r="D59" s="6" t="s">
        <v>2154</v>
      </c>
      <c r="E59" s="6" t="s">
        <v>2031</v>
      </c>
      <c r="F59" s="7" t="s">
        <v>1025</v>
      </c>
    </row>
    <row r="60" spans="1:6" ht="20.100000000000001" customHeight="1" x14ac:dyDescent="0.15">
      <c r="A60" s="5">
        <v>57</v>
      </c>
      <c r="B60" s="6" t="s">
        <v>2155</v>
      </c>
      <c r="C60" s="6" t="s">
        <v>2026</v>
      </c>
      <c r="D60" s="6" t="s">
        <v>2156</v>
      </c>
      <c r="E60" s="6" t="s">
        <v>2028</v>
      </c>
      <c r="F60" s="7" t="s">
        <v>371</v>
      </c>
    </row>
    <row r="61" spans="1:6" ht="20.100000000000001" customHeight="1" x14ac:dyDescent="0.15">
      <c r="A61" s="5">
        <v>58</v>
      </c>
      <c r="B61" s="6" t="s">
        <v>2157</v>
      </c>
      <c r="C61" s="6" t="s">
        <v>2026</v>
      </c>
      <c r="D61" s="6" t="s">
        <v>2158</v>
      </c>
      <c r="E61" s="6" t="s">
        <v>2028</v>
      </c>
      <c r="F61" s="7" t="s">
        <v>1860</v>
      </c>
    </row>
    <row r="62" spans="1:6" ht="20.100000000000001" customHeight="1" x14ac:dyDescent="0.15">
      <c r="A62" s="5">
        <v>59</v>
      </c>
      <c r="B62" s="6" t="s">
        <v>2159</v>
      </c>
      <c r="C62" s="6" t="s">
        <v>2026</v>
      </c>
      <c r="D62" s="6" t="s">
        <v>2160</v>
      </c>
      <c r="E62" s="6" t="s">
        <v>2028</v>
      </c>
      <c r="F62" s="7" t="s">
        <v>252</v>
      </c>
    </row>
    <row r="63" spans="1:6" ht="20.100000000000001" customHeight="1" x14ac:dyDescent="0.15">
      <c r="A63" s="5">
        <v>60</v>
      </c>
      <c r="B63" s="6" t="s">
        <v>2161</v>
      </c>
      <c r="C63" s="6" t="s">
        <v>2026</v>
      </c>
      <c r="D63" s="6" t="s">
        <v>2162</v>
      </c>
      <c r="E63" s="6" t="s">
        <v>2028</v>
      </c>
      <c r="F63" s="7" t="s">
        <v>2163</v>
      </c>
    </row>
    <row r="64" spans="1:6" ht="20.100000000000001" customHeight="1" x14ac:dyDescent="0.15">
      <c r="A64" s="5">
        <v>61</v>
      </c>
      <c r="B64" s="6" t="s">
        <v>2164</v>
      </c>
      <c r="C64" s="6" t="s">
        <v>2026</v>
      </c>
      <c r="D64" s="6" t="s">
        <v>2165</v>
      </c>
      <c r="E64" s="6" t="s">
        <v>2028</v>
      </c>
      <c r="F64" s="7" t="s">
        <v>101</v>
      </c>
    </row>
    <row r="65" spans="1:6" ht="20.100000000000001" customHeight="1" x14ac:dyDescent="0.15">
      <c r="A65" s="5">
        <v>62</v>
      </c>
      <c r="B65" s="6" t="s">
        <v>2166</v>
      </c>
      <c r="C65" s="6" t="s">
        <v>2026</v>
      </c>
      <c r="D65" s="6" t="s">
        <v>2167</v>
      </c>
      <c r="E65" s="6" t="s">
        <v>2028</v>
      </c>
      <c r="F65" s="7" t="s">
        <v>741</v>
      </c>
    </row>
    <row r="66" spans="1:6" ht="20.100000000000001" customHeight="1" x14ac:dyDescent="0.15">
      <c r="A66" s="5">
        <v>63</v>
      </c>
      <c r="B66" s="6" t="s">
        <v>2168</v>
      </c>
      <c r="C66" s="6" t="s">
        <v>2026</v>
      </c>
      <c r="D66" s="6" t="s">
        <v>2169</v>
      </c>
      <c r="E66" s="6" t="s">
        <v>2028</v>
      </c>
      <c r="F66" s="7" t="s">
        <v>643</v>
      </c>
    </row>
    <row r="67" spans="1:6" ht="20.100000000000001" customHeight="1" x14ac:dyDescent="0.15">
      <c r="A67" s="5">
        <v>64</v>
      </c>
      <c r="B67" s="6" t="s">
        <v>2170</v>
      </c>
      <c r="C67" s="6" t="s">
        <v>2026</v>
      </c>
      <c r="D67" s="6" t="s">
        <v>2171</v>
      </c>
      <c r="E67" s="6" t="s">
        <v>2031</v>
      </c>
      <c r="F67" s="7" t="s">
        <v>2172</v>
      </c>
    </row>
    <row r="68" spans="1:6" ht="20.100000000000001" customHeight="1" x14ac:dyDescent="0.15">
      <c r="A68" s="5">
        <v>65</v>
      </c>
      <c r="B68" s="6" t="s">
        <v>2173</v>
      </c>
      <c r="C68" s="6" t="s">
        <v>2026</v>
      </c>
      <c r="D68" s="6" t="s">
        <v>2174</v>
      </c>
      <c r="E68" s="6" t="s">
        <v>2031</v>
      </c>
      <c r="F68" s="7" t="s">
        <v>2175</v>
      </c>
    </row>
    <row r="69" spans="1:6" ht="20.100000000000001" customHeight="1" x14ac:dyDescent="0.15">
      <c r="A69" s="5">
        <v>66</v>
      </c>
      <c r="B69" s="6" t="s">
        <v>2176</v>
      </c>
      <c r="C69" s="6" t="s">
        <v>2026</v>
      </c>
      <c r="D69" s="6" t="s">
        <v>2177</v>
      </c>
      <c r="E69" s="6" t="s">
        <v>2028</v>
      </c>
      <c r="F69" s="7" t="s">
        <v>140</v>
      </c>
    </row>
    <row r="70" spans="1:6" ht="20.100000000000001" customHeight="1" x14ac:dyDescent="0.15">
      <c r="A70" s="5">
        <v>67</v>
      </c>
      <c r="B70" s="6" t="s">
        <v>2178</v>
      </c>
      <c r="C70" s="6" t="s">
        <v>2026</v>
      </c>
      <c r="D70" s="6" t="s">
        <v>2179</v>
      </c>
      <c r="E70" s="6" t="s">
        <v>2031</v>
      </c>
      <c r="F70" s="7" t="s">
        <v>2180</v>
      </c>
    </row>
    <row r="71" spans="1:6" ht="20.100000000000001" customHeight="1" x14ac:dyDescent="0.15">
      <c r="A71" s="5">
        <v>68</v>
      </c>
      <c r="B71" s="6" t="s">
        <v>2181</v>
      </c>
      <c r="C71" s="6" t="s">
        <v>2026</v>
      </c>
      <c r="D71" s="6" t="s">
        <v>2182</v>
      </c>
      <c r="E71" s="6" t="s">
        <v>2028</v>
      </c>
      <c r="F71" s="7" t="s">
        <v>621</v>
      </c>
    </row>
    <row r="72" spans="1:6" ht="20.100000000000001" customHeight="1" x14ac:dyDescent="0.15">
      <c r="A72" s="5">
        <v>69</v>
      </c>
      <c r="B72" s="6" t="s">
        <v>2183</v>
      </c>
      <c r="C72" s="6" t="s">
        <v>2026</v>
      </c>
      <c r="D72" s="6" t="s">
        <v>2184</v>
      </c>
      <c r="E72" s="6" t="s">
        <v>2028</v>
      </c>
      <c r="F72" s="7" t="s">
        <v>2185</v>
      </c>
    </row>
    <row r="73" spans="1:6" ht="20.100000000000001" customHeight="1" x14ac:dyDescent="0.15">
      <c r="A73" s="5">
        <v>70</v>
      </c>
      <c r="B73" s="6" t="s">
        <v>2186</v>
      </c>
      <c r="C73" s="6" t="s">
        <v>2026</v>
      </c>
      <c r="D73" s="6" t="s">
        <v>2187</v>
      </c>
      <c r="E73" s="6" t="s">
        <v>2028</v>
      </c>
      <c r="F73" s="7" t="s">
        <v>2188</v>
      </c>
    </row>
    <row r="74" spans="1:6" ht="20.100000000000001" customHeight="1" x14ac:dyDescent="0.15">
      <c r="A74" s="5">
        <v>71</v>
      </c>
      <c r="B74" s="6" t="s">
        <v>2189</v>
      </c>
      <c r="C74" s="6" t="s">
        <v>2026</v>
      </c>
      <c r="D74" s="6" t="s">
        <v>2190</v>
      </c>
      <c r="E74" s="6" t="s">
        <v>2028</v>
      </c>
      <c r="F74" s="7" t="s">
        <v>140</v>
      </c>
    </row>
    <row r="75" spans="1:6" ht="20.100000000000001" customHeight="1" x14ac:dyDescent="0.15">
      <c r="A75" s="5">
        <v>72</v>
      </c>
      <c r="B75" s="6" t="s">
        <v>2191</v>
      </c>
      <c r="C75" s="6" t="s">
        <v>2026</v>
      </c>
      <c r="D75" s="6" t="s">
        <v>2192</v>
      </c>
      <c r="E75" s="6" t="s">
        <v>2031</v>
      </c>
      <c r="F75" s="7" t="s">
        <v>242</v>
      </c>
    </row>
    <row r="76" spans="1:6" ht="20.100000000000001" customHeight="1" x14ac:dyDescent="0.15">
      <c r="A76" s="5">
        <v>73</v>
      </c>
      <c r="B76" s="6" t="s">
        <v>2193</v>
      </c>
      <c r="C76" s="6" t="s">
        <v>2026</v>
      </c>
      <c r="D76" s="6" t="s">
        <v>2194</v>
      </c>
      <c r="E76" s="6" t="s">
        <v>2028</v>
      </c>
      <c r="F76" s="7" t="s">
        <v>2195</v>
      </c>
    </row>
    <row r="77" spans="1:6" ht="20.100000000000001" customHeight="1" x14ac:dyDescent="0.15">
      <c r="A77" s="5">
        <v>74</v>
      </c>
      <c r="B77" s="6" t="s">
        <v>2196</v>
      </c>
      <c r="C77" s="6" t="s">
        <v>2026</v>
      </c>
      <c r="D77" s="6" t="s">
        <v>2197</v>
      </c>
      <c r="E77" s="6" t="s">
        <v>2028</v>
      </c>
      <c r="F77" s="7" t="s">
        <v>1392</v>
      </c>
    </row>
    <row r="78" spans="1:6" ht="20.100000000000001" customHeight="1" x14ac:dyDescent="0.15">
      <c r="A78" s="5">
        <v>75</v>
      </c>
      <c r="B78" s="6" t="s">
        <v>2198</v>
      </c>
      <c r="C78" s="6" t="s">
        <v>2026</v>
      </c>
      <c r="D78" s="6" t="s">
        <v>2199</v>
      </c>
      <c r="E78" s="6" t="s">
        <v>2028</v>
      </c>
      <c r="F78" s="7" t="s">
        <v>2200</v>
      </c>
    </row>
    <row r="79" spans="1:6" ht="20.100000000000001" customHeight="1" x14ac:dyDescent="0.15">
      <c r="A79" s="5">
        <v>76</v>
      </c>
      <c r="B79" s="6" t="s">
        <v>2201</v>
      </c>
      <c r="C79" s="6" t="s">
        <v>2026</v>
      </c>
      <c r="D79" s="6" t="s">
        <v>2202</v>
      </c>
      <c r="E79" s="6" t="s">
        <v>2028</v>
      </c>
      <c r="F79" s="7" t="s">
        <v>140</v>
      </c>
    </row>
    <row r="80" spans="1:6" ht="20.100000000000001" customHeight="1" x14ac:dyDescent="0.15">
      <c r="A80" s="5">
        <v>77</v>
      </c>
      <c r="B80" s="6" t="s">
        <v>2203</v>
      </c>
      <c r="C80" s="6" t="s">
        <v>2026</v>
      </c>
      <c r="D80" s="6" t="s">
        <v>2204</v>
      </c>
      <c r="E80" s="6" t="s">
        <v>2028</v>
      </c>
      <c r="F80" s="7" t="s">
        <v>1003</v>
      </c>
    </row>
    <row r="81" spans="1:6" ht="20.100000000000001" customHeight="1" x14ac:dyDescent="0.15">
      <c r="A81" s="5">
        <v>78</v>
      </c>
      <c r="B81" s="6" t="s">
        <v>2205</v>
      </c>
      <c r="C81" s="6" t="s">
        <v>2026</v>
      </c>
      <c r="D81" s="6" t="s">
        <v>2206</v>
      </c>
      <c r="E81" s="6" t="s">
        <v>2028</v>
      </c>
      <c r="F81" s="7" t="s">
        <v>461</v>
      </c>
    </row>
    <row r="82" spans="1:6" ht="20.100000000000001" customHeight="1" x14ac:dyDescent="0.15">
      <c r="A82" s="5">
        <v>79</v>
      </c>
      <c r="B82" s="6" t="s">
        <v>2207</v>
      </c>
      <c r="C82" s="6" t="s">
        <v>2026</v>
      </c>
      <c r="D82" s="6" t="s">
        <v>2208</v>
      </c>
      <c r="E82" s="6" t="s">
        <v>2028</v>
      </c>
      <c r="F82" s="7" t="s">
        <v>2209</v>
      </c>
    </row>
    <row r="83" spans="1:6" ht="20.100000000000001" customHeight="1" x14ac:dyDescent="0.15">
      <c r="A83" s="5">
        <v>80</v>
      </c>
      <c r="B83" s="6" t="s">
        <v>2210</v>
      </c>
      <c r="C83" s="6" t="s">
        <v>2026</v>
      </c>
      <c r="D83" s="6" t="s">
        <v>2211</v>
      </c>
      <c r="E83" s="6" t="s">
        <v>2031</v>
      </c>
      <c r="F83" s="7" t="s">
        <v>2212</v>
      </c>
    </row>
    <row r="84" spans="1:6" ht="20.100000000000001" customHeight="1" x14ac:dyDescent="0.15">
      <c r="A84" s="5">
        <v>81</v>
      </c>
      <c r="B84" s="6" t="s">
        <v>2213</v>
      </c>
      <c r="C84" s="6" t="s">
        <v>2026</v>
      </c>
      <c r="D84" s="6" t="s">
        <v>2214</v>
      </c>
      <c r="E84" s="6" t="s">
        <v>2028</v>
      </c>
      <c r="F84" s="7" t="s">
        <v>2215</v>
      </c>
    </row>
    <row r="85" spans="1:6" ht="20.100000000000001" customHeight="1" x14ac:dyDescent="0.15">
      <c r="A85" s="5">
        <v>82</v>
      </c>
      <c r="B85" s="6" t="s">
        <v>2216</v>
      </c>
      <c r="C85" s="6" t="s">
        <v>2026</v>
      </c>
      <c r="D85" s="6" t="s">
        <v>2217</v>
      </c>
      <c r="E85" s="6" t="s">
        <v>2028</v>
      </c>
      <c r="F85" s="7" t="s">
        <v>1222</v>
      </c>
    </row>
    <row r="86" spans="1:6" ht="20.100000000000001" customHeight="1" x14ac:dyDescent="0.15">
      <c r="A86" s="5">
        <v>83</v>
      </c>
      <c r="B86" s="6" t="s">
        <v>2218</v>
      </c>
      <c r="C86" s="6" t="s">
        <v>2026</v>
      </c>
      <c r="D86" s="6" t="s">
        <v>2219</v>
      </c>
      <c r="E86" s="6" t="s">
        <v>2028</v>
      </c>
      <c r="F86" s="7" t="s">
        <v>172</v>
      </c>
    </row>
    <row r="87" spans="1:6" ht="20.100000000000001" customHeight="1" x14ac:dyDescent="0.15">
      <c r="A87" s="5">
        <v>84</v>
      </c>
      <c r="B87" s="6" t="s">
        <v>2220</v>
      </c>
      <c r="C87" s="6" t="s">
        <v>2026</v>
      </c>
      <c r="D87" s="6" t="s">
        <v>2221</v>
      </c>
      <c r="E87" s="6" t="s">
        <v>2028</v>
      </c>
      <c r="F87" s="7" t="s">
        <v>161</v>
      </c>
    </row>
    <row r="88" spans="1:6" ht="20.100000000000001" customHeight="1" x14ac:dyDescent="0.15">
      <c r="A88" s="5">
        <v>85</v>
      </c>
      <c r="B88" s="6" t="s">
        <v>2222</v>
      </c>
      <c r="C88" s="6" t="s">
        <v>2026</v>
      </c>
      <c r="D88" s="6" t="s">
        <v>2223</v>
      </c>
      <c r="E88" s="6" t="s">
        <v>2028</v>
      </c>
      <c r="F88" s="7" t="s">
        <v>559</v>
      </c>
    </row>
    <row r="89" spans="1:6" ht="20.100000000000001" customHeight="1" x14ac:dyDescent="0.15">
      <c r="A89" s="5">
        <v>86</v>
      </c>
      <c r="B89" s="6" t="s">
        <v>2224</v>
      </c>
      <c r="C89" s="6" t="s">
        <v>2026</v>
      </c>
      <c r="D89" s="6" t="s">
        <v>2225</v>
      </c>
      <c r="E89" s="6" t="s">
        <v>2031</v>
      </c>
      <c r="F89" s="7" t="s">
        <v>2226</v>
      </c>
    </row>
    <row r="90" spans="1:6" ht="20.100000000000001" customHeight="1" x14ac:dyDescent="0.15">
      <c r="A90" s="5">
        <v>87</v>
      </c>
      <c r="B90" s="6" t="s">
        <v>2227</v>
      </c>
      <c r="C90" s="6" t="s">
        <v>2026</v>
      </c>
      <c r="D90" s="6" t="s">
        <v>2228</v>
      </c>
      <c r="E90" s="6" t="s">
        <v>2031</v>
      </c>
      <c r="F90" s="7" t="s">
        <v>2004</v>
      </c>
    </row>
    <row r="91" spans="1:6" ht="20.100000000000001" customHeight="1" x14ac:dyDescent="0.15">
      <c r="A91" s="5">
        <v>88</v>
      </c>
      <c r="B91" s="6" t="s">
        <v>2229</v>
      </c>
      <c r="C91" s="6" t="s">
        <v>2026</v>
      </c>
      <c r="D91" s="6" t="s">
        <v>2230</v>
      </c>
      <c r="E91" s="6" t="s">
        <v>2028</v>
      </c>
      <c r="F91" s="7" t="s">
        <v>534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2"/>
    </sheetView>
  </sheetViews>
  <sheetFormatPr defaultColWidth="9" defaultRowHeight="20.100000000000001" customHeight="1" x14ac:dyDescent="0.15"/>
  <cols>
    <col min="1" max="1" width="7.5" style="1" customWidth="1"/>
    <col min="2" max="2" width="24.625" style="1" customWidth="1"/>
    <col min="3" max="3" width="14.125" style="1" customWidth="1"/>
    <col min="4" max="4" width="11.625" style="1" customWidth="1"/>
    <col min="5" max="5" width="9.5" style="1" customWidth="1"/>
    <col min="6" max="6" width="17.8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"30482021060115264464483"</f>
        <v>30482021060115264464483</v>
      </c>
      <c r="C4" s="6" t="s">
        <v>2231</v>
      </c>
      <c r="D4" s="6" t="str">
        <f>"李传成"</f>
        <v>李传成</v>
      </c>
      <c r="E4" s="6" t="str">
        <f>"男"</f>
        <v>男</v>
      </c>
      <c r="F4" s="7" t="s">
        <v>2232</v>
      </c>
    </row>
    <row r="5" spans="1:6" ht="20.100000000000001" customHeight="1" x14ac:dyDescent="0.15">
      <c r="A5" s="5">
        <v>2</v>
      </c>
      <c r="B5" s="6" t="str">
        <f>"30482021060122203569793"</f>
        <v>30482021060122203569793</v>
      </c>
      <c r="C5" s="6" t="s">
        <v>2231</v>
      </c>
      <c r="D5" s="6" t="str">
        <f>"符芳微"</f>
        <v>符芳微</v>
      </c>
      <c r="E5" s="6" t="str">
        <f t="shared" ref="E5:E8" si="0">"女"</f>
        <v>女</v>
      </c>
      <c r="F5" s="7" t="s">
        <v>268</v>
      </c>
    </row>
    <row r="6" spans="1:6" ht="20.100000000000001" customHeight="1" x14ac:dyDescent="0.15">
      <c r="A6" s="5">
        <v>3</v>
      </c>
      <c r="B6" s="6" t="str">
        <f>"30482021060212043973310"</f>
        <v>30482021060212043973310</v>
      </c>
      <c r="C6" s="6" t="s">
        <v>2231</v>
      </c>
      <c r="D6" s="6" t="str">
        <f>"傅伟慧"</f>
        <v>傅伟慧</v>
      </c>
      <c r="E6" s="6" t="str">
        <f t="shared" si="0"/>
        <v>女</v>
      </c>
      <c r="F6" s="7" t="s">
        <v>2233</v>
      </c>
    </row>
    <row r="7" spans="1:6" ht="20.100000000000001" customHeight="1" x14ac:dyDescent="0.15">
      <c r="A7" s="5">
        <v>4</v>
      </c>
      <c r="B7" s="6" t="str">
        <f>"30482021060212312373528"</f>
        <v>30482021060212312373528</v>
      </c>
      <c r="C7" s="6" t="s">
        <v>2231</v>
      </c>
      <c r="D7" s="6" t="str">
        <f>"邱子银"</f>
        <v>邱子银</v>
      </c>
      <c r="E7" s="6" t="str">
        <f t="shared" si="0"/>
        <v>女</v>
      </c>
      <c r="F7" s="7" t="s">
        <v>2234</v>
      </c>
    </row>
    <row r="8" spans="1:6" ht="20.100000000000001" customHeight="1" x14ac:dyDescent="0.15">
      <c r="A8" s="5">
        <v>5</v>
      </c>
      <c r="B8" s="6" t="str">
        <f>"30482021060215452075081"</f>
        <v>30482021060215452075081</v>
      </c>
      <c r="C8" s="6" t="s">
        <v>2231</v>
      </c>
      <c r="D8" s="6" t="str">
        <f>"韩玥"</f>
        <v>韩玥</v>
      </c>
      <c r="E8" s="6" t="str">
        <f t="shared" si="0"/>
        <v>女</v>
      </c>
      <c r="F8" s="7" t="s">
        <v>801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24" sqref="I24"/>
    </sheetView>
  </sheetViews>
  <sheetFormatPr defaultColWidth="9" defaultRowHeight="20.100000000000001" customHeight="1" x14ac:dyDescent="0.15"/>
  <cols>
    <col min="1" max="1" width="6.625" style="1" customWidth="1"/>
    <col min="2" max="2" width="24.625" style="1" customWidth="1"/>
    <col min="3" max="3" width="15.875" style="1" customWidth="1"/>
    <col min="4" max="4" width="11.25" style="1" customWidth="1"/>
    <col min="5" max="5" width="9.125" style="1" customWidth="1"/>
    <col min="6" max="6" width="15.87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"30482021060115160864351"</f>
        <v>30482021060115160864351</v>
      </c>
      <c r="C4" s="6" t="s">
        <v>2235</v>
      </c>
      <c r="D4" s="6" t="str">
        <f>"陈真宝"</f>
        <v>陈真宝</v>
      </c>
      <c r="E4" s="6" t="str">
        <f t="shared" ref="E4:E16" si="0">"男"</f>
        <v>男</v>
      </c>
      <c r="F4" s="7" t="s">
        <v>2236</v>
      </c>
    </row>
    <row r="5" spans="1:6" ht="20.100000000000001" customHeight="1" x14ac:dyDescent="0.15">
      <c r="A5" s="5">
        <v>2</v>
      </c>
      <c r="B5" s="6" t="str">
        <f>"30482021060116184665117"</f>
        <v>30482021060116184665117</v>
      </c>
      <c r="C5" s="6" t="s">
        <v>2235</v>
      </c>
      <c r="D5" s="6" t="str">
        <f>"朱允康"</f>
        <v>朱允康</v>
      </c>
      <c r="E5" s="6" t="str">
        <f t="shared" si="0"/>
        <v>男</v>
      </c>
      <c r="F5" s="7" t="s">
        <v>2237</v>
      </c>
    </row>
    <row r="6" spans="1:6" ht="20.100000000000001" customHeight="1" x14ac:dyDescent="0.15">
      <c r="A6" s="5">
        <v>3</v>
      </c>
      <c r="B6" s="6" t="str">
        <f>"30482021060116295965290"</f>
        <v>30482021060116295965290</v>
      </c>
      <c r="C6" s="6" t="s">
        <v>2235</v>
      </c>
      <c r="D6" s="6" t="str">
        <f>"李啟明"</f>
        <v>李啟明</v>
      </c>
      <c r="E6" s="6" t="str">
        <f t="shared" si="0"/>
        <v>男</v>
      </c>
      <c r="F6" s="7" t="s">
        <v>443</v>
      </c>
    </row>
    <row r="7" spans="1:6" ht="20.100000000000001" customHeight="1" x14ac:dyDescent="0.15">
      <c r="A7" s="5">
        <v>4</v>
      </c>
      <c r="B7" s="6" t="str">
        <f>"30482021060119440467128"</f>
        <v>30482021060119440467128</v>
      </c>
      <c r="C7" s="6" t="s">
        <v>2235</v>
      </c>
      <c r="D7" s="6" t="str">
        <f>"罗钦元"</f>
        <v>罗钦元</v>
      </c>
      <c r="E7" s="6" t="str">
        <f t="shared" si="0"/>
        <v>男</v>
      </c>
      <c r="F7" s="7" t="s">
        <v>2238</v>
      </c>
    </row>
    <row r="8" spans="1:6" ht="20.100000000000001" customHeight="1" x14ac:dyDescent="0.15">
      <c r="A8" s="5">
        <v>5</v>
      </c>
      <c r="B8" s="6" t="str">
        <f>"30482021060122375469951"</f>
        <v>30482021060122375469951</v>
      </c>
      <c r="C8" s="6" t="s">
        <v>2235</v>
      </c>
      <c r="D8" s="6" t="str">
        <f>"翁书诚"</f>
        <v>翁书诚</v>
      </c>
      <c r="E8" s="6" t="str">
        <f t="shared" si="0"/>
        <v>男</v>
      </c>
      <c r="F8" s="7" t="s">
        <v>2239</v>
      </c>
    </row>
    <row r="9" spans="1:6" ht="20.100000000000001" customHeight="1" x14ac:dyDescent="0.15">
      <c r="A9" s="5">
        <v>6</v>
      </c>
      <c r="B9" s="6" t="str">
        <f>"30482021060209355171524"</f>
        <v>30482021060209355171524</v>
      </c>
      <c r="C9" s="6" t="s">
        <v>2235</v>
      </c>
      <c r="D9" s="6" t="str">
        <f>"王豪"</f>
        <v>王豪</v>
      </c>
      <c r="E9" s="6" t="str">
        <f t="shared" si="0"/>
        <v>男</v>
      </c>
      <c r="F9" s="7" t="s">
        <v>467</v>
      </c>
    </row>
    <row r="10" spans="1:6" ht="20.100000000000001" customHeight="1" x14ac:dyDescent="0.15">
      <c r="A10" s="5">
        <v>7</v>
      </c>
      <c r="B10" s="6" t="str">
        <f>"30482021060213312274006"</f>
        <v>30482021060213312274006</v>
      </c>
      <c r="C10" s="6" t="s">
        <v>2235</v>
      </c>
      <c r="D10" s="6" t="str">
        <f>"赵钧豪"</f>
        <v>赵钧豪</v>
      </c>
      <c r="E10" s="6" t="str">
        <f t="shared" si="0"/>
        <v>男</v>
      </c>
      <c r="F10" s="7" t="s">
        <v>2240</v>
      </c>
    </row>
    <row r="11" spans="1:6" ht="20.100000000000001" customHeight="1" x14ac:dyDescent="0.15">
      <c r="A11" s="5">
        <v>8</v>
      </c>
      <c r="B11" s="6" t="str">
        <f>"30482021060215262274852"</f>
        <v>30482021060215262274852</v>
      </c>
      <c r="C11" s="6" t="s">
        <v>2235</v>
      </c>
      <c r="D11" s="6" t="str">
        <f>"符作衍"</f>
        <v>符作衍</v>
      </c>
      <c r="E11" s="6" t="str">
        <f t="shared" si="0"/>
        <v>男</v>
      </c>
      <c r="F11" s="7" t="s">
        <v>2241</v>
      </c>
    </row>
    <row r="12" spans="1:6" ht="20.100000000000001" customHeight="1" x14ac:dyDescent="0.15">
      <c r="A12" s="5">
        <v>9</v>
      </c>
      <c r="B12" s="6" t="str">
        <f>"30482021060222293478422"</f>
        <v>30482021060222293478422</v>
      </c>
      <c r="C12" s="6" t="s">
        <v>2235</v>
      </c>
      <c r="D12" s="6" t="str">
        <f>"欧开轩"</f>
        <v>欧开轩</v>
      </c>
      <c r="E12" s="6" t="str">
        <f t="shared" si="0"/>
        <v>男</v>
      </c>
      <c r="F12" s="7" t="s">
        <v>2242</v>
      </c>
    </row>
    <row r="13" spans="1:6" ht="20.100000000000001" customHeight="1" x14ac:dyDescent="0.15">
      <c r="A13" s="5">
        <v>10</v>
      </c>
      <c r="B13" s="6" t="str">
        <f>"30482021060416185396988"</f>
        <v>30482021060416185396988</v>
      </c>
      <c r="C13" s="6" t="s">
        <v>2235</v>
      </c>
      <c r="D13" s="6" t="str">
        <f>"孙于琅"</f>
        <v>孙于琅</v>
      </c>
      <c r="E13" s="6" t="str">
        <f t="shared" si="0"/>
        <v>男</v>
      </c>
      <c r="F13" s="7" t="s">
        <v>1590</v>
      </c>
    </row>
    <row r="14" spans="1:6" ht="20.100000000000001" customHeight="1" x14ac:dyDescent="0.15">
      <c r="A14" s="5">
        <v>11</v>
      </c>
      <c r="B14" s="6" t="str">
        <f>"304820210605211728102151"</f>
        <v>304820210605211728102151</v>
      </c>
      <c r="C14" s="6" t="s">
        <v>2235</v>
      </c>
      <c r="D14" s="6" t="str">
        <f>"杨元山"</f>
        <v>杨元山</v>
      </c>
      <c r="E14" s="6" t="str">
        <f t="shared" si="0"/>
        <v>男</v>
      </c>
      <c r="F14" s="7" t="s">
        <v>2243</v>
      </c>
    </row>
    <row r="15" spans="1:6" ht="20.100000000000001" customHeight="1" x14ac:dyDescent="0.15">
      <c r="A15" s="5">
        <v>12</v>
      </c>
      <c r="B15" s="6" t="str">
        <f>"304820210606144957103771"</f>
        <v>304820210606144957103771</v>
      </c>
      <c r="C15" s="6" t="s">
        <v>2235</v>
      </c>
      <c r="D15" s="6" t="str">
        <f>"王国培"</f>
        <v>王国培</v>
      </c>
      <c r="E15" s="6" t="str">
        <f t="shared" si="0"/>
        <v>男</v>
      </c>
      <c r="F15" s="7" t="s">
        <v>840</v>
      </c>
    </row>
    <row r="16" spans="1:6" ht="20.100000000000001" customHeight="1" x14ac:dyDescent="0.15">
      <c r="A16" s="5">
        <v>13</v>
      </c>
      <c r="B16" s="6" t="str">
        <f>"304820210607100415105916"</f>
        <v>304820210607100415105916</v>
      </c>
      <c r="C16" s="6" t="s">
        <v>2235</v>
      </c>
      <c r="D16" s="6" t="str">
        <f>"欧开鹏"</f>
        <v>欧开鹏</v>
      </c>
      <c r="E16" s="6" t="str">
        <f t="shared" si="0"/>
        <v>男</v>
      </c>
      <c r="F16" s="7" t="s">
        <v>2244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2"/>
    </sheetView>
  </sheetViews>
  <sheetFormatPr defaultColWidth="9" defaultRowHeight="20.100000000000001" customHeight="1" x14ac:dyDescent="0.15"/>
  <cols>
    <col min="1" max="1" width="7.5" style="1" customWidth="1"/>
    <col min="2" max="2" width="24.625" style="1" customWidth="1"/>
    <col min="3" max="3" width="16" style="1" customWidth="1"/>
    <col min="4" max="4" width="10.5" style="1" customWidth="1"/>
    <col min="5" max="5" width="8.375" style="1" customWidth="1"/>
    <col min="6" max="6" width="16.6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"30482021060114471763954"</f>
        <v>30482021060114471763954</v>
      </c>
      <c r="C4" s="6" t="s">
        <v>2245</v>
      </c>
      <c r="D4" s="6" t="str">
        <f>"符大林"</f>
        <v>符大林</v>
      </c>
      <c r="E4" s="6" t="str">
        <f t="shared" ref="E4:E7" si="0">"男"</f>
        <v>男</v>
      </c>
      <c r="F4" s="7" t="s">
        <v>2246</v>
      </c>
    </row>
    <row r="5" spans="1:6" ht="20.100000000000001" customHeight="1" x14ac:dyDescent="0.15">
      <c r="A5" s="5">
        <v>2</v>
      </c>
      <c r="B5" s="6" t="str">
        <f>"30482021060116133965046"</f>
        <v>30482021060116133965046</v>
      </c>
      <c r="C5" s="6" t="s">
        <v>2245</v>
      </c>
      <c r="D5" s="6" t="str">
        <f>"周娇"</f>
        <v>周娇</v>
      </c>
      <c r="E5" s="6" t="str">
        <f t="shared" ref="E5:E10" si="1">"女"</f>
        <v>女</v>
      </c>
      <c r="F5" s="7" t="s">
        <v>1229</v>
      </c>
    </row>
    <row r="6" spans="1:6" ht="20.100000000000001" customHeight="1" x14ac:dyDescent="0.15">
      <c r="A6" s="5">
        <v>3</v>
      </c>
      <c r="B6" s="6" t="str">
        <f>"30482021060117173665898"</f>
        <v>30482021060117173665898</v>
      </c>
      <c r="C6" s="6" t="s">
        <v>2245</v>
      </c>
      <c r="D6" s="6" t="str">
        <f>"苏怿"</f>
        <v>苏怿</v>
      </c>
      <c r="E6" s="6" t="str">
        <f t="shared" si="0"/>
        <v>男</v>
      </c>
      <c r="F6" s="7" t="s">
        <v>425</v>
      </c>
    </row>
    <row r="7" spans="1:6" ht="20.100000000000001" customHeight="1" x14ac:dyDescent="0.15">
      <c r="A7" s="5">
        <v>4</v>
      </c>
      <c r="B7" s="6" t="str">
        <f>"30482021060120581768403"</f>
        <v>30482021060120581768403</v>
      </c>
      <c r="C7" s="6" t="s">
        <v>2245</v>
      </c>
      <c r="D7" s="6" t="str">
        <f>"李珏"</f>
        <v>李珏</v>
      </c>
      <c r="E7" s="6" t="str">
        <f t="shared" si="0"/>
        <v>男</v>
      </c>
      <c r="F7" s="7" t="s">
        <v>2247</v>
      </c>
    </row>
    <row r="8" spans="1:6" ht="20.100000000000001" customHeight="1" x14ac:dyDescent="0.15">
      <c r="A8" s="5">
        <v>5</v>
      </c>
      <c r="B8" s="6" t="str">
        <f>"30482021060122035969645"</f>
        <v>30482021060122035969645</v>
      </c>
      <c r="C8" s="6" t="s">
        <v>2245</v>
      </c>
      <c r="D8" s="6" t="str">
        <f>"张晓菁"</f>
        <v>张晓菁</v>
      </c>
      <c r="E8" s="6" t="str">
        <f t="shared" si="1"/>
        <v>女</v>
      </c>
      <c r="F8" s="7" t="s">
        <v>554</v>
      </c>
    </row>
    <row r="9" spans="1:6" ht="20.100000000000001" customHeight="1" x14ac:dyDescent="0.15">
      <c r="A9" s="5">
        <v>6</v>
      </c>
      <c r="B9" s="6" t="str">
        <f>"30482021060208160670751"</f>
        <v>30482021060208160670751</v>
      </c>
      <c r="C9" s="6" t="s">
        <v>2245</v>
      </c>
      <c r="D9" s="6" t="str">
        <f>"陈元理"</f>
        <v>陈元理</v>
      </c>
      <c r="E9" s="6" t="str">
        <f t="shared" ref="E9:E18" si="2">"男"</f>
        <v>男</v>
      </c>
      <c r="F9" s="7" t="s">
        <v>2248</v>
      </c>
    </row>
    <row r="10" spans="1:6" ht="20.100000000000001" customHeight="1" x14ac:dyDescent="0.15">
      <c r="A10" s="5">
        <v>7</v>
      </c>
      <c r="B10" s="6" t="str">
        <f>"30482021060210000071855"</f>
        <v>30482021060210000071855</v>
      </c>
      <c r="C10" s="6" t="s">
        <v>2245</v>
      </c>
      <c r="D10" s="6" t="str">
        <f>"梁少玲"</f>
        <v>梁少玲</v>
      </c>
      <c r="E10" s="6" t="str">
        <f t="shared" si="1"/>
        <v>女</v>
      </c>
      <c r="F10" s="7" t="s">
        <v>650</v>
      </c>
    </row>
    <row r="11" spans="1:6" ht="20.100000000000001" customHeight="1" x14ac:dyDescent="0.15">
      <c r="A11" s="5">
        <v>8</v>
      </c>
      <c r="B11" s="6" t="str">
        <f>"30482021060210265572224"</f>
        <v>30482021060210265572224</v>
      </c>
      <c r="C11" s="6" t="s">
        <v>2245</v>
      </c>
      <c r="D11" s="6" t="str">
        <f>"符永达"</f>
        <v>符永达</v>
      </c>
      <c r="E11" s="6" t="str">
        <f t="shared" si="2"/>
        <v>男</v>
      </c>
      <c r="F11" s="7" t="s">
        <v>877</v>
      </c>
    </row>
    <row r="12" spans="1:6" ht="20.100000000000001" customHeight="1" x14ac:dyDescent="0.15">
      <c r="A12" s="5">
        <v>9</v>
      </c>
      <c r="B12" s="6" t="str">
        <f>"30482021060212012473283"</f>
        <v>30482021060212012473283</v>
      </c>
      <c r="C12" s="6" t="s">
        <v>2245</v>
      </c>
      <c r="D12" s="6" t="str">
        <f>"符莉萍"</f>
        <v>符莉萍</v>
      </c>
      <c r="E12" s="6" t="str">
        <f>"女"</f>
        <v>女</v>
      </c>
      <c r="F12" s="7" t="s">
        <v>1262</v>
      </c>
    </row>
    <row r="13" spans="1:6" ht="20.100000000000001" customHeight="1" x14ac:dyDescent="0.15">
      <c r="A13" s="5">
        <v>10</v>
      </c>
      <c r="B13" s="6" t="str">
        <f>"30482021060213123573875"</f>
        <v>30482021060213123573875</v>
      </c>
      <c r="C13" s="6" t="s">
        <v>2245</v>
      </c>
      <c r="D13" s="6" t="str">
        <f>"何书正"</f>
        <v>何书正</v>
      </c>
      <c r="E13" s="6" t="str">
        <f t="shared" si="2"/>
        <v>男</v>
      </c>
      <c r="F13" s="7" t="s">
        <v>1034</v>
      </c>
    </row>
    <row r="14" spans="1:6" ht="20.100000000000001" customHeight="1" x14ac:dyDescent="0.15">
      <c r="A14" s="5">
        <v>11</v>
      </c>
      <c r="B14" s="6" t="str">
        <f>"30482021060316303985239"</f>
        <v>30482021060316303985239</v>
      </c>
      <c r="C14" s="6" t="s">
        <v>2245</v>
      </c>
      <c r="D14" s="6" t="str">
        <f>"林勇"</f>
        <v>林勇</v>
      </c>
      <c r="E14" s="6" t="str">
        <f t="shared" si="2"/>
        <v>男</v>
      </c>
      <c r="F14" s="7" t="s">
        <v>60</v>
      </c>
    </row>
    <row r="15" spans="1:6" ht="20.100000000000001" customHeight="1" x14ac:dyDescent="0.15">
      <c r="A15" s="5">
        <v>12</v>
      </c>
      <c r="B15" s="6" t="str">
        <f>"30482021060318544686678"</f>
        <v>30482021060318544686678</v>
      </c>
      <c r="C15" s="6" t="s">
        <v>2245</v>
      </c>
      <c r="D15" s="6" t="str">
        <f>"吴钟冠"</f>
        <v>吴钟冠</v>
      </c>
      <c r="E15" s="6" t="str">
        <f t="shared" si="2"/>
        <v>男</v>
      </c>
      <c r="F15" s="7" t="s">
        <v>2249</v>
      </c>
    </row>
    <row r="16" spans="1:6" ht="20.100000000000001" customHeight="1" x14ac:dyDescent="0.15">
      <c r="A16" s="5">
        <v>13</v>
      </c>
      <c r="B16" s="6" t="str">
        <f>"30482021060409002190592"</f>
        <v>30482021060409002190592</v>
      </c>
      <c r="C16" s="6" t="s">
        <v>2245</v>
      </c>
      <c r="D16" s="6" t="str">
        <f>"黄亚家"</f>
        <v>黄亚家</v>
      </c>
      <c r="E16" s="6" t="str">
        <f t="shared" si="2"/>
        <v>男</v>
      </c>
      <c r="F16" s="7" t="s">
        <v>2250</v>
      </c>
    </row>
    <row r="17" spans="1:6" ht="20.100000000000001" customHeight="1" x14ac:dyDescent="0.15">
      <c r="A17" s="5">
        <v>14</v>
      </c>
      <c r="B17" s="6" t="str">
        <f>"304820210605214854102254"</f>
        <v>304820210605214854102254</v>
      </c>
      <c r="C17" s="6" t="s">
        <v>2245</v>
      </c>
      <c r="D17" s="6" t="str">
        <f>"曾子文"</f>
        <v>曾子文</v>
      </c>
      <c r="E17" s="6" t="str">
        <f t="shared" si="2"/>
        <v>男</v>
      </c>
      <c r="F17" s="7" t="s">
        <v>417</v>
      </c>
    </row>
    <row r="18" spans="1:6" ht="20.100000000000001" customHeight="1" x14ac:dyDescent="0.15">
      <c r="A18" s="5">
        <v>15</v>
      </c>
      <c r="B18" s="6" t="str">
        <f>"304820210606120838103334"</f>
        <v>304820210606120838103334</v>
      </c>
      <c r="C18" s="6" t="s">
        <v>2245</v>
      </c>
      <c r="D18" s="6" t="str">
        <f>"符永璋"</f>
        <v>符永璋</v>
      </c>
      <c r="E18" s="6" t="str">
        <f t="shared" si="2"/>
        <v>男</v>
      </c>
      <c r="F18" s="7" t="s">
        <v>978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.25" style="1" customWidth="1"/>
    <col min="2" max="2" width="24.625" style="1" customWidth="1"/>
    <col min="3" max="3" width="15.625" style="1" customWidth="1"/>
    <col min="4" max="4" width="10.5" style="1" customWidth="1"/>
    <col min="5" max="5" width="8.625" style="1" customWidth="1"/>
    <col min="6" max="6" width="16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"30482021060114055363504"</f>
        <v>30482021060114055363504</v>
      </c>
      <c r="C4" s="6" t="s">
        <v>2251</v>
      </c>
      <c r="D4" s="6" t="str">
        <f>"李德徐"</f>
        <v>李德徐</v>
      </c>
      <c r="E4" s="6" t="str">
        <f t="shared" ref="E4:E15" si="0">"男"</f>
        <v>男</v>
      </c>
      <c r="F4" s="7" t="s">
        <v>2252</v>
      </c>
    </row>
    <row r="5" spans="1:6" ht="20.100000000000001" customHeight="1" x14ac:dyDescent="0.15">
      <c r="A5" s="5">
        <v>2</v>
      </c>
      <c r="B5" s="6" t="str">
        <f>"30482021060114131663579"</f>
        <v>30482021060114131663579</v>
      </c>
      <c r="C5" s="6" t="s">
        <v>2251</v>
      </c>
      <c r="D5" s="6" t="str">
        <f>"孙振烘"</f>
        <v>孙振烘</v>
      </c>
      <c r="E5" s="6" t="str">
        <f t="shared" si="0"/>
        <v>男</v>
      </c>
      <c r="F5" s="7" t="s">
        <v>1126</v>
      </c>
    </row>
    <row r="6" spans="1:6" ht="20.100000000000001" customHeight="1" x14ac:dyDescent="0.15">
      <c r="A6" s="5">
        <v>3</v>
      </c>
      <c r="B6" s="6" t="str">
        <f>"30482021060114511363999"</f>
        <v>30482021060114511363999</v>
      </c>
      <c r="C6" s="6" t="s">
        <v>2251</v>
      </c>
      <c r="D6" s="6" t="str">
        <f>"刘俊"</f>
        <v>刘俊</v>
      </c>
      <c r="E6" s="6" t="str">
        <f t="shared" si="0"/>
        <v>男</v>
      </c>
      <c r="F6" s="7" t="s">
        <v>2253</v>
      </c>
    </row>
    <row r="7" spans="1:6" ht="20.100000000000001" customHeight="1" x14ac:dyDescent="0.15">
      <c r="A7" s="5">
        <v>4</v>
      </c>
      <c r="B7" s="6" t="str">
        <f>"30482021060114542464052"</f>
        <v>30482021060114542464052</v>
      </c>
      <c r="C7" s="6" t="s">
        <v>2251</v>
      </c>
      <c r="D7" s="6" t="str">
        <f>"陈显松"</f>
        <v>陈显松</v>
      </c>
      <c r="E7" s="6" t="str">
        <f t="shared" si="0"/>
        <v>男</v>
      </c>
      <c r="F7" s="7" t="s">
        <v>1557</v>
      </c>
    </row>
    <row r="8" spans="1:6" ht="20.100000000000001" customHeight="1" x14ac:dyDescent="0.15">
      <c r="A8" s="5">
        <v>5</v>
      </c>
      <c r="B8" s="6" t="str">
        <f>"30482021060115175264372"</f>
        <v>30482021060115175264372</v>
      </c>
      <c r="C8" s="6" t="s">
        <v>2251</v>
      </c>
      <c r="D8" s="6" t="str">
        <f>"韩青星"</f>
        <v>韩青星</v>
      </c>
      <c r="E8" s="6" t="str">
        <f t="shared" si="0"/>
        <v>男</v>
      </c>
      <c r="F8" s="7" t="s">
        <v>2254</v>
      </c>
    </row>
    <row r="9" spans="1:6" ht="20.100000000000001" customHeight="1" x14ac:dyDescent="0.15">
      <c r="A9" s="5">
        <v>6</v>
      </c>
      <c r="B9" s="6" t="str">
        <f>"30482021060115433364685"</f>
        <v>30482021060115433364685</v>
      </c>
      <c r="C9" s="6" t="s">
        <v>2251</v>
      </c>
      <c r="D9" s="6" t="str">
        <f>"王欢"</f>
        <v>王欢</v>
      </c>
      <c r="E9" s="6" t="str">
        <f t="shared" si="0"/>
        <v>男</v>
      </c>
      <c r="F9" s="7" t="s">
        <v>2255</v>
      </c>
    </row>
    <row r="10" spans="1:6" ht="20.100000000000001" customHeight="1" x14ac:dyDescent="0.15">
      <c r="A10" s="5">
        <v>7</v>
      </c>
      <c r="B10" s="6" t="str">
        <f>"30482021060115590564877"</f>
        <v>30482021060115590564877</v>
      </c>
      <c r="C10" s="6" t="s">
        <v>2251</v>
      </c>
      <c r="D10" s="6" t="str">
        <f>"陈卓干"</f>
        <v>陈卓干</v>
      </c>
      <c r="E10" s="6" t="str">
        <f t="shared" si="0"/>
        <v>男</v>
      </c>
      <c r="F10" s="7" t="s">
        <v>417</v>
      </c>
    </row>
    <row r="11" spans="1:6" ht="20.100000000000001" customHeight="1" x14ac:dyDescent="0.15">
      <c r="A11" s="5">
        <v>8</v>
      </c>
      <c r="B11" s="6" t="str">
        <f>"30482021060116455865503"</f>
        <v>30482021060116455865503</v>
      </c>
      <c r="C11" s="6" t="s">
        <v>2251</v>
      </c>
      <c r="D11" s="6" t="str">
        <f>"黎建贤"</f>
        <v>黎建贤</v>
      </c>
      <c r="E11" s="6" t="str">
        <f t="shared" si="0"/>
        <v>男</v>
      </c>
      <c r="F11" s="7" t="s">
        <v>2256</v>
      </c>
    </row>
    <row r="12" spans="1:6" ht="20.100000000000001" customHeight="1" x14ac:dyDescent="0.15">
      <c r="A12" s="5">
        <v>9</v>
      </c>
      <c r="B12" s="6" t="str">
        <f>"30482021060117405966148"</f>
        <v>30482021060117405966148</v>
      </c>
      <c r="C12" s="6" t="s">
        <v>2251</v>
      </c>
      <c r="D12" s="6" t="str">
        <f>"韩联定"</f>
        <v>韩联定</v>
      </c>
      <c r="E12" s="6" t="str">
        <f t="shared" si="0"/>
        <v>男</v>
      </c>
      <c r="F12" s="7" t="s">
        <v>2257</v>
      </c>
    </row>
    <row r="13" spans="1:6" ht="20.100000000000001" customHeight="1" x14ac:dyDescent="0.15">
      <c r="A13" s="5">
        <v>10</v>
      </c>
      <c r="B13" s="6" t="str">
        <f>"30482021060118503566731"</f>
        <v>30482021060118503566731</v>
      </c>
      <c r="C13" s="6" t="s">
        <v>2251</v>
      </c>
      <c r="D13" s="6" t="str">
        <f>"郑宁宇"</f>
        <v>郑宁宇</v>
      </c>
      <c r="E13" s="6" t="str">
        <f t="shared" si="0"/>
        <v>男</v>
      </c>
      <c r="F13" s="7" t="s">
        <v>2256</v>
      </c>
    </row>
    <row r="14" spans="1:6" ht="20.100000000000001" customHeight="1" x14ac:dyDescent="0.15">
      <c r="A14" s="5">
        <v>11</v>
      </c>
      <c r="B14" s="6" t="str">
        <f>"30482021060119561267863"</f>
        <v>30482021060119561267863</v>
      </c>
      <c r="C14" s="6" t="s">
        <v>2251</v>
      </c>
      <c r="D14" s="6" t="str">
        <f>"戴光畔"</f>
        <v>戴光畔</v>
      </c>
      <c r="E14" s="6" t="str">
        <f t="shared" si="0"/>
        <v>男</v>
      </c>
      <c r="F14" s="7" t="s">
        <v>1868</v>
      </c>
    </row>
    <row r="15" spans="1:6" ht="20.100000000000001" customHeight="1" x14ac:dyDescent="0.15">
      <c r="A15" s="5">
        <v>12</v>
      </c>
      <c r="B15" s="6" t="str">
        <f>"30482021060120453168281"</f>
        <v>30482021060120453168281</v>
      </c>
      <c r="C15" s="6" t="s">
        <v>2251</v>
      </c>
      <c r="D15" s="6" t="str">
        <f>"王运来"</f>
        <v>王运来</v>
      </c>
      <c r="E15" s="6" t="str">
        <f t="shared" si="0"/>
        <v>男</v>
      </c>
      <c r="F15" s="7" t="s">
        <v>2258</v>
      </c>
    </row>
    <row r="16" spans="1:6" ht="20.100000000000001" customHeight="1" x14ac:dyDescent="0.15">
      <c r="A16" s="5">
        <v>13</v>
      </c>
      <c r="B16" s="6" t="str">
        <f>"30482021060122450870012"</f>
        <v>30482021060122450870012</v>
      </c>
      <c r="C16" s="6" t="s">
        <v>2251</v>
      </c>
      <c r="D16" s="6" t="str">
        <f>"符金霞"</f>
        <v>符金霞</v>
      </c>
      <c r="E16" s="6" t="str">
        <f>"女"</f>
        <v>女</v>
      </c>
      <c r="F16" s="7" t="s">
        <v>755</v>
      </c>
    </row>
    <row r="17" spans="1:6" ht="20.100000000000001" customHeight="1" x14ac:dyDescent="0.15">
      <c r="A17" s="5">
        <v>14</v>
      </c>
      <c r="B17" s="6" t="str">
        <f>"30482021060122453070017"</f>
        <v>30482021060122453070017</v>
      </c>
      <c r="C17" s="6" t="s">
        <v>2251</v>
      </c>
      <c r="D17" s="6" t="str">
        <f>"潘在望"</f>
        <v>潘在望</v>
      </c>
      <c r="E17" s="6" t="str">
        <f t="shared" ref="E17:E23" si="1">"男"</f>
        <v>男</v>
      </c>
      <c r="F17" s="7" t="s">
        <v>2259</v>
      </c>
    </row>
    <row r="18" spans="1:6" ht="20.100000000000001" customHeight="1" x14ac:dyDescent="0.15">
      <c r="A18" s="5">
        <v>15</v>
      </c>
      <c r="B18" s="6" t="str">
        <f>"30482021060211085172773"</f>
        <v>30482021060211085172773</v>
      </c>
      <c r="C18" s="6" t="s">
        <v>2251</v>
      </c>
      <c r="D18" s="6" t="str">
        <f>"符松荣"</f>
        <v>符松荣</v>
      </c>
      <c r="E18" s="6" t="str">
        <f t="shared" si="1"/>
        <v>男</v>
      </c>
      <c r="F18" s="7" t="s">
        <v>2260</v>
      </c>
    </row>
    <row r="19" spans="1:6" ht="20.100000000000001" customHeight="1" x14ac:dyDescent="0.15">
      <c r="A19" s="5">
        <v>16</v>
      </c>
      <c r="B19" s="6" t="str">
        <f>"30482021060211254172955"</f>
        <v>30482021060211254172955</v>
      </c>
      <c r="C19" s="6" t="s">
        <v>2251</v>
      </c>
      <c r="D19" s="6" t="str">
        <f>"劳光忠"</f>
        <v>劳光忠</v>
      </c>
      <c r="E19" s="6" t="str">
        <f t="shared" si="1"/>
        <v>男</v>
      </c>
      <c r="F19" s="7" t="s">
        <v>2261</v>
      </c>
    </row>
    <row r="20" spans="1:6" ht="20.100000000000001" customHeight="1" x14ac:dyDescent="0.15">
      <c r="A20" s="5">
        <v>17</v>
      </c>
      <c r="B20" s="6" t="str">
        <f>"30482021060215072974657"</f>
        <v>30482021060215072974657</v>
      </c>
      <c r="C20" s="6" t="s">
        <v>2251</v>
      </c>
      <c r="D20" s="6" t="str">
        <f>"梅望劲"</f>
        <v>梅望劲</v>
      </c>
      <c r="E20" s="6" t="str">
        <f t="shared" si="1"/>
        <v>男</v>
      </c>
      <c r="F20" s="7" t="s">
        <v>1495</v>
      </c>
    </row>
    <row r="21" spans="1:6" ht="20.100000000000001" customHeight="1" x14ac:dyDescent="0.15">
      <c r="A21" s="5">
        <v>18</v>
      </c>
      <c r="B21" s="6" t="str">
        <f>"30482021060216095675348"</f>
        <v>30482021060216095675348</v>
      </c>
      <c r="C21" s="6" t="s">
        <v>2251</v>
      </c>
      <c r="D21" s="6" t="str">
        <f>"黄在龙"</f>
        <v>黄在龙</v>
      </c>
      <c r="E21" s="6" t="str">
        <f t="shared" si="1"/>
        <v>男</v>
      </c>
      <c r="F21" s="7" t="s">
        <v>2262</v>
      </c>
    </row>
    <row r="22" spans="1:6" ht="20.100000000000001" customHeight="1" x14ac:dyDescent="0.15">
      <c r="A22" s="5">
        <v>19</v>
      </c>
      <c r="B22" s="6" t="str">
        <f>"304820210606154108103914"</f>
        <v>304820210606154108103914</v>
      </c>
      <c r="C22" s="6" t="s">
        <v>2251</v>
      </c>
      <c r="D22" s="6" t="str">
        <f>"高泽琼"</f>
        <v>高泽琼</v>
      </c>
      <c r="E22" s="6" t="str">
        <f t="shared" si="1"/>
        <v>男</v>
      </c>
      <c r="F22" s="7" t="s">
        <v>2263</v>
      </c>
    </row>
    <row r="23" spans="1:6" ht="20.100000000000001" customHeight="1" x14ac:dyDescent="0.15">
      <c r="A23" s="5">
        <v>20</v>
      </c>
      <c r="B23" s="6" t="str">
        <f>"304820210606185126104469"</f>
        <v>304820210606185126104469</v>
      </c>
      <c r="C23" s="6" t="s">
        <v>2251</v>
      </c>
      <c r="D23" s="6" t="str">
        <f>"郑纪旺"</f>
        <v>郑纪旺</v>
      </c>
      <c r="E23" s="6" t="str">
        <f t="shared" si="1"/>
        <v>男</v>
      </c>
      <c r="F23" s="7" t="s">
        <v>1002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2"/>
    </sheetView>
  </sheetViews>
  <sheetFormatPr defaultColWidth="9" defaultRowHeight="20.100000000000001" customHeight="1" x14ac:dyDescent="0.15"/>
  <cols>
    <col min="1" max="1" width="7.375" customWidth="1"/>
    <col min="2" max="2" width="24.625" customWidth="1"/>
    <col min="3" max="3" width="15.375" customWidth="1"/>
    <col min="4" max="4" width="9.625" customWidth="1"/>
    <col min="5" max="5" width="7.75" customWidth="1"/>
    <col min="6" max="6" width="16.75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9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12">
        <v>1</v>
      </c>
      <c r="B4" s="6" t="str">
        <f>"30482021060117445066179"</f>
        <v>30482021060117445066179</v>
      </c>
      <c r="C4" s="6" t="s">
        <v>116</v>
      </c>
      <c r="D4" s="6" t="str">
        <f>"罗阳"</f>
        <v>罗阳</v>
      </c>
      <c r="E4" s="6" t="str">
        <f t="shared" ref="E4:E7" si="0">"男"</f>
        <v>男</v>
      </c>
      <c r="F4" s="7" t="s">
        <v>117</v>
      </c>
    </row>
    <row r="5" spans="1:6" ht="20.100000000000001" customHeight="1" x14ac:dyDescent="0.15">
      <c r="A5" s="12">
        <v>2</v>
      </c>
      <c r="B5" s="6" t="str">
        <f>"30482021060119131366905"</f>
        <v>30482021060119131366905</v>
      </c>
      <c r="C5" s="6" t="s">
        <v>116</v>
      </c>
      <c r="D5" s="6" t="str">
        <f>"陈益婷"</f>
        <v>陈益婷</v>
      </c>
      <c r="E5" s="6" t="str">
        <f t="shared" ref="E5:E11" si="1">"女"</f>
        <v>女</v>
      </c>
      <c r="F5" s="7" t="s">
        <v>118</v>
      </c>
    </row>
    <row r="6" spans="1:6" ht="20.100000000000001" customHeight="1" x14ac:dyDescent="0.15">
      <c r="A6" s="12">
        <v>3</v>
      </c>
      <c r="B6" s="6" t="str">
        <f>"30482021060308573079755"</f>
        <v>30482021060308573079755</v>
      </c>
      <c r="C6" s="6" t="s">
        <v>116</v>
      </c>
      <c r="D6" s="6" t="str">
        <f>"符德港"</f>
        <v>符德港</v>
      </c>
      <c r="E6" s="6" t="str">
        <f t="shared" si="0"/>
        <v>男</v>
      </c>
      <c r="F6" s="7" t="s">
        <v>119</v>
      </c>
    </row>
    <row r="7" spans="1:6" ht="20.100000000000001" customHeight="1" x14ac:dyDescent="0.15">
      <c r="A7" s="12">
        <v>4</v>
      </c>
      <c r="B7" s="6" t="str">
        <f>"30482021060309041279849"</f>
        <v>30482021060309041279849</v>
      </c>
      <c r="C7" s="6" t="s">
        <v>116</v>
      </c>
      <c r="D7" s="6" t="str">
        <f>"李家聪"</f>
        <v>李家聪</v>
      </c>
      <c r="E7" s="6" t="str">
        <f t="shared" si="0"/>
        <v>男</v>
      </c>
      <c r="F7" s="7" t="s">
        <v>120</v>
      </c>
    </row>
    <row r="8" spans="1:6" ht="20.100000000000001" customHeight="1" x14ac:dyDescent="0.15">
      <c r="A8" s="12">
        <v>5</v>
      </c>
      <c r="B8" s="6" t="str">
        <f>"30482021060311341482132"</f>
        <v>30482021060311341482132</v>
      </c>
      <c r="C8" s="6" t="s">
        <v>116</v>
      </c>
      <c r="D8" s="6" t="str">
        <f>"卢丹玲"</f>
        <v>卢丹玲</v>
      </c>
      <c r="E8" s="6" t="str">
        <f t="shared" si="1"/>
        <v>女</v>
      </c>
      <c r="F8" s="7" t="s">
        <v>121</v>
      </c>
    </row>
    <row r="9" spans="1:6" ht="20.100000000000001" customHeight="1" x14ac:dyDescent="0.15">
      <c r="A9" s="12">
        <v>6</v>
      </c>
      <c r="B9" s="6" t="str">
        <f>"30482021060315170584271"</f>
        <v>30482021060315170584271</v>
      </c>
      <c r="C9" s="6" t="s">
        <v>116</v>
      </c>
      <c r="D9" s="6" t="str">
        <f>"王海敏"</f>
        <v>王海敏</v>
      </c>
      <c r="E9" s="6" t="str">
        <f t="shared" si="1"/>
        <v>女</v>
      </c>
      <c r="F9" s="7" t="s">
        <v>122</v>
      </c>
    </row>
    <row r="10" spans="1:6" ht="20.100000000000001" customHeight="1" x14ac:dyDescent="0.15">
      <c r="A10" s="12">
        <v>7</v>
      </c>
      <c r="B10" s="6" t="str">
        <f>"30482021060317091385682"</f>
        <v>30482021060317091385682</v>
      </c>
      <c r="C10" s="6" t="s">
        <v>116</v>
      </c>
      <c r="D10" s="6" t="str">
        <f>"廖小花"</f>
        <v>廖小花</v>
      </c>
      <c r="E10" s="6" t="str">
        <f t="shared" si="1"/>
        <v>女</v>
      </c>
      <c r="F10" s="7" t="s">
        <v>123</v>
      </c>
    </row>
    <row r="11" spans="1:6" ht="20.100000000000001" customHeight="1" x14ac:dyDescent="0.15">
      <c r="A11" s="12">
        <v>8</v>
      </c>
      <c r="B11" s="6" t="str">
        <f>"30482021060416374197253"</f>
        <v>30482021060416374197253</v>
      </c>
      <c r="C11" s="6" t="s">
        <v>116</v>
      </c>
      <c r="D11" s="6" t="str">
        <f>"吴盈盈"</f>
        <v>吴盈盈</v>
      </c>
      <c r="E11" s="6" t="str">
        <f t="shared" si="1"/>
        <v>女</v>
      </c>
      <c r="F11" s="7" t="s">
        <v>124</v>
      </c>
    </row>
    <row r="12" spans="1:6" ht="20.100000000000001" customHeight="1" x14ac:dyDescent="0.15">
      <c r="A12" s="12">
        <v>9</v>
      </c>
      <c r="B12" s="6" t="str">
        <f>"30482021060417125197686"</f>
        <v>30482021060417125197686</v>
      </c>
      <c r="C12" s="6" t="s">
        <v>116</v>
      </c>
      <c r="D12" s="6" t="str">
        <f>"欧贻聪"</f>
        <v>欧贻聪</v>
      </c>
      <c r="E12" s="6" t="str">
        <f>"男"</f>
        <v>男</v>
      </c>
      <c r="F12" s="7" t="s">
        <v>125</v>
      </c>
    </row>
    <row r="13" spans="1:6" ht="20.100000000000001" customHeight="1" x14ac:dyDescent="0.15">
      <c r="A13" s="12">
        <v>10</v>
      </c>
      <c r="B13" s="6" t="str">
        <f>"304820210605201008101974"</f>
        <v>304820210605201008101974</v>
      </c>
      <c r="C13" s="6" t="s">
        <v>116</v>
      </c>
      <c r="D13" s="6" t="str">
        <f>"陈政文"</f>
        <v>陈政文</v>
      </c>
      <c r="E13" s="6" t="str">
        <f>"男"</f>
        <v>男</v>
      </c>
      <c r="F13" s="7" t="s">
        <v>126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7" sqref="H7"/>
    </sheetView>
  </sheetViews>
  <sheetFormatPr defaultColWidth="9" defaultRowHeight="20.100000000000001" customHeight="1" x14ac:dyDescent="0.15"/>
  <cols>
    <col min="1" max="1" width="6.875" style="1" customWidth="1"/>
    <col min="2" max="2" width="24.625" style="1" customWidth="1"/>
    <col min="3" max="3" width="17.375" style="1" customWidth="1"/>
    <col min="4" max="4" width="11.5" style="1" customWidth="1"/>
    <col min="5" max="5" width="8.125" style="1" customWidth="1"/>
    <col min="6" max="6" width="15.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"30482021060120594768412"</f>
        <v>30482021060120594768412</v>
      </c>
      <c r="C4" s="6" t="s">
        <v>2264</v>
      </c>
      <c r="D4" s="6" t="str">
        <f>"朱铭国"</f>
        <v>朱铭国</v>
      </c>
      <c r="E4" s="6" t="str">
        <f t="shared" ref="E4:E8" si="0">"男"</f>
        <v>男</v>
      </c>
      <c r="F4" s="7" t="s">
        <v>2265</v>
      </c>
    </row>
    <row r="5" spans="1:6" ht="20.100000000000001" customHeight="1" x14ac:dyDescent="0.15">
      <c r="A5" s="5">
        <v>2</v>
      </c>
      <c r="B5" s="6" t="str">
        <f>"30482021060210163172082"</f>
        <v>30482021060210163172082</v>
      </c>
      <c r="C5" s="6" t="s">
        <v>2264</v>
      </c>
      <c r="D5" s="6" t="str">
        <f>"王政森"</f>
        <v>王政森</v>
      </c>
      <c r="E5" s="6" t="str">
        <f t="shared" si="0"/>
        <v>男</v>
      </c>
      <c r="F5" s="7" t="s">
        <v>2266</v>
      </c>
    </row>
    <row r="6" spans="1:6" ht="20.100000000000001" customHeight="1" x14ac:dyDescent="0.15">
      <c r="A6" s="5">
        <v>3</v>
      </c>
      <c r="B6" s="6" t="str">
        <f>"30482021060211063672741"</f>
        <v>30482021060211063672741</v>
      </c>
      <c r="C6" s="6" t="s">
        <v>2264</v>
      </c>
      <c r="D6" s="6" t="str">
        <f>"张天吉"</f>
        <v>张天吉</v>
      </c>
      <c r="E6" s="6" t="str">
        <f t="shared" si="0"/>
        <v>男</v>
      </c>
      <c r="F6" s="7" t="s">
        <v>2267</v>
      </c>
    </row>
    <row r="7" spans="1:6" ht="20.100000000000001" customHeight="1" x14ac:dyDescent="0.15">
      <c r="A7" s="5">
        <v>4</v>
      </c>
      <c r="B7" s="6" t="str">
        <f>"30482021060214532874509"</f>
        <v>30482021060214532874509</v>
      </c>
      <c r="C7" s="6" t="s">
        <v>2264</v>
      </c>
      <c r="D7" s="6" t="str">
        <f>"潘在成"</f>
        <v>潘在成</v>
      </c>
      <c r="E7" s="6" t="str">
        <f t="shared" si="0"/>
        <v>男</v>
      </c>
      <c r="F7" s="7" t="s">
        <v>2268</v>
      </c>
    </row>
    <row r="8" spans="1:6" ht="20.100000000000001" customHeight="1" x14ac:dyDescent="0.15">
      <c r="A8" s="5">
        <v>5</v>
      </c>
      <c r="B8" s="6" t="str">
        <f>"30482021060413452794450"</f>
        <v>30482021060413452794450</v>
      </c>
      <c r="C8" s="6" t="s">
        <v>2264</v>
      </c>
      <c r="D8" s="6" t="str">
        <f>"黄良光"</f>
        <v>黄良光</v>
      </c>
      <c r="E8" s="6" t="str">
        <f t="shared" si="0"/>
        <v>男</v>
      </c>
      <c r="F8" s="7" t="s">
        <v>2269</v>
      </c>
    </row>
    <row r="9" spans="1:6" ht="20.100000000000001" customHeight="1" x14ac:dyDescent="0.15">
      <c r="A9" s="5">
        <v>6</v>
      </c>
      <c r="B9" s="6" t="str">
        <f>"304820210606101013102954"</f>
        <v>304820210606101013102954</v>
      </c>
      <c r="C9" s="6" t="s">
        <v>2264</v>
      </c>
      <c r="D9" s="6" t="str">
        <f>"李子薇"</f>
        <v>李子薇</v>
      </c>
      <c r="E9" s="6" t="str">
        <f>"女"</f>
        <v>女</v>
      </c>
      <c r="F9" s="7" t="s">
        <v>2270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2"/>
    </sheetView>
  </sheetViews>
  <sheetFormatPr defaultColWidth="9" defaultRowHeight="20.100000000000001" customHeight="1" x14ac:dyDescent="0.15"/>
  <cols>
    <col min="1" max="1" width="6.625" style="1" customWidth="1"/>
    <col min="2" max="2" width="24.625" style="1" customWidth="1"/>
    <col min="3" max="3" width="14.125" style="1" customWidth="1"/>
    <col min="4" max="4" width="10.375" style="1" customWidth="1"/>
    <col min="5" max="5" width="8.375" style="1" customWidth="1"/>
    <col min="6" max="6" width="1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"30482021060114544364061"</f>
        <v>30482021060114544364061</v>
      </c>
      <c r="C4" s="6" t="s">
        <v>2271</v>
      </c>
      <c r="D4" s="6" t="str">
        <f>"陈名尉"</f>
        <v>陈名尉</v>
      </c>
      <c r="E4" s="6" t="str">
        <f t="shared" ref="E4:E11" si="0">"男"</f>
        <v>男</v>
      </c>
      <c r="F4" s="7" t="s">
        <v>2272</v>
      </c>
    </row>
    <row r="5" spans="1:6" ht="20.100000000000001" customHeight="1" x14ac:dyDescent="0.15">
      <c r="A5" s="5">
        <v>2</v>
      </c>
      <c r="B5" s="6" t="str">
        <f>"30482021060115462764732"</f>
        <v>30482021060115462764732</v>
      </c>
      <c r="C5" s="6" t="s">
        <v>2271</v>
      </c>
      <c r="D5" s="6" t="str">
        <f>"黄兹炳"</f>
        <v>黄兹炳</v>
      </c>
      <c r="E5" s="6" t="str">
        <f t="shared" si="0"/>
        <v>男</v>
      </c>
      <c r="F5" s="7" t="s">
        <v>2273</v>
      </c>
    </row>
    <row r="6" spans="1:6" ht="20.100000000000001" customHeight="1" x14ac:dyDescent="0.15">
      <c r="A6" s="5">
        <v>3</v>
      </c>
      <c r="B6" s="6" t="str">
        <f>"30482021060118580566796"</f>
        <v>30482021060118580566796</v>
      </c>
      <c r="C6" s="6" t="s">
        <v>2271</v>
      </c>
      <c r="D6" s="6" t="str">
        <f>"张运浩"</f>
        <v>张运浩</v>
      </c>
      <c r="E6" s="6" t="str">
        <f t="shared" si="0"/>
        <v>男</v>
      </c>
      <c r="F6" s="7" t="s">
        <v>1780</v>
      </c>
    </row>
    <row r="7" spans="1:6" ht="20.100000000000001" customHeight="1" x14ac:dyDescent="0.15">
      <c r="A7" s="5">
        <v>4</v>
      </c>
      <c r="B7" s="6" t="str">
        <f>"30482021060208575871092"</f>
        <v>30482021060208575871092</v>
      </c>
      <c r="C7" s="6" t="s">
        <v>2271</v>
      </c>
      <c r="D7" s="6" t="str">
        <f>"韩军元"</f>
        <v>韩军元</v>
      </c>
      <c r="E7" s="6" t="str">
        <f t="shared" si="0"/>
        <v>男</v>
      </c>
      <c r="F7" s="7" t="s">
        <v>2274</v>
      </c>
    </row>
    <row r="8" spans="1:6" ht="20.100000000000001" customHeight="1" x14ac:dyDescent="0.15">
      <c r="A8" s="5">
        <v>5</v>
      </c>
      <c r="B8" s="6" t="str">
        <f>"30482021060214512974499"</f>
        <v>30482021060214512974499</v>
      </c>
      <c r="C8" s="6" t="s">
        <v>2271</v>
      </c>
      <c r="D8" s="6" t="str">
        <f>"符致宇"</f>
        <v>符致宇</v>
      </c>
      <c r="E8" s="6" t="str">
        <f t="shared" si="0"/>
        <v>男</v>
      </c>
      <c r="F8" s="7" t="s">
        <v>1590</v>
      </c>
    </row>
    <row r="9" spans="1:6" ht="20.100000000000001" customHeight="1" x14ac:dyDescent="0.15">
      <c r="A9" s="5">
        <v>6</v>
      </c>
      <c r="B9" s="6" t="str">
        <f>"30482021060401010689835"</f>
        <v>30482021060401010689835</v>
      </c>
      <c r="C9" s="6" t="s">
        <v>2271</v>
      </c>
      <c r="D9" s="6" t="str">
        <f>"林宓"</f>
        <v>林宓</v>
      </c>
      <c r="E9" s="6" t="str">
        <f t="shared" si="0"/>
        <v>男</v>
      </c>
      <c r="F9" s="7" t="s">
        <v>2275</v>
      </c>
    </row>
    <row r="10" spans="1:6" ht="20.100000000000001" customHeight="1" x14ac:dyDescent="0.15">
      <c r="A10" s="5">
        <v>7</v>
      </c>
      <c r="B10" s="6" t="str">
        <f>"30482021060415101396035"</f>
        <v>30482021060415101396035</v>
      </c>
      <c r="C10" s="6" t="s">
        <v>2271</v>
      </c>
      <c r="D10" s="6" t="str">
        <f>"王劲"</f>
        <v>王劲</v>
      </c>
      <c r="E10" s="6" t="str">
        <f t="shared" si="0"/>
        <v>男</v>
      </c>
      <c r="F10" s="7" t="s">
        <v>2276</v>
      </c>
    </row>
    <row r="11" spans="1:6" ht="20.100000000000001" customHeight="1" x14ac:dyDescent="0.15">
      <c r="A11" s="5">
        <v>8</v>
      </c>
      <c r="B11" s="6" t="str">
        <f>"30482021060419393899227"</f>
        <v>30482021060419393899227</v>
      </c>
      <c r="C11" s="6" t="s">
        <v>2271</v>
      </c>
      <c r="D11" s="6" t="str">
        <f>"何绍东"</f>
        <v>何绍东</v>
      </c>
      <c r="E11" s="6" t="str">
        <f t="shared" si="0"/>
        <v>男</v>
      </c>
      <c r="F11" s="7" t="s">
        <v>1822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" style="1" customWidth="1"/>
    <col min="2" max="2" width="24.625" style="1" customWidth="1"/>
    <col min="3" max="3" width="18.375" style="1" customWidth="1"/>
    <col min="4" max="4" width="10.25" style="1" customWidth="1"/>
    <col min="5" max="5" width="8" style="1" customWidth="1"/>
    <col min="6" max="6" width="14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"30482021060114122963569"</f>
        <v>30482021060114122963569</v>
      </c>
      <c r="C4" s="6" t="s">
        <v>2277</v>
      </c>
      <c r="D4" s="6" t="str">
        <f>"梁秀珍"</f>
        <v>梁秀珍</v>
      </c>
      <c r="E4" s="6" t="str">
        <f t="shared" ref="E4:E7" si="0">"女"</f>
        <v>女</v>
      </c>
      <c r="F4" s="7" t="s">
        <v>1564</v>
      </c>
    </row>
    <row r="5" spans="1:6" ht="20.100000000000001" customHeight="1" x14ac:dyDescent="0.15">
      <c r="A5" s="5">
        <v>2</v>
      </c>
      <c r="B5" s="6" t="str">
        <f>"30482021060114265063718"</f>
        <v>30482021060114265063718</v>
      </c>
      <c r="C5" s="6" t="s">
        <v>2277</v>
      </c>
      <c r="D5" s="6" t="str">
        <f>"李皎余"</f>
        <v>李皎余</v>
      </c>
      <c r="E5" s="6" t="str">
        <f t="shared" si="0"/>
        <v>女</v>
      </c>
      <c r="F5" s="7" t="s">
        <v>647</v>
      </c>
    </row>
    <row r="6" spans="1:6" ht="20.100000000000001" customHeight="1" x14ac:dyDescent="0.15">
      <c r="A6" s="5">
        <v>3</v>
      </c>
      <c r="B6" s="6" t="str">
        <f>"30482021060114281563733"</f>
        <v>30482021060114281563733</v>
      </c>
      <c r="C6" s="6" t="s">
        <v>2277</v>
      </c>
      <c r="D6" s="6" t="str">
        <f>"吴金贞"</f>
        <v>吴金贞</v>
      </c>
      <c r="E6" s="6" t="str">
        <f t="shared" si="0"/>
        <v>女</v>
      </c>
      <c r="F6" s="7" t="s">
        <v>436</v>
      </c>
    </row>
    <row r="7" spans="1:6" ht="20.100000000000001" customHeight="1" x14ac:dyDescent="0.15">
      <c r="A7" s="5">
        <v>4</v>
      </c>
      <c r="B7" s="6" t="str">
        <f>"30482021060114333663788"</f>
        <v>30482021060114333663788</v>
      </c>
      <c r="C7" s="6" t="s">
        <v>2277</v>
      </c>
      <c r="D7" s="6" t="str">
        <f>"苏世琪"</f>
        <v>苏世琪</v>
      </c>
      <c r="E7" s="6" t="str">
        <f t="shared" si="0"/>
        <v>女</v>
      </c>
      <c r="F7" s="7" t="s">
        <v>991</v>
      </c>
    </row>
    <row r="8" spans="1:6" ht="20.100000000000001" customHeight="1" x14ac:dyDescent="0.15">
      <c r="A8" s="5">
        <v>5</v>
      </c>
      <c r="B8" s="6" t="str">
        <f>"30482021060114420563892"</f>
        <v>30482021060114420563892</v>
      </c>
      <c r="C8" s="6" t="s">
        <v>2277</v>
      </c>
      <c r="D8" s="6" t="str">
        <f>"梁安伟"</f>
        <v>梁安伟</v>
      </c>
      <c r="E8" s="6" t="str">
        <f>"男"</f>
        <v>男</v>
      </c>
      <c r="F8" s="7" t="s">
        <v>568</v>
      </c>
    </row>
    <row r="9" spans="1:6" ht="20.100000000000001" customHeight="1" x14ac:dyDescent="0.15">
      <c r="A9" s="5">
        <v>6</v>
      </c>
      <c r="B9" s="6" t="str">
        <f>"30482021060114440563914"</f>
        <v>30482021060114440563914</v>
      </c>
      <c r="C9" s="6" t="s">
        <v>2277</v>
      </c>
      <c r="D9" s="6" t="str">
        <f>"林冰"</f>
        <v>林冰</v>
      </c>
      <c r="E9" s="6" t="str">
        <f t="shared" ref="E9:E16" si="1">"女"</f>
        <v>女</v>
      </c>
      <c r="F9" s="7" t="s">
        <v>186</v>
      </c>
    </row>
    <row r="10" spans="1:6" ht="20.100000000000001" customHeight="1" x14ac:dyDescent="0.15">
      <c r="A10" s="5">
        <v>7</v>
      </c>
      <c r="B10" s="6" t="str">
        <f>"30482021060114464163944"</f>
        <v>30482021060114464163944</v>
      </c>
      <c r="C10" s="6" t="s">
        <v>2277</v>
      </c>
      <c r="D10" s="6" t="str">
        <f>"云振庭"</f>
        <v>云振庭</v>
      </c>
      <c r="E10" s="6" t="str">
        <f>"男"</f>
        <v>男</v>
      </c>
      <c r="F10" s="7" t="s">
        <v>2278</v>
      </c>
    </row>
    <row r="11" spans="1:6" ht="20.100000000000001" customHeight="1" x14ac:dyDescent="0.15">
      <c r="A11" s="5">
        <v>8</v>
      </c>
      <c r="B11" s="6" t="str">
        <f>"30482021060114492463980"</f>
        <v>30482021060114492463980</v>
      </c>
      <c r="C11" s="6" t="s">
        <v>2277</v>
      </c>
      <c r="D11" s="6" t="str">
        <f>"王芳"</f>
        <v>王芳</v>
      </c>
      <c r="E11" s="6" t="str">
        <f t="shared" si="1"/>
        <v>女</v>
      </c>
      <c r="F11" s="7" t="s">
        <v>2279</v>
      </c>
    </row>
    <row r="12" spans="1:6" ht="20.100000000000001" customHeight="1" x14ac:dyDescent="0.15">
      <c r="A12" s="5">
        <v>9</v>
      </c>
      <c r="B12" s="6" t="str">
        <f>"30482021060114562264083"</f>
        <v>30482021060114562264083</v>
      </c>
      <c r="C12" s="6" t="s">
        <v>2277</v>
      </c>
      <c r="D12" s="6" t="str">
        <f>"黄淑珠"</f>
        <v>黄淑珠</v>
      </c>
      <c r="E12" s="6" t="str">
        <f t="shared" si="1"/>
        <v>女</v>
      </c>
      <c r="F12" s="7" t="s">
        <v>2280</v>
      </c>
    </row>
    <row r="13" spans="1:6" ht="20.100000000000001" customHeight="1" x14ac:dyDescent="0.15">
      <c r="A13" s="5">
        <v>10</v>
      </c>
      <c r="B13" s="6" t="str">
        <f>"30482021060115013764144"</f>
        <v>30482021060115013764144</v>
      </c>
      <c r="C13" s="6" t="s">
        <v>2277</v>
      </c>
      <c r="D13" s="6" t="str">
        <f>"黄小倩"</f>
        <v>黄小倩</v>
      </c>
      <c r="E13" s="6" t="str">
        <f t="shared" si="1"/>
        <v>女</v>
      </c>
      <c r="F13" s="7" t="s">
        <v>1384</v>
      </c>
    </row>
    <row r="14" spans="1:6" ht="20.100000000000001" customHeight="1" x14ac:dyDescent="0.15">
      <c r="A14" s="5">
        <v>11</v>
      </c>
      <c r="B14" s="6" t="str">
        <f>"30482021060115030964175"</f>
        <v>30482021060115030964175</v>
      </c>
      <c r="C14" s="6" t="s">
        <v>2277</v>
      </c>
      <c r="D14" s="6" t="str">
        <f>"符惠媛"</f>
        <v>符惠媛</v>
      </c>
      <c r="E14" s="6" t="str">
        <f t="shared" si="1"/>
        <v>女</v>
      </c>
      <c r="F14" s="7" t="s">
        <v>139</v>
      </c>
    </row>
    <row r="15" spans="1:6" ht="20.100000000000001" customHeight="1" x14ac:dyDescent="0.15">
      <c r="A15" s="5">
        <v>12</v>
      </c>
      <c r="B15" s="6" t="str">
        <f>"30482021060115093264260"</f>
        <v>30482021060115093264260</v>
      </c>
      <c r="C15" s="6" t="s">
        <v>2277</v>
      </c>
      <c r="D15" s="6" t="str">
        <f>"刘千千"</f>
        <v>刘千千</v>
      </c>
      <c r="E15" s="6" t="str">
        <f t="shared" si="1"/>
        <v>女</v>
      </c>
      <c r="F15" s="7" t="s">
        <v>105</v>
      </c>
    </row>
    <row r="16" spans="1:6" ht="20.100000000000001" customHeight="1" x14ac:dyDescent="0.15">
      <c r="A16" s="5">
        <v>13</v>
      </c>
      <c r="B16" s="6" t="str">
        <f>"30482021060115170864366"</f>
        <v>30482021060115170864366</v>
      </c>
      <c r="C16" s="6" t="s">
        <v>2277</v>
      </c>
      <c r="D16" s="6" t="str">
        <f>"李晓晶"</f>
        <v>李晓晶</v>
      </c>
      <c r="E16" s="6" t="str">
        <f t="shared" si="1"/>
        <v>女</v>
      </c>
      <c r="F16" s="7" t="s">
        <v>2281</v>
      </c>
    </row>
    <row r="17" spans="1:6" ht="20.100000000000001" customHeight="1" x14ac:dyDescent="0.15">
      <c r="A17" s="5">
        <v>14</v>
      </c>
      <c r="B17" s="6" t="str">
        <f>"30482021060115190464382"</f>
        <v>30482021060115190464382</v>
      </c>
      <c r="C17" s="6" t="s">
        <v>2277</v>
      </c>
      <c r="D17" s="6" t="str">
        <f>"黄炳杰"</f>
        <v>黄炳杰</v>
      </c>
      <c r="E17" s="6" t="str">
        <f t="shared" ref="E17:E20" si="2">"男"</f>
        <v>男</v>
      </c>
      <c r="F17" s="7" t="s">
        <v>2282</v>
      </c>
    </row>
    <row r="18" spans="1:6" ht="20.100000000000001" customHeight="1" x14ac:dyDescent="0.15">
      <c r="A18" s="5">
        <v>15</v>
      </c>
      <c r="B18" s="6" t="str">
        <f>"30482021060115294264512"</f>
        <v>30482021060115294264512</v>
      </c>
      <c r="C18" s="6" t="s">
        <v>2277</v>
      </c>
      <c r="D18" s="6" t="str">
        <f>"陈淑君"</f>
        <v>陈淑君</v>
      </c>
      <c r="E18" s="6" t="str">
        <f t="shared" ref="E18:E23" si="3">"女"</f>
        <v>女</v>
      </c>
      <c r="F18" s="7" t="s">
        <v>846</v>
      </c>
    </row>
    <row r="19" spans="1:6" ht="20.100000000000001" customHeight="1" x14ac:dyDescent="0.15">
      <c r="A19" s="5">
        <v>16</v>
      </c>
      <c r="B19" s="6" t="str">
        <f>"30482021060115381764619"</f>
        <v>30482021060115381764619</v>
      </c>
      <c r="C19" s="6" t="s">
        <v>2277</v>
      </c>
      <c r="D19" s="6" t="str">
        <f>"方宗发"</f>
        <v>方宗发</v>
      </c>
      <c r="E19" s="6" t="str">
        <f t="shared" si="2"/>
        <v>男</v>
      </c>
      <c r="F19" s="7" t="s">
        <v>381</v>
      </c>
    </row>
    <row r="20" spans="1:6" ht="20.100000000000001" customHeight="1" x14ac:dyDescent="0.15">
      <c r="A20" s="5">
        <v>17</v>
      </c>
      <c r="B20" s="6" t="str">
        <f>"30482021060115510064794"</f>
        <v>30482021060115510064794</v>
      </c>
      <c r="C20" s="6" t="s">
        <v>2277</v>
      </c>
      <c r="D20" s="6" t="str">
        <f>"唐紫腾"</f>
        <v>唐紫腾</v>
      </c>
      <c r="E20" s="6" t="str">
        <f t="shared" si="2"/>
        <v>男</v>
      </c>
      <c r="F20" s="7" t="s">
        <v>2283</v>
      </c>
    </row>
    <row r="21" spans="1:6" ht="20.100000000000001" customHeight="1" x14ac:dyDescent="0.15">
      <c r="A21" s="5">
        <v>18</v>
      </c>
      <c r="B21" s="6" t="str">
        <f>"30482021060115565064854"</f>
        <v>30482021060115565064854</v>
      </c>
      <c r="C21" s="6" t="s">
        <v>2277</v>
      </c>
      <c r="D21" s="6" t="str">
        <f>"吴淑钰"</f>
        <v>吴淑钰</v>
      </c>
      <c r="E21" s="6" t="str">
        <f t="shared" si="3"/>
        <v>女</v>
      </c>
      <c r="F21" s="7" t="s">
        <v>37</v>
      </c>
    </row>
    <row r="22" spans="1:6" ht="20.100000000000001" customHeight="1" x14ac:dyDescent="0.15">
      <c r="A22" s="5">
        <v>19</v>
      </c>
      <c r="B22" s="6" t="str">
        <f>"30482021060116024164923"</f>
        <v>30482021060116024164923</v>
      </c>
      <c r="C22" s="6" t="s">
        <v>2277</v>
      </c>
      <c r="D22" s="6" t="str">
        <f>"王仙桃"</f>
        <v>王仙桃</v>
      </c>
      <c r="E22" s="6" t="str">
        <f t="shared" si="3"/>
        <v>女</v>
      </c>
      <c r="F22" s="7" t="s">
        <v>846</v>
      </c>
    </row>
    <row r="23" spans="1:6" ht="20.100000000000001" customHeight="1" x14ac:dyDescent="0.15">
      <c r="A23" s="5">
        <v>20</v>
      </c>
      <c r="B23" s="6" t="str">
        <f>"30482021060116093565001"</f>
        <v>30482021060116093565001</v>
      </c>
      <c r="C23" s="6" t="s">
        <v>2277</v>
      </c>
      <c r="D23" s="6" t="str">
        <f>"王佳佳"</f>
        <v>王佳佳</v>
      </c>
      <c r="E23" s="6" t="str">
        <f t="shared" si="3"/>
        <v>女</v>
      </c>
      <c r="F23" s="7" t="s">
        <v>2284</v>
      </c>
    </row>
    <row r="24" spans="1:6" ht="20.100000000000001" customHeight="1" x14ac:dyDescent="0.15">
      <c r="A24" s="5">
        <v>21</v>
      </c>
      <c r="B24" s="6" t="str">
        <f>"30482021060116192065123"</f>
        <v>30482021060116192065123</v>
      </c>
      <c r="C24" s="6" t="s">
        <v>2277</v>
      </c>
      <c r="D24" s="6" t="str">
        <f>"韩杰定"</f>
        <v>韩杰定</v>
      </c>
      <c r="E24" s="6" t="str">
        <f>"男"</f>
        <v>男</v>
      </c>
      <c r="F24" s="7" t="s">
        <v>2285</v>
      </c>
    </row>
    <row r="25" spans="1:6" ht="20.100000000000001" customHeight="1" x14ac:dyDescent="0.15">
      <c r="A25" s="5">
        <v>22</v>
      </c>
      <c r="B25" s="6" t="str">
        <f>"30482021060116225165180"</f>
        <v>30482021060116225165180</v>
      </c>
      <c r="C25" s="6" t="s">
        <v>2277</v>
      </c>
      <c r="D25" s="6" t="str">
        <f>"钟赛丽"</f>
        <v>钟赛丽</v>
      </c>
      <c r="E25" s="6" t="str">
        <f t="shared" ref="E25:E31" si="4">"女"</f>
        <v>女</v>
      </c>
      <c r="F25" s="7" t="s">
        <v>109</v>
      </c>
    </row>
    <row r="26" spans="1:6" ht="20.100000000000001" customHeight="1" x14ac:dyDescent="0.15">
      <c r="A26" s="5">
        <v>23</v>
      </c>
      <c r="B26" s="6" t="str">
        <f>"30482021060116264965247"</f>
        <v>30482021060116264965247</v>
      </c>
      <c r="C26" s="6" t="s">
        <v>2277</v>
      </c>
      <c r="D26" s="6" t="str">
        <f>"陈盛"</f>
        <v>陈盛</v>
      </c>
      <c r="E26" s="6" t="str">
        <f>"男"</f>
        <v>男</v>
      </c>
      <c r="F26" s="7" t="s">
        <v>2286</v>
      </c>
    </row>
    <row r="27" spans="1:6" ht="20.100000000000001" customHeight="1" x14ac:dyDescent="0.15">
      <c r="A27" s="5">
        <v>24</v>
      </c>
      <c r="B27" s="6" t="str">
        <f>"30482021060116270265251"</f>
        <v>30482021060116270265251</v>
      </c>
      <c r="C27" s="6" t="s">
        <v>2277</v>
      </c>
      <c r="D27" s="6" t="str">
        <f>"陈三妹"</f>
        <v>陈三妹</v>
      </c>
      <c r="E27" s="6" t="str">
        <f t="shared" si="4"/>
        <v>女</v>
      </c>
      <c r="F27" s="7" t="s">
        <v>777</v>
      </c>
    </row>
    <row r="28" spans="1:6" ht="20.100000000000001" customHeight="1" x14ac:dyDescent="0.15">
      <c r="A28" s="5">
        <v>25</v>
      </c>
      <c r="B28" s="6" t="str">
        <f>"30482021060116275065261"</f>
        <v>30482021060116275065261</v>
      </c>
      <c r="C28" s="6" t="s">
        <v>2277</v>
      </c>
      <c r="D28" s="6" t="str">
        <f>"邱阳林"</f>
        <v>邱阳林</v>
      </c>
      <c r="E28" s="6" t="str">
        <f t="shared" si="4"/>
        <v>女</v>
      </c>
      <c r="F28" s="7" t="s">
        <v>1512</v>
      </c>
    </row>
    <row r="29" spans="1:6" ht="20.100000000000001" customHeight="1" x14ac:dyDescent="0.15">
      <c r="A29" s="5">
        <v>26</v>
      </c>
      <c r="B29" s="6" t="str">
        <f>"30482021060116323065327"</f>
        <v>30482021060116323065327</v>
      </c>
      <c r="C29" s="6" t="s">
        <v>2277</v>
      </c>
      <c r="D29" s="6" t="str">
        <f>"曾媛"</f>
        <v>曾媛</v>
      </c>
      <c r="E29" s="6" t="str">
        <f t="shared" si="4"/>
        <v>女</v>
      </c>
      <c r="F29" s="7" t="s">
        <v>2287</v>
      </c>
    </row>
    <row r="30" spans="1:6" ht="20.100000000000001" customHeight="1" x14ac:dyDescent="0.15">
      <c r="A30" s="5">
        <v>27</v>
      </c>
      <c r="B30" s="6" t="str">
        <f>"30482021060116501165560"</f>
        <v>30482021060116501165560</v>
      </c>
      <c r="C30" s="6" t="s">
        <v>2277</v>
      </c>
      <c r="D30" s="6" t="str">
        <f>"王小妮"</f>
        <v>王小妮</v>
      </c>
      <c r="E30" s="6" t="str">
        <f t="shared" si="4"/>
        <v>女</v>
      </c>
      <c r="F30" s="7" t="s">
        <v>466</v>
      </c>
    </row>
    <row r="31" spans="1:6" ht="20.100000000000001" customHeight="1" x14ac:dyDescent="0.15">
      <c r="A31" s="5">
        <v>28</v>
      </c>
      <c r="B31" s="6" t="str">
        <f>"30482021060117043065741"</f>
        <v>30482021060117043065741</v>
      </c>
      <c r="C31" s="6" t="s">
        <v>2277</v>
      </c>
      <c r="D31" s="6" t="str">
        <f>"王清媚"</f>
        <v>王清媚</v>
      </c>
      <c r="E31" s="6" t="str">
        <f t="shared" si="4"/>
        <v>女</v>
      </c>
      <c r="F31" s="7" t="s">
        <v>457</v>
      </c>
    </row>
    <row r="32" spans="1:6" ht="20.100000000000001" customHeight="1" x14ac:dyDescent="0.15">
      <c r="A32" s="5">
        <v>29</v>
      </c>
      <c r="B32" s="6" t="str">
        <f>"30482021060118125066427"</f>
        <v>30482021060118125066427</v>
      </c>
      <c r="C32" s="6" t="s">
        <v>2277</v>
      </c>
      <c r="D32" s="6" t="str">
        <f>"陈忠民"</f>
        <v>陈忠民</v>
      </c>
      <c r="E32" s="6" t="str">
        <f t="shared" ref="E32:E37" si="5">"男"</f>
        <v>男</v>
      </c>
      <c r="F32" s="7" t="s">
        <v>1017</v>
      </c>
    </row>
    <row r="33" spans="1:6" ht="20.100000000000001" customHeight="1" x14ac:dyDescent="0.15">
      <c r="A33" s="5">
        <v>30</v>
      </c>
      <c r="B33" s="6" t="str">
        <f>"30482021060118420366661"</f>
        <v>30482021060118420366661</v>
      </c>
      <c r="C33" s="6" t="s">
        <v>2277</v>
      </c>
      <c r="D33" s="6" t="str">
        <f>"黄慧颖"</f>
        <v>黄慧颖</v>
      </c>
      <c r="E33" s="6" t="str">
        <f t="shared" ref="E33:E35" si="6">"女"</f>
        <v>女</v>
      </c>
      <c r="F33" s="7" t="s">
        <v>111</v>
      </c>
    </row>
    <row r="34" spans="1:6" ht="20.100000000000001" customHeight="1" x14ac:dyDescent="0.15">
      <c r="A34" s="5">
        <v>31</v>
      </c>
      <c r="B34" s="6" t="str">
        <f>"30482021060119273366996"</f>
        <v>30482021060119273366996</v>
      </c>
      <c r="C34" s="6" t="s">
        <v>2277</v>
      </c>
      <c r="D34" s="6" t="str">
        <f>"王爱昀"</f>
        <v>王爱昀</v>
      </c>
      <c r="E34" s="6" t="str">
        <f t="shared" si="6"/>
        <v>女</v>
      </c>
      <c r="F34" s="7" t="s">
        <v>292</v>
      </c>
    </row>
    <row r="35" spans="1:6" ht="20.100000000000001" customHeight="1" x14ac:dyDescent="0.15">
      <c r="A35" s="5">
        <v>32</v>
      </c>
      <c r="B35" s="6" t="str">
        <f>"30482021060119481667173"</f>
        <v>30482021060119481667173</v>
      </c>
      <c r="C35" s="6" t="s">
        <v>2277</v>
      </c>
      <c r="D35" s="6" t="str">
        <f>"黄正"</f>
        <v>黄正</v>
      </c>
      <c r="E35" s="6" t="str">
        <f t="shared" si="6"/>
        <v>女</v>
      </c>
      <c r="F35" s="7" t="s">
        <v>1099</v>
      </c>
    </row>
    <row r="36" spans="1:6" ht="20.100000000000001" customHeight="1" x14ac:dyDescent="0.15">
      <c r="A36" s="5">
        <v>33</v>
      </c>
      <c r="B36" s="6" t="str">
        <f>"30482021060120060467938"</f>
        <v>30482021060120060467938</v>
      </c>
      <c r="C36" s="6" t="s">
        <v>2277</v>
      </c>
      <c r="D36" s="6" t="str">
        <f>"王祉平"</f>
        <v>王祉平</v>
      </c>
      <c r="E36" s="6" t="str">
        <f t="shared" si="5"/>
        <v>男</v>
      </c>
      <c r="F36" s="7" t="s">
        <v>1079</v>
      </c>
    </row>
    <row r="37" spans="1:6" ht="20.100000000000001" customHeight="1" x14ac:dyDescent="0.15">
      <c r="A37" s="5">
        <v>34</v>
      </c>
      <c r="B37" s="6" t="str">
        <f>"30482021060120201168057"</f>
        <v>30482021060120201168057</v>
      </c>
      <c r="C37" s="6" t="s">
        <v>2277</v>
      </c>
      <c r="D37" s="6" t="str">
        <f>"何艺东"</f>
        <v>何艺东</v>
      </c>
      <c r="E37" s="6" t="str">
        <f t="shared" si="5"/>
        <v>男</v>
      </c>
      <c r="F37" s="7" t="s">
        <v>860</v>
      </c>
    </row>
    <row r="38" spans="1:6" ht="20.100000000000001" customHeight="1" x14ac:dyDescent="0.15">
      <c r="A38" s="5">
        <v>35</v>
      </c>
      <c r="B38" s="6" t="str">
        <f>"30482021060120325968171"</f>
        <v>30482021060120325968171</v>
      </c>
      <c r="C38" s="6" t="s">
        <v>2277</v>
      </c>
      <c r="D38" s="6" t="str">
        <f>"黎春妹"</f>
        <v>黎春妹</v>
      </c>
      <c r="E38" s="6" t="str">
        <f t="shared" ref="E38:E60" si="7">"女"</f>
        <v>女</v>
      </c>
      <c r="F38" s="7" t="s">
        <v>56</v>
      </c>
    </row>
    <row r="39" spans="1:6" ht="20.100000000000001" customHeight="1" x14ac:dyDescent="0.15">
      <c r="A39" s="5">
        <v>36</v>
      </c>
      <c r="B39" s="6" t="str">
        <f>"30482021060120481668306"</f>
        <v>30482021060120481668306</v>
      </c>
      <c r="C39" s="6" t="s">
        <v>2277</v>
      </c>
      <c r="D39" s="6" t="str">
        <f>"李红霞"</f>
        <v>李红霞</v>
      </c>
      <c r="E39" s="6" t="str">
        <f t="shared" si="7"/>
        <v>女</v>
      </c>
      <c r="F39" s="7" t="s">
        <v>190</v>
      </c>
    </row>
    <row r="40" spans="1:6" ht="20.100000000000001" customHeight="1" x14ac:dyDescent="0.15">
      <c r="A40" s="5">
        <v>37</v>
      </c>
      <c r="B40" s="6" t="str">
        <f>"30482021060121102568509"</f>
        <v>30482021060121102568509</v>
      </c>
      <c r="C40" s="6" t="s">
        <v>2277</v>
      </c>
      <c r="D40" s="6" t="str">
        <f>"高位超"</f>
        <v>高位超</v>
      </c>
      <c r="E40" s="6" t="str">
        <f>"男"</f>
        <v>男</v>
      </c>
      <c r="F40" s="7" t="s">
        <v>2288</v>
      </c>
    </row>
    <row r="41" spans="1:6" ht="20.100000000000001" customHeight="1" x14ac:dyDescent="0.15">
      <c r="A41" s="5">
        <v>38</v>
      </c>
      <c r="B41" s="6" t="str">
        <f>"30482021060121420869445"</f>
        <v>30482021060121420869445</v>
      </c>
      <c r="C41" s="6" t="s">
        <v>2277</v>
      </c>
      <c r="D41" s="6" t="str">
        <f>"李皎旸"</f>
        <v>李皎旸</v>
      </c>
      <c r="E41" s="6" t="str">
        <f t="shared" si="7"/>
        <v>女</v>
      </c>
      <c r="F41" s="7" t="s">
        <v>143</v>
      </c>
    </row>
    <row r="42" spans="1:6" ht="20.100000000000001" customHeight="1" x14ac:dyDescent="0.15">
      <c r="A42" s="5">
        <v>39</v>
      </c>
      <c r="B42" s="6" t="str">
        <f>"30482021060122022169629"</f>
        <v>30482021060122022169629</v>
      </c>
      <c r="C42" s="6" t="s">
        <v>2277</v>
      </c>
      <c r="D42" s="6" t="str">
        <f>"吴雪芬"</f>
        <v>吴雪芬</v>
      </c>
      <c r="E42" s="6" t="str">
        <f t="shared" si="7"/>
        <v>女</v>
      </c>
      <c r="F42" s="7" t="s">
        <v>1692</v>
      </c>
    </row>
    <row r="43" spans="1:6" ht="20.100000000000001" customHeight="1" x14ac:dyDescent="0.15">
      <c r="A43" s="5">
        <v>40</v>
      </c>
      <c r="B43" s="6" t="str">
        <f>"30482021060122033469640"</f>
        <v>30482021060122033469640</v>
      </c>
      <c r="C43" s="6" t="s">
        <v>2277</v>
      </c>
      <c r="D43" s="6" t="str">
        <f>"黄雪润"</f>
        <v>黄雪润</v>
      </c>
      <c r="E43" s="6" t="str">
        <f t="shared" si="7"/>
        <v>女</v>
      </c>
      <c r="F43" s="7" t="s">
        <v>2289</v>
      </c>
    </row>
    <row r="44" spans="1:6" ht="20.100000000000001" customHeight="1" x14ac:dyDescent="0.15">
      <c r="A44" s="5">
        <v>41</v>
      </c>
      <c r="B44" s="6" t="str">
        <f>"30482021060122055069659"</f>
        <v>30482021060122055069659</v>
      </c>
      <c r="C44" s="6" t="s">
        <v>2277</v>
      </c>
      <c r="D44" s="6" t="str">
        <f>"宋容英"</f>
        <v>宋容英</v>
      </c>
      <c r="E44" s="6" t="str">
        <f t="shared" si="7"/>
        <v>女</v>
      </c>
      <c r="F44" s="7" t="s">
        <v>324</v>
      </c>
    </row>
    <row r="45" spans="1:6" ht="20.100000000000001" customHeight="1" x14ac:dyDescent="0.15">
      <c r="A45" s="5">
        <v>42</v>
      </c>
      <c r="B45" s="6" t="str">
        <f>"30482021060122104469713"</f>
        <v>30482021060122104469713</v>
      </c>
      <c r="C45" s="6" t="s">
        <v>2277</v>
      </c>
      <c r="D45" s="6" t="str">
        <f>"朱真"</f>
        <v>朱真</v>
      </c>
      <c r="E45" s="6" t="str">
        <f t="shared" si="7"/>
        <v>女</v>
      </c>
      <c r="F45" s="7" t="s">
        <v>953</v>
      </c>
    </row>
    <row r="46" spans="1:6" ht="20.100000000000001" customHeight="1" x14ac:dyDescent="0.15">
      <c r="A46" s="5">
        <v>43</v>
      </c>
      <c r="B46" s="6" t="str">
        <f>"30482021060122173169766"</f>
        <v>30482021060122173169766</v>
      </c>
      <c r="C46" s="6" t="s">
        <v>2277</v>
      </c>
      <c r="D46" s="6" t="str">
        <f>"林家芬"</f>
        <v>林家芬</v>
      </c>
      <c r="E46" s="6" t="str">
        <f t="shared" si="7"/>
        <v>女</v>
      </c>
      <c r="F46" s="7" t="s">
        <v>2290</v>
      </c>
    </row>
    <row r="47" spans="1:6" ht="20.100000000000001" customHeight="1" x14ac:dyDescent="0.15">
      <c r="A47" s="5">
        <v>44</v>
      </c>
      <c r="B47" s="6" t="str">
        <f>"30482021060122353169927"</f>
        <v>30482021060122353169927</v>
      </c>
      <c r="C47" s="6" t="s">
        <v>2277</v>
      </c>
      <c r="D47" s="6" t="str">
        <f>"张淑娴"</f>
        <v>张淑娴</v>
      </c>
      <c r="E47" s="6" t="str">
        <f t="shared" si="7"/>
        <v>女</v>
      </c>
      <c r="F47" s="7" t="s">
        <v>2291</v>
      </c>
    </row>
    <row r="48" spans="1:6" ht="20.100000000000001" customHeight="1" x14ac:dyDescent="0.15">
      <c r="A48" s="5">
        <v>45</v>
      </c>
      <c r="B48" s="6" t="str">
        <f>"30482021060122580370088"</f>
        <v>30482021060122580370088</v>
      </c>
      <c r="C48" s="6" t="s">
        <v>2277</v>
      </c>
      <c r="D48" s="6" t="str">
        <f>"邓秋菊"</f>
        <v>邓秋菊</v>
      </c>
      <c r="E48" s="6" t="str">
        <f t="shared" si="7"/>
        <v>女</v>
      </c>
      <c r="F48" s="7" t="s">
        <v>106</v>
      </c>
    </row>
    <row r="49" spans="1:6" ht="20.100000000000001" customHeight="1" x14ac:dyDescent="0.15">
      <c r="A49" s="5">
        <v>46</v>
      </c>
      <c r="B49" s="6" t="str">
        <f>"30482021060123550870357"</f>
        <v>30482021060123550870357</v>
      </c>
      <c r="C49" s="6" t="s">
        <v>2277</v>
      </c>
      <c r="D49" s="6" t="str">
        <f>"符东梅"</f>
        <v>符东梅</v>
      </c>
      <c r="E49" s="6" t="str">
        <f t="shared" si="7"/>
        <v>女</v>
      </c>
      <c r="F49" s="7" t="s">
        <v>1414</v>
      </c>
    </row>
    <row r="50" spans="1:6" ht="20.100000000000001" customHeight="1" x14ac:dyDescent="0.15">
      <c r="A50" s="5">
        <v>47</v>
      </c>
      <c r="B50" s="6" t="str">
        <f>"30482021060201154870500"</f>
        <v>30482021060201154870500</v>
      </c>
      <c r="C50" s="6" t="s">
        <v>2277</v>
      </c>
      <c r="D50" s="6" t="str">
        <f>"吴慧敏"</f>
        <v>吴慧敏</v>
      </c>
      <c r="E50" s="6" t="str">
        <f t="shared" si="7"/>
        <v>女</v>
      </c>
      <c r="F50" s="7" t="s">
        <v>648</v>
      </c>
    </row>
    <row r="51" spans="1:6" ht="20.100000000000001" customHeight="1" x14ac:dyDescent="0.15">
      <c r="A51" s="5">
        <v>48</v>
      </c>
      <c r="B51" s="6" t="str">
        <f>"30482021060207095370592"</f>
        <v>30482021060207095370592</v>
      </c>
      <c r="C51" s="6" t="s">
        <v>2277</v>
      </c>
      <c r="D51" s="6" t="str">
        <f>"黄小泉"</f>
        <v>黄小泉</v>
      </c>
      <c r="E51" s="6" t="str">
        <f t="shared" si="7"/>
        <v>女</v>
      </c>
      <c r="F51" s="7" t="s">
        <v>673</v>
      </c>
    </row>
    <row r="52" spans="1:6" ht="20.100000000000001" customHeight="1" x14ac:dyDescent="0.15">
      <c r="A52" s="5">
        <v>49</v>
      </c>
      <c r="B52" s="6" t="str">
        <f>"30482021060208422570950"</f>
        <v>30482021060208422570950</v>
      </c>
      <c r="C52" s="6" t="s">
        <v>2277</v>
      </c>
      <c r="D52" s="6" t="str">
        <f>"何春霞"</f>
        <v>何春霞</v>
      </c>
      <c r="E52" s="6" t="str">
        <f t="shared" si="7"/>
        <v>女</v>
      </c>
      <c r="F52" s="7" t="s">
        <v>1003</v>
      </c>
    </row>
    <row r="53" spans="1:6" ht="20.100000000000001" customHeight="1" x14ac:dyDescent="0.15">
      <c r="A53" s="5">
        <v>50</v>
      </c>
      <c r="B53" s="6" t="str">
        <f>"30482021060209235271370"</f>
        <v>30482021060209235271370</v>
      </c>
      <c r="C53" s="6" t="s">
        <v>2277</v>
      </c>
      <c r="D53" s="6" t="str">
        <f>"苏时叶"</f>
        <v>苏时叶</v>
      </c>
      <c r="E53" s="6" t="str">
        <f t="shared" si="7"/>
        <v>女</v>
      </c>
      <c r="F53" s="7" t="s">
        <v>2012</v>
      </c>
    </row>
    <row r="54" spans="1:6" ht="20.100000000000001" customHeight="1" x14ac:dyDescent="0.15">
      <c r="A54" s="5">
        <v>51</v>
      </c>
      <c r="B54" s="6" t="str">
        <f>"30482021060209243471379"</f>
        <v>30482021060209243471379</v>
      </c>
      <c r="C54" s="6" t="s">
        <v>2277</v>
      </c>
      <c r="D54" s="6" t="str">
        <f>"陈石爱"</f>
        <v>陈石爱</v>
      </c>
      <c r="E54" s="6" t="str">
        <f t="shared" si="7"/>
        <v>女</v>
      </c>
      <c r="F54" s="7" t="s">
        <v>19</v>
      </c>
    </row>
    <row r="55" spans="1:6" ht="20.100000000000001" customHeight="1" x14ac:dyDescent="0.15">
      <c r="A55" s="5">
        <v>52</v>
      </c>
      <c r="B55" s="6" t="str">
        <f>"30482021060209345071511"</f>
        <v>30482021060209345071511</v>
      </c>
      <c r="C55" s="6" t="s">
        <v>2277</v>
      </c>
      <c r="D55" s="6" t="str">
        <f>"符克泥"</f>
        <v>符克泥</v>
      </c>
      <c r="E55" s="6" t="str">
        <f t="shared" si="7"/>
        <v>女</v>
      </c>
      <c r="F55" s="7" t="s">
        <v>623</v>
      </c>
    </row>
    <row r="56" spans="1:6" ht="20.100000000000001" customHeight="1" x14ac:dyDescent="0.15">
      <c r="A56" s="5">
        <v>53</v>
      </c>
      <c r="B56" s="6" t="str">
        <f>"30482021060209564371814"</f>
        <v>30482021060209564371814</v>
      </c>
      <c r="C56" s="6" t="s">
        <v>2277</v>
      </c>
      <c r="D56" s="6" t="str">
        <f>"黎梅欢"</f>
        <v>黎梅欢</v>
      </c>
      <c r="E56" s="6" t="str">
        <f t="shared" si="7"/>
        <v>女</v>
      </c>
      <c r="F56" s="7" t="s">
        <v>493</v>
      </c>
    </row>
    <row r="57" spans="1:6" ht="20.100000000000001" customHeight="1" x14ac:dyDescent="0.15">
      <c r="A57" s="5">
        <v>54</v>
      </c>
      <c r="B57" s="6" t="str">
        <f>"30482021060210125072020"</f>
        <v>30482021060210125072020</v>
      </c>
      <c r="C57" s="6" t="s">
        <v>2277</v>
      </c>
      <c r="D57" s="6" t="str">
        <f>"李瑶"</f>
        <v>李瑶</v>
      </c>
      <c r="E57" s="6" t="str">
        <f t="shared" si="7"/>
        <v>女</v>
      </c>
      <c r="F57" s="7" t="s">
        <v>155</v>
      </c>
    </row>
    <row r="58" spans="1:6" ht="20.100000000000001" customHeight="1" x14ac:dyDescent="0.15">
      <c r="A58" s="5">
        <v>55</v>
      </c>
      <c r="B58" s="6" t="str">
        <f>"30482021060210153472063"</f>
        <v>30482021060210153472063</v>
      </c>
      <c r="C58" s="6" t="s">
        <v>2277</v>
      </c>
      <c r="D58" s="6" t="str">
        <f>"符乃娟"</f>
        <v>符乃娟</v>
      </c>
      <c r="E58" s="6" t="str">
        <f t="shared" si="7"/>
        <v>女</v>
      </c>
      <c r="F58" s="7" t="s">
        <v>2292</v>
      </c>
    </row>
    <row r="59" spans="1:6" ht="20.100000000000001" customHeight="1" x14ac:dyDescent="0.15">
      <c r="A59" s="5">
        <v>56</v>
      </c>
      <c r="B59" s="6" t="str">
        <f>"30482021060210171072093"</f>
        <v>30482021060210171072093</v>
      </c>
      <c r="C59" s="6" t="s">
        <v>2277</v>
      </c>
      <c r="D59" s="6" t="str">
        <f>"温曼瑜"</f>
        <v>温曼瑜</v>
      </c>
      <c r="E59" s="6" t="str">
        <f t="shared" si="7"/>
        <v>女</v>
      </c>
      <c r="F59" s="7" t="s">
        <v>318</v>
      </c>
    </row>
    <row r="60" spans="1:6" ht="20.100000000000001" customHeight="1" x14ac:dyDescent="0.15">
      <c r="A60" s="5">
        <v>57</v>
      </c>
      <c r="B60" s="6" t="str">
        <f>"30482021060210171672096"</f>
        <v>30482021060210171672096</v>
      </c>
      <c r="C60" s="6" t="s">
        <v>2277</v>
      </c>
      <c r="D60" s="6" t="str">
        <f>"王丹"</f>
        <v>王丹</v>
      </c>
      <c r="E60" s="6" t="str">
        <f t="shared" si="7"/>
        <v>女</v>
      </c>
      <c r="F60" s="7" t="s">
        <v>1381</v>
      </c>
    </row>
    <row r="61" spans="1:6" ht="20.100000000000001" customHeight="1" x14ac:dyDescent="0.15">
      <c r="A61" s="5">
        <v>58</v>
      </c>
      <c r="B61" s="6" t="str">
        <f>"30482021060210174172102"</f>
        <v>30482021060210174172102</v>
      </c>
      <c r="C61" s="6" t="s">
        <v>2277</v>
      </c>
      <c r="D61" s="6" t="str">
        <f>"欧贻位"</f>
        <v>欧贻位</v>
      </c>
      <c r="E61" s="6" t="str">
        <f>"男"</f>
        <v>男</v>
      </c>
      <c r="F61" s="7" t="s">
        <v>2293</v>
      </c>
    </row>
    <row r="62" spans="1:6" ht="20.100000000000001" customHeight="1" x14ac:dyDescent="0.15">
      <c r="A62" s="5">
        <v>59</v>
      </c>
      <c r="B62" s="6" t="str">
        <f>"30482021060210305172289"</f>
        <v>30482021060210305172289</v>
      </c>
      <c r="C62" s="6" t="s">
        <v>2277</v>
      </c>
      <c r="D62" s="6" t="str">
        <f>"吴松金"</f>
        <v>吴松金</v>
      </c>
      <c r="E62" s="6" t="str">
        <f t="shared" ref="E62:E69" si="8">"女"</f>
        <v>女</v>
      </c>
      <c r="F62" s="7" t="s">
        <v>725</v>
      </c>
    </row>
    <row r="63" spans="1:6" ht="20.100000000000001" customHeight="1" x14ac:dyDescent="0.15">
      <c r="A63" s="5">
        <v>60</v>
      </c>
      <c r="B63" s="6" t="str">
        <f>"30482021060211183872879"</f>
        <v>30482021060211183872879</v>
      </c>
      <c r="C63" s="6" t="s">
        <v>2277</v>
      </c>
      <c r="D63" s="6" t="str">
        <f>"陈菊"</f>
        <v>陈菊</v>
      </c>
      <c r="E63" s="6" t="str">
        <f t="shared" si="8"/>
        <v>女</v>
      </c>
      <c r="F63" s="7" t="s">
        <v>1331</v>
      </c>
    </row>
    <row r="64" spans="1:6" ht="20.100000000000001" customHeight="1" x14ac:dyDescent="0.15">
      <c r="A64" s="5">
        <v>61</v>
      </c>
      <c r="B64" s="6" t="str">
        <f>"30482021060211194372898"</f>
        <v>30482021060211194372898</v>
      </c>
      <c r="C64" s="6" t="s">
        <v>2277</v>
      </c>
      <c r="D64" s="6" t="str">
        <f>"符惠萍"</f>
        <v>符惠萍</v>
      </c>
      <c r="E64" s="6" t="str">
        <f t="shared" si="8"/>
        <v>女</v>
      </c>
      <c r="F64" s="7" t="s">
        <v>665</v>
      </c>
    </row>
    <row r="65" spans="1:6" ht="20.100000000000001" customHeight="1" x14ac:dyDescent="0.15">
      <c r="A65" s="5">
        <v>62</v>
      </c>
      <c r="B65" s="6" t="str">
        <f>"30482021060211255072956"</f>
        <v>30482021060211255072956</v>
      </c>
      <c r="C65" s="6" t="s">
        <v>2277</v>
      </c>
      <c r="D65" s="6" t="str">
        <f>"管靖如"</f>
        <v>管靖如</v>
      </c>
      <c r="E65" s="6" t="str">
        <f t="shared" si="8"/>
        <v>女</v>
      </c>
      <c r="F65" s="7" t="s">
        <v>2294</v>
      </c>
    </row>
    <row r="66" spans="1:6" ht="20.100000000000001" customHeight="1" x14ac:dyDescent="0.15">
      <c r="A66" s="5">
        <v>63</v>
      </c>
      <c r="B66" s="6" t="str">
        <f>"30482021060211305473013"</f>
        <v>30482021060211305473013</v>
      </c>
      <c r="C66" s="6" t="s">
        <v>2277</v>
      </c>
      <c r="D66" s="6" t="str">
        <f>"冯丽丽"</f>
        <v>冯丽丽</v>
      </c>
      <c r="E66" s="6" t="str">
        <f t="shared" si="8"/>
        <v>女</v>
      </c>
      <c r="F66" s="7" t="s">
        <v>1727</v>
      </c>
    </row>
    <row r="67" spans="1:6" ht="20.100000000000001" customHeight="1" x14ac:dyDescent="0.15">
      <c r="A67" s="5">
        <v>64</v>
      </c>
      <c r="B67" s="6" t="str">
        <f>"30482021060211352073056"</f>
        <v>30482021060211352073056</v>
      </c>
      <c r="C67" s="6" t="s">
        <v>2277</v>
      </c>
      <c r="D67" s="6" t="str">
        <f>"林小欢"</f>
        <v>林小欢</v>
      </c>
      <c r="E67" s="6" t="str">
        <f t="shared" si="8"/>
        <v>女</v>
      </c>
      <c r="F67" s="7" t="s">
        <v>495</v>
      </c>
    </row>
    <row r="68" spans="1:6" ht="20.100000000000001" customHeight="1" x14ac:dyDescent="0.15">
      <c r="A68" s="5">
        <v>65</v>
      </c>
      <c r="B68" s="6" t="str">
        <f>"30482021060211410673124"</f>
        <v>30482021060211410673124</v>
      </c>
      <c r="C68" s="6" t="s">
        <v>2277</v>
      </c>
      <c r="D68" s="6" t="str">
        <f>"贺紫欣"</f>
        <v>贺紫欣</v>
      </c>
      <c r="E68" s="6" t="str">
        <f t="shared" si="8"/>
        <v>女</v>
      </c>
      <c r="F68" s="7" t="s">
        <v>208</v>
      </c>
    </row>
    <row r="69" spans="1:6" ht="20.100000000000001" customHeight="1" x14ac:dyDescent="0.15">
      <c r="A69" s="5">
        <v>66</v>
      </c>
      <c r="B69" s="6" t="str">
        <f>"30482021060211442673152"</f>
        <v>30482021060211442673152</v>
      </c>
      <c r="C69" s="6" t="s">
        <v>2277</v>
      </c>
      <c r="D69" s="6" t="str">
        <f>"林吉美"</f>
        <v>林吉美</v>
      </c>
      <c r="E69" s="6" t="str">
        <f t="shared" si="8"/>
        <v>女</v>
      </c>
      <c r="F69" s="7" t="s">
        <v>672</v>
      </c>
    </row>
    <row r="70" spans="1:6" ht="20.100000000000001" customHeight="1" x14ac:dyDescent="0.15">
      <c r="A70" s="5">
        <v>67</v>
      </c>
      <c r="B70" s="6" t="str">
        <f>"30482021060211582873266"</f>
        <v>30482021060211582873266</v>
      </c>
      <c r="C70" s="6" t="s">
        <v>2277</v>
      </c>
      <c r="D70" s="6" t="str">
        <f>"胡声浩"</f>
        <v>胡声浩</v>
      </c>
      <c r="E70" s="6" t="str">
        <f>"男"</f>
        <v>男</v>
      </c>
      <c r="F70" s="7" t="s">
        <v>119</v>
      </c>
    </row>
    <row r="71" spans="1:6" ht="20.100000000000001" customHeight="1" x14ac:dyDescent="0.15">
      <c r="A71" s="5">
        <v>68</v>
      </c>
      <c r="B71" s="6" t="str">
        <f>"30482021060212135473378"</f>
        <v>30482021060212135473378</v>
      </c>
      <c r="C71" s="6" t="s">
        <v>2277</v>
      </c>
      <c r="D71" s="6" t="str">
        <f>"余丽芳"</f>
        <v>余丽芳</v>
      </c>
      <c r="E71" s="6" t="str">
        <f t="shared" ref="E71:E78" si="9">"女"</f>
        <v>女</v>
      </c>
      <c r="F71" s="7" t="s">
        <v>547</v>
      </c>
    </row>
    <row r="72" spans="1:6" ht="20.100000000000001" customHeight="1" x14ac:dyDescent="0.15">
      <c r="A72" s="5">
        <v>69</v>
      </c>
      <c r="B72" s="6" t="str">
        <f>"30482021060212152573389"</f>
        <v>30482021060212152573389</v>
      </c>
      <c r="C72" s="6" t="s">
        <v>2277</v>
      </c>
      <c r="D72" s="6" t="str">
        <f>"郑转娥"</f>
        <v>郑转娥</v>
      </c>
      <c r="E72" s="6" t="str">
        <f t="shared" si="9"/>
        <v>女</v>
      </c>
      <c r="F72" s="7" t="s">
        <v>1327</v>
      </c>
    </row>
    <row r="73" spans="1:6" ht="20.100000000000001" customHeight="1" x14ac:dyDescent="0.15">
      <c r="A73" s="5">
        <v>70</v>
      </c>
      <c r="B73" s="6" t="str">
        <f>"30482021060212520873713"</f>
        <v>30482021060212520873713</v>
      </c>
      <c r="C73" s="6" t="s">
        <v>2277</v>
      </c>
      <c r="D73" s="6" t="str">
        <f>"刘超"</f>
        <v>刘超</v>
      </c>
      <c r="E73" s="6" t="str">
        <f t="shared" si="9"/>
        <v>女</v>
      </c>
      <c r="F73" s="7" t="s">
        <v>2295</v>
      </c>
    </row>
    <row r="74" spans="1:6" ht="20.100000000000001" customHeight="1" x14ac:dyDescent="0.15">
      <c r="A74" s="5">
        <v>71</v>
      </c>
      <c r="B74" s="6" t="str">
        <f>"30482021060214352474359"</f>
        <v>30482021060214352474359</v>
      </c>
      <c r="C74" s="6" t="s">
        <v>2277</v>
      </c>
      <c r="D74" s="6" t="str">
        <f>"叶冬晴"</f>
        <v>叶冬晴</v>
      </c>
      <c r="E74" s="6" t="str">
        <f t="shared" si="9"/>
        <v>女</v>
      </c>
      <c r="F74" s="7" t="s">
        <v>160</v>
      </c>
    </row>
    <row r="75" spans="1:6" ht="20.100000000000001" customHeight="1" x14ac:dyDescent="0.15">
      <c r="A75" s="5">
        <v>72</v>
      </c>
      <c r="B75" s="6" t="str">
        <f>"30482021060214510074490"</f>
        <v>30482021060214510074490</v>
      </c>
      <c r="C75" s="6" t="s">
        <v>2277</v>
      </c>
      <c r="D75" s="6" t="str">
        <f>"陈核"</f>
        <v>陈核</v>
      </c>
      <c r="E75" s="6" t="str">
        <f t="shared" si="9"/>
        <v>女</v>
      </c>
      <c r="F75" s="7" t="s">
        <v>1905</v>
      </c>
    </row>
    <row r="76" spans="1:6" ht="20.100000000000001" customHeight="1" x14ac:dyDescent="0.15">
      <c r="A76" s="5">
        <v>73</v>
      </c>
      <c r="B76" s="6" t="str">
        <f>"30482021060215065774652"</f>
        <v>30482021060215065774652</v>
      </c>
      <c r="C76" s="6" t="s">
        <v>2277</v>
      </c>
      <c r="D76" s="6" t="str">
        <f>"蔡程冰"</f>
        <v>蔡程冰</v>
      </c>
      <c r="E76" s="6" t="str">
        <f t="shared" si="9"/>
        <v>女</v>
      </c>
      <c r="F76" s="7" t="s">
        <v>1051</v>
      </c>
    </row>
    <row r="77" spans="1:6" ht="20.100000000000001" customHeight="1" x14ac:dyDescent="0.15">
      <c r="A77" s="5">
        <v>74</v>
      </c>
      <c r="B77" s="6" t="str">
        <f>"30482021060215371374988"</f>
        <v>30482021060215371374988</v>
      </c>
      <c r="C77" s="6" t="s">
        <v>2277</v>
      </c>
      <c r="D77" s="6" t="str">
        <f>"张莉莉"</f>
        <v>张莉莉</v>
      </c>
      <c r="E77" s="6" t="str">
        <f t="shared" si="9"/>
        <v>女</v>
      </c>
      <c r="F77" s="7" t="s">
        <v>345</v>
      </c>
    </row>
    <row r="78" spans="1:6" ht="20.100000000000001" customHeight="1" x14ac:dyDescent="0.15">
      <c r="A78" s="5">
        <v>75</v>
      </c>
      <c r="B78" s="6" t="str">
        <f>"30482021060216043975294"</f>
        <v>30482021060216043975294</v>
      </c>
      <c r="C78" s="6" t="s">
        <v>2277</v>
      </c>
      <c r="D78" s="6" t="str">
        <f>"郑凤香"</f>
        <v>郑凤香</v>
      </c>
      <c r="E78" s="6" t="str">
        <f t="shared" si="9"/>
        <v>女</v>
      </c>
      <c r="F78" s="7" t="s">
        <v>210</v>
      </c>
    </row>
    <row r="79" spans="1:6" ht="20.100000000000001" customHeight="1" x14ac:dyDescent="0.15">
      <c r="A79" s="5">
        <v>76</v>
      </c>
      <c r="B79" s="6" t="str">
        <f>"30482021060216122075371"</f>
        <v>30482021060216122075371</v>
      </c>
      <c r="C79" s="6" t="s">
        <v>2277</v>
      </c>
      <c r="D79" s="6" t="str">
        <f>"李耀勋"</f>
        <v>李耀勋</v>
      </c>
      <c r="E79" s="6" t="str">
        <f>"男"</f>
        <v>男</v>
      </c>
      <c r="F79" s="7" t="s">
        <v>2296</v>
      </c>
    </row>
    <row r="80" spans="1:6" ht="20.100000000000001" customHeight="1" x14ac:dyDescent="0.15">
      <c r="A80" s="5">
        <v>77</v>
      </c>
      <c r="B80" s="6" t="str">
        <f>"30482021060216155175406"</f>
        <v>30482021060216155175406</v>
      </c>
      <c r="C80" s="6" t="s">
        <v>2277</v>
      </c>
      <c r="D80" s="6" t="str">
        <f>"王秀青"</f>
        <v>王秀青</v>
      </c>
      <c r="E80" s="6" t="str">
        <f t="shared" ref="E80:E107" si="10">"女"</f>
        <v>女</v>
      </c>
      <c r="F80" s="7" t="s">
        <v>36</v>
      </c>
    </row>
    <row r="81" spans="1:6" ht="20.100000000000001" customHeight="1" x14ac:dyDescent="0.15">
      <c r="A81" s="5">
        <v>78</v>
      </c>
      <c r="B81" s="6" t="str">
        <f>"30482021060216413775659"</f>
        <v>30482021060216413775659</v>
      </c>
      <c r="C81" s="6" t="s">
        <v>2277</v>
      </c>
      <c r="D81" s="6" t="str">
        <f>"李佳"</f>
        <v>李佳</v>
      </c>
      <c r="E81" s="6" t="str">
        <f t="shared" si="10"/>
        <v>女</v>
      </c>
      <c r="F81" s="7" t="s">
        <v>1531</v>
      </c>
    </row>
    <row r="82" spans="1:6" ht="20.100000000000001" customHeight="1" x14ac:dyDescent="0.15">
      <c r="A82" s="5">
        <v>79</v>
      </c>
      <c r="B82" s="6" t="str">
        <f>"30482021060216414275661"</f>
        <v>30482021060216414275661</v>
      </c>
      <c r="C82" s="6" t="s">
        <v>2277</v>
      </c>
      <c r="D82" s="6" t="str">
        <f>"王靖"</f>
        <v>王靖</v>
      </c>
      <c r="E82" s="6" t="str">
        <f t="shared" si="10"/>
        <v>女</v>
      </c>
      <c r="F82" s="7" t="s">
        <v>2297</v>
      </c>
    </row>
    <row r="83" spans="1:6" ht="20.100000000000001" customHeight="1" x14ac:dyDescent="0.15">
      <c r="A83" s="5">
        <v>80</v>
      </c>
      <c r="B83" s="6" t="str">
        <f>"30482021060217003875821"</f>
        <v>30482021060217003875821</v>
      </c>
      <c r="C83" s="6" t="s">
        <v>2277</v>
      </c>
      <c r="D83" s="6" t="str">
        <f>"陈荣"</f>
        <v>陈荣</v>
      </c>
      <c r="E83" s="6" t="str">
        <f t="shared" si="10"/>
        <v>女</v>
      </c>
      <c r="F83" s="7" t="s">
        <v>363</v>
      </c>
    </row>
    <row r="84" spans="1:6" ht="20.100000000000001" customHeight="1" x14ac:dyDescent="0.15">
      <c r="A84" s="5">
        <v>81</v>
      </c>
      <c r="B84" s="6" t="str">
        <f>"30482021060217274376087"</f>
        <v>30482021060217274376087</v>
      </c>
      <c r="C84" s="6" t="s">
        <v>2277</v>
      </c>
      <c r="D84" s="6" t="str">
        <f>"吴和洁"</f>
        <v>吴和洁</v>
      </c>
      <c r="E84" s="6" t="str">
        <f t="shared" si="10"/>
        <v>女</v>
      </c>
      <c r="F84" s="7" t="s">
        <v>1436</v>
      </c>
    </row>
    <row r="85" spans="1:6" ht="20.100000000000001" customHeight="1" x14ac:dyDescent="0.15">
      <c r="A85" s="5">
        <v>82</v>
      </c>
      <c r="B85" s="6" t="str">
        <f>"30482021060218572276728"</f>
        <v>30482021060218572276728</v>
      </c>
      <c r="C85" s="6" t="s">
        <v>2277</v>
      </c>
      <c r="D85" s="6" t="str">
        <f>"祝毓金"</f>
        <v>祝毓金</v>
      </c>
      <c r="E85" s="6" t="str">
        <f t="shared" si="10"/>
        <v>女</v>
      </c>
      <c r="F85" s="7" t="s">
        <v>470</v>
      </c>
    </row>
    <row r="86" spans="1:6" ht="20.100000000000001" customHeight="1" x14ac:dyDescent="0.15">
      <c r="A86" s="5">
        <v>83</v>
      </c>
      <c r="B86" s="6" t="str">
        <f>"30482021060220461877586"</f>
        <v>30482021060220461877586</v>
      </c>
      <c r="C86" s="6" t="s">
        <v>2277</v>
      </c>
      <c r="D86" s="6" t="str">
        <f>"戴华楠"</f>
        <v>戴华楠</v>
      </c>
      <c r="E86" s="6" t="str">
        <f t="shared" si="10"/>
        <v>女</v>
      </c>
      <c r="F86" s="7" t="s">
        <v>368</v>
      </c>
    </row>
    <row r="87" spans="1:6" ht="20.100000000000001" customHeight="1" x14ac:dyDescent="0.15">
      <c r="A87" s="5">
        <v>84</v>
      </c>
      <c r="B87" s="6" t="str">
        <f>"30482021060220493277618"</f>
        <v>30482021060220493277618</v>
      </c>
      <c r="C87" s="6" t="s">
        <v>2277</v>
      </c>
      <c r="D87" s="6" t="str">
        <f>"黄丽"</f>
        <v>黄丽</v>
      </c>
      <c r="E87" s="6" t="str">
        <f t="shared" si="10"/>
        <v>女</v>
      </c>
      <c r="F87" s="7" t="s">
        <v>544</v>
      </c>
    </row>
    <row r="88" spans="1:6" ht="20.100000000000001" customHeight="1" x14ac:dyDescent="0.15">
      <c r="A88" s="5">
        <v>85</v>
      </c>
      <c r="B88" s="6" t="str">
        <f>"30482021060222365078471"</f>
        <v>30482021060222365078471</v>
      </c>
      <c r="C88" s="6" t="s">
        <v>2277</v>
      </c>
      <c r="D88" s="6" t="str">
        <f>"林明兰"</f>
        <v>林明兰</v>
      </c>
      <c r="E88" s="6" t="str">
        <f t="shared" si="10"/>
        <v>女</v>
      </c>
      <c r="F88" s="7" t="s">
        <v>989</v>
      </c>
    </row>
    <row r="89" spans="1:6" ht="20.100000000000001" customHeight="1" x14ac:dyDescent="0.15">
      <c r="A89" s="5">
        <v>86</v>
      </c>
      <c r="B89" s="6" t="str">
        <f>"30482021060223023178665"</f>
        <v>30482021060223023178665</v>
      </c>
      <c r="C89" s="6" t="s">
        <v>2277</v>
      </c>
      <c r="D89" s="6" t="str">
        <f>"陈艳"</f>
        <v>陈艳</v>
      </c>
      <c r="E89" s="6" t="str">
        <f t="shared" si="10"/>
        <v>女</v>
      </c>
      <c r="F89" s="7" t="s">
        <v>2298</v>
      </c>
    </row>
    <row r="90" spans="1:6" ht="20.100000000000001" customHeight="1" x14ac:dyDescent="0.15">
      <c r="A90" s="5">
        <v>87</v>
      </c>
      <c r="B90" s="6" t="str">
        <f>"30482021060223104078715"</f>
        <v>30482021060223104078715</v>
      </c>
      <c r="C90" s="6" t="s">
        <v>2277</v>
      </c>
      <c r="D90" s="6" t="str">
        <f>"蔡芳雯"</f>
        <v>蔡芳雯</v>
      </c>
      <c r="E90" s="6" t="str">
        <f t="shared" si="10"/>
        <v>女</v>
      </c>
      <c r="F90" s="7" t="s">
        <v>403</v>
      </c>
    </row>
    <row r="91" spans="1:6" ht="20.100000000000001" customHeight="1" x14ac:dyDescent="0.15">
      <c r="A91" s="5">
        <v>88</v>
      </c>
      <c r="B91" s="6" t="str">
        <f>"30482021060223480278916"</f>
        <v>30482021060223480278916</v>
      </c>
      <c r="C91" s="6" t="s">
        <v>2277</v>
      </c>
      <c r="D91" s="6" t="str">
        <f>"洪英"</f>
        <v>洪英</v>
      </c>
      <c r="E91" s="6" t="str">
        <f t="shared" si="10"/>
        <v>女</v>
      </c>
      <c r="F91" s="7" t="s">
        <v>650</v>
      </c>
    </row>
    <row r="92" spans="1:6" ht="20.100000000000001" customHeight="1" x14ac:dyDescent="0.15">
      <c r="A92" s="5">
        <v>89</v>
      </c>
      <c r="B92" s="6" t="str">
        <f>"30482021060302041479127"</f>
        <v>30482021060302041479127</v>
      </c>
      <c r="C92" s="6" t="s">
        <v>2277</v>
      </c>
      <c r="D92" s="6" t="str">
        <f>"林海宁"</f>
        <v>林海宁</v>
      </c>
      <c r="E92" s="6" t="str">
        <f t="shared" si="10"/>
        <v>女</v>
      </c>
      <c r="F92" s="7" t="s">
        <v>2299</v>
      </c>
    </row>
    <row r="93" spans="1:6" ht="20.100000000000001" customHeight="1" x14ac:dyDescent="0.15">
      <c r="A93" s="5">
        <v>90</v>
      </c>
      <c r="B93" s="6" t="str">
        <f>"30482021060309461680443"</f>
        <v>30482021060309461680443</v>
      </c>
      <c r="C93" s="6" t="s">
        <v>2277</v>
      </c>
      <c r="D93" s="6" t="str">
        <f>"周会惠"</f>
        <v>周会惠</v>
      </c>
      <c r="E93" s="6" t="str">
        <f t="shared" si="10"/>
        <v>女</v>
      </c>
      <c r="F93" s="7" t="s">
        <v>1565</v>
      </c>
    </row>
    <row r="94" spans="1:6" ht="20.100000000000001" customHeight="1" x14ac:dyDescent="0.15">
      <c r="A94" s="5">
        <v>91</v>
      </c>
      <c r="B94" s="6" t="str">
        <f>"30482021060310140980914"</f>
        <v>30482021060310140980914</v>
      </c>
      <c r="C94" s="6" t="s">
        <v>2277</v>
      </c>
      <c r="D94" s="6" t="str">
        <f>"林吕梨"</f>
        <v>林吕梨</v>
      </c>
      <c r="E94" s="6" t="str">
        <f t="shared" si="10"/>
        <v>女</v>
      </c>
      <c r="F94" s="7" t="s">
        <v>1250</v>
      </c>
    </row>
    <row r="95" spans="1:6" ht="20.100000000000001" customHeight="1" x14ac:dyDescent="0.15">
      <c r="A95" s="5">
        <v>92</v>
      </c>
      <c r="B95" s="6" t="str">
        <f>"30482021060310321981195"</f>
        <v>30482021060310321981195</v>
      </c>
      <c r="C95" s="6" t="s">
        <v>2277</v>
      </c>
      <c r="D95" s="6" t="str">
        <f>"李云珠"</f>
        <v>李云珠</v>
      </c>
      <c r="E95" s="6" t="str">
        <f t="shared" si="10"/>
        <v>女</v>
      </c>
      <c r="F95" s="7" t="s">
        <v>2300</v>
      </c>
    </row>
    <row r="96" spans="1:6" ht="20.100000000000001" customHeight="1" x14ac:dyDescent="0.15">
      <c r="A96" s="5">
        <v>93</v>
      </c>
      <c r="B96" s="6" t="str">
        <f>"30482021060312464282890"</f>
        <v>30482021060312464282890</v>
      </c>
      <c r="C96" s="6" t="s">
        <v>2277</v>
      </c>
      <c r="D96" s="6" t="str">
        <f>"孙雪莹"</f>
        <v>孙雪莹</v>
      </c>
      <c r="E96" s="6" t="str">
        <f t="shared" si="10"/>
        <v>女</v>
      </c>
      <c r="F96" s="7" t="s">
        <v>12</v>
      </c>
    </row>
    <row r="97" spans="1:6" ht="20.100000000000001" customHeight="1" x14ac:dyDescent="0.15">
      <c r="A97" s="5">
        <v>94</v>
      </c>
      <c r="B97" s="6" t="str">
        <f>"30482021060314194883621"</f>
        <v>30482021060314194883621</v>
      </c>
      <c r="C97" s="6" t="s">
        <v>2277</v>
      </c>
      <c r="D97" s="6" t="str">
        <f>"谢秀露"</f>
        <v>谢秀露</v>
      </c>
      <c r="E97" s="6" t="str">
        <f t="shared" si="10"/>
        <v>女</v>
      </c>
      <c r="F97" s="7" t="s">
        <v>2301</v>
      </c>
    </row>
    <row r="98" spans="1:6" ht="20.100000000000001" customHeight="1" x14ac:dyDescent="0.15">
      <c r="A98" s="5">
        <v>95</v>
      </c>
      <c r="B98" s="6" t="str">
        <f>"30482021060315081484159"</f>
        <v>30482021060315081484159</v>
      </c>
      <c r="C98" s="6" t="s">
        <v>2277</v>
      </c>
      <c r="D98" s="6" t="str">
        <f>"纪慧欣"</f>
        <v>纪慧欣</v>
      </c>
      <c r="E98" s="6" t="str">
        <f t="shared" si="10"/>
        <v>女</v>
      </c>
      <c r="F98" s="7" t="s">
        <v>302</v>
      </c>
    </row>
    <row r="99" spans="1:6" ht="20.100000000000001" customHeight="1" x14ac:dyDescent="0.15">
      <c r="A99" s="5">
        <v>96</v>
      </c>
      <c r="B99" s="6" t="str">
        <f>"30482021060316062184959"</f>
        <v>30482021060316062184959</v>
      </c>
      <c r="C99" s="6" t="s">
        <v>2277</v>
      </c>
      <c r="D99" s="6" t="str">
        <f>"黄虹丽"</f>
        <v>黄虹丽</v>
      </c>
      <c r="E99" s="6" t="str">
        <f t="shared" si="10"/>
        <v>女</v>
      </c>
      <c r="F99" s="7" t="s">
        <v>235</v>
      </c>
    </row>
    <row r="100" spans="1:6" ht="20.100000000000001" customHeight="1" x14ac:dyDescent="0.15">
      <c r="A100" s="5">
        <v>97</v>
      </c>
      <c r="B100" s="6" t="str">
        <f>"30482021060316293985229"</f>
        <v>30482021060316293985229</v>
      </c>
      <c r="C100" s="6" t="s">
        <v>2277</v>
      </c>
      <c r="D100" s="6" t="str">
        <f>"陈丽帆"</f>
        <v>陈丽帆</v>
      </c>
      <c r="E100" s="6" t="str">
        <f t="shared" si="10"/>
        <v>女</v>
      </c>
      <c r="F100" s="7" t="s">
        <v>106</v>
      </c>
    </row>
    <row r="101" spans="1:6" ht="20.100000000000001" customHeight="1" x14ac:dyDescent="0.15">
      <c r="A101" s="5">
        <v>98</v>
      </c>
      <c r="B101" s="6" t="str">
        <f>"30482021060316592585588"</f>
        <v>30482021060316592585588</v>
      </c>
      <c r="C101" s="6" t="s">
        <v>2277</v>
      </c>
      <c r="D101" s="6" t="str">
        <f>"薛江艳"</f>
        <v>薛江艳</v>
      </c>
      <c r="E101" s="6" t="str">
        <f t="shared" si="10"/>
        <v>女</v>
      </c>
      <c r="F101" s="7" t="s">
        <v>1424</v>
      </c>
    </row>
    <row r="102" spans="1:6" ht="20.100000000000001" customHeight="1" x14ac:dyDescent="0.15">
      <c r="A102" s="5">
        <v>99</v>
      </c>
      <c r="B102" s="6" t="str">
        <f>"30482021060317342685951"</f>
        <v>30482021060317342685951</v>
      </c>
      <c r="C102" s="6" t="s">
        <v>2277</v>
      </c>
      <c r="D102" s="6" t="str">
        <f>"王韩雪"</f>
        <v>王韩雪</v>
      </c>
      <c r="E102" s="6" t="str">
        <f t="shared" si="10"/>
        <v>女</v>
      </c>
      <c r="F102" s="7" t="s">
        <v>2302</v>
      </c>
    </row>
    <row r="103" spans="1:6" ht="20.100000000000001" customHeight="1" x14ac:dyDescent="0.15">
      <c r="A103" s="5">
        <v>100</v>
      </c>
      <c r="B103" s="6" t="str">
        <f>"30482021060319172286855"</f>
        <v>30482021060319172286855</v>
      </c>
      <c r="C103" s="6" t="s">
        <v>2277</v>
      </c>
      <c r="D103" s="6" t="str">
        <f>"王应轮"</f>
        <v>王应轮</v>
      </c>
      <c r="E103" s="6" t="str">
        <f t="shared" si="10"/>
        <v>女</v>
      </c>
      <c r="F103" s="7" t="s">
        <v>1119</v>
      </c>
    </row>
    <row r="104" spans="1:6" ht="20.100000000000001" customHeight="1" x14ac:dyDescent="0.15">
      <c r="A104" s="5">
        <v>101</v>
      </c>
      <c r="B104" s="6" t="str">
        <f>"30482021060320343687600"</f>
        <v>30482021060320343687600</v>
      </c>
      <c r="C104" s="6" t="s">
        <v>2277</v>
      </c>
      <c r="D104" s="6" t="str">
        <f>"冯秋萍"</f>
        <v>冯秋萍</v>
      </c>
      <c r="E104" s="6" t="str">
        <f t="shared" si="10"/>
        <v>女</v>
      </c>
      <c r="F104" s="7" t="s">
        <v>2303</v>
      </c>
    </row>
    <row r="105" spans="1:6" ht="20.100000000000001" customHeight="1" x14ac:dyDescent="0.15">
      <c r="A105" s="5">
        <v>102</v>
      </c>
      <c r="B105" s="6" t="str">
        <f>"30482021060321452088434"</f>
        <v>30482021060321452088434</v>
      </c>
      <c r="C105" s="6" t="s">
        <v>2277</v>
      </c>
      <c r="D105" s="6" t="str">
        <f>"丁艳"</f>
        <v>丁艳</v>
      </c>
      <c r="E105" s="6" t="str">
        <f t="shared" si="10"/>
        <v>女</v>
      </c>
      <c r="F105" s="7" t="s">
        <v>2304</v>
      </c>
    </row>
    <row r="106" spans="1:6" ht="20.100000000000001" customHeight="1" x14ac:dyDescent="0.15">
      <c r="A106" s="5">
        <v>103</v>
      </c>
      <c r="B106" s="6" t="str">
        <f>"30482021060323161989384"</f>
        <v>30482021060323161989384</v>
      </c>
      <c r="C106" s="6" t="s">
        <v>2277</v>
      </c>
      <c r="D106" s="6" t="str">
        <f>"黎明"</f>
        <v>黎明</v>
      </c>
      <c r="E106" s="6" t="str">
        <f t="shared" si="10"/>
        <v>女</v>
      </c>
      <c r="F106" s="7" t="s">
        <v>672</v>
      </c>
    </row>
    <row r="107" spans="1:6" ht="20.100000000000001" customHeight="1" x14ac:dyDescent="0.15">
      <c r="A107" s="5">
        <v>104</v>
      </c>
      <c r="B107" s="6" t="str">
        <f>"30482021060409204090816"</f>
        <v>30482021060409204090816</v>
      </c>
      <c r="C107" s="6" t="s">
        <v>2277</v>
      </c>
      <c r="D107" s="6" t="str">
        <f>"何丽丁"</f>
        <v>何丽丁</v>
      </c>
      <c r="E107" s="6" t="str">
        <f t="shared" si="10"/>
        <v>女</v>
      </c>
      <c r="F107" s="7" t="s">
        <v>552</v>
      </c>
    </row>
    <row r="108" spans="1:6" ht="20.100000000000001" customHeight="1" x14ac:dyDescent="0.15">
      <c r="A108" s="5">
        <v>105</v>
      </c>
      <c r="B108" s="6" t="str">
        <f>"30482021060409510991164"</f>
        <v>30482021060409510991164</v>
      </c>
      <c r="C108" s="6" t="s">
        <v>2277</v>
      </c>
      <c r="D108" s="6" t="str">
        <f>"吴奇蔚"</f>
        <v>吴奇蔚</v>
      </c>
      <c r="E108" s="6" t="str">
        <f>"男"</f>
        <v>男</v>
      </c>
      <c r="F108" s="7" t="s">
        <v>2305</v>
      </c>
    </row>
    <row r="109" spans="1:6" ht="20.100000000000001" customHeight="1" x14ac:dyDescent="0.15">
      <c r="A109" s="5">
        <v>106</v>
      </c>
      <c r="B109" s="6" t="str">
        <f>"30482021060410011291279"</f>
        <v>30482021060410011291279</v>
      </c>
      <c r="C109" s="6" t="s">
        <v>2277</v>
      </c>
      <c r="D109" s="6" t="str">
        <f>"林晓洁"</f>
        <v>林晓洁</v>
      </c>
      <c r="E109" s="6" t="str">
        <f t="shared" ref="E109:E115" si="11">"女"</f>
        <v>女</v>
      </c>
      <c r="F109" s="7" t="s">
        <v>2306</v>
      </c>
    </row>
    <row r="110" spans="1:6" ht="20.100000000000001" customHeight="1" x14ac:dyDescent="0.15">
      <c r="A110" s="5">
        <v>107</v>
      </c>
      <c r="B110" s="6" t="str">
        <f>"30482021060415143796115"</f>
        <v>30482021060415143796115</v>
      </c>
      <c r="C110" s="6" t="s">
        <v>2277</v>
      </c>
      <c r="D110" s="6" t="str">
        <f>"赖素诗"</f>
        <v>赖素诗</v>
      </c>
      <c r="E110" s="6" t="str">
        <f t="shared" si="11"/>
        <v>女</v>
      </c>
      <c r="F110" s="7" t="s">
        <v>1182</v>
      </c>
    </row>
    <row r="111" spans="1:6" ht="20.100000000000001" customHeight="1" x14ac:dyDescent="0.15">
      <c r="A111" s="5">
        <v>108</v>
      </c>
      <c r="B111" s="6" t="str">
        <f>"30482021060415224096239"</f>
        <v>30482021060415224096239</v>
      </c>
      <c r="C111" s="6" t="s">
        <v>2277</v>
      </c>
      <c r="D111" s="6" t="str">
        <f>"谭良灵"</f>
        <v>谭良灵</v>
      </c>
      <c r="E111" s="6" t="str">
        <f t="shared" si="11"/>
        <v>女</v>
      </c>
      <c r="F111" s="7" t="s">
        <v>131</v>
      </c>
    </row>
    <row r="112" spans="1:6" ht="20.100000000000001" customHeight="1" x14ac:dyDescent="0.15">
      <c r="A112" s="5">
        <v>109</v>
      </c>
      <c r="B112" s="6" t="str">
        <f>"30482021060415482496602"</f>
        <v>30482021060415482496602</v>
      </c>
      <c r="C112" s="6" t="s">
        <v>2277</v>
      </c>
      <c r="D112" s="6" t="str">
        <f>"符小瑶"</f>
        <v>符小瑶</v>
      </c>
      <c r="E112" s="6" t="str">
        <f t="shared" si="11"/>
        <v>女</v>
      </c>
      <c r="F112" s="7" t="s">
        <v>2307</v>
      </c>
    </row>
    <row r="113" spans="1:6" ht="20.100000000000001" customHeight="1" x14ac:dyDescent="0.15">
      <c r="A113" s="5">
        <v>110</v>
      </c>
      <c r="B113" s="6" t="str">
        <f>"30482021060415514696635"</f>
        <v>30482021060415514696635</v>
      </c>
      <c r="C113" s="6" t="s">
        <v>2277</v>
      </c>
      <c r="D113" s="6" t="str">
        <f>"陈海婷"</f>
        <v>陈海婷</v>
      </c>
      <c r="E113" s="6" t="str">
        <f t="shared" si="11"/>
        <v>女</v>
      </c>
      <c r="F113" s="7" t="s">
        <v>266</v>
      </c>
    </row>
    <row r="114" spans="1:6" ht="20.100000000000001" customHeight="1" x14ac:dyDescent="0.15">
      <c r="A114" s="5">
        <v>111</v>
      </c>
      <c r="B114" s="6" t="str">
        <f>"30482021060415553196673"</f>
        <v>30482021060415553196673</v>
      </c>
      <c r="C114" s="6" t="s">
        <v>2277</v>
      </c>
      <c r="D114" s="6" t="str">
        <f>"符暖"</f>
        <v>符暖</v>
      </c>
      <c r="E114" s="6" t="str">
        <f t="shared" si="11"/>
        <v>女</v>
      </c>
      <c r="F114" s="7" t="s">
        <v>963</v>
      </c>
    </row>
    <row r="115" spans="1:6" ht="20.100000000000001" customHeight="1" x14ac:dyDescent="0.15">
      <c r="A115" s="5">
        <v>112</v>
      </c>
      <c r="B115" s="6" t="str">
        <f>"30482021060417220897822"</f>
        <v>30482021060417220897822</v>
      </c>
      <c r="C115" s="6" t="s">
        <v>2277</v>
      </c>
      <c r="D115" s="6" t="str">
        <f>"王爱凤"</f>
        <v>王爱凤</v>
      </c>
      <c r="E115" s="6" t="str">
        <f t="shared" si="11"/>
        <v>女</v>
      </c>
      <c r="F115" s="7" t="s">
        <v>1664</v>
      </c>
    </row>
    <row r="116" spans="1:6" ht="20.100000000000001" customHeight="1" x14ac:dyDescent="0.15">
      <c r="A116" s="5">
        <v>113</v>
      </c>
      <c r="B116" s="6" t="str">
        <f>"30482021060417480998170"</f>
        <v>30482021060417480998170</v>
      </c>
      <c r="C116" s="6" t="s">
        <v>2277</v>
      </c>
      <c r="D116" s="6" t="str">
        <f>"卢贞铭"</f>
        <v>卢贞铭</v>
      </c>
      <c r="E116" s="6" t="str">
        <f>"男"</f>
        <v>男</v>
      </c>
      <c r="F116" s="7" t="s">
        <v>2308</v>
      </c>
    </row>
    <row r="117" spans="1:6" ht="20.100000000000001" customHeight="1" x14ac:dyDescent="0.15">
      <c r="A117" s="5">
        <v>114</v>
      </c>
      <c r="B117" s="6" t="str">
        <f>"30482021060420180499360"</f>
        <v>30482021060420180499360</v>
      </c>
      <c r="C117" s="6" t="s">
        <v>2277</v>
      </c>
      <c r="D117" s="6" t="str">
        <f>"纪新婷"</f>
        <v>纪新婷</v>
      </c>
      <c r="E117" s="6" t="str">
        <f t="shared" ref="E117:E125" si="12">"女"</f>
        <v>女</v>
      </c>
      <c r="F117" s="7" t="s">
        <v>2209</v>
      </c>
    </row>
    <row r="118" spans="1:6" ht="20.100000000000001" customHeight="1" x14ac:dyDescent="0.15">
      <c r="A118" s="5">
        <v>115</v>
      </c>
      <c r="B118" s="6" t="str">
        <f>"30482021060421250799578"</f>
        <v>30482021060421250799578</v>
      </c>
      <c r="C118" s="6" t="s">
        <v>2277</v>
      </c>
      <c r="D118" s="6" t="str">
        <f>"黎惠娴"</f>
        <v>黎惠娴</v>
      </c>
      <c r="E118" s="6" t="str">
        <f t="shared" si="12"/>
        <v>女</v>
      </c>
      <c r="F118" s="7" t="s">
        <v>2309</v>
      </c>
    </row>
    <row r="119" spans="1:6" ht="20.100000000000001" customHeight="1" x14ac:dyDescent="0.15">
      <c r="A119" s="5">
        <v>116</v>
      </c>
      <c r="B119" s="6" t="str">
        <f>"30482021060422312099767"</f>
        <v>30482021060422312099767</v>
      </c>
      <c r="C119" s="6" t="s">
        <v>2277</v>
      </c>
      <c r="D119" s="6" t="str">
        <f>"潘孝柳"</f>
        <v>潘孝柳</v>
      </c>
      <c r="E119" s="6" t="str">
        <f t="shared" si="12"/>
        <v>女</v>
      </c>
      <c r="F119" s="7" t="s">
        <v>331</v>
      </c>
    </row>
    <row r="120" spans="1:6" ht="20.100000000000001" customHeight="1" x14ac:dyDescent="0.15">
      <c r="A120" s="5">
        <v>117</v>
      </c>
      <c r="B120" s="6" t="str">
        <f>"304820210605111045100571"</f>
        <v>304820210605111045100571</v>
      </c>
      <c r="C120" s="6" t="s">
        <v>2277</v>
      </c>
      <c r="D120" s="6" t="str">
        <f>"薛小月"</f>
        <v>薛小月</v>
      </c>
      <c r="E120" s="6" t="str">
        <f t="shared" si="12"/>
        <v>女</v>
      </c>
      <c r="F120" s="7" t="s">
        <v>25</v>
      </c>
    </row>
    <row r="121" spans="1:6" ht="20.100000000000001" customHeight="1" x14ac:dyDescent="0.15">
      <c r="A121" s="5">
        <v>118</v>
      </c>
      <c r="B121" s="6" t="str">
        <f>"304820210605120543100731"</f>
        <v>304820210605120543100731</v>
      </c>
      <c r="C121" s="6" t="s">
        <v>2277</v>
      </c>
      <c r="D121" s="6" t="str">
        <f>"王颜"</f>
        <v>王颜</v>
      </c>
      <c r="E121" s="6" t="str">
        <f t="shared" si="12"/>
        <v>女</v>
      </c>
      <c r="F121" s="7" t="s">
        <v>1252</v>
      </c>
    </row>
    <row r="122" spans="1:6" ht="20.100000000000001" customHeight="1" x14ac:dyDescent="0.15">
      <c r="A122" s="5">
        <v>119</v>
      </c>
      <c r="B122" s="6" t="str">
        <f>"304820210605153350101251"</f>
        <v>304820210605153350101251</v>
      </c>
      <c r="C122" s="6" t="s">
        <v>2277</v>
      </c>
      <c r="D122" s="6" t="str">
        <f>"陆晓英"</f>
        <v>陆晓英</v>
      </c>
      <c r="E122" s="6" t="str">
        <f t="shared" si="12"/>
        <v>女</v>
      </c>
      <c r="F122" s="7" t="s">
        <v>1186</v>
      </c>
    </row>
    <row r="123" spans="1:6" ht="20.100000000000001" customHeight="1" x14ac:dyDescent="0.15">
      <c r="A123" s="5">
        <v>120</v>
      </c>
      <c r="B123" s="6" t="str">
        <f>"304820210605191937101847"</f>
        <v>304820210605191937101847</v>
      </c>
      <c r="C123" s="6" t="s">
        <v>2277</v>
      </c>
      <c r="D123" s="6" t="str">
        <f>"曾慧"</f>
        <v>曾慧</v>
      </c>
      <c r="E123" s="6" t="str">
        <f t="shared" si="12"/>
        <v>女</v>
      </c>
      <c r="F123" s="7" t="s">
        <v>36</v>
      </c>
    </row>
    <row r="124" spans="1:6" ht="20.100000000000001" customHeight="1" x14ac:dyDescent="0.15">
      <c r="A124" s="5">
        <v>121</v>
      </c>
      <c r="B124" s="6" t="str">
        <f>"304820210605205423102086"</f>
        <v>304820210605205423102086</v>
      </c>
      <c r="C124" s="6" t="s">
        <v>2277</v>
      </c>
      <c r="D124" s="6" t="str">
        <f>"邢小丹"</f>
        <v>邢小丹</v>
      </c>
      <c r="E124" s="6" t="str">
        <f t="shared" si="12"/>
        <v>女</v>
      </c>
      <c r="F124" s="7" t="s">
        <v>111</v>
      </c>
    </row>
    <row r="125" spans="1:6" ht="20.100000000000001" customHeight="1" x14ac:dyDescent="0.15">
      <c r="A125" s="5">
        <v>122</v>
      </c>
      <c r="B125" s="6" t="str">
        <f>"304820210605214241102231"</f>
        <v>304820210605214241102231</v>
      </c>
      <c r="C125" s="6" t="s">
        <v>2277</v>
      </c>
      <c r="D125" s="6" t="str">
        <f>"吴多嫩"</f>
        <v>吴多嫩</v>
      </c>
      <c r="E125" s="6" t="str">
        <f t="shared" si="12"/>
        <v>女</v>
      </c>
      <c r="F125" s="7" t="s">
        <v>2310</v>
      </c>
    </row>
    <row r="126" spans="1:6" ht="20.100000000000001" customHeight="1" x14ac:dyDescent="0.15">
      <c r="A126" s="5">
        <v>123</v>
      </c>
      <c r="B126" s="6" t="str">
        <f>"304820210605220015102288"</f>
        <v>304820210605220015102288</v>
      </c>
      <c r="C126" s="6" t="s">
        <v>2277</v>
      </c>
      <c r="D126" s="6" t="str">
        <f>"吴柏"</f>
        <v>吴柏</v>
      </c>
      <c r="E126" s="6" t="str">
        <f>"男"</f>
        <v>男</v>
      </c>
      <c r="F126" s="7" t="s">
        <v>2311</v>
      </c>
    </row>
    <row r="127" spans="1:6" ht="20.100000000000001" customHeight="1" x14ac:dyDescent="0.15">
      <c r="A127" s="5">
        <v>124</v>
      </c>
      <c r="B127" s="6" t="str">
        <f>"304820210606012429102632"</f>
        <v>304820210606012429102632</v>
      </c>
      <c r="C127" s="6" t="s">
        <v>2277</v>
      </c>
      <c r="D127" s="6" t="str">
        <f>"吴昀燕"</f>
        <v>吴昀燕</v>
      </c>
      <c r="E127" s="6" t="str">
        <f t="shared" ref="E127:E129" si="13">"女"</f>
        <v>女</v>
      </c>
      <c r="F127" s="7" t="s">
        <v>140</v>
      </c>
    </row>
    <row r="128" spans="1:6" ht="20.100000000000001" customHeight="1" x14ac:dyDescent="0.15">
      <c r="A128" s="5">
        <v>125</v>
      </c>
      <c r="B128" s="6" t="str">
        <f>"304820210606100313102931"</f>
        <v>304820210606100313102931</v>
      </c>
      <c r="C128" s="6" t="s">
        <v>2277</v>
      </c>
      <c r="D128" s="6" t="str">
        <f>"刘海花"</f>
        <v>刘海花</v>
      </c>
      <c r="E128" s="6" t="str">
        <f t="shared" si="13"/>
        <v>女</v>
      </c>
      <c r="F128" s="7" t="s">
        <v>98</v>
      </c>
    </row>
    <row r="129" spans="1:6" ht="20.100000000000001" customHeight="1" x14ac:dyDescent="0.15">
      <c r="A129" s="5">
        <v>126</v>
      </c>
      <c r="B129" s="6" t="str">
        <f>"304820210606180325104392"</f>
        <v>304820210606180325104392</v>
      </c>
      <c r="C129" s="6" t="s">
        <v>2277</v>
      </c>
      <c r="D129" s="6" t="str">
        <f>"陈玉娟"</f>
        <v>陈玉娟</v>
      </c>
      <c r="E129" s="6" t="str">
        <f t="shared" si="13"/>
        <v>女</v>
      </c>
      <c r="F129" s="7" t="s">
        <v>1852</v>
      </c>
    </row>
    <row r="130" spans="1:6" ht="20.100000000000001" customHeight="1" x14ac:dyDescent="0.15">
      <c r="A130" s="5">
        <v>127</v>
      </c>
      <c r="B130" s="6" t="str">
        <f>"304820210607083155105425"</f>
        <v>304820210607083155105425</v>
      </c>
      <c r="C130" s="6" t="s">
        <v>2277</v>
      </c>
      <c r="D130" s="6" t="str">
        <f>"叶洪皓"</f>
        <v>叶洪皓</v>
      </c>
      <c r="E130" s="6" t="str">
        <f>"男"</f>
        <v>男</v>
      </c>
      <c r="F130" s="7" t="s">
        <v>2312</v>
      </c>
    </row>
    <row r="131" spans="1:6" ht="20.100000000000001" customHeight="1" x14ac:dyDescent="0.15">
      <c r="A131" s="5">
        <v>128</v>
      </c>
      <c r="B131" s="6" t="str">
        <f>"304820210607104147106150"</f>
        <v>304820210607104147106150</v>
      </c>
      <c r="C131" s="6" t="s">
        <v>2277</v>
      </c>
      <c r="D131" s="6" t="str">
        <f>"吴小翠"</f>
        <v>吴小翠</v>
      </c>
      <c r="E131" s="6" t="str">
        <f t="shared" ref="E131:E133" si="14">"女"</f>
        <v>女</v>
      </c>
      <c r="F131" s="7" t="s">
        <v>368</v>
      </c>
    </row>
    <row r="132" spans="1:6" ht="20.100000000000001" customHeight="1" x14ac:dyDescent="0.15">
      <c r="A132" s="5">
        <v>129</v>
      </c>
      <c r="B132" s="6" t="str">
        <f>"304820210607105005106188"</f>
        <v>304820210607105005106188</v>
      </c>
      <c r="C132" s="6" t="s">
        <v>2277</v>
      </c>
      <c r="D132" s="6" t="str">
        <f>"王荣娜"</f>
        <v>王荣娜</v>
      </c>
      <c r="E132" s="6" t="str">
        <f t="shared" si="14"/>
        <v>女</v>
      </c>
      <c r="F132" s="7" t="s">
        <v>1859</v>
      </c>
    </row>
    <row r="133" spans="1:6" ht="20.100000000000001" customHeight="1" x14ac:dyDescent="0.15">
      <c r="A133" s="5">
        <v>130</v>
      </c>
      <c r="B133" s="6" t="str">
        <f>"304820210607114543106468"</f>
        <v>304820210607114543106468</v>
      </c>
      <c r="C133" s="6" t="s">
        <v>2277</v>
      </c>
      <c r="D133" s="6" t="str">
        <f>"符翠庆"</f>
        <v>符翠庆</v>
      </c>
      <c r="E133" s="6" t="str">
        <f t="shared" si="14"/>
        <v>女</v>
      </c>
      <c r="F133" s="7" t="s">
        <v>293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5" sqref="H5"/>
    </sheetView>
  </sheetViews>
  <sheetFormatPr defaultColWidth="9" defaultRowHeight="20.100000000000001" customHeight="1" x14ac:dyDescent="0.15"/>
  <cols>
    <col min="1" max="1" width="6" style="1" customWidth="1"/>
    <col min="2" max="2" width="24.625" style="1" customWidth="1"/>
    <col min="3" max="3" width="18.125" style="1" customWidth="1"/>
    <col min="4" max="4" width="10.25" style="1" customWidth="1"/>
    <col min="5" max="5" width="8.875" style="1" customWidth="1"/>
    <col min="6" max="6" width="14.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"30482021060116074764984"</f>
        <v>30482021060116074764984</v>
      </c>
      <c r="C4" s="6" t="s">
        <v>2313</v>
      </c>
      <c r="D4" s="6" t="str">
        <f>"文秀堪"</f>
        <v>文秀堪</v>
      </c>
      <c r="E4" s="6" t="str">
        <f t="shared" ref="E4:E7" si="0">"女"</f>
        <v>女</v>
      </c>
      <c r="F4" s="7" t="s">
        <v>2314</v>
      </c>
    </row>
    <row r="5" spans="1:6" ht="20.100000000000001" customHeight="1" x14ac:dyDescent="0.15">
      <c r="A5" s="5">
        <v>2</v>
      </c>
      <c r="B5" s="6" t="str">
        <f>"30482021060222061778230"</f>
        <v>30482021060222061778230</v>
      </c>
      <c r="C5" s="6" t="s">
        <v>2313</v>
      </c>
      <c r="D5" s="6" t="str">
        <f>"桂梅伟"</f>
        <v>桂梅伟</v>
      </c>
      <c r="E5" s="6" t="str">
        <f t="shared" si="0"/>
        <v>女</v>
      </c>
      <c r="F5" s="7" t="s">
        <v>2315</v>
      </c>
    </row>
    <row r="6" spans="1:6" ht="20.100000000000001" customHeight="1" x14ac:dyDescent="0.15">
      <c r="A6" s="5">
        <v>3</v>
      </c>
      <c r="B6" s="6" t="str">
        <f>"30482021060310260881103"</f>
        <v>30482021060310260881103</v>
      </c>
      <c r="C6" s="6" t="s">
        <v>2313</v>
      </c>
      <c r="D6" s="6" t="str">
        <f>"戴利娟"</f>
        <v>戴利娟</v>
      </c>
      <c r="E6" s="6" t="str">
        <f t="shared" si="0"/>
        <v>女</v>
      </c>
      <c r="F6" s="7" t="s">
        <v>1180</v>
      </c>
    </row>
    <row r="7" spans="1:6" ht="20.100000000000001" customHeight="1" x14ac:dyDescent="0.15">
      <c r="A7" s="5">
        <v>4</v>
      </c>
      <c r="B7" s="6" t="str">
        <f>"30482021060417260897886"</f>
        <v>30482021060417260897886</v>
      </c>
      <c r="C7" s="6" t="s">
        <v>2313</v>
      </c>
      <c r="D7" s="6" t="str">
        <f>"周艳虹"</f>
        <v>周艳虹</v>
      </c>
      <c r="E7" s="6" t="str">
        <f t="shared" si="0"/>
        <v>女</v>
      </c>
      <c r="F7" s="7" t="s">
        <v>1555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.375" style="1" customWidth="1"/>
    <col min="2" max="2" width="24.625" style="1" customWidth="1"/>
    <col min="3" max="3" width="14.125" style="1" customWidth="1"/>
    <col min="4" max="4" width="10.875" style="1" customWidth="1"/>
    <col min="5" max="5" width="8.125" style="1" customWidth="1"/>
    <col min="6" max="6" width="15.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"30482021060114031363468"</f>
        <v>30482021060114031363468</v>
      </c>
      <c r="C4" s="6" t="s">
        <v>2316</v>
      </c>
      <c r="D4" s="6" t="str">
        <f>"张美玲"</f>
        <v>张美玲</v>
      </c>
      <c r="E4" s="6" t="str">
        <f t="shared" ref="E4:E20" si="0">"女"</f>
        <v>女</v>
      </c>
      <c r="F4" s="7" t="s">
        <v>614</v>
      </c>
    </row>
    <row r="5" spans="1:6" ht="20.100000000000001" customHeight="1" x14ac:dyDescent="0.15">
      <c r="A5" s="5">
        <v>2</v>
      </c>
      <c r="B5" s="6" t="str">
        <f>"30482021060114043663485"</f>
        <v>30482021060114043663485</v>
      </c>
      <c r="C5" s="6" t="s">
        <v>2316</v>
      </c>
      <c r="D5" s="6" t="str">
        <f>"王美凌"</f>
        <v>王美凌</v>
      </c>
      <c r="E5" s="6" t="str">
        <f t="shared" si="0"/>
        <v>女</v>
      </c>
      <c r="F5" s="7" t="s">
        <v>891</v>
      </c>
    </row>
    <row r="6" spans="1:6" ht="20.100000000000001" customHeight="1" x14ac:dyDescent="0.15">
      <c r="A6" s="5">
        <v>3</v>
      </c>
      <c r="B6" s="6" t="str">
        <f>"30482021060114091063541"</f>
        <v>30482021060114091063541</v>
      </c>
      <c r="C6" s="6" t="s">
        <v>2316</v>
      </c>
      <c r="D6" s="6" t="str">
        <f>"李带娥"</f>
        <v>李带娥</v>
      </c>
      <c r="E6" s="6" t="str">
        <f t="shared" si="0"/>
        <v>女</v>
      </c>
      <c r="F6" s="7" t="s">
        <v>2317</v>
      </c>
    </row>
    <row r="7" spans="1:6" ht="20.100000000000001" customHeight="1" x14ac:dyDescent="0.15">
      <c r="A7" s="5">
        <v>4</v>
      </c>
      <c r="B7" s="6" t="str">
        <f>"30482021060114121463565"</f>
        <v>30482021060114121463565</v>
      </c>
      <c r="C7" s="6" t="s">
        <v>2316</v>
      </c>
      <c r="D7" s="6" t="str">
        <f>"龙小汝"</f>
        <v>龙小汝</v>
      </c>
      <c r="E7" s="6" t="str">
        <f t="shared" si="0"/>
        <v>女</v>
      </c>
      <c r="F7" s="7" t="s">
        <v>1616</v>
      </c>
    </row>
    <row r="8" spans="1:6" ht="20.100000000000001" customHeight="1" x14ac:dyDescent="0.15">
      <c r="A8" s="5">
        <v>5</v>
      </c>
      <c r="B8" s="6" t="str">
        <f>"30482021060114253263702"</f>
        <v>30482021060114253263702</v>
      </c>
      <c r="C8" s="6" t="s">
        <v>2316</v>
      </c>
      <c r="D8" s="6" t="str">
        <f>"郑芳芳"</f>
        <v>郑芳芳</v>
      </c>
      <c r="E8" s="6" t="str">
        <f t="shared" si="0"/>
        <v>女</v>
      </c>
      <c r="F8" s="7" t="s">
        <v>190</v>
      </c>
    </row>
    <row r="9" spans="1:6" ht="20.100000000000001" customHeight="1" x14ac:dyDescent="0.15">
      <c r="A9" s="5">
        <v>6</v>
      </c>
      <c r="B9" s="6" t="str">
        <f>"30482021060114384763852"</f>
        <v>30482021060114384763852</v>
      </c>
      <c r="C9" s="6" t="s">
        <v>2316</v>
      </c>
      <c r="D9" s="6" t="str">
        <f>"张爱茹"</f>
        <v>张爱茹</v>
      </c>
      <c r="E9" s="6" t="str">
        <f t="shared" si="0"/>
        <v>女</v>
      </c>
      <c r="F9" s="7" t="s">
        <v>1558</v>
      </c>
    </row>
    <row r="10" spans="1:6" ht="20.100000000000001" customHeight="1" x14ac:dyDescent="0.15">
      <c r="A10" s="5">
        <v>7</v>
      </c>
      <c r="B10" s="6" t="str">
        <f>"30482021060114473163958"</f>
        <v>30482021060114473163958</v>
      </c>
      <c r="C10" s="6" t="s">
        <v>2316</v>
      </c>
      <c r="D10" s="6" t="str">
        <f>"邢锶婉"</f>
        <v>邢锶婉</v>
      </c>
      <c r="E10" s="6" t="str">
        <f t="shared" si="0"/>
        <v>女</v>
      </c>
      <c r="F10" s="7" t="s">
        <v>1233</v>
      </c>
    </row>
    <row r="11" spans="1:6" ht="20.100000000000001" customHeight="1" x14ac:dyDescent="0.15">
      <c r="A11" s="5">
        <v>8</v>
      </c>
      <c r="B11" s="6" t="str">
        <f>"30482021060114533964036"</f>
        <v>30482021060114533964036</v>
      </c>
      <c r="C11" s="6" t="s">
        <v>2316</v>
      </c>
      <c r="D11" s="6" t="str">
        <f>"邓美荣"</f>
        <v>邓美荣</v>
      </c>
      <c r="E11" s="6" t="str">
        <f t="shared" si="0"/>
        <v>女</v>
      </c>
      <c r="F11" s="7" t="s">
        <v>150</v>
      </c>
    </row>
    <row r="12" spans="1:6" ht="20.100000000000001" customHeight="1" x14ac:dyDescent="0.15">
      <c r="A12" s="5">
        <v>9</v>
      </c>
      <c r="B12" s="6" t="str">
        <f>"30482021060114562664085"</f>
        <v>30482021060114562664085</v>
      </c>
      <c r="C12" s="6" t="s">
        <v>2316</v>
      </c>
      <c r="D12" s="6" t="str">
        <f>"董思彤"</f>
        <v>董思彤</v>
      </c>
      <c r="E12" s="6" t="str">
        <f t="shared" si="0"/>
        <v>女</v>
      </c>
      <c r="F12" s="7" t="s">
        <v>2318</v>
      </c>
    </row>
    <row r="13" spans="1:6" ht="20.100000000000001" customHeight="1" x14ac:dyDescent="0.15">
      <c r="A13" s="5">
        <v>10</v>
      </c>
      <c r="B13" s="6" t="str">
        <f>"30482021060115044564186"</f>
        <v>30482021060115044564186</v>
      </c>
      <c r="C13" s="6" t="s">
        <v>2316</v>
      </c>
      <c r="D13" s="6" t="str">
        <f>"符燕"</f>
        <v>符燕</v>
      </c>
      <c r="E13" s="6" t="str">
        <f t="shared" si="0"/>
        <v>女</v>
      </c>
      <c r="F13" s="7" t="s">
        <v>963</v>
      </c>
    </row>
    <row r="14" spans="1:6" ht="20.100000000000001" customHeight="1" x14ac:dyDescent="0.15">
      <c r="A14" s="5">
        <v>11</v>
      </c>
      <c r="B14" s="6" t="str">
        <f>"30482021060115255264466"</f>
        <v>30482021060115255264466</v>
      </c>
      <c r="C14" s="6" t="s">
        <v>2316</v>
      </c>
      <c r="D14" s="6" t="str">
        <f>"符妹"</f>
        <v>符妹</v>
      </c>
      <c r="E14" s="6" t="str">
        <f t="shared" si="0"/>
        <v>女</v>
      </c>
      <c r="F14" s="7" t="s">
        <v>1404</v>
      </c>
    </row>
    <row r="15" spans="1:6" ht="20.100000000000001" customHeight="1" x14ac:dyDescent="0.15">
      <c r="A15" s="5">
        <v>12</v>
      </c>
      <c r="B15" s="6" t="str">
        <f>"30482021060115440464697"</f>
        <v>30482021060115440464697</v>
      </c>
      <c r="C15" s="6" t="s">
        <v>2316</v>
      </c>
      <c r="D15" s="6" t="str">
        <f>"韩胭敏"</f>
        <v>韩胭敏</v>
      </c>
      <c r="E15" s="6" t="str">
        <f t="shared" si="0"/>
        <v>女</v>
      </c>
      <c r="F15" s="7" t="s">
        <v>759</v>
      </c>
    </row>
    <row r="16" spans="1:6" ht="20.100000000000001" customHeight="1" x14ac:dyDescent="0.15">
      <c r="A16" s="5">
        <v>13</v>
      </c>
      <c r="B16" s="6" t="str">
        <f>"30482021060115490364767"</f>
        <v>30482021060115490364767</v>
      </c>
      <c r="C16" s="6" t="s">
        <v>2316</v>
      </c>
      <c r="D16" s="6" t="str">
        <f>"云翠"</f>
        <v>云翠</v>
      </c>
      <c r="E16" s="6" t="str">
        <f t="shared" si="0"/>
        <v>女</v>
      </c>
      <c r="F16" s="7" t="s">
        <v>1850</v>
      </c>
    </row>
    <row r="17" spans="1:6" ht="20.100000000000001" customHeight="1" x14ac:dyDescent="0.15">
      <c r="A17" s="5">
        <v>14</v>
      </c>
      <c r="B17" s="6" t="str">
        <f>"30482021060115530764822"</f>
        <v>30482021060115530764822</v>
      </c>
      <c r="C17" s="6" t="s">
        <v>2316</v>
      </c>
      <c r="D17" s="6" t="str">
        <f>"黄珊"</f>
        <v>黄珊</v>
      </c>
      <c r="E17" s="6" t="str">
        <f t="shared" si="0"/>
        <v>女</v>
      </c>
      <c r="F17" s="7" t="s">
        <v>1665</v>
      </c>
    </row>
    <row r="18" spans="1:6" ht="20.100000000000001" customHeight="1" x14ac:dyDescent="0.15">
      <c r="A18" s="5">
        <v>15</v>
      </c>
      <c r="B18" s="6" t="str">
        <f>"30482021060116074164983"</f>
        <v>30482021060116074164983</v>
      </c>
      <c r="C18" s="6" t="s">
        <v>2316</v>
      </c>
      <c r="D18" s="6" t="str">
        <f>"尹美玲"</f>
        <v>尹美玲</v>
      </c>
      <c r="E18" s="6" t="str">
        <f t="shared" si="0"/>
        <v>女</v>
      </c>
      <c r="F18" s="7" t="s">
        <v>532</v>
      </c>
    </row>
    <row r="19" spans="1:6" ht="20.100000000000001" customHeight="1" x14ac:dyDescent="0.15">
      <c r="A19" s="5">
        <v>16</v>
      </c>
      <c r="B19" s="6" t="str">
        <f>"30482021060116085764997"</f>
        <v>30482021060116085764997</v>
      </c>
      <c r="C19" s="6" t="s">
        <v>2316</v>
      </c>
      <c r="D19" s="6" t="str">
        <f>"黄诗琪"</f>
        <v>黄诗琪</v>
      </c>
      <c r="E19" s="6" t="str">
        <f t="shared" si="0"/>
        <v>女</v>
      </c>
      <c r="F19" s="7" t="s">
        <v>648</v>
      </c>
    </row>
    <row r="20" spans="1:6" ht="20.100000000000001" customHeight="1" x14ac:dyDescent="0.15">
      <c r="A20" s="5">
        <v>17</v>
      </c>
      <c r="B20" s="6" t="str">
        <f>"30482021060116101565009"</f>
        <v>30482021060116101565009</v>
      </c>
      <c r="C20" s="6" t="s">
        <v>2316</v>
      </c>
      <c r="D20" s="6" t="str">
        <f>"王秋梅"</f>
        <v>王秋梅</v>
      </c>
      <c r="E20" s="6" t="str">
        <f t="shared" si="0"/>
        <v>女</v>
      </c>
      <c r="F20" s="7" t="s">
        <v>95</v>
      </c>
    </row>
    <row r="21" spans="1:6" ht="20.100000000000001" customHeight="1" x14ac:dyDescent="0.15">
      <c r="A21" s="5">
        <v>18</v>
      </c>
      <c r="B21" s="6" t="str">
        <f>"30482021060116402565429"</f>
        <v>30482021060116402565429</v>
      </c>
      <c r="C21" s="6" t="s">
        <v>2316</v>
      </c>
      <c r="D21" s="6" t="str">
        <f>"黎骄锐"</f>
        <v>黎骄锐</v>
      </c>
      <c r="E21" s="6" t="str">
        <f>"男"</f>
        <v>男</v>
      </c>
      <c r="F21" s="7" t="s">
        <v>2319</v>
      </c>
    </row>
    <row r="22" spans="1:6" ht="20.100000000000001" customHeight="1" x14ac:dyDescent="0.15">
      <c r="A22" s="5">
        <v>19</v>
      </c>
      <c r="B22" s="6" t="str">
        <f>"30482021060116480665531"</f>
        <v>30482021060116480665531</v>
      </c>
      <c r="C22" s="6" t="s">
        <v>2316</v>
      </c>
      <c r="D22" s="6" t="str">
        <f>"韩春梅"</f>
        <v>韩春梅</v>
      </c>
      <c r="E22" s="6" t="str">
        <f t="shared" ref="E22:E32" si="1">"女"</f>
        <v>女</v>
      </c>
      <c r="F22" s="7" t="s">
        <v>1740</v>
      </c>
    </row>
    <row r="23" spans="1:6" ht="20.100000000000001" customHeight="1" x14ac:dyDescent="0.15">
      <c r="A23" s="5">
        <v>20</v>
      </c>
      <c r="B23" s="6" t="str">
        <f>"30482021060116501765563"</f>
        <v>30482021060116501765563</v>
      </c>
      <c r="C23" s="6" t="s">
        <v>2316</v>
      </c>
      <c r="D23" s="6" t="str">
        <f>"黄倩"</f>
        <v>黄倩</v>
      </c>
      <c r="E23" s="6" t="str">
        <f t="shared" si="1"/>
        <v>女</v>
      </c>
      <c r="F23" s="7" t="s">
        <v>2320</v>
      </c>
    </row>
    <row r="24" spans="1:6" ht="20.100000000000001" customHeight="1" x14ac:dyDescent="0.15">
      <c r="A24" s="5">
        <v>21</v>
      </c>
      <c r="B24" s="6" t="str">
        <f>"30482021060116552265630"</f>
        <v>30482021060116552265630</v>
      </c>
      <c r="C24" s="6" t="s">
        <v>2316</v>
      </c>
      <c r="D24" s="6" t="str">
        <f>"林玉苗"</f>
        <v>林玉苗</v>
      </c>
      <c r="E24" s="6" t="str">
        <f t="shared" si="1"/>
        <v>女</v>
      </c>
      <c r="F24" s="7" t="s">
        <v>2321</v>
      </c>
    </row>
    <row r="25" spans="1:6" ht="20.100000000000001" customHeight="1" x14ac:dyDescent="0.15">
      <c r="A25" s="5">
        <v>22</v>
      </c>
      <c r="B25" s="6" t="str">
        <f>"30482021060117013065699"</f>
        <v>30482021060117013065699</v>
      </c>
      <c r="C25" s="6" t="s">
        <v>2316</v>
      </c>
      <c r="D25" s="6" t="str">
        <f>"林羽鸿"</f>
        <v>林羽鸿</v>
      </c>
      <c r="E25" s="6" t="str">
        <f t="shared" si="1"/>
        <v>女</v>
      </c>
      <c r="F25" s="7" t="s">
        <v>2322</v>
      </c>
    </row>
    <row r="26" spans="1:6" ht="20.100000000000001" customHeight="1" x14ac:dyDescent="0.15">
      <c r="A26" s="5">
        <v>23</v>
      </c>
      <c r="B26" s="6" t="str">
        <f>"30482021060117075365786"</f>
        <v>30482021060117075365786</v>
      </c>
      <c r="C26" s="6" t="s">
        <v>2316</v>
      </c>
      <c r="D26" s="6" t="str">
        <f>"冯玉萍"</f>
        <v>冯玉萍</v>
      </c>
      <c r="E26" s="6" t="str">
        <f t="shared" si="1"/>
        <v>女</v>
      </c>
      <c r="F26" s="7" t="s">
        <v>386</v>
      </c>
    </row>
    <row r="27" spans="1:6" ht="20.100000000000001" customHeight="1" x14ac:dyDescent="0.15">
      <c r="A27" s="5">
        <v>24</v>
      </c>
      <c r="B27" s="6" t="str">
        <f>"30482021060117080565787"</f>
        <v>30482021060117080565787</v>
      </c>
      <c r="C27" s="6" t="s">
        <v>2316</v>
      </c>
      <c r="D27" s="6" t="str">
        <f>"陈小喜"</f>
        <v>陈小喜</v>
      </c>
      <c r="E27" s="6" t="str">
        <f t="shared" si="1"/>
        <v>女</v>
      </c>
      <c r="F27" s="7" t="s">
        <v>1782</v>
      </c>
    </row>
    <row r="28" spans="1:6" ht="20.100000000000001" customHeight="1" x14ac:dyDescent="0.15">
      <c r="A28" s="5">
        <v>25</v>
      </c>
      <c r="B28" s="6" t="str">
        <f>"30482021060117323066057"</f>
        <v>30482021060117323066057</v>
      </c>
      <c r="C28" s="6" t="s">
        <v>2316</v>
      </c>
      <c r="D28" s="6" t="str">
        <f>"陈雅曼"</f>
        <v>陈雅曼</v>
      </c>
      <c r="E28" s="6" t="str">
        <f t="shared" si="1"/>
        <v>女</v>
      </c>
      <c r="F28" s="7" t="s">
        <v>2323</v>
      </c>
    </row>
    <row r="29" spans="1:6" ht="20.100000000000001" customHeight="1" x14ac:dyDescent="0.15">
      <c r="A29" s="5">
        <v>26</v>
      </c>
      <c r="B29" s="6" t="str">
        <f>"30482021060118174666470"</f>
        <v>30482021060118174666470</v>
      </c>
      <c r="C29" s="6" t="s">
        <v>2316</v>
      </c>
      <c r="D29" s="6" t="str">
        <f>"吴爱珠"</f>
        <v>吴爱珠</v>
      </c>
      <c r="E29" s="6" t="str">
        <f t="shared" si="1"/>
        <v>女</v>
      </c>
      <c r="F29" s="7" t="s">
        <v>661</v>
      </c>
    </row>
    <row r="30" spans="1:6" ht="20.100000000000001" customHeight="1" x14ac:dyDescent="0.15">
      <c r="A30" s="5">
        <v>27</v>
      </c>
      <c r="B30" s="6" t="str">
        <f>"30482021060118195166487"</f>
        <v>30482021060118195166487</v>
      </c>
      <c r="C30" s="6" t="s">
        <v>2316</v>
      </c>
      <c r="D30" s="6" t="str">
        <f>"潘春英"</f>
        <v>潘春英</v>
      </c>
      <c r="E30" s="6" t="str">
        <f t="shared" si="1"/>
        <v>女</v>
      </c>
      <c r="F30" s="7" t="s">
        <v>157</v>
      </c>
    </row>
    <row r="31" spans="1:6" ht="20.100000000000001" customHeight="1" x14ac:dyDescent="0.15">
      <c r="A31" s="5">
        <v>28</v>
      </c>
      <c r="B31" s="6" t="str">
        <f>"30482021060118431866673"</f>
        <v>30482021060118431866673</v>
      </c>
      <c r="C31" s="6" t="s">
        <v>2316</v>
      </c>
      <c r="D31" s="6" t="str">
        <f>"林才金"</f>
        <v>林才金</v>
      </c>
      <c r="E31" s="6" t="str">
        <f t="shared" si="1"/>
        <v>女</v>
      </c>
      <c r="F31" s="7" t="s">
        <v>1250</v>
      </c>
    </row>
    <row r="32" spans="1:6" ht="20.100000000000001" customHeight="1" x14ac:dyDescent="0.15">
      <c r="A32" s="5">
        <v>29</v>
      </c>
      <c r="B32" s="6" t="str">
        <f>"30482021060118570666785"</f>
        <v>30482021060118570666785</v>
      </c>
      <c r="C32" s="6" t="s">
        <v>2316</v>
      </c>
      <c r="D32" s="6" t="str">
        <f>"林雅至"</f>
        <v>林雅至</v>
      </c>
      <c r="E32" s="6" t="str">
        <f t="shared" si="1"/>
        <v>女</v>
      </c>
      <c r="F32" s="7" t="s">
        <v>266</v>
      </c>
    </row>
    <row r="33" spans="1:6" ht="20.100000000000001" customHeight="1" x14ac:dyDescent="0.15">
      <c r="A33" s="5">
        <v>30</v>
      </c>
      <c r="B33" s="6" t="str">
        <f>"30482021060118592266805"</f>
        <v>30482021060118592266805</v>
      </c>
      <c r="C33" s="6" t="s">
        <v>2316</v>
      </c>
      <c r="D33" s="6" t="str">
        <f>"林礼俊"</f>
        <v>林礼俊</v>
      </c>
      <c r="E33" s="6" t="str">
        <f>"男"</f>
        <v>男</v>
      </c>
      <c r="F33" s="7" t="s">
        <v>739</v>
      </c>
    </row>
    <row r="34" spans="1:6" ht="20.100000000000001" customHeight="1" x14ac:dyDescent="0.15">
      <c r="A34" s="5">
        <v>31</v>
      </c>
      <c r="B34" s="6" t="str">
        <f>"30482021060119110966891"</f>
        <v>30482021060119110966891</v>
      </c>
      <c r="C34" s="6" t="s">
        <v>2316</v>
      </c>
      <c r="D34" s="6" t="str">
        <f>"李玲"</f>
        <v>李玲</v>
      </c>
      <c r="E34" s="6" t="str">
        <f t="shared" ref="E34:E47" si="2">"女"</f>
        <v>女</v>
      </c>
      <c r="F34" s="7" t="s">
        <v>2324</v>
      </c>
    </row>
    <row r="35" spans="1:6" ht="20.100000000000001" customHeight="1" x14ac:dyDescent="0.15">
      <c r="A35" s="5">
        <v>32</v>
      </c>
      <c r="B35" s="6" t="str">
        <f>"30482021060120122667987"</f>
        <v>30482021060120122667987</v>
      </c>
      <c r="C35" s="6" t="s">
        <v>2316</v>
      </c>
      <c r="D35" s="6" t="str">
        <f>"蒋轩"</f>
        <v>蒋轩</v>
      </c>
      <c r="E35" s="6" t="str">
        <f t="shared" si="2"/>
        <v>女</v>
      </c>
      <c r="F35" s="7" t="s">
        <v>2325</v>
      </c>
    </row>
    <row r="36" spans="1:6" ht="20.100000000000001" customHeight="1" x14ac:dyDescent="0.15">
      <c r="A36" s="5">
        <v>33</v>
      </c>
      <c r="B36" s="6" t="str">
        <f>"30482021060120253868111"</f>
        <v>30482021060120253868111</v>
      </c>
      <c r="C36" s="6" t="s">
        <v>2316</v>
      </c>
      <c r="D36" s="6" t="str">
        <f>"符莉苗"</f>
        <v>符莉苗</v>
      </c>
      <c r="E36" s="6" t="str">
        <f t="shared" si="2"/>
        <v>女</v>
      </c>
      <c r="F36" s="7" t="s">
        <v>1413</v>
      </c>
    </row>
    <row r="37" spans="1:6" ht="20.100000000000001" customHeight="1" x14ac:dyDescent="0.15">
      <c r="A37" s="5">
        <v>34</v>
      </c>
      <c r="B37" s="6" t="str">
        <f>"30482021060121095568503"</f>
        <v>30482021060121095568503</v>
      </c>
      <c r="C37" s="6" t="s">
        <v>2316</v>
      </c>
      <c r="D37" s="6" t="str">
        <f>"庄春虹"</f>
        <v>庄春虹</v>
      </c>
      <c r="E37" s="6" t="str">
        <f t="shared" si="2"/>
        <v>女</v>
      </c>
      <c r="F37" s="7" t="s">
        <v>1998</v>
      </c>
    </row>
    <row r="38" spans="1:6" ht="20.100000000000001" customHeight="1" x14ac:dyDescent="0.15">
      <c r="A38" s="5">
        <v>35</v>
      </c>
      <c r="B38" s="6" t="str">
        <f>"30482021060122262969844"</f>
        <v>30482021060122262969844</v>
      </c>
      <c r="C38" s="6" t="s">
        <v>2316</v>
      </c>
      <c r="D38" s="6" t="str">
        <f>"陈珍子"</f>
        <v>陈珍子</v>
      </c>
      <c r="E38" s="6" t="str">
        <f t="shared" si="2"/>
        <v>女</v>
      </c>
      <c r="F38" s="7" t="s">
        <v>1239</v>
      </c>
    </row>
    <row r="39" spans="1:6" ht="20.100000000000001" customHeight="1" x14ac:dyDescent="0.15">
      <c r="A39" s="5">
        <v>36</v>
      </c>
      <c r="B39" s="6" t="str">
        <f>"30482021060122502270037"</f>
        <v>30482021060122502270037</v>
      </c>
      <c r="C39" s="6" t="s">
        <v>2316</v>
      </c>
      <c r="D39" s="6" t="str">
        <f>"詹惠君"</f>
        <v>詹惠君</v>
      </c>
      <c r="E39" s="6" t="str">
        <f t="shared" si="2"/>
        <v>女</v>
      </c>
      <c r="F39" s="7" t="s">
        <v>192</v>
      </c>
    </row>
    <row r="40" spans="1:6" ht="20.100000000000001" customHeight="1" x14ac:dyDescent="0.15">
      <c r="A40" s="5">
        <v>37</v>
      </c>
      <c r="B40" s="6" t="str">
        <f>"30482021060122594770102"</f>
        <v>30482021060122594770102</v>
      </c>
      <c r="C40" s="6" t="s">
        <v>2316</v>
      </c>
      <c r="D40" s="6" t="str">
        <f>"李金惠"</f>
        <v>李金惠</v>
      </c>
      <c r="E40" s="6" t="str">
        <f t="shared" si="2"/>
        <v>女</v>
      </c>
      <c r="F40" s="7" t="s">
        <v>1158</v>
      </c>
    </row>
    <row r="41" spans="1:6" ht="20.100000000000001" customHeight="1" x14ac:dyDescent="0.15">
      <c r="A41" s="5">
        <v>38</v>
      </c>
      <c r="B41" s="6" t="str">
        <f>"30482021060123354270295"</f>
        <v>30482021060123354270295</v>
      </c>
      <c r="C41" s="6" t="s">
        <v>2316</v>
      </c>
      <c r="D41" s="6" t="str">
        <f>"李才慧"</f>
        <v>李才慧</v>
      </c>
      <c r="E41" s="6" t="str">
        <f t="shared" si="2"/>
        <v>女</v>
      </c>
      <c r="F41" s="7" t="s">
        <v>2326</v>
      </c>
    </row>
    <row r="42" spans="1:6" ht="20.100000000000001" customHeight="1" x14ac:dyDescent="0.15">
      <c r="A42" s="5">
        <v>39</v>
      </c>
      <c r="B42" s="6" t="str">
        <f>"30482021060208135270738"</f>
        <v>30482021060208135270738</v>
      </c>
      <c r="C42" s="6" t="s">
        <v>2316</v>
      </c>
      <c r="D42" s="6" t="str">
        <f>"吴玉"</f>
        <v>吴玉</v>
      </c>
      <c r="E42" s="6" t="str">
        <f t="shared" si="2"/>
        <v>女</v>
      </c>
      <c r="F42" s="7" t="s">
        <v>585</v>
      </c>
    </row>
    <row r="43" spans="1:6" ht="20.100000000000001" customHeight="1" x14ac:dyDescent="0.15">
      <c r="A43" s="5">
        <v>40</v>
      </c>
      <c r="B43" s="6" t="str">
        <f>"30482021060209571171816"</f>
        <v>30482021060209571171816</v>
      </c>
      <c r="C43" s="6" t="s">
        <v>2316</v>
      </c>
      <c r="D43" s="6" t="str">
        <f>"文小惠"</f>
        <v>文小惠</v>
      </c>
      <c r="E43" s="6" t="str">
        <f t="shared" si="2"/>
        <v>女</v>
      </c>
      <c r="F43" s="7" t="s">
        <v>31</v>
      </c>
    </row>
    <row r="44" spans="1:6" ht="20.100000000000001" customHeight="1" x14ac:dyDescent="0.15">
      <c r="A44" s="5">
        <v>41</v>
      </c>
      <c r="B44" s="6" t="str">
        <f>"30482021060210042571918"</f>
        <v>30482021060210042571918</v>
      </c>
      <c r="C44" s="6" t="s">
        <v>2316</v>
      </c>
      <c r="D44" s="6" t="str">
        <f>"罗梦媛"</f>
        <v>罗梦媛</v>
      </c>
      <c r="E44" s="6" t="str">
        <f t="shared" si="2"/>
        <v>女</v>
      </c>
      <c r="F44" s="7" t="s">
        <v>566</v>
      </c>
    </row>
    <row r="45" spans="1:6" ht="20.100000000000001" customHeight="1" x14ac:dyDescent="0.15">
      <c r="A45" s="5">
        <v>42</v>
      </c>
      <c r="B45" s="6" t="str">
        <f>"30482021060210243372192"</f>
        <v>30482021060210243372192</v>
      </c>
      <c r="C45" s="6" t="s">
        <v>2316</v>
      </c>
      <c r="D45" s="6" t="str">
        <f>"李小灵"</f>
        <v>李小灵</v>
      </c>
      <c r="E45" s="6" t="str">
        <f t="shared" si="2"/>
        <v>女</v>
      </c>
      <c r="F45" s="7" t="s">
        <v>90</v>
      </c>
    </row>
    <row r="46" spans="1:6" ht="20.100000000000001" customHeight="1" x14ac:dyDescent="0.15">
      <c r="A46" s="5">
        <v>43</v>
      </c>
      <c r="B46" s="6" t="str">
        <f>"30482021060210453172483"</f>
        <v>30482021060210453172483</v>
      </c>
      <c r="C46" s="6" t="s">
        <v>2316</v>
      </c>
      <c r="D46" s="6" t="str">
        <f>"李亚莉"</f>
        <v>李亚莉</v>
      </c>
      <c r="E46" s="6" t="str">
        <f t="shared" si="2"/>
        <v>女</v>
      </c>
      <c r="F46" s="7" t="s">
        <v>1329</v>
      </c>
    </row>
    <row r="47" spans="1:6" ht="20.100000000000001" customHeight="1" x14ac:dyDescent="0.15">
      <c r="A47" s="5">
        <v>44</v>
      </c>
      <c r="B47" s="6" t="str">
        <f>"30482021060210525772577"</f>
        <v>30482021060210525772577</v>
      </c>
      <c r="C47" s="6" t="s">
        <v>2316</v>
      </c>
      <c r="D47" s="6" t="str">
        <f>"刘艳莉"</f>
        <v>刘艳莉</v>
      </c>
      <c r="E47" s="6" t="str">
        <f t="shared" si="2"/>
        <v>女</v>
      </c>
      <c r="F47" s="7" t="s">
        <v>690</v>
      </c>
    </row>
    <row r="48" spans="1:6" ht="20.100000000000001" customHeight="1" x14ac:dyDescent="0.15">
      <c r="A48" s="5">
        <v>45</v>
      </c>
      <c r="B48" s="6" t="str">
        <f>"30482021060211082972769"</f>
        <v>30482021060211082972769</v>
      </c>
      <c r="C48" s="6" t="s">
        <v>2316</v>
      </c>
      <c r="D48" s="6" t="str">
        <f>"邓赞康"</f>
        <v>邓赞康</v>
      </c>
      <c r="E48" s="6" t="str">
        <f>"男"</f>
        <v>男</v>
      </c>
      <c r="F48" s="7" t="s">
        <v>2327</v>
      </c>
    </row>
    <row r="49" spans="1:6" ht="20.100000000000001" customHeight="1" x14ac:dyDescent="0.15">
      <c r="A49" s="5">
        <v>46</v>
      </c>
      <c r="B49" s="6" t="str">
        <f>"30482021060211115372804"</f>
        <v>30482021060211115372804</v>
      </c>
      <c r="C49" s="6" t="s">
        <v>2316</v>
      </c>
      <c r="D49" s="6" t="str">
        <f>"韩艳"</f>
        <v>韩艳</v>
      </c>
      <c r="E49" s="6" t="str">
        <f t="shared" ref="E49:E52" si="3">"女"</f>
        <v>女</v>
      </c>
      <c r="F49" s="7" t="s">
        <v>733</v>
      </c>
    </row>
    <row r="50" spans="1:6" ht="20.100000000000001" customHeight="1" x14ac:dyDescent="0.15">
      <c r="A50" s="5">
        <v>47</v>
      </c>
      <c r="B50" s="6" t="str">
        <f>"30482021060211123072810"</f>
        <v>30482021060211123072810</v>
      </c>
      <c r="C50" s="6" t="s">
        <v>2316</v>
      </c>
      <c r="D50" s="6" t="str">
        <f>"江小翠"</f>
        <v>江小翠</v>
      </c>
      <c r="E50" s="6" t="str">
        <f t="shared" si="3"/>
        <v>女</v>
      </c>
      <c r="F50" s="7" t="s">
        <v>2328</v>
      </c>
    </row>
    <row r="51" spans="1:6" ht="20.100000000000001" customHeight="1" x14ac:dyDescent="0.15">
      <c r="A51" s="5">
        <v>48</v>
      </c>
      <c r="B51" s="6" t="str">
        <f>"30482021060211571373258"</f>
        <v>30482021060211571373258</v>
      </c>
      <c r="C51" s="6" t="s">
        <v>2316</v>
      </c>
      <c r="D51" s="6" t="str">
        <f>"陈雅"</f>
        <v>陈雅</v>
      </c>
      <c r="E51" s="6" t="str">
        <f t="shared" si="3"/>
        <v>女</v>
      </c>
      <c r="F51" s="7" t="s">
        <v>1740</v>
      </c>
    </row>
    <row r="52" spans="1:6" ht="20.100000000000001" customHeight="1" x14ac:dyDescent="0.15">
      <c r="A52" s="5">
        <v>49</v>
      </c>
      <c r="B52" s="6" t="str">
        <f>"30482021060212111673355"</f>
        <v>30482021060212111673355</v>
      </c>
      <c r="C52" s="6" t="s">
        <v>2316</v>
      </c>
      <c r="D52" s="6" t="str">
        <f>"陈权晖"</f>
        <v>陈权晖</v>
      </c>
      <c r="E52" s="6" t="str">
        <f t="shared" si="3"/>
        <v>女</v>
      </c>
      <c r="F52" s="7" t="s">
        <v>25</v>
      </c>
    </row>
    <row r="53" spans="1:6" ht="20.100000000000001" customHeight="1" x14ac:dyDescent="0.15">
      <c r="A53" s="5">
        <v>50</v>
      </c>
      <c r="B53" s="6" t="str">
        <f>"30482021060212210973436"</f>
        <v>30482021060212210973436</v>
      </c>
      <c r="C53" s="6" t="s">
        <v>2316</v>
      </c>
      <c r="D53" s="6" t="str">
        <f>"梁崇弟"</f>
        <v>梁崇弟</v>
      </c>
      <c r="E53" s="6" t="str">
        <f>"男"</f>
        <v>男</v>
      </c>
      <c r="F53" s="7" t="s">
        <v>2329</v>
      </c>
    </row>
    <row r="54" spans="1:6" ht="20.100000000000001" customHeight="1" x14ac:dyDescent="0.15">
      <c r="A54" s="5">
        <v>51</v>
      </c>
      <c r="B54" s="6" t="str">
        <f>"30482021060213143873891"</f>
        <v>30482021060213143873891</v>
      </c>
      <c r="C54" s="6" t="s">
        <v>2316</v>
      </c>
      <c r="D54" s="6" t="str">
        <f>"郑亚玲"</f>
        <v>郑亚玲</v>
      </c>
      <c r="E54" s="6" t="str">
        <f t="shared" ref="E54:E93" si="4">"女"</f>
        <v>女</v>
      </c>
      <c r="F54" s="7" t="s">
        <v>597</v>
      </c>
    </row>
    <row r="55" spans="1:6" ht="20.100000000000001" customHeight="1" x14ac:dyDescent="0.15">
      <c r="A55" s="5">
        <v>52</v>
      </c>
      <c r="B55" s="6" t="str">
        <f>"30482021060214135374227"</f>
        <v>30482021060214135374227</v>
      </c>
      <c r="C55" s="6" t="s">
        <v>2316</v>
      </c>
      <c r="D55" s="6" t="str">
        <f>"张秋茹"</f>
        <v>张秋茹</v>
      </c>
      <c r="E55" s="6" t="str">
        <f t="shared" si="4"/>
        <v>女</v>
      </c>
      <c r="F55" s="7" t="s">
        <v>1558</v>
      </c>
    </row>
    <row r="56" spans="1:6" ht="20.100000000000001" customHeight="1" x14ac:dyDescent="0.15">
      <c r="A56" s="5">
        <v>53</v>
      </c>
      <c r="B56" s="6" t="str">
        <f>"30482021060214182174252"</f>
        <v>30482021060214182174252</v>
      </c>
      <c r="C56" s="6" t="s">
        <v>2316</v>
      </c>
      <c r="D56" s="6" t="str">
        <f>"云小丽"</f>
        <v>云小丽</v>
      </c>
      <c r="E56" s="6" t="str">
        <f t="shared" si="4"/>
        <v>女</v>
      </c>
      <c r="F56" s="7" t="s">
        <v>192</v>
      </c>
    </row>
    <row r="57" spans="1:6" ht="20.100000000000001" customHeight="1" x14ac:dyDescent="0.15">
      <c r="A57" s="5">
        <v>54</v>
      </c>
      <c r="B57" s="6" t="str">
        <f>"30482021060214570774552"</f>
        <v>30482021060214570774552</v>
      </c>
      <c r="C57" s="6" t="s">
        <v>2316</v>
      </c>
      <c r="D57" s="6" t="str">
        <f>"冯玉珠"</f>
        <v>冯玉珠</v>
      </c>
      <c r="E57" s="6" t="str">
        <f t="shared" si="4"/>
        <v>女</v>
      </c>
      <c r="F57" s="7" t="s">
        <v>1029</v>
      </c>
    </row>
    <row r="58" spans="1:6" ht="20.100000000000001" customHeight="1" x14ac:dyDescent="0.15">
      <c r="A58" s="5">
        <v>55</v>
      </c>
      <c r="B58" s="6" t="str">
        <f>"30482021060216023875274"</f>
        <v>30482021060216023875274</v>
      </c>
      <c r="C58" s="6" t="s">
        <v>2316</v>
      </c>
      <c r="D58" s="6" t="str">
        <f>"方苑蓉"</f>
        <v>方苑蓉</v>
      </c>
      <c r="E58" s="6" t="str">
        <f t="shared" si="4"/>
        <v>女</v>
      </c>
      <c r="F58" s="7" t="s">
        <v>2330</v>
      </c>
    </row>
    <row r="59" spans="1:6" ht="20.100000000000001" customHeight="1" x14ac:dyDescent="0.15">
      <c r="A59" s="5">
        <v>56</v>
      </c>
      <c r="B59" s="6" t="str">
        <f>"30482021060218200776467"</f>
        <v>30482021060218200776467</v>
      </c>
      <c r="C59" s="6" t="s">
        <v>2316</v>
      </c>
      <c r="D59" s="6" t="str">
        <f>"韩婉萍"</f>
        <v>韩婉萍</v>
      </c>
      <c r="E59" s="6" t="str">
        <f t="shared" si="4"/>
        <v>女</v>
      </c>
      <c r="F59" s="7" t="s">
        <v>2331</v>
      </c>
    </row>
    <row r="60" spans="1:6" ht="20.100000000000001" customHeight="1" x14ac:dyDescent="0.15">
      <c r="A60" s="5">
        <v>57</v>
      </c>
      <c r="B60" s="6" t="str">
        <f>"30482021060219174076849"</f>
        <v>30482021060219174076849</v>
      </c>
      <c r="C60" s="6" t="s">
        <v>2316</v>
      </c>
      <c r="D60" s="6" t="str">
        <f>"陈云君"</f>
        <v>陈云君</v>
      </c>
      <c r="E60" s="6" t="str">
        <f t="shared" si="4"/>
        <v>女</v>
      </c>
      <c r="F60" s="7" t="s">
        <v>2332</v>
      </c>
    </row>
    <row r="61" spans="1:6" ht="20.100000000000001" customHeight="1" x14ac:dyDescent="0.15">
      <c r="A61" s="5">
        <v>58</v>
      </c>
      <c r="B61" s="6" t="str">
        <f>"30482021060219561577155"</f>
        <v>30482021060219561577155</v>
      </c>
      <c r="C61" s="6" t="s">
        <v>2316</v>
      </c>
      <c r="D61" s="6" t="str">
        <f>"阎丽莎"</f>
        <v>阎丽莎</v>
      </c>
      <c r="E61" s="6" t="str">
        <f t="shared" si="4"/>
        <v>女</v>
      </c>
      <c r="F61" s="7" t="s">
        <v>1961</v>
      </c>
    </row>
    <row r="62" spans="1:6" ht="20.100000000000001" customHeight="1" x14ac:dyDescent="0.15">
      <c r="A62" s="5">
        <v>59</v>
      </c>
      <c r="B62" s="6" t="str">
        <f>"30482021060221060077752"</f>
        <v>30482021060221060077752</v>
      </c>
      <c r="C62" s="6" t="s">
        <v>2316</v>
      </c>
      <c r="D62" s="6" t="str">
        <f>"罗广萍"</f>
        <v>罗广萍</v>
      </c>
      <c r="E62" s="6" t="str">
        <f t="shared" si="4"/>
        <v>女</v>
      </c>
      <c r="F62" s="7" t="s">
        <v>2333</v>
      </c>
    </row>
    <row r="63" spans="1:6" ht="20.100000000000001" customHeight="1" x14ac:dyDescent="0.15">
      <c r="A63" s="5">
        <v>60</v>
      </c>
      <c r="B63" s="6" t="str">
        <f>"30482021060223485378919"</f>
        <v>30482021060223485378919</v>
      </c>
      <c r="C63" s="6" t="s">
        <v>2316</v>
      </c>
      <c r="D63" s="6" t="str">
        <f>"黄芳"</f>
        <v>黄芳</v>
      </c>
      <c r="E63" s="6" t="str">
        <f t="shared" si="4"/>
        <v>女</v>
      </c>
      <c r="F63" s="7" t="s">
        <v>160</v>
      </c>
    </row>
    <row r="64" spans="1:6" ht="20.100000000000001" customHeight="1" x14ac:dyDescent="0.15">
      <c r="A64" s="5">
        <v>61</v>
      </c>
      <c r="B64" s="6" t="str">
        <f>"30482021060308341779502"</f>
        <v>30482021060308341779502</v>
      </c>
      <c r="C64" s="6" t="s">
        <v>2316</v>
      </c>
      <c r="D64" s="6" t="str">
        <f>"刘丹惠"</f>
        <v>刘丹惠</v>
      </c>
      <c r="E64" s="6" t="str">
        <f t="shared" si="4"/>
        <v>女</v>
      </c>
      <c r="F64" s="7" t="s">
        <v>157</v>
      </c>
    </row>
    <row r="65" spans="1:6" ht="20.100000000000001" customHeight="1" x14ac:dyDescent="0.15">
      <c r="A65" s="5">
        <v>62</v>
      </c>
      <c r="B65" s="6" t="str">
        <f>"30482021060311535482360"</f>
        <v>30482021060311535482360</v>
      </c>
      <c r="C65" s="6" t="s">
        <v>2316</v>
      </c>
      <c r="D65" s="6" t="str">
        <f>"周虹彤"</f>
        <v>周虹彤</v>
      </c>
      <c r="E65" s="6" t="str">
        <f t="shared" si="4"/>
        <v>女</v>
      </c>
      <c r="F65" s="7" t="s">
        <v>393</v>
      </c>
    </row>
    <row r="66" spans="1:6" ht="20.100000000000001" customHeight="1" x14ac:dyDescent="0.15">
      <c r="A66" s="5">
        <v>63</v>
      </c>
      <c r="B66" s="6" t="str">
        <f>"30482021060312385082807"</f>
        <v>30482021060312385082807</v>
      </c>
      <c r="C66" s="6" t="s">
        <v>2316</v>
      </c>
      <c r="D66" s="6" t="str">
        <f>"林夏平"</f>
        <v>林夏平</v>
      </c>
      <c r="E66" s="6" t="str">
        <f t="shared" si="4"/>
        <v>女</v>
      </c>
      <c r="F66" s="7" t="s">
        <v>530</v>
      </c>
    </row>
    <row r="67" spans="1:6" ht="20.100000000000001" customHeight="1" x14ac:dyDescent="0.15">
      <c r="A67" s="5">
        <v>64</v>
      </c>
      <c r="B67" s="6" t="str">
        <f>"30482021060312421382841"</f>
        <v>30482021060312421382841</v>
      </c>
      <c r="C67" s="6" t="s">
        <v>2316</v>
      </c>
      <c r="D67" s="6" t="str">
        <f>"王水新"</f>
        <v>王水新</v>
      </c>
      <c r="E67" s="6" t="str">
        <f t="shared" si="4"/>
        <v>女</v>
      </c>
      <c r="F67" s="7" t="s">
        <v>2334</v>
      </c>
    </row>
    <row r="68" spans="1:6" ht="20.100000000000001" customHeight="1" x14ac:dyDescent="0.15">
      <c r="A68" s="5">
        <v>65</v>
      </c>
      <c r="B68" s="6" t="str">
        <f>"30482021060312441382868"</f>
        <v>30482021060312441382868</v>
      </c>
      <c r="C68" s="6" t="s">
        <v>2316</v>
      </c>
      <c r="D68" s="6" t="str">
        <f>"韩淑"</f>
        <v>韩淑</v>
      </c>
      <c r="E68" s="6" t="str">
        <f t="shared" si="4"/>
        <v>女</v>
      </c>
      <c r="F68" s="7" t="s">
        <v>2335</v>
      </c>
    </row>
    <row r="69" spans="1:6" ht="20.100000000000001" customHeight="1" x14ac:dyDescent="0.15">
      <c r="A69" s="5">
        <v>66</v>
      </c>
      <c r="B69" s="6" t="str">
        <f>"30482021060317382685993"</f>
        <v>30482021060317382685993</v>
      </c>
      <c r="C69" s="6" t="s">
        <v>2316</v>
      </c>
      <c r="D69" s="6" t="str">
        <f>"陈少云"</f>
        <v>陈少云</v>
      </c>
      <c r="E69" s="6" t="str">
        <f t="shared" si="4"/>
        <v>女</v>
      </c>
      <c r="F69" s="7" t="s">
        <v>1411</v>
      </c>
    </row>
    <row r="70" spans="1:6" ht="20.100000000000001" customHeight="1" x14ac:dyDescent="0.15">
      <c r="A70" s="5">
        <v>67</v>
      </c>
      <c r="B70" s="6" t="str">
        <f>"30482021060317510786127"</f>
        <v>30482021060317510786127</v>
      </c>
      <c r="C70" s="6" t="s">
        <v>2316</v>
      </c>
      <c r="D70" s="6" t="str">
        <f>"何梦"</f>
        <v>何梦</v>
      </c>
      <c r="E70" s="6" t="str">
        <f t="shared" si="4"/>
        <v>女</v>
      </c>
      <c r="F70" s="7" t="s">
        <v>61</v>
      </c>
    </row>
    <row r="71" spans="1:6" ht="20.100000000000001" customHeight="1" x14ac:dyDescent="0.15">
      <c r="A71" s="5">
        <v>68</v>
      </c>
      <c r="B71" s="6" t="str">
        <f>"30482021060318130286295"</f>
        <v>30482021060318130286295</v>
      </c>
      <c r="C71" s="6" t="s">
        <v>2316</v>
      </c>
      <c r="D71" s="6" t="str">
        <f>"王莉"</f>
        <v>王莉</v>
      </c>
      <c r="E71" s="6" t="str">
        <f t="shared" si="4"/>
        <v>女</v>
      </c>
      <c r="F71" s="7" t="s">
        <v>2336</v>
      </c>
    </row>
    <row r="72" spans="1:6" ht="20.100000000000001" customHeight="1" x14ac:dyDescent="0.15">
      <c r="A72" s="5">
        <v>69</v>
      </c>
      <c r="B72" s="6" t="str">
        <f>"30482021060319285186955"</f>
        <v>30482021060319285186955</v>
      </c>
      <c r="C72" s="6" t="s">
        <v>2316</v>
      </c>
      <c r="D72" s="6" t="str">
        <f>"符少芸"</f>
        <v>符少芸</v>
      </c>
      <c r="E72" s="6" t="str">
        <f t="shared" si="4"/>
        <v>女</v>
      </c>
      <c r="F72" s="7" t="s">
        <v>2337</v>
      </c>
    </row>
    <row r="73" spans="1:6" ht="20.100000000000001" customHeight="1" x14ac:dyDescent="0.15">
      <c r="A73" s="5">
        <v>70</v>
      </c>
      <c r="B73" s="6" t="str">
        <f>"30482021060323021489266"</f>
        <v>30482021060323021489266</v>
      </c>
      <c r="C73" s="6" t="s">
        <v>2316</v>
      </c>
      <c r="D73" s="6" t="str">
        <f>"郭远华"</f>
        <v>郭远华</v>
      </c>
      <c r="E73" s="6" t="str">
        <f t="shared" si="4"/>
        <v>女</v>
      </c>
      <c r="F73" s="7" t="s">
        <v>1282</v>
      </c>
    </row>
    <row r="74" spans="1:6" ht="20.100000000000001" customHeight="1" x14ac:dyDescent="0.15">
      <c r="A74" s="5">
        <v>71</v>
      </c>
      <c r="B74" s="6" t="str">
        <f>"30482021060408040390151"</f>
        <v>30482021060408040390151</v>
      </c>
      <c r="C74" s="6" t="s">
        <v>2316</v>
      </c>
      <c r="D74" s="6" t="str">
        <f>"黄小娟"</f>
        <v>黄小娟</v>
      </c>
      <c r="E74" s="6" t="str">
        <f t="shared" si="4"/>
        <v>女</v>
      </c>
      <c r="F74" s="7" t="s">
        <v>890</v>
      </c>
    </row>
    <row r="75" spans="1:6" ht="20.100000000000001" customHeight="1" x14ac:dyDescent="0.15">
      <c r="A75" s="5">
        <v>72</v>
      </c>
      <c r="B75" s="6" t="str">
        <f>"30482021060410211491574"</f>
        <v>30482021060410211491574</v>
      </c>
      <c r="C75" s="6" t="s">
        <v>2316</v>
      </c>
      <c r="D75" s="6" t="str">
        <f>"符丽花"</f>
        <v>符丽花</v>
      </c>
      <c r="E75" s="6" t="str">
        <f t="shared" si="4"/>
        <v>女</v>
      </c>
      <c r="F75" s="7" t="s">
        <v>1365</v>
      </c>
    </row>
    <row r="76" spans="1:6" ht="20.100000000000001" customHeight="1" x14ac:dyDescent="0.15">
      <c r="A76" s="5">
        <v>73</v>
      </c>
      <c r="B76" s="6" t="str">
        <f>"30482021060411040692737"</f>
        <v>30482021060411040692737</v>
      </c>
      <c r="C76" s="6" t="s">
        <v>2316</v>
      </c>
      <c r="D76" s="6" t="str">
        <f>"邓兰妹"</f>
        <v>邓兰妹</v>
      </c>
      <c r="E76" s="6" t="str">
        <f t="shared" si="4"/>
        <v>女</v>
      </c>
      <c r="F76" s="7" t="s">
        <v>31</v>
      </c>
    </row>
    <row r="77" spans="1:6" ht="20.100000000000001" customHeight="1" x14ac:dyDescent="0.15">
      <c r="A77" s="5">
        <v>74</v>
      </c>
      <c r="B77" s="6" t="str">
        <f>"30482021060412304293681"</f>
        <v>30482021060412304293681</v>
      </c>
      <c r="C77" s="6" t="s">
        <v>2316</v>
      </c>
      <c r="D77" s="6" t="str">
        <f>"符焕美"</f>
        <v>符焕美</v>
      </c>
      <c r="E77" s="6" t="str">
        <f t="shared" si="4"/>
        <v>女</v>
      </c>
      <c r="F77" s="7" t="s">
        <v>202</v>
      </c>
    </row>
    <row r="78" spans="1:6" ht="20.100000000000001" customHeight="1" x14ac:dyDescent="0.15">
      <c r="A78" s="5">
        <v>75</v>
      </c>
      <c r="B78" s="6" t="str">
        <f>"30482021060413575094562"</f>
        <v>30482021060413575094562</v>
      </c>
      <c r="C78" s="6" t="s">
        <v>2316</v>
      </c>
      <c r="D78" s="6" t="str">
        <f>"郑秋婷"</f>
        <v>郑秋婷</v>
      </c>
      <c r="E78" s="6" t="str">
        <f t="shared" si="4"/>
        <v>女</v>
      </c>
      <c r="F78" s="7" t="s">
        <v>1501</v>
      </c>
    </row>
    <row r="79" spans="1:6" ht="20.100000000000001" customHeight="1" x14ac:dyDescent="0.15">
      <c r="A79" s="5">
        <v>76</v>
      </c>
      <c r="B79" s="6" t="str">
        <f>"30482021060418564398476"</f>
        <v>30482021060418564398476</v>
      </c>
      <c r="C79" s="6" t="s">
        <v>2316</v>
      </c>
      <c r="D79" s="6" t="str">
        <f>"郭晶晶"</f>
        <v>郭晶晶</v>
      </c>
      <c r="E79" s="6" t="str">
        <f t="shared" si="4"/>
        <v>女</v>
      </c>
      <c r="F79" s="7" t="s">
        <v>566</v>
      </c>
    </row>
    <row r="80" spans="1:6" ht="20.100000000000001" customHeight="1" x14ac:dyDescent="0.15">
      <c r="A80" s="5">
        <v>77</v>
      </c>
      <c r="B80" s="6" t="str">
        <f>"30482021060422475099819"</f>
        <v>30482021060422475099819</v>
      </c>
      <c r="C80" s="6" t="s">
        <v>2316</v>
      </c>
      <c r="D80" s="6" t="str">
        <f>"潘乙萍"</f>
        <v>潘乙萍</v>
      </c>
      <c r="E80" s="6" t="str">
        <f t="shared" si="4"/>
        <v>女</v>
      </c>
      <c r="F80" s="7" t="s">
        <v>551</v>
      </c>
    </row>
    <row r="81" spans="1:6" ht="20.100000000000001" customHeight="1" x14ac:dyDescent="0.15">
      <c r="A81" s="5">
        <v>78</v>
      </c>
      <c r="B81" s="6" t="str">
        <f>"304820210605121759100767"</f>
        <v>304820210605121759100767</v>
      </c>
      <c r="C81" s="6" t="s">
        <v>2316</v>
      </c>
      <c r="D81" s="6" t="str">
        <f>"温敏"</f>
        <v>温敏</v>
      </c>
      <c r="E81" s="6" t="str">
        <f t="shared" si="4"/>
        <v>女</v>
      </c>
      <c r="F81" s="7" t="s">
        <v>1097</v>
      </c>
    </row>
    <row r="82" spans="1:6" ht="20.100000000000001" customHeight="1" x14ac:dyDescent="0.15">
      <c r="A82" s="5">
        <v>79</v>
      </c>
      <c r="B82" s="6" t="str">
        <f>"304820210605180306101676"</f>
        <v>304820210605180306101676</v>
      </c>
      <c r="C82" s="6" t="s">
        <v>2316</v>
      </c>
      <c r="D82" s="6" t="str">
        <f>"钱海晓"</f>
        <v>钱海晓</v>
      </c>
      <c r="E82" s="6" t="str">
        <f t="shared" si="4"/>
        <v>女</v>
      </c>
      <c r="F82" s="7" t="s">
        <v>858</v>
      </c>
    </row>
    <row r="83" spans="1:6" ht="20.100000000000001" customHeight="1" x14ac:dyDescent="0.15">
      <c r="A83" s="5">
        <v>80</v>
      </c>
      <c r="B83" s="6" t="str">
        <f>"304820210605181244101703"</f>
        <v>304820210605181244101703</v>
      </c>
      <c r="C83" s="6" t="s">
        <v>2316</v>
      </c>
      <c r="D83" s="6" t="str">
        <f>"符玲"</f>
        <v>符玲</v>
      </c>
      <c r="E83" s="6" t="str">
        <f t="shared" si="4"/>
        <v>女</v>
      </c>
      <c r="F83" s="7" t="s">
        <v>1213</v>
      </c>
    </row>
    <row r="84" spans="1:6" ht="20.100000000000001" customHeight="1" x14ac:dyDescent="0.15">
      <c r="A84" s="5">
        <v>81</v>
      </c>
      <c r="B84" s="6" t="str">
        <f>"304820210605184710101784"</f>
        <v>304820210605184710101784</v>
      </c>
      <c r="C84" s="6" t="s">
        <v>2316</v>
      </c>
      <c r="D84" s="6" t="str">
        <f>"邢彩金"</f>
        <v>邢彩金</v>
      </c>
      <c r="E84" s="6" t="str">
        <f t="shared" si="4"/>
        <v>女</v>
      </c>
      <c r="F84" s="7" t="s">
        <v>2338</v>
      </c>
    </row>
    <row r="85" spans="1:6" ht="20.100000000000001" customHeight="1" x14ac:dyDescent="0.15">
      <c r="A85" s="5">
        <v>82</v>
      </c>
      <c r="B85" s="6" t="str">
        <f>"304820210605220107102292"</f>
        <v>304820210605220107102292</v>
      </c>
      <c r="C85" s="6" t="s">
        <v>2316</v>
      </c>
      <c r="D85" s="6" t="str">
        <f>"吴谊"</f>
        <v>吴谊</v>
      </c>
      <c r="E85" s="6" t="str">
        <f t="shared" si="4"/>
        <v>女</v>
      </c>
      <c r="F85" s="7" t="s">
        <v>1233</v>
      </c>
    </row>
    <row r="86" spans="1:6" ht="20.100000000000001" customHeight="1" x14ac:dyDescent="0.15">
      <c r="A86" s="5">
        <v>83</v>
      </c>
      <c r="B86" s="6" t="str">
        <f>"304820210605224505102420"</f>
        <v>304820210605224505102420</v>
      </c>
      <c r="C86" s="6" t="s">
        <v>2316</v>
      </c>
      <c r="D86" s="6" t="str">
        <f>"林玉霞"</f>
        <v>林玉霞</v>
      </c>
      <c r="E86" s="6" t="str">
        <f t="shared" si="4"/>
        <v>女</v>
      </c>
      <c r="F86" s="7" t="s">
        <v>917</v>
      </c>
    </row>
    <row r="87" spans="1:6" ht="20.100000000000001" customHeight="1" x14ac:dyDescent="0.15">
      <c r="A87" s="5">
        <v>84</v>
      </c>
      <c r="B87" s="6" t="str">
        <f>"304820210605233008102513"</f>
        <v>304820210605233008102513</v>
      </c>
      <c r="C87" s="6" t="s">
        <v>2316</v>
      </c>
      <c r="D87" s="6" t="str">
        <f>"陈珍妹"</f>
        <v>陈珍妹</v>
      </c>
      <c r="E87" s="6" t="str">
        <f t="shared" si="4"/>
        <v>女</v>
      </c>
      <c r="F87" s="7" t="s">
        <v>1366</v>
      </c>
    </row>
    <row r="88" spans="1:6" ht="20.100000000000001" customHeight="1" x14ac:dyDescent="0.15">
      <c r="A88" s="5">
        <v>85</v>
      </c>
      <c r="B88" s="6" t="str">
        <f>"304820210605233554102525"</f>
        <v>304820210605233554102525</v>
      </c>
      <c r="C88" s="6" t="s">
        <v>2316</v>
      </c>
      <c r="D88" s="6" t="str">
        <f>"刘天钰"</f>
        <v>刘天钰</v>
      </c>
      <c r="E88" s="6" t="str">
        <f t="shared" si="4"/>
        <v>女</v>
      </c>
      <c r="F88" s="7" t="s">
        <v>2339</v>
      </c>
    </row>
    <row r="89" spans="1:6" ht="20.100000000000001" customHeight="1" x14ac:dyDescent="0.15">
      <c r="A89" s="5">
        <v>86</v>
      </c>
      <c r="B89" s="6" t="str">
        <f>"304820210606135216103621"</f>
        <v>304820210606135216103621</v>
      </c>
      <c r="C89" s="6" t="s">
        <v>2316</v>
      </c>
      <c r="D89" s="6" t="str">
        <f>"张娇"</f>
        <v>张娇</v>
      </c>
      <c r="E89" s="6" t="str">
        <f t="shared" si="4"/>
        <v>女</v>
      </c>
      <c r="F89" s="7" t="s">
        <v>974</v>
      </c>
    </row>
    <row r="90" spans="1:6" ht="20.100000000000001" customHeight="1" x14ac:dyDescent="0.15">
      <c r="A90" s="5">
        <v>87</v>
      </c>
      <c r="B90" s="6" t="str">
        <f>"304820210606151929103843"</f>
        <v>304820210606151929103843</v>
      </c>
      <c r="C90" s="6" t="s">
        <v>2316</v>
      </c>
      <c r="D90" s="6" t="str">
        <f>"黄雯"</f>
        <v>黄雯</v>
      </c>
      <c r="E90" s="6" t="str">
        <f t="shared" si="4"/>
        <v>女</v>
      </c>
      <c r="F90" s="7" t="s">
        <v>1102</v>
      </c>
    </row>
    <row r="91" spans="1:6" ht="20.100000000000001" customHeight="1" x14ac:dyDescent="0.15">
      <c r="A91" s="5">
        <v>88</v>
      </c>
      <c r="B91" s="6" t="str">
        <f>"304820210606164756104139"</f>
        <v>304820210606164756104139</v>
      </c>
      <c r="C91" s="6" t="s">
        <v>2316</v>
      </c>
      <c r="D91" s="6" t="str">
        <f>"林婵"</f>
        <v>林婵</v>
      </c>
      <c r="E91" s="6" t="str">
        <f t="shared" si="4"/>
        <v>女</v>
      </c>
      <c r="F91" s="7" t="s">
        <v>219</v>
      </c>
    </row>
    <row r="92" spans="1:6" ht="20.100000000000001" customHeight="1" x14ac:dyDescent="0.15">
      <c r="A92" s="5">
        <v>89</v>
      </c>
      <c r="B92" s="6" t="str">
        <f>"304820210606191434104510"</f>
        <v>304820210606191434104510</v>
      </c>
      <c r="C92" s="6" t="s">
        <v>2316</v>
      </c>
      <c r="D92" s="6" t="str">
        <f>"覃海桂"</f>
        <v>覃海桂</v>
      </c>
      <c r="E92" s="6" t="str">
        <f t="shared" si="4"/>
        <v>女</v>
      </c>
      <c r="F92" s="7" t="s">
        <v>2340</v>
      </c>
    </row>
    <row r="93" spans="1:6" ht="20.100000000000001" customHeight="1" x14ac:dyDescent="0.15">
      <c r="A93" s="5">
        <v>90</v>
      </c>
      <c r="B93" s="6" t="str">
        <f>"304820210607033726105347"</f>
        <v>304820210607033726105347</v>
      </c>
      <c r="C93" s="6" t="s">
        <v>2316</v>
      </c>
      <c r="D93" s="6" t="str">
        <f>"郑椰栋"</f>
        <v>郑椰栋</v>
      </c>
      <c r="E93" s="6" t="str">
        <f t="shared" si="4"/>
        <v>女</v>
      </c>
      <c r="F93" s="7" t="s">
        <v>793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F2"/>
    </sheetView>
  </sheetViews>
  <sheetFormatPr defaultColWidth="9" defaultRowHeight="20.100000000000001" customHeight="1" x14ac:dyDescent="0.15"/>
  <cols>
    <col min="1" max="1" width="5" style="1" customWidth="1"/>
    <col min="2" max="2" width="24.625" style="1" customWidth="1"/>
    <col min="3" max="3" width="14.125" style="1" customWidth="1"/>
    <col min="4" max="4" width="10.75" style="1" customWidth="1"/>
    <col min="5" max="5" width="8.25" style="1" customWidth="1"/>
    <col min="6" max="6" width="16.6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"30482021060115461964729"</f>
        <v>30482021060115461964729</v>
      </c>
      <c r="C4" s="6" t="s">
        <v>2341</v>
      </c>
      <c r="D4" s="6" t="str">
        <f>"文苏娟"</f>
        <v>文苏娟</v>
      </c>
      <c r="E4" s="6" t="str">
        <f t="shared" ref="E4:E17" si="0">"女"</f>
        <v>女</v>
      </c>
      <c r="F4" s="7" t="s">
        <v>2342</v>
      </c>
    </row>
    <row r="5" spans="1:6" ht="20.100000000000001" customHeight="1" x14ac:dyDescent="0.15">
      <c r="A5" s="5">
        <v>2</v>
      </c>
      <c r="B5" s="6" t="str">
        <f>"30482021060116024564924"</f>
        <v>30482021060116024564924</v>
      </c>
      <c r="C5" s="6" t="s">
        <v>2341</v>
      </c>
      <c r="D5" s="6" t="str">
        <f>"吴艳"</f>
        <v>吴艳</v>
      </c>
      <c r="E5" s="6" t="str">
        <f t="shared" si="0"/>
        <v>女</v>
      </c>
      <c r="F5" s="7" t="s">
        <v>2343</v>
      </c>
    </row>
    <row r="6" spans="1:6" ht="20.100000000000001" customHeight="1" x14ac:dyDescent="0.15">
      <c r="A6" s="5">
        <v>3</v>
      </c>
      <c r="B6" s="6" t="str">
        <f>"30482021060117244265977"</f>
        <v>30482021060117244265977</v>
      </c>
      <c r="C6" s="6" t="s">
        <v>2341</v>
      </c>
      <c r="D6" s="6" t="str">
        <f>"周琼梅"</f>
        <v>周琼梅</v>
      </c>
      <c r="E6" s="6" t="str">
        <f t="shared" si="0"/>
        <v>女</v>
      </c>
      <c r="F6" s="7" t="s">
        <v>298</v>
      </c>
    </row>
    <row r="7" spans="1:6" ht="20.100000000000001" customHeight="1" x14ac:dyDescent="0.15">
      <c r="A7" s="5">
        <v>4</v>
      </c>
      <c r="B7" s="6" t="str">
        <f>"30482021060119065266866"</f>
        <v>30482021060119065266866</v>
      </c>
      <c r="C7" s="6" t="s">
        <v>2341</v>
      </c>
      <c r="D7" s="6" t="str">
        <f>"张雪婷"</f>
        <v>张雪婷</v>
      </c>
      <c r="E7" s="6" t="str">
        <f t="shared" si="0"/>
        <v>女</v>
      </c>
      <c r="F7" s="7" t="s">
        <v>131</v>
      </c>
    </row>
    <row r="8" spans="1:6" ht="20.100000000000001" customHeight="1" x14ac:dyDescent="0.15">
      <c r="A8" s="5">
        <v>5</v>
      </c>
      <c r="B8" s="6" t="str">
        <f>"30482021060209062571183"</f>
        <v>30482021060209062571183</v>
      </c>
      <c r="C8" s="6" t="s">
        <v>2341</v>
      </c>
      <c r="D8" s="6" t="str">
        <f>"曾小慧"</f>
        <v>曾小慧</v>
      </c>
      <c r="E8" s="6" t="str">
        <f t="shared" si="0"/>
        <v>女</v>
      </c>
      <c r="F8" s="7" t="s">
        <v>1318</v>
      </c>
    </row>
    <row r="9" spans="1:6" ht="20.100000000000001" customHeight="1" x14ac:dyDescent="0.15">
      <c r="A9" s="5">
        <v>6</v>
      </c>
      <c r="B9" s="6" t="str">
        <f>"30482021060210544872607"</f>
        <v>30482021060210544872607</v>
      </c>
      <c r="C9" s="6" t="s">
        <v>2341</v>
      </c>
      <c r="D9" s="6" t="str">
        <f>"黎丽妹"</f>
        <v>黎丽妹</v>
      </c>
      <c r="E9" s="6" t="str">
        <f t="shared" si="0"/>
        <v>女</v>
      </c>
      <c r="F9" s="7" t="s">
        <v>1532</v>
      </c>
    </row>
    <row r="10" spans="1:6" ht="20.100000000000001" customHeight="1" x14ac:dyDescent="0.15">
      <c r="A10" s="5">
        <v>7</v>
      </c>
      <c r="B10" s="6" t="str">
        <f>"30482021060211355473060"</f>
        <v>30482021060211355473060</v>
      </c>
      <c r="C10" s="6" t="s">
        <v>2341</v>
      </c>
      <c r="D10" s="6" t="str">
        <f>"周亮"</f>
        <v>周亮</v>
      </c>
      <c r="E10" s="6" t="str">
        <f t="shared" si="0"/>
        <v>女</v>
      </c>
      <c r="F10" s="7" t="s">
        <v>1813</v>
      </c>
    </row>
    <row r="11" spans="1:6" ht="20.100000000000001" customHeight="1" x14ac:dyDescent="0.15">
      <c r="A11" s="5">
        <v>8</v>
      </c>
      <c r="B11" s="6" t="str">
        <f>"30482021060216003875252"</f>
        <v>30482021060216003875252</v>
      </c>
      <c r="C11" s="6" t="s">
        <v>2341</v>
      </c>
      <c r="D11" s="6" t="str">
        <f>"庄春苗"</f>
        <v>庄春苗</v>
      </c>
      <c r="E11" s="6" t="str">
        <f t="shared" si="0"/>
        <v>女</v>
      </c>
      <c r="F11" s="7" t="s">
        <v>1081</v>
      </c>
    </row>
    <row r="12" spans="1:6" ht="20.100000000000001" customHeight="1" x14ac:dyDescent="0.15">
      <c r="A12" s="5">
        <v>9</v>
      </c>
      <c r="B12" s="6" t="str">
        <f>"30482021060216521175753"</f>
        <v>30482021060216521175753</v>
      </c>
      <c r="C12" s="6" t="s">
        <v>2341</v>
      </c>
      <c r="D12" s="6" t="str">
        <f>"王燕"</f>
        <v>王燕</v>
      </c>
      <c r="E12" s="6" t="str">
        <f t="shared" si="0"/>
        <v>女</v>
      </c>
      <c r="F12" s="7" t="s">
        <v>1434</v>
      </c>
    </row>
    <row r="13" spans="1:6" ht="20.100000000000001" customHeight="1" x14ac:dyDescent="0.15">
      <c r="A13" s="5">
        <v>10</v>
      </c>
      <c r="B13" s="6" t="str">
        <f>"30482021060217373476161"</f>
        <v>30482021060217373476161</v>
      </c>
      <c r="C13" s="6" t="s">
        <v>2341</v>
      </c>
      <c r="D13" s="6" t="str">
        <f>"潘在行"</f>
        <v>潘在行</v>
      </c>
      <c r="E13" s="6" t="str">
        <f t="shared" si="0"/>
        <v>女</v>
      </c>
      <c r="F13" s="7" t="s">
        <v>2344</v>
      </c>
    </row>
    <row r="14" spans="1:6" ht="20.100000000000001" customHeight="1" x14ac:dyDescent="0.15">
      <c r="A14" s="5">
        <v>11</v>
      </c>
      <c r="B14" s="6" t="str">
        <f>"30482021060217455576226"</f>
        <v>30482021060217455576226</v>
      </c>
      <c r="C14" s="6" t="s">
        <v>2341</v>
      </c>
      <c r="D14" s="6" t="str">
        <f>"邢春缅"</f>
        <v>邢春缅</v>
      </c>
      <c r="E14" s="6" t="str">
        <f t="shared" si="0"/>
        <v>女</v>
      </c>
      <c r="F14" s="7" t="s">
        <v>436</v>
      </c>
    </row>
    <row r="15" spans="1:6" ht="20.100000000000001" customHeight="1" x14ac:dyDescent="0.15">
      <c r="A15" s="5">
        <v>12</v>
      </c>
      <c r="B15" s="6" t="str">
        <f>"30482021060308363479521"</f>
        <v>30482021060308363479521</v>
      </c>
      <c r="C15" s="6" t="s">
        <v>2341</v>
      </c>
      <c r="D15" s="6" t="str">
        <f>"云金燕"</f>
        <v>云金燕</v>
      </c>
      <c r="E15" s="6" t="str">
        <f t="shared" si="0"/>
        <v>女</v>
      </c>
      <c r="F15" s="7" t="s">
        <v>173</v>
      </c>
    </row>
    <row r="16" spans="1:6" ht="20.100000000000001" customHeight="1" x14ac:dyDescent="0.15">
      <c r="A16" s="5">
        <v>13</v>
      </c>
      <c r="B16" s="6" t="str">
        <f>"30482021060313172883180"</f>
        <v>30482021060313172883180</v>
      </c>
      <c r="C16" s="6" t="s">
        <v>2341</v>
      </c>
      <c r="D16" s="6" t="str">
        <f>"张秀妮"</f>
        <v>张秀妮</v>
      </c>
      <c r="E16" s="6" t="str">
        <f t="shared" si="0"/>
        <v>女</v>
      </c>
      <c r="F16" s="7" t="s">
        <v>30</v>
      </c>
    </row>
    <row r="17" spans="1:6" ht="20.100000000000001" customHeight="1" x14ac:dyDescent="0.15">
      <c r="A17" s="5">
        <v>14</v>
      </c>
      <c r="B17" s="6" t="str">
        <f>"30482021060314033683506"</f>
        <v>30482021060314033683506</v>
      </c>
      <c r="C17" s="6" t="s">
        <v>2341</v>
      </c>
      <c r="D17" s="6" t="str">
        <f>"陈饶芳"</f>
        <v>陈饶芳</v>
      </c>
      <c r="E17" s="6" t="str">
        <f t="shared" si="0"/>
        <v>女</v>
      </c>
      <c r="F17" s="7" t="s">
        <v>649</v>
      </c>
    </row>
    <row r="18" spans="1:6" ht="20.100000000000001" customHeight="1" x14ac:dyDescent="0.15">
      <c r="A18" s="5">
        <v>15</v>
      </c>
      <c r="B18" s="6" t="str">
        <f>"30482021060410191191546"</f>
        <v>30482021060410191191546</v>
      </c>
      <c r="C18" s="6" t="s">
        <v>2341</v>
      </c>
      <c r="D18" s="6" t="str">
        <f>"吉祥芬"</f>
        <v>吉祥芬</v>
      </c>
      <c r="E18" s="6" t="str">
        <f>"男"</f>
        <v>男</v>
      </c>
      <c r="F18" s="7" t="s">
        <v>1839</v>
      </c>
    </row>
    <row r="19" spans="1:6" ht="20.100000000000001" customHeight="1" x14ac:dyDescent="0.15">
      <c r="A19" s="5">
        <v>16</v>
      </c>
      <c r="B19" s="6" t="str">
        <f>"30482021060413064394100"</f>
        <v>30482021060413064394100</v>
      </c>
      <c r="C19" s="6" t="s">
        <v>2341</v>
      </c>
      <c r="D19" s="6" t="str">
        <f>"符仪"</f>
        <v>符仪</v>
      </c>
      <c r="E19" s="6" t="str">
        <f t="shared" ref="E19:E21" si="1">"女"</f>
        <v>女</v>
      </c>
      <c r="F19" s="7" t="s">
        <v>293</v>
      </c>
    </row>
    <row r="20" spans="1:6" ht="20.100000000000001" customHeight="1" x14ac:dyDescent="0.15">
      <c r="A20" s="5">
        <v>17</v>
      </c>
      <c r="B20" s="6" t="str">
        <f>"30482021060418114398328"</f>
        <v>30482021060418114398328</v>
      </c>
      <c r="C20" s="6" t="s">
        <v>2341</v>
      </c>
      <c r="D20" s="6" t="str">
        <f>"余慧鑫"</f>
        <v>余慧鑫</v>
      </c>
      <c r="E20" s="6" t="str">
        <f t="shared" si="1"/>
        <v>女</v>
      </c>
      <c r="F20" s="7" t="s">
        <v>748</v>
      </c>
    </row>
    <row r="21" spans="1:6" ht="20.100000000000001" customHeight="1" x14ac:dyDescent="0.15">
      <c r="A21" s="5">
        <v>18</v>
      </c>
      <c r="B21" s="6" t="str">
        <f>"30482021060418351998404"</f>
        <v>30482021060418351998404</v>
      </c>
      <c r="C21" s="6" t="s">
        <v>2341</v>
      </c>
      <c r="D21" s="6" t="str">
        <f>"黎丽红"</f>
        <v>黎丽红</v>
      </c>
      <c r="E21" s="6" t="str">
        <f t="shared" si="1"/>
        <v>女</v>
      </c>
      <c r="F21" s="7" t="s">
        <v>88</v>
      </c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sqref="A1:F2"/>
    </sheetView>
  </sheetViews>
  <sheetFormatPr defaultColWidth="9" defaultRowHeight="20.100000000000001" customHeight="1" x14ac:dyDescent="0.15"/>
  <cols>
    <col min="1" max="1" width="6.75" style="1" customWidth="1"/>
    <col min="2" max="2" width="24.625" style="1" customWidth="1"/>
    <col min="3" max="3" width="14.75" style="1" customWidth="1"/>
    <col min="4" max="4" width="10.5" style="1" customWidth="1"/>
    <col min="5" max="5" width="8" style="1" customWidth="1"/>
    <col min="6" max="6" width="15.375" style="1" customWidth="1"/>
    <col min="7" max="16384" width="9" style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42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12">
        <v>1</v>
      </c>
      <c r="B4" s="6" t="str">
        <f>"30482021060117294466028"</f>
        <v>30482021060117294466028</v>
      </c>
      <c r="C4" s="6" t="s">
        <v>127</v>
      </c>
      <c r="D4" s="6" t="str">
        <f>"邱杨杨"</f>
        <v>邱杨杨</v>
      </c>
      <c r="E4" s="6" t="str">
        <f t="shared" ref="E4:E9" si="0">"女"</f>
        <v>女</v>
      </c>
      <c r="F4" s="16" t="s">
        <v>37</v>
      </c>
    </row>
    <row r="5" spans="1:6" ht="20.100000000000001" customHeight="1" x14ac:dyDescent="0.15">
      <c r="A5" s="12">
        <v>2</v>
      </c>
      <c r="B5" s="6" t="str">
        <f>"30482021060119504767421"</f>
        <v>30482021060119504767421</v>
      </c>
      <c r="C5" s="6" t="s">
        <v>127</v>
      </c>
      <c r="D5" s="6" t="str">
        <f>"江卫群"</f>
        <v>江卫群</v>
      </c>
      <c r="E5" s="6" t="str">
        <f t="shared" si="0"/>
        <v>女</v>
      </c>
      <c r="F5" s="16" t="s">
        <v>128</v>
      </c>
    </row>
    <row r="6" spans="1:6" ht="20.100000000000001" customHeight="1" x14ac:dyDescent="0.15">
      <c r="A6" s="12">
        <v>3</v>
      </c>
      <c r="B6" s="6" t="str">
        <f>"30482021060122272469849"</f>
        <v>30482021060122272469849</v>
      </c>
      <c r="C6" s="6" t="s">
        <v>127</v>
      </c>
      <c r="D6" s="6" t="str">
        <f>"毛佩儿"</f>
        <v>毛佩儿</v>
      </c>
      <c r="E6" s="6" t="str">
        <f t="shared" si="0"/>
        <v>女</v>
      </c>
      <c r="F6" s="16" t="s">
        <v>129</v>
      </c>
    </row>
    <row r="7" spans="1:6" ht="20.100000000000001" customHeight="1" x14ac:dyDescent="0.15">
      <c r="A7" s="12">
        <v>4</v>
      </c>
      <c r="B7" s="6" t="str">
        <f>"30482021060412171793528"</f>
        <v>30482021060412171793528</v>
      </c>
      <c r="C7" s="6" t="s">
        <v>127</v>
      </c>
      <c r="D7" s="6" t="str">
        <f>"王晓文"</f>
        <v>王晓文</v>
      </c>
      <c r="E7" s="6" t="str">
        <f t="shared" si="0"/>
        <v>女</v>
      </c>
      <c r="F7" s="16" t="s">
        <v>130</v>
      </c>
    </row>
    <row r="8" spans="1:6" ht="20.100000000000001" customHeight="1" x14ac:dyDescent="0.15">
      <c r="A8" s="12">
        <v>5</v>
      </c>
      <c r="B8" s="6" t="str">
        <f>"304820210606140255103656"</f>
        <v>304820210606140255103656</v>
      </c>
      <c r="C8" s="6" t="s">
        <v>127</v>
      </c>
      <c r="D8" s="6" t="str">
        <f>"陆莎莎"</f>
        <v>陆莎莎</v>
      </c>
      <c r="E8" s="6" t="str">
        <f t="shared" si="0"/>
        <v>女</v>
      </c>
      <c r="F8" s="16" t="s">
        <v>131</v>
      </c>
    </row>
    <row r="9" spans="1:6" ht="20.100000000000001" customHeight="1" x14ac:dyDescent="0.15">
      <c r="A9" s="12">
        <v>6</v>
      </c>
      <c r="B9" s="6" t="str">
        <f>"304820210606150931103814"</f>
        <v>304820210606150931103814</v>
      </c>
      <c r="C9" s="6" t="s">
        <v>127</v>
      </c>
      <c r="D9" s="6" t="str">
        <f>"陈云立"</f>
        <v>陈云立</v>
      </c>
      <c r="E9" s="6" t="str">
        <f t="shared" si="0"/>
        <v>女</v>
      </c>
      <c r="F9" s="16" t="s">
        <v>132</v>
      </c>
    </row>
    <row r="10" spans="1:6" ht="20.100000000000001" customHeight="1" x14ac:dyDescent="0.15">
      <c r="A10" s="13"/>
      <c r="B10" s="14"/>
      <c r="C10" s="14"/>
      <c r="D10" s="15"/>
      <c r="E10" s="14"/>
      <c r="F10" s="13"/>
    </row>
    <row r="11" spans="1:6" ht="20.100000000000001" customHeight="1" x14ac:dyDescent="0.15">
      <c r="A11" s="13"/>
      <c r="B11" s="14"/>
      <c r="C11" s="14"/>
      <c r="D11" s="15"/>
      <c r="E11" s="14"/>
      <c r="F11" s="13"/>
    </row>
    <row r="12" spans="1:6" ht="20.100000000000001" customHeight="1" x14ac:dyDescent="0.15">
      <c r="A12" s="13"/>
      <c r="B12" s="14"/>
      <c r="C12" s="14"/>
      <c r="D12" s="15"/>
      <c r="E12" s="14"/>
      <c r="F12" s="13"/>
    </row>
    <row r="13" spans="1:6" ht="20.100000000000001" customHeight="1" x14ac:dyDescent="0.15">
      <c r="A13" s="13"/>
      <c r="B13" s="14"/>
      <c r="C13" s="14"/>
      <c r="D13" s="15"/>
      <c r="E13" s="14"/>
      <c r="F13" s="13"/>
    </row>
    <row r="14" spans="1:6" ht="20.100000000000001" customHeight="1" x14ac:dyDescent="0.15">
      <c r="A14" s="13"/>
      <c r="B14" s="14"/>
      <c r="C14" s="14"/>
      <c r="D14" s="15"/>
      <c r="E14" s="14"/>
      <c r="F14" s="13"/>
    </row>
    <row r="15" spans="1:6" ht="20.100000000000001" customHeight="1" x14ac:dyDescent="0.15">
      <c r="A15" s="13"/>
      <c r="B15" s="14"/>
      <c r="C15" s="14"/>
      <c r="D15" s="15"/>
      <c r="E15" s="14"/>
      <c r="F15" s="13"/>
    </row>
    <row r="16" spans="1:6" ht="20.100000000000001" customHeight="1" x14ac:dyDescent="0.15">
      <c r="A16" s="13"/>
      <c r="B16" s="14"/>
      <c r="C16" s="14"/>
      <c r="D16" s="15"/>
      <c r="E16" s="14"/>
      <c r="F16" s="13"/>
    </row>
    <row r="17" spans="1:6" ht="20.100000000000001" customHeight="1" x14ac:dyDescent="0.15">
      <c r="A17" s="13"/>
      <c r="B17" s="14"/>
      <c r="C17" s="14"/>
      <c r="D17" s="15"/>
      <c r="E17" s="14"/>
      <c r="F17" s="13"/>
    </row>
    <row r="18" spans="1:6" ht="20.100000000000001" customHeight="1" x14ac:dyDescent="0.15">
      <c r="A18" s="13"/>
      <c r="B18" s="14"/>
      <c r="C18" s="14"/>
      <c r="D18" s="15"/>
      <c r="E18" s="14"/>
      <c r="F18" s="13"/>
    </row>
    <row r="19" spans="1:6" ht="20.100000000000001" customHeight="1" x14ac:dyDescent="0.15">
      <c r="A19" s="13"/>
      <c r="B19" s="14"/>
      <c r="C19" s="14"/>
      <c r="D19" s="15"/>
      <c r="E19" s="14"/>
      <c r="F19" s="13"/>
    </row>
    <row r="20" spans="1:6" ht="20.100000000000001" customHeight="1" x14ac:dyDescent="0.15">
      <c r="A20" s="13"/>
      <c r="B20" s="14"/>
      <c r="C20" s="14"/>
      <c r="D20" s="15"/>
      <c r="E20" s="14"/>
      <c r="F20" s="13"/>
    </row>
    <row r="21" spans="1:6" ht="20.100000000000001" customHeight="1" x14ac:dyDescent="0.15">
      <c r="A21" s="13"/>
      <c r="B21" s="14"/>
      <c r="C21" s="14"/>
      <c r="D21" s="15"/>
      <c r="E21" s="14"/>
      <c r="F21" s="13"/>
    </row>
    <row r="22" spans="1:6" ht="20.100000000000001" customHeight="1" x14ac:dyDescent="0.15">
      <c r="A22" s="13"/>
      <c r="B22" s="14"/>
      <c r="C22" s="14"/>
      <c r="D22" s="15"/>
      <c r="E22" s="14"/>
      <c r="F22" s="13"/>
    </row>
    <row r="23" spans="1:6" ht="20.100000000000001" customHeight="1" x14ac:dyDescent="0.15">
      <c r="A23" s="13"/>
      <c r="B23" s="14"/>
      <c r="C23" s="14"/>
      <c r="D23" s="15"/>
      <c r="E23" s="14"/>
      <c r="F23" s="13"/>
    </row>
    <row r="24" spans="1:6" ht="20.100000000000001" customHeight="1" x14ac:dyDescent="0.15">
      <c r="A24" s="13"/>
      <c r="B24" s="14"/>
      <c r="C24" s="14"/>
      <c r="D24" s="15"/>
      <c r="E24" s="14"/>
      <c r="F24" s="13"/>
    </row>
    <row r="25" spans="1:6" ht="20.100000000000001" customHeight="1" x14ac:dyDescent="0.15">
      <c r="A25" s="13"/>
      <c r="B25" s="14"/>
      <c r="C25" s="14"/>
      <c r="D25" s="15"/>
      <c r="E25" s="14"/>
      <c r="F25" s="13"/>
    </row>
    <row r="26" spans="1:6" ht="20.100000000000001" customHeight="1" x14ac:dyDescent="0.15">
      <c r="A26" s="13"/>
      <c r="B26" s="14"/>
      <c r="C26" s="14"/>
      <c r="D26" s="15"/>
      <c r="E26" s="14"/>
      <c r="F26" s="13"/>
    </row>
    <row r="27" spans="1:6" ht="20.100000000000001" customHeight="1" x14ac:dyDescent="0.15">
      <c r="A27" s="13"/>
      <c r="B27" s="14"/>
      <c r="C27" s="14"/>
      <c r="D27" s="15"/>
      <c r="E27" s="14"/>
      <c r="F27" s="13"/>
    </row>
    <row r="28" spans="1:6" ht="20.100000000000001" customHeight="1" x14ac:dyDescent="0.15">
      <c r="A28" s="13"/>
      <c r="B28" s="14"/>
      <c r="C28" s="14"/>
      <c r="D28" s="15"/>
      <c r="E28" s="14"/>
      <c r="F28" s="13"/>
    </row>
    <row r="29" spans="1:6" ht="20.100000000000001" customHeight="1" x14ac:dyDescent="0.15">
      <c r="A29" s="13"/>
      <c r="B29" s="14"/>
      <c r="C29" s="14"/>
      <c r="D29" s="15"/>
      <c r="E29" s="14"/>
      <c r="F29" s="13"/>
    </row>
    <row r="30" spans="1:6" ht="20.100000000000001" customHeight="1" x14ac:dyDescent="0.15">
      <c r="A30" s="13"/>
      <c r="B30" s="14"/>
      <c r="C30" s="14"/>
      <c r="D30" s="15"/>
      <c r="E30" s="14"/>
      <c r="F30" s="13"/>
    </row>
    <row r="31" spans="1:6" ht="20.100000000000001" customHeight="1" x14ac:dyDescent="0.15">
      <c r="A31" s="13"/>
      <c r="B31" s="14"/>
      <c r="C31" s="14"/>
      <c r="D31" s="15"/>
      <c r="E31" s="14"/>
      <c r="F31" s="13"/>
    </row>
    <row r="32" spans="1:6" ht="20.100000000000001" customHeight="1" x14ac:dyDescent="0.15">
      <c r="A32" s="13"/>
      <c r="B32" s="14"/>
      <c r="C32" s="14"/>
      <c r="D32" s="15"/>
      <c r="E32" s="14"/>
      <c r="F32" s="13"/>
    </row>
    <row r="33" spans="1:6" ht="20.100000000000001" customHeight="1" x14ac:dyDescent="0.15">
      <c r="A33" s="13"/>
      <c r="B33" s="14"/>
      <c r="C33" s="14"/>
      <c r="D33" s="15"/>
      <c r="E33" s="14"/>
      <c r="F33" s="13"/>
    </row>
    <row r="34" spans="1:6" ht="20.100000000000001" customHeight="1" x14ac:dyDescent="0.15">
      <c r="A34" s="13"/>
      <c r="B34" s="14"/>
      <c r="C34" s="14"/>
      <c r="D34" s="15"/>
      <c r="E34" s="14"/>
      <c r="F34" s="13"/>
    </row>
    <row r="35" spans="1:6" ht="20.100000000000001" customHeight="1" x14ac:dyDescent="0.15">
      <c r="A35" s="13"/>
      <c r="B35" s="14"/>
      <c r="C35" s="14"/>
      <c r="D35" s="15"/>
      <c r="E35" s="14"/>
      <c r="F35" s="13"/>
    </row>
    <row r="36" spans="1:6" ht="20.100000000000001" customHeight="1" x14ac:dyDescent="0.15">
      <c r="A36" s="13"/>
      <c r="B36" s="14"/>
      <c r="C36" s="14"/>
      <c r="D36" s="15"/>
      <c r="E36" s="14"/>
      <c r="F36" s="13"/>
    </row>
    <row r="37" spans="1:6" ht="20.100000000000001" customHeight="1" x14ac:dyDescent="0.15">
      <c r="A37" s="13"/>
      <c r="B37" s="14"/>
      <c r="C37" s="14"/>
      <c r="D37" s="15"/>
      <c r="E37" s="14"/>
      <c r="F37" s="13"/>
    </row>
    <row r="38" spans="1:6" ht="20.100000000000001" customHeight="1" x14ac:dyDescent="0.15">
      <c r="A38" s="13"/>
      <c r="B38" s="14"/>
      <c r="C38" s="14"/>
      <c r="D38" s="15"/>
      <c r="E38" s="14"/>
      <c r="F38" s="13"/>
    </row>
    <row r="39" spans="1:6" ht="20.100000000000001" customHeight="1" x14ac:dyDescent="0.15">
      <c r="A39" s="13"/>
      <c r="B39" s="14"/>
      <c r="C39" s="14"/>
      <c r="D39" s="15"/>
      <c r="E39" s="14"/>
      <c r="F39" s="13"/>
    </row>
    <row r="40" spans="1:6" ht="20.100000000000001" customHeight="1" x14ac:dyDescent="0.15">
      <c r="A40" s="13"/>
      <c r="B40" s="14"/>
      <c r="C40" s="14"/>
      <c r="D40" s="15"/>
      <c r="E40" s="14"/>
      <c r="F40" s="13"/>
    </row>
    <row r="41" spans="1:6" ht="20.100000000000001" customHeight="1" x14ac:dyDescent="0.15">
      <c r="A41" s="13"/>
      <c r="B41" s="14"/>
      <c r="C41" s="14"/>
      <c r="D41" s="15"/>
      <c r="E41" s="14"/>
      <c r="F41" s="13"/>
    </row>
    <row r="42" spans="1:6" ht="20.100000000000001" customHeight="1" x14ac:dyDescent="0.15">
      <c r="A42" s="13"/>
      <c r="B42" s="14"/>
      <c r="C42" s="14"/>
      <c r="D42" s="15"/>
      <c r="E42" s="14"/>
      <c r="F42" s="13"/>
    </row>
    <row r="43" spans="1:6" ht="20.100000000000001" customHeight="1" x14ac:dyDescent="0.15">
      <c r="A43" s="13"/>
      <c r="B43" s="14"/>
      <c r="C43" s="14"/>
      <c r="D43" s="15"/>
      <c r="E43" s="14"/>
      <c r="F43" s="13"/>
    </row>
    <row r="44" spans="1:6" ht="20.100000000000001" customHeight="1" x14ac:dyDescent="0.15">
      <c r="A44" s="13"/>
      <c r="B44" s="14"/>
      <c r="C44" s="14"/>
      <c r="D44" s="15"/>
      <c r="E44" s="14"/>
      <c r="F44" s="13"/>
    </row>
    <row r="45" spans="1:6" ht="20.100000000000001" customHeight="1" x14ac:dyDescent="0.15">
      <c r="A45" s="13"/>
      <c r="B45" s="14"/>
      <c r="C45" s="14"/>
      <c r="D45" s="15"/>
      <c r="E45" s="14"/>
      <c r="F45" s="13"/>
    </row>
    <row r="46" spans="1:6" ht="20.100000000000001" customHeight="1" x14ac:dyDescent="0.15">
      <c r="A46" s="13"/>
      <c r="B46" s="14"/>
      <c r="C46" s="14"/>
      <c r="D46" s="15"/>
      <c r="E46" s="14"/>
      <c r="F46" s="13"/>
    </row>
    <row r="47" spans="1:6" ht="20.100000000000001" customHeight="1" x14ac:dyDescent="0.15">
      <c r="A47" s="13"/>
      <c r="B47" s="14"/>
      <c r="C47" s="14"/>
      <c r="D47" s="15"/>
      <c r="E47" s="14"/>
      <c r="F47" s="13"/>
    </row>
    <row r="48" spans="1:6" ht="20.100000000000001" customHeight="1" x14ac:dyDescent="0.15">
      <c r="A48" s="13"/>
      <c r="B48" s="14"/>
      <c r="C48" s="14"/>
      <c r="D48" s="15"/>
      <c r="E48" s="14"/>
      <c r="F48" s="13"/>
    </row>
    <row r="49" spans="1:6" ht="20.100000000000001" customHeight="1" x14ac:dyDescent="0.15">
      <c r="A49" s="13"/>
      <c r="B49" s="14"/>
      <c r="C49" s="14"/>
      <c r="D49" s="15"/>
      <c r="E49" s="14"/>
      <c r="F49" s="13"/>
    </row>
    <row r="50" spans="1:6" ht="20.100000000000001" customHeight="1" x14ac:dyDescent="0.15">
      <c r="A50" s="13"/>
      <c r="B50" s="14"/>
      <c r="C50" s="14"/>
      <c r="D50" s="15"/>
      <c r="E50" s="14"/>
      <c r="F50" s="13"/>
    </row>
    <row r="51" spans="1:6" ht="20.100000000000001" customHeight="1" x14ac:dyDescent="0.15">
      <c r="A51" s="13"/>
      <c r="B51" s="14"/>
      <c r="C51" s="14"/>
      <c r="D51" s="15"/>
      <c r="E51" s="14"/>
      <c r="F51" s="13"/>
    </row>
    <row r="52" spans="1:6" ht="20.100000000000001" customHeight="1" x14ac:dyDescent="0.15">
      <c r="A52" s="13"/>
      <c r="B52" s="14"/>
      <c r="C52" s="14"/>
      <c r="D52" s="15"/>
      <c r="E52" s="14"/>
      <c r="F52" s="13"/>
    </row>
    <row r="53" spans="1:6" ht="20.100000000000001" customHeight="1" x14ac:dyDescent="0.15">
      <c r="A53" s="13"/>
      <c r="B53" s="14"/>
      <c r="C53" s="14"/>
      <c r="D53" s="15"/>
      <c r="E53" s="14"/>
      <c r="F53" s="13"/>
    </row>
    <row r="54" spans="1:6" ht="20.100000000000001" customHeight="1" x14ac:dyDescent="0.15">
      <c r="A54" s="13"/>
      <c r="B54" s="14"/>
      <c r="C54" s="14"/>
      <c r="D54" s="15"/>
      <c r="E54" s="14"/>
      <c r="F54" s="13"/>
    </row>
    <row r="55" spans="1:6" ht="20.100000000000001" customHeight="1" x14ac:dyDescent="0.15">
      <c r="A55" s="13"/>
      <c r="B55" s="14"/>
      <c r="C55" s="14"/>
      <c r="D55" s="15"/>
      <c r="E55" s="14"/>
      <c r="F55" s="13"/>
    </row>
    <row r="56" spans="1:6" ht="20.100000000000001" customHeight="1" x14ac:dyDescent="0.15">
      <c r="A56" s="13"/>
      <c r="B56" s="14"/>
      <c r="C56" s="14"/>
      <c r="D56" s="15"/>
      <c r="E56" s="14"/>
      <c r="F56" s="13"/>
    </row>
    <row r="57" spans="1:6" ht="20.100000000000001" customHeight="1" x14ac:dyDescent="0.15">
      <c r="A57" s="13"/>
      <c r="B57" s="14"/>
      <c r="C57" s="14"/>
      <c r="D57" s="15"/>
      <c r="E57" s="14"/>
      <c r="F57" s="13"/>
    </row>
    <row r="58" spans="1:6" ht="20.100000000000001" customHeight="1" x14ac:dyDescent="0.15">
      <c r="A58" s="13"/>
      <c r="B58" s="14"/>
      <c r="C58" s="14"/>
      <c r="D58" s="15"/>
      <c r="E58" s="14"/>
      <c r="F58" s="13"/>
    </row>
    <row r="59" spans="1:6" ht="20.100000000000001" customHeight="1" x14ac:dyDescent="0.15">
      <c r="A59" s="13"/>
      <c r="B59" s="14"/>
      <c r="C59" s="14"/>
      <c r="D59" s="15"/>
      <c r="E59" s="14"/>
      <c r="F59" s="13"/>
    </row>
    <row r="60" spans="1:6" ht="20.100000000000001" customHeight="1" x14ac:dyDescent="0.15">
      <c r="A60" s="13"/>
      <c r="B60" s="14"/>
      <c r="C60" s="14"/>
      <c r="D60" s="15"/>
      <c r="E60" s="14"/>
      <c r="F60" s="13"/>
    </row>
    <row r="61" spans="1:6" ht="20.100000000000001" customHeight="1" x14ac:dyDescent="0.15">
      <c r="A61" s="13"/>
      <c r="B61" s="14"/>
      <c r="C61" s="14"/>
      <c r="D61" s="15"/>
      <c r="E61" s="14"/>
      <c r="F61" s="13"/>
    </row>
    <row r="62" spans="1:6" ht="20.100000000000001" customHeight="1" x14ac:dyDescent="0.15">
      <c r="A62" s="13"/>
      <c r="B62" s="14"/>
      <c r="C62" s="14"/>
      <c r="D62" s="15"/>
      <c r="E62" s="14"/>
      <c r="F62" s="13"/>
    </row>
    <row r="63" spans="1:6" ht="20.100000000000001" customHeight="1" x14ac:dyDescent="0.15">
      <c r="A63" s="13"/>
      <c r="B63" s="14"/>
      <c r="C63" s="14"/>
      <c r="D63" s="15"/>
      <c r="E63" s="14"/>
      <c r="F63" s="13"/>
    </row>
    <row r="64" spans="1:6" ht="20.100000000000001" customHeight="1" x14ac:dyDescent="0.15">
      <c r="A64" s="13"/>
      <c r="B64" s="14"/>
      <c r="C64" s="14"/>
      <c r="D64" s="15"/>
      <c r="E64" s="14"/>
      <c r="F64" s="13"/>
    </row>
    <row r="65" spans="1:6" ht="20.100000000000001" customHeight="1" x14ac:dyDescent="0.15">
      <c r="A65" s="13"/>
      <c r="B65" s="14"/>
      <c r="C65" s="14"/>
      <c r="D65" s="15"/>
      <c r="E65" s="14"/>
      <c r="F65" s="13"/>
    </row>
    <row r="66" spans="1:6" ht="20.100000000000001" customHeight="1" x14ac:dyDescent="0.15">
      <c r="A66" s="13"/>
      <c r="B66" s="14"/>
      <c r="C66" s="14"/>
      <c r="D66" s="15"/>
      <c r="E66" s="14"/>
      <c r="F66" s="13"/>
    </row>
    <row r="67" spans="1:6" ht="20.100000000000001" customHeight="1" x14ac:dyDescent="0.15">
      <c r="A67" s="13"/>
      <c r="B67" s="14"/>
      <c r="C67" s="14"/>
      <c r="D67" s="15"/>
      <c r="E67" s="14"/>
      <c r="F67" s="13"/>
    </row>
    <row r="68" spans="1:6" ht="20.100000000000001" customHeight="1" x14ac:dyDescent="0.15">
      <c r="A68" s="13"/>
      <c r="B68" s="14"/>
      <c r="C68" s="14"/>
      <c r="D68" s="15"/>
      <c r="E68" s="14"/>
      <c r="F68" s="13"/>
    </row>
    <row r="69" spans="1:6" ht="20.100000000000001" customHeight="1" x14ac:dyDescent="0.15">
      <c r="A69" s="13"/>
      <c r="B69" s="14"/>
      <c r="C69" s="14"/>
      <c r="D69" s="15"/>
      <c r="E69" s="14"/>
      <c r="F69" s="13"/>
    </row>
    <row r="70" spans="1:6" ht="20.100000000000001" customHeight="1" x14ac:dyDescent="0.15">
      <c r="A70" s="13"/>
      <c r="B70" s="14"/>
      <c r="C70" s="14"/>
      <c r="D70" s="15"/>
      <c r="E70" s="14"/>
      <c r="F70" s="13"/>
    </row>
    <row r="71" spans="1:6" ht="20.100000000000001" customHeight="1" x14ac:dyDescent="0.15">
      <c r="A71" s="13"/>
      <c r="B71" s="14"/>
      <c r="C71" s="14"/>
      <c r="D71" s="15"/>
      <c r="E71" s="14"/>
      <c r="F71" s="13"/>
    </row>
    <row r="72" spans="1:6" ht="20.100000000000001" customHeight="1" x14ac:dyDescent="0.15">
      <c r="A72" s="13"/>
      <c r="B72" s="14"/>
      <c r="C72" s="14"/>
      <c r="D72" s="15"/>
      <c r="E72" s="14"/>
      <c r="F72" s="13"/>
    </row>
    <row r="73" spans="1:6" ht="20.100000000000001" customHeight="1" x14ac:dyDescent="0.15">
      <c r="A73" s="13"/>
      <c r="B73" s="14"/>
      <c r="C73" s="14"/>
      <c r="D73" s="15"/>
      <c r="E73" s="14"/>
      <c r="F73" s="13"/>
    </row>
    <row r="74" spans="1:6" ht="20.100000000000001" customHeight="1" x14ac:dyDescent="0.15">
      <c r="A74" s="13"/>
      <c r="B74" s="14"/>
      <c r="C74" s="14"/>
      <c r="D74" s="15"/>
      <c r="E74" s="14"/>
      <c r="F74" s="13"/>
    </row>
    <row r="75" spans="1:6" ht="20.100000000000001" customHeight="1" x14ac:dyDescent="0.15">
      <c r="A75" s="13"/>
      <c r="B75" s="14"/>
      <c r="C75" s="14"/>
      <c r="D75" s="15"/>
      <c r="E75" s="14"/>
      <c r="F75" s="13"/>
    </row>
    <row r="76" spans="1:6" ht="20.100000000000001" customHeight="1" x14ac:dyDescent="0.15">
      <c r="A76" s="13"/>
      <c r="B76" s="14"/>
      <c r="C76" s="14"/>
      <c r="D76" s="15"/>
      <c r="E76" s="14"/>
      <c r="F76" s="13"/>
    </row>
    <row r="77" spans="1:6" ht="20.100000000000001" customHeight="1" x14ac:dyDescent="0.15">
      <c r="A77" s="13"/>
      <c r="B77" s="14"/>
      <c r="C77" s="14"/>
      <c r="D77" s="15"/>
      <c r="E77" s="14"/>
      <c r="F77" s="13"/>
    </row>
    <row r="78" spans="1:6" ht="20.100000000000001" customHeight="1" x14ac:dyDescent="0.15">
      <c r="A78" s="13"/>
      <c r="B78" s="14"/>
      <c r="C78" s="14"/>
      <c r="D78" s="15"/>
      <c r="E78" s="14"/>
      <c r="F78" s="13"/>
    </row>
    <row r="79" spans="1:6" ht="20.100000000000001" customHeight="1" x14ac:dyDescent="0.15">
      <c r="A79" s="13"/>
      <c r="B79" s="14"/>
      <c r="C79" s="14"/>
      <c r="D79" s="15"/>
      <c r="E79" s="14"/>
      <c r="F79" s="13"/>
    </row>
    <row r="80" spans="1:6" ht="20.100000000000001" customHeight="1" x14ac:dyDescent="0.15">
      <c r="A80" s="13"/>
      <c r="B80" s="14"/>
      <c r="C80" s="14"/>
      <c r="D80" s="15"/>
      <c r="E80" s="14"/>
      <c r="F80" s="13"/>
    </row>
    <row r="81" spans="1:6" ht="20.100000000000001" customHeight="1" x14ac:dyDescent="0.15">
      <c r="A81" s="13"/>
      <c r="B81" s="14"/>
      <c r="C81" s="14"/>
      <c r="D81" s="15"/>
      <c r="E81" s="14"/>
      <c r="F81" s="13"/>
    </row>
    <row r="82" spans="1:6" ht="20.100000000000001" customHeight="1" x14ac:dyDescent="0.15">
      <c r="A82" s="13"/>
      <c r="B82" s="14"/>
      <c r="C82" s="14"/>
      <c r="D82" s="15"/>
      <c r="E82" s="14"/>
      <c r="F82" s="13"/>
    </row>
    <row r="83" spans="1:6" ht="20.100000000000001" customHeight="1" x14ac:dyDescent="0.15">
      <c r="A83" s="13"/>
      <c r="B83" s="14"/>
      <c r="C83" s="14"/>
      <c r="D83" s="15"/>
      <c r="E83" s="14"/>
      <c r="F83" s="13"/>
    </row>
    <row r="84" spans="1:6" ht="20.100000000000001" customHeight="1" x14ac:dyDescent="0.15">
      <c r="A84" s="13"/>
      <c r="B84" s="14"/>
      <c r="C84" s="14"/>
      <c r="D84" s="15"/>
      <c r="E84" s="14"/>
      <c r="F84" s="13"/>
    </row>
    <row r="85" spans="1:6" ht="20.100000000000001" customHeight="1" x14ac:dyDescent="0.15">
      <c r="A85" s="13"/>
      <c r="B85" s="14"/>
      <c r="C85" s="14"/>
      <c r="D85" s="15"/>
      <c r="E85" s="14"/>
      <c r="F85" s="13"/>
    </row>
    <row r="86" spans="1:6" ht="20.100000000000001" customHeight="1" x14ac:dyDescent="0.15">
      <c r="A86" s="13"/>
      <c r="B86" s="14"/>
      <c r="C86" s="14"/>
      <c r="D86" s="15"/>
      <c r="E86" s="14"/>
      <c r="F86" s="13"/>
    </row>
    <row r="87" spans="1:6" ht="20.100000000000001" customHeight="1" x14ac:dyDescent="0.15">
      <c r="A87" s="13"/>
      <c r="B87" s="14"/>
      <c r="C87" s="14"/>
      <c r="D87" s="15"/>
      <c r="E87" s="14"/>
      <c r="F87" s="13"/>
    </row>
    <row r="88" spans="1:6" ht="20.100000000000001" customHeight="1" x14ac:dyDescent="0.15">
      <c r="A88" s="13"/>
      <c r="B88" s="14"/>
      <c r="C88" s="14"/>
      <c r="D88" s="15"/>
      <c r="E88" s="14"/>
      <c r="F88" s="13"/>
    </row>
    <row r="89" spans="1:6" ht="20.100000000000001" customHeight="1" x14ac:dyDescent="0.15">
      <c r="A89" s="13"/>
      <c r="B89" s="14"/>
      <c r="C89" s="14"/>
      <c r="D89" s="15"/>
      <c r="E89" s="14"/>
      <c r="F89" s="13"/>
    </row>
    <row r="90" spans="1:6" ht="20.100000000000001" customHeight="1" x14ac:dyDescent="0.15">
      <c r="A90" s="13"/>
      <c r="B90" s="14"/>
      <c r="C90" s="14"/>
      <c r="D90" s="15"/>
      <c r="E90" s="14"/>
      <c r="F90" s="13"/>
    </row>
    <row r="91" spans="1:6" ht="20.100000000000001" customHeight="1" x14ac:dyDescent="0.15">
      <c r="A91" s="13"/>
      <c r="B91" s="14"/>
      <c r="C91" s="14"/>
      <c r="D91" s="15"/>
      <c r="E91" s="14"/>
      <c r="F91" s="13"/>
    </row>
    <row r="92" spans="1:6" ht="20.100000000000001" customHeight="1" x14ac:dyDescent="0.15">
      <c r="A92" s="13"/>
      <c r="B92" s="14"/>
      <c r="C92" s="14"/>
      <c r="D92" s="15"/>
      <c r="E92" s="14"/>
      <c r="F92" s="13"/>
    </row>
    <row r="93" spans="1:6" ht="20.100000000000001" customHeight="1" x14ac:dyDescent="0.15">
      <c r="A93" s="13"/>
      <c r="B93" s="14"/>
      <c r="C93" s="14"/>
      <c r="D93" s="15"/>
      <c r="E93" s="14"/>
      <c r="F93" s="13"/>
    </row>
    <row r="94" spans="1:6" ht="20.100000000000001" customHeight="1" x14ac:dyDescent="0.15">
      <c r="A94" s="13"/>
      <c r="B94" s="14"/>
      <c r="C94" s="14"/>
      <c r="D94" s="15"/>
      <c r="E94" s="14"/>
      <c r="F94" s="13"/>
    </row>
    <row r="95" spans="1:6" ht="20.100000000000001" customHeight="1" x14ac:dyDescent="0.15">
      <c r="A95" s="13"/>
      <c r="B95" s="14"/>
      <c r="C95" s="14"/>
      <c r="D95" s="15"/>
      <c r="E95" s="14"/>
      <c r="F95" s="13"/>
    </row>
    <row r="96" spans="1:6" ht="20.100000000000001" customHeight="1" x14ac:dyDescent="0.15">
      <c r="A96" s="13"/>
      <c r="B96" s="14"/>
      <c r="C96" s="14"/>
      <c r="D96" s="15"/>
      <c r="E96" s="14"/>
      <c r="F96" s="13"/>
    </row>
    <row r="97" spans="1:6" ht="20.100000000000001" customHeight="1" x14ac:dyDescent="0.15">
      <c r="A97" s="13"/>
      <c r="B97" s="14"/>
      <c r="C97" s="14"/>
      <c r="D97" s="15"/>
      <c r="E97" s="14"/>
      <c r="F97" s="13"/>
    </row>
    <row r="98" spans="1:6" ht="20.100000000000001" customHeight="1" x14ac:dyDescent="0.15">
      <c r="A98" s="13"/>
      <c r="B98" s="14"/>
      <c r="C98" s="14"/>
      <c r="D98" s="15"/>
      <c r="E98" s="14"/>
      <c r="F98" s="13"/>
    </row>
    <row r="99" spans="1:6" ht="20.100000000000001" customHeight="1" x14ac:dyDescent="0.15">
      <c r="A99" s="13"/>
      <c r="B99" s="14"/>
      <c r="C99" s="14"/>
      <c r="D99" s="15"/>
      <c r="E99" s="14"/>
      <c r="F99" s="13"/>
    </row>
    <row r="100" spans="1:6" ht="20.100000000000001" customHeight="1" x14ac:dyDescent="0.15">
      <c r="A100" s="13"/>
      <c r="B100" s="14"/>
      <c r="C100" s="14"/>
      <c r="D100" s="15"/>
      <c r="E100" s="14"/>
      <c r="F100" s="13"/>
    </row>
    <row r="101" spans="1:6" ht="20.100000000000001" customHeight="1" x14ac:dyDescent="0.15">
      <c r="A101" s="13"/>
      <c r="B101" s="14"/>
      <c r="C101" s="14"/>
      <c r="D101" s="15"/>
      <c r="E101" s="14"/>
      <c r="F101" s="13"/>
    </row>
    <row r="102" spans="1:6" ht="20.100000000000001" customHeight="1" x14ac:dyDescent="0.15">
      <c r="A102" s="13"/>
      <c r="B102" s="14"/>
      <c r="C102" s="14"/>
      <c r="D102" s="15"/>
      <c r="E102" s="14"/>
      <c r="F102" s="13"/>
    </row>
    <row r="103" spans="1:6" ht="20.100000000000001" customHeight="1" x14ac:dyDescent="0.15">
      <c r="A103" s="13"/>
      <c r="B103" s="14"/>
      <c r="C103" s="14"/>
      <c r="D103" s="15"/>
      <c r="E103" s="14"/>
      <c r="F103" s="13"/>
    </row>
    <row r="104" spans="1:6" ht="20.100000000000001" customHeight="1" x14ac:dyDescent="0.15">
      <c r="A104" s="13"/>
      <c r="B104" s="14"/>
      <c r="C104" s="14"/>
      <c r="D104" s="15"/>
      <c r="E104" s="14"/>
      <c r="F104" s="13"/>
    </row>
    <row r="105" spans="1:6" ht="20.100000000000001" customHeight="1" x14ac:dyDescent="0.15">
      <c r="A105" s="13"/>
      <c r="B105" s="14"/>
      <c r="C105" s="14"/>
      <c r="D105" s="15"/>
      <c r="E105" s="14"/>
      <c r="F105" s="13"/>
    </row>
    <row r="106" spans="1:6" ht="20.100000000000001" customHeight="1" x14ac:dyDescent="0.15">
      <c r="A106" s="13"/>
      <c r="B106" s="14"/>
      <c r="C106" s="14"/>
      <c r="D106" s="15"/>
      <c r="E106" s="14"/>
      <c r="F106" s="13"/>
    </row>
    <row r="107" spans="1:6" ht="20.100000000000001" customHeight="1" x14ac:dyDescent="0.15">
      <c r="A107" s="13"/>
      <c r="B107" s="14"/>
      <c r="C107" s="14"/>
      <c r="D107" s="15"/>
      <c r="E107" s="14"/>
      <c r="F107" s="13"/>
    </row>
    <row r="108" spans="1:6" ht="20.100000000000001" customHeight="1" x14ac:dyDescent="0.15">
      <c r="A108" s="13"/>
      <c r="B108" s="14"/>
      <c r="C108" s="14"/>
      <c r="D108" s="15"/>
      <c r="E108" s="14"/>
      <c r="F108" s="13"/>
    </row>
    <row r="109" spans="1:6" ht="20.100000000000001" customHeight="1" x14ac:dyDescent="0.15">
      <c r="A109" s="13"/>
      <c r="B109" s="14"/>
      <c r="C109" s="14"/>
      <c r="D109" s="15"/>
      <c r="E109" s="14"/>
      <c r="F109" s="13"/>
    </row>
    <row r="110" spans="1:6" ht="20.100000000000001" customHeight="1" x14ac:dyDescent="0.15">
      <c r="A110" s="13"/>
      <c r="B110" s="14"/>
      <c r="C110" s="14"/>
      <c r="D110" s="15"/>
      <c r="E110" s="14"/>
      <c r="F110" s="13"/>
    </row>
    <row r="111" spans="1:6" ht="20.100000000000001" customHeight="1" x14ac:dyDescent="0.15">
      <c r="A111" s="13"/>
      <c r="B111" s="14"/>
      <c r="C111" s="14"/>
      <c r="D111" s="15"/>
      <c r="E111" s="14"/>
      <c r="F111" s="13"/>
    </row>
    <row r="112" spans="1:6" ht="20.100000000000001" customHeight="1" x14ac:dyDescent="0.15">
      <c r="A112" s="13"/>
      <c r="B112" s="14"/>
      <c r="C112" s="14"/>
      <c r="D112" s="15"/>
      <c r="E112" s="14"/>
      <c r="F112" s="13"/>
    </row>
    <row r="113" spans="1:6" ht="20.100000000000001" customHeight="1" x14ac:dyDescent="0.15">
      <c r="A113" s="13"/>
      <c r="B113" s="14"/>
      <c r="C113" s="14"/>
      <c r="D113" s="15"/>
      <c r="E113" s="14"/>
      <c r="F113" s="13"/>
    </row>
    <row r="114" spans="1:6" ht="20.100000000000001" customHeight="1" x14ac:dyDescent="0.15">
      <c r="A114" s="13"/>
      <c r="B114" s="14"/>
      <c r="C114" s="14"/>
      <c r="D114" s="15"/>
      <c r="E114" s="14"/>
      <c r="F114" s="13"/>
    </row>
    <row r="115" spans="1:6" ht="20.100000000000001" customHeight="1" x14ac:dyDescent="0.15">
      <c r="A115" s="13"/>
      <c r="B115" s="14"/>
      <c r="C115" s="14"/>
      <c r="D115" s="15"/>
      <c r="E115" s="14"/>
      <c r="F115" s="13"/>
    </row>
    <row r="116" spans="1:6" ht="20.100000000000001" customHeight="1" x14ac:dyDescent="0.15">
      <c r="A116" s="13"/>
      <c r="B116" s="14"/>
      <c r="C116" s="14"/>
      <c r="D116" s="15"/>
      <c r="E116" s="14"/>
      <c r="F116" s="13"/>
    </row>
    <row r="117" spans="1:6" ht="20.100000000000001" customHeight="1" x14ac:dyDescent="0.15">
      <c r="A117" s="13"/>
      <c r="B117" s="14"/>
      <c r="C117" s="14"/>
      <c r="D117" s="15"/>
      <c r="E117" s="14"/>
      <c r="F117" s="13"/>
    </row>
    <row r="118" spans="1:6" ht="20.100000000000001" customHeight="1" x14ac:dyDescent="0.15">
      <c r="A118" s="13"/>
      <c r="B118" s="14"/>
      <c r="C118" s="14"/>
      <c r="D118" s="15"/>
      <c r="E118" s="14"/>
      <c r="F118" s="13"/>
    </row>
    <row r="119" spans="1:6" ht="20.100000000000001" customHeight="1" x14ac:dyDescent="0.15">
      <c r="A119" s="13"/>
      <c r="B119" s="14"/>
      <c r="C119" s="14"/>
      <c r="D119" s="15"/>
      <c r="E119" s="14"/>
      <c r="F119" s="13"/>
    </row>
    <row r="120" spans="1:6" ht="20.100000000000001" customHeight="1" x14ac:dyDescent="0.15">
      <c r="A120" s="13"/>
      <c r="B120" s="14"/>
      <c r="C120" s="14"/>
      <c r="D120" s="15"/>
      <c r="E120" s="14"/>
      <c r="F120" s="13"/>
    </row>
    <row r="121" spans="1:6" ht="20.100000000000001" customHeight="1" x14ac:dyDescent="0.15">
      <c r="A121" s="13"/>
      <c r="B121" s="14"/>
      <c r="C121" s="14"/>
      <c r="D121" s="15"/>
      <c r="E121" s="14"/>
      <c r="F121" s="13"/>
    </row>
    <row r="122" spans="1:6" ht="20.100000000000001" customHeight="1" x14ac:dyDescent="0.15">
      <c r="A122" s="13"/>
      <c r="B122" s="14"/>
      <c r="C122" s="14"/>
      <c r="D122" s="15"/>
      <c r="E122" s="14"/>
      <c r="F122" s="13"/>
    </row>
    <row r="123" spans="1:6" ht="20.100000000000001" customHeight="1" x14ac:dyDescent="0.15">
      <c r="A123" s="13"/>
      <c r="B123" s="14"/>
      <c r="C123" s="14"/>
      <c r="D123" s="15"/>
      <c r="E123" s="14"/>
      <c r="F123" s="13"/>
    </row>
    <row r="124" spans="1:6" ht="20.100000000000001" customHeight="1" x14ac:dyDescent="0.15">
      <c r="A124" s="13"/>
      <c r="B124" s="14"/>
      <c r="C124" s="14"/>
      <c r="D124" s="15"/>
      <c r="E124" s="14"/>
      <c r="F124" s="13"/>
    </row>
    <row r="125" spans="1:6" ht="20.100000000000001" customHeight="1" x14ac:dyDescent="0.15">
      <c r="A125" s="13"/>
      <c r="B125" s="14"/>
      <c r="C125" s="14"/>
      <c r="D125" s="15"/>
      <c r="E125" s="14"/>
      <c r="F125" s="13"/>
    </row>
    <row r="126" spans="1:6" ht="20.100000000000001" customHeight="1" x14ac:dyDescent="0.15">
      <c r="A126" s="13"/>
      <c r="B126" s="14"/>
      <c r="C126" s="14"/>
      <c r="D126" s="15"/>
      <c r="E126" s="14"/>
      <c r="F126" s="13"/>
    </row>
    <row r="127" spans="1:6" ht="20.100000000000001" customHeight="1" x14ac:dyDescent="0.15">
      <c r="A127" s="13"/>
      <c r="B127" s="14"/>
      <c r="C127" s="14"/>
      <c r="D127" s="15"/>
      <c r="E127" s="14"/>
      <c r="F127" s="13"/>
    </row>
    <row r="128" spans="1:6" ht="20.100000000000001" customHeight="1" x14ac:dyDescent="0.15">
      <c r="A128" s="13"/>
      <c r="B128" s="14"/>
      <c r="C128" s="14"/>
      <c r="D128" s="15"/>
      <c r="E128" s="14"/>
      <c r="F128" s="13"/>
    </row>
    <row r="129" spans="1:6" ht="20.100000000000001" customHeight="1" x14ac:dyDescent="0.15">
      <c r="A129" s="13"/>
      <c r="B129" s="14"/>
      <c r="C129" s="14"/>
      <c r="D129" s="15"/>
      <c r="E129" s="14"/>
      <c r="F129" s="13"/>
    </row>
    <row r="130" spans="1:6" ht="20.100000000000001" customHeight="1" x14ac:dyDescent="0.15">
      <c r="A130" s="13"/>
      <c r="B130" s="14"/>
      <c r="C130" s="14"/>
      <c r="D130" s="15"/>
      <c r="E130" s="14"/>
      <c r="F130" s="13"/>
    </row>
    <row r="131" spans="1:6" ht="20.100000000000001" customHeight="1" x14ac:dyDescent="0.15">
      <c r="A131" s="13"/>
      <c r="B131" s="14"/>
      <c r="C131" s="14"/>
      <c r="D131" s="15"/>
      <c r="E131" s="14"/>
      <c r="F131" s="13"/>
    </row>
    <row r="132" spans="1:6" ht="20.100000000000001" customHeight="1" x14ac:dyDescent="0.15">
      <c r="A132" s="13"/>
      <c r="B132" s="14"/>
      <c r="C132" s="14"/>
      <c r="D132" s="15"/>
      <c r="E132" s="14"/>
      <c r="F132" s="13"/>
    </row>
    <row r="133" spans="1:6" ht="20.100000000000001" customHeight="1" x14ac:dyDescent="0.15">
      <c r="A133" s="13"/>
      <c r="B133" s="14"/>
      <c r="C133" s="14"/>
      <c r="D133" s="15"/>
      <c r="E133" s="14"/>
      <c r="F133" s="13"/>
    </row>
    <row r="134" spans="1:6" ht="20.100000000000001" customHeight="1" x14ac:dyDescent="0.15">
      <c r="A134" s="13"/>
      <c r="B134" s="14"/>
      <c r="C134" s="14"/>
      <c r="D134" s="15"/>
      <c r="E134" s="14"/>
      <c r="F134" s="13"/>
    </row>
    <row r="135" spans="1:6" ht="20.100000000000001" customHeight="1" x14ac:dyDescent="0.15">
      <c r="A135" s="13"/>
      <c r="B135" s="14"/>
      <c r="C135" s="14"/>
      <c r="D135" s="15"/>
      <c r="E135" s="14"/>
      <c r="F135" s="13"/>
    </row>
    <row r="136" spans="1:6" ht="20.100000000000001" customHeight="1" x14ac:dyDescent="0.15">
      <c r="A136" s="13"/>
      <c r="B136" s="14"/>
      <c r="C136" s="14"/>
      <c r="D136" s="15"/>
      <c r="E136" s="14"/>
      <c r="F136" s="13"/>
    </row>
    <row r="137" spans="1:6" ht="20.100000000000001" customHeight="1" x14ac:dyDescent="0.15">
      <c r="A137" s="13"/>
      <c r="B137" s="14"/>
      <c r="C137" s="14"/>
      <c r="D137" s="15"/>
      <c r="E137" s="14"/>
      <c r="F137" s="13"/>
    </row>
    <row r="138" spans="1:6" ht="20.100000000000001" customHeight="1" x14ac:dyDescent="0.15">
      <c r="A138" s="13"/>
      <c r="B138" s="14"/>
      <c r="C138" s="14"/>
      <c r="D138" s="15"/>
      <c r="E138" s="14"/>
      <c r="F138" s="13"/>
    </row>
    <row r="139" spans="1:6" ht="20.100000000000001" customHeight="1" x14ac:dyDescent="0.15">
      <c r="A139" s="13"/>
      <c r="B139" s="14"/>
      <c r="C139" s="14"/>
      <c r="D139" s="15"/>
      <c r="E139" s="14"/>
      <c r="F139" s="13"/>
    </row>
    <row r="140" spans="1:6" ht="20.100000000000001" customHeight="1" x14ac:dyDescent="0.15">
      <c r="A140" s="13"/>
      <c r="B140" s="14"/>
      <c r="C140" s="14"/>
      <c r="D140" s="15"/>
      <c r="E140" s="14"/>
      <c r="F140" s="13"/>
    </row>
    <row r="141" spans="1:6" ht="20.100000000000001" customHeight="1" x14ac:dyDescent="0.15">
      <c r="A141" s="13"/>
      <c r="B141" s="14"/>
      <c r="C141" s="14"/>
      <c r="D141" s="15"/>
      <c r="E141" s="14"/>
      <c r="F141" s="13"/>
    </row>
  </sheetData>
  <mergeCells count="1">
    <mergeCell ref="A1:F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.5" customWidth="1"/>
    <col min="2" max="2" width="24.625" customWidth="1"/>
    <col min="3" max="3" width="16.25" customWidth="1"/>
    <col min="4" max="4" width="15.625" customWidth="1"/>
    <col min="5" max="5" width="8.625" customWidth="1"/>
    <col min="6" max="6" width="14.125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5.1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12">
        <v>1</v>
      </c>
      <c r="B4" s="6" t="str">
        <f>"30482021060114035963480"</f>
        <v>30482021060114035963480</v>
      </c>
      <c r="C4" s="6" t="s">
        <v>133</v>
      </c>
      <c r="D4" s="6" t="str">
        <f>"方观音"</f>
        <v>方观音</v>
      </c>
      <c r="E4" s="6" t="str">
        <f t="shared" ref="E4:E27" si="0">"女"</f>
        <v>女</v>
      </c>
      <c r="F4" s="7" t="s">
        <v>134</v>
      </c>
    </row>
    <row r="5" spans="1:6" ht="20.100000000000001" customHeight="1" x14ac:dyDescent="0.15">
      <c r="A5" s="12">
        <v>2</v>
      </c>
      <c r="B5" s="6" t="str">
        <f>"30482021060115355064599"</f>
        <v>30482021060115355064599</v>
      </c>
      <c r="C5" s="6" t="s">
        <v>133</v>
      </c>
      <c r="D5" s="6" t="str">
        <f>"陈雅丹"</f>
        <v>陈雅丹</v>
      </c>
      <c r="E5" s="6" t="str">
        <f t="shared" si="0"/>
        <v>女</v>
      </c>
      <c r="F5" s="7" t="s">
        <v>30</v>
      </c>
    </row>
    <row r="6" spans="1:6" ht="20.100000000000001" customHeight="1" x14ac:dyDescent="0.15">
      <c r="A6" s="12">
        <v>3</v>
      </c>
      <c r="B6" s="6" t="str">
        <f>"30482021060115450464712"</f>
        <v>30482021060115450464712</v>
      </c>
      <c r="C6" s="6" t="s">
        <v>133</v>
      </c>
      <c r="D6" s="6" t="str">
        <f>"邱优"</f>
        <v>邱优</v>
      </c>
      <c r="E6" s="6" t="str">
        <f>"男"</f>
        <v>男</v>
      </c>
      <c r="F6" s="7" t="s">
        <v>135</v>
      </c>
    </row>
    <row r="7" spans="1:6" ht="20.100000000000001" customHeight="1" x14ac:dyDescent="0.15">
      <c r="A7" s="12">
        <v>4</v>
      </c>
      <c r="B7" s="6" t="str">
        <f>"30482021060115480264757"</f>
        <v>30482021060115480264757</v>
      </c>
      <c r="C7" s="6" t="s">
        <v>133</v>
      </c>
      <c r="D7" s="6" t="str">
        <f>"叶映枚"</f>
        <v>叶映枚</v>
      </c>
      <c r="E7" s="6" t="str">
        <f t="shared" si="0"/>
        <v>女</v>
      </c>
      <c r="F7" s="7" t="s">
        <v>136</v>
      </c>
    </row>
    <row r="8" spans="1:6" ht="20.100000000000001" customHeight="1" x14ac:dyDescent="0.15">
      <c r="A8" s="12">
        <v>5</v>
      </c>
      <c r="B8" s="6" t="str">
        <f>"30482021060117301366034"</f>
        <v>30482021060117301366034</v>
      </c>
      <c r="C8" s="6" t="s">
        <v>133</v>
      </c>
      <c r="D8" s="6" t="str">
        <f>"朱娇阳"</f>
        <v>朱娇阳</v>
      </c>
      <c r="E8" s="6" t="str">
        <f t="shared" si="0"/>
        <v>女</v>
      </c>
      <c r="F8" s="7" t="s">
        <v>137</v>
      </c>
    </row>
    <row r="9" spans="1:6" ht="20.100000000000001" customHeight="1" x14ac:dyDescent="0.15">
      <c r="A9" s="12">
        <v>6</v>
      </c>
      <c r="B9" s="6" t="str">
        <f>"30482021060118431066672"</f>
        <v>30482021060118431066672</v>
      </c>
      <c r="C9" s="6" t="s">
        <v>133</v>
      </c>
      <c r="D9" s="6" t="str">
        <f>"周斌斌"</f>
        <v>周斌斌</v>
      </c>
      <c r="E9" s="6" t="str">
        <f t="shared" si="0"/>
        <v>女</v>
      </c>
      <c r="F9" s="7" t="s">
        <v>138</v>
      </c>
    </row>
    <row r="10" spans="1:6" ht="20.100000000000001" customHeight="1" x14ac:dyDescent="0.15">
      <c r="A10" s="12">
        <v>7</v>
      </c>
      <c r="B10" s="6" t="str">
        <f>"30482021060121143268546"</f>
        <v>30482021060121143268546</v>
      </c>
      <c r="C10" s="6" t="s">
        <v>133</v>
      </c>
      <c r="D10" s="6" t="str">
        <f>"王倩雯"</f>
        <v>王倩雯</v>
      </c>
      <c r="E10" s="6" t="str">
        <f t="shared" si="0"/>
        <v>女</v>
      </c>
      <c r="F10" s="7" t="s">
        <v>139</v>
      </c>
    </row>
    <row r="11" spans="1:6" ht="20.100000000000001" customHeight="1" x14ac:dyDescent="0.15">
      <c r="A11" s="12">
        <v>8</v>
      </c>
      <c r="B11" s="6" t="str">
        <f>"30482021060210143872052"</f>
        <v>30482021060210143872052</v>
      </c>
      <c r="C11" s="6" t="s">
        <v>133</v>
      </c>
      <c r="D11" s="6" t="str">
        <f>"潘帆"</f>
        <v>潘帆</v>
      </c>
      <c r="E11" s="6" t="str">
        <f t="shared" si="0"/>
        <v>女</v>
      </c>
      <c r="F11" s="7" t="s">
        <v>140</v>
      </c>
    </row>
    <row r="12" spans="1:6" ht="20.100000000000001" customHeight="1" x14ac:dyDescent="0.15">
      <c r="A12" s="12">
        <v>9</v>
      </c>
      <c r="B12" s="6" t="str">
        <f>"30482021060213261073968"</f>
        <v>30482021060213261073968</v>
      </c>
      <c r="C12" s="6" t="s">
        <v>133</v>
      </c>
      <c r="D12" s="6" t="str">
        <f>"赖秋婷"</f>
        <v>赖秋婷</v>
      </c>
      <c r="E12" s="6" t="str">
        <f t="shared" si="0"/>
        <v>女</v>
      </c>
      <c r="F12" s="7" t="s">
        <v>141</v>
      </c>
    </row>
    <row r="13" spans="1:6" ht="20.100000000000001" customHeight="1" x14ac:dyDescent="0.15">
      <c r="A13" s="12">
        <v>10</v>
      </c>
      <c r="B13" s="6" t="str">
        <f>"30482021060309520580545"</f>
        <v>30482021060309520580545</v>
      </c>
      <c r="C13" s="6" t="s">
        <v>133</v>
      </c>
      <c r="D13" s="6" t="str">
        <f>"吴春梅"</f>
        <v>吴春梅</v>
      </c>
      <c r="E13" s="6" t="str">
        <f t="shared" si="0"/>
        <v>女</v>
      </c>
      <c r="F13" s="7" t="s">
        <v>142</v>
      </c>
    </row>
    <row r="14" spans="1:6" ht="20.100000000000001" customHeight="1" x14ac:dyDescent="0.15">
      <c r="A14" s="12">
        <v>11</v>
      </c>
      <c r="B14" s="6" t="str">
        <f>"30482021060310005480693"</f>
        <v>30482021060310005480693</v>
      </c>
      <c r="C14" s="6" t="s">
        <v>133</v>
      </c>
      <c r="D14" s="6" t="str">
        <f>"冯玉婵"</f>
        <v>冯玉婵</v>
      </c>
      <c r="E14" s="6" t="str">
        <f t="shared" si="0"/>
        <v>女</v>
      </c>
      <c r="F14" s="7" t="s">
        <v>38</v>
      </c>
    </row>
    <row r="15" spans="1:6" ht="20.100000000000001" customHeight="1" x14ac:dyDescent="0.15">
      <c r="A15" s="12">
        <v>12</v>
      </c>
      <c r="B15" s="6" t="str">
        <f>"30482021060316545685530"</f>
        <v>30482021060316545685530</v>
      </c>
      <c r="C15" s="6" t="s">
        <v>133</v>
      </c>
      <c r="D15" s="6" t="str">
        <f>"谢妹姜"</f>
        <v>谢妹姜</v>
      </c>
      <c r="E15" s="6" t="str">
        <f t="shared" si="0"/>
        <v>女</v>
      </c>
      <c r="F15" s="7" t="s">
        <v>143</v>
      </c>
    </row>
    <row r="16" spans="1:6" ht="20.100000000000001" customHeight="1" x14ac:dyDescent="0.15">
      <c r="A16" s="12">
        <v>13</v>
      </c>
      <c r="B16" s="6" t="str">
        <f>"30482021060318212686384"</f>
        <v>30482021060318212686384</v>
      </c>
      <c r="C16" s="6" t="s">
        <v>133</v>
      </c>
      <c r="D16" s="6" t="str">
        <f>"黄慧琳"</f>
        <v>黄慧琳</v>
      </c>
      <c r="E16" s="6" t="str">
        <f t="shared" si="0"/>
        <v>女</v>
      </c>
      <c r="F16" s="7" t="s">
        <v>144</v>
      </c>
    </row>
    <row r="17" spans="1:6" ht="20.100000000000001" customHeight="1" x14ac:dyDescent="0.15">
      <c r="A17" s="12">
        <v>14</v>
      </c>
      <c r="B17" s="6" t="str">
        <f>"30482021060322305088960"</f>
        <v>30482021060322305088960</v>
      </c>
      <c r="C17" s="6" t="s">
        <v>133</v>
      </c>
      <c r="D17" s="6" t="str">
        <f>"秦海霞"</f>
        <v>秦海霞</v>
      </c>
      <c r="E17" s="6" t="str">
        <f t="shared" si="0"/>
        <v>女</v>
      </c>
      <c r="F17" s="7" t="s">
        <v>145</v>
      </c>
    </row>
    <row r="18" spans="1:6" ht="20.100000000000001" customHeight="1" x14ac:dyDescent="0.15">
      <c r="A18" s="12">
        <v>15</v>
      </c>
      <c r="B18" s="6" t="str">
        <f>"30482021060411042992747"</f>
        <v>30482021060411042992747</v>
      </c>
      <c r="C18" s="6" t="s">
        <v>133</v>
      </c>
      <c r="D18" s="6" t="str">
        <f>"蔡顺敏"</f>
        <v>蔡顺敏</v>
      </c>
      <c r="E18" s="6" t="str">
        <f t="shared" si="0"/>
        <v>女</v>
      </c>
      <c r="F18" s="7" t="s">
        <v>146</v>
      </c>
    </row>
    <row r="19" spans="1:6" ht="20.100000000000001" customHeight="1" x14ac:dyDescent="0.15">
      <c r="A19" s="12">
        <v>16</v>
      </c>
      <c r="B19" s="6" t="str">
        <f>"30482021060413344894357"</f>
        <v>30482021060413344894357</v>
      </c>
      <c r="C19" s="6" t="s">
        <v>133</v>
      </c>
      <c r="D19" s="6" t="str">
        <f>"王淋"</f>
        <v>王淋</v>
      </c>
      <c r="E19" s="6" t="str">
        <f t="shared" si="0"/>
        <v>女</v>
      </c>
      <c r="F19" s="7" t="s">
        <v>147</v>
      </c>
    </row>
    <row r="20" spans="1:6" ht="20.100000000000001" customHeight="1" x14ac:dyDescent="0.15">
      <c r="A20" s="12">
        <v>17</v>
      </c>
      <c r="B20" s="6" t="str">
        <f>"30482021060415352596423"</f>
        <v>30482021060415352596423</v>
      </c>
      <c r="C20" s="6" t="s">
        <v>133</v>
      </c>
      <c r="D20" s="6" t="str">
        <f>"叶秋霞"</f>
        <v>叶秋霞</v>
      </c>
      <c r="E20" s="6" t="str">
        <f t="shared" si="0"/>
        <v>女</v>
      </c>
      <c r="F20" s="7" t="s">
        <v>148</v>
      </c>
    </row>
    <row r="21" spans="1:6" ht="20.100000000000001" customHeight="1" x14ac:dyDescent="0.15">
      <c r="A21" s="12">
        <v>18</v>
      </c>
      <c r="B21" s="6" t="str">
        <f>"30482021060421385399622"</f>
        <v>30482021060421385399622</v>
      </c>
      <c r="C21" s="6" t="s">
        <v>133</v>
      </c>
      <c r="D21" s="6" t="str">
        <f>"林艳"</f>
        <v>林艳</v>
      </c>
      <c r="E21" s="6" t="str">
        <f t="shared" si="0"/>
        <v>女</v>
      </c>
      <c r="F21" s="7" t="s">
        <v>70</v>
      </c>
    </row>
    <row r="22" spans="1:6" ht="20.100000000000001" customHeight="1" x14ac:dyDescent="0.15">
      <c r="A22" s="12">
        <v>19</v>
      </c>
      <c r="B22" s="6" t="str">
        <f>"304820210605091110100240"</f>
        <v>304820210605091110100240</v>
      </c>
      <c r="C22" s="6" t="s">
        <v>133</v>
      </c>
      <c r="D22" s="6" t="str">
        <f>"林丽婷"</f>
        <v>林丽婷</v>
      </c>
      <c r="E22" s="6" t="str">
        <f t="shared" si="0"/>
        <v>女</v>
      </c>
      <c r="F22" s="7" t="s">
        <v>129</v>
      </c>
    </row>
    <row r="23" spans="1:6" ht="20.100000000000001" customHeight="1" x14ac:dyDescent="0.15">
      <c r="A23" s="12">
        <v>20</v>
      </c>
      <c r="B23" s="6" t="str">
        <f>"304820210606164400104122"</f>
        <v>304820210606164400104122</v>
      </c>
      <c r="C23" s="6" t="s">
        <v>133</v>
      </c>
      <c r="D23" s="6" t="str">
        <f>"郑焕妃"</f>
        <v>郑焕妃</v>
      </c>
      <c r="E23" s="6" t="str">
        <f t="shared" si="0"/>
        <v>女</v>
      </c>
      <c r="F23" s="7" t="s">
        <v>149</v>
      </c>
    </row>
    <row r="24" spans="1:6" ht="20.100000000000001" customHeight="1" x14ac:dyDescent="0.15">
      <c r="A24" s="12">
        <v>21</v>
      </c>
      <c r="B24" s="6" t="str">
        <f>"304820210606172436104276"</f>
        <v>304820210606172436104276</v>
      </c>
      <c r="C24" s="6" t="s">
        <v>133</v>
      </c>
      <c r="D24" s="6" t="str">
        <f>"黄彩荧"</f>
        <v>黄彩荧</v>
      </c>
      <c r="E24" s="6" t="str">
        <f t="shared" si="0"/>
        <v>女</v>
      </c>
      <c r="F24" s="7" t="s">
        <v>150</v>
      </c>
    </row>
    <row r="25" spans="1:6" ht="20.100000000000001" customHeight="1" x14ac:dyDescent="0.15">
      <c r="A25" s="12">
        <v>22</v>
      </c>
      <c r="B25" s="6" t="str">
        <f>"304820210606221704104969"</f>
        <v>304820210606221704104969</v>
      </c>
      <c r="C25" s="6" t="s">
        <v>133</v>
      </c>
      <c r="D25" s="6" t="str">
        <f>"陈泽川"</f>
        <v>陈泽川</v>
      </c>
      <c r="E25" s="6" t="str">
        <f t="shared" si="0"/>
        <v>女</v>
      </c>
      <c r="F25" s="7" t="s">
        <v>139</v>
      </c>
    </row>
    <row r="26" spans="1:6" ht="20.100000000000001" customHeight="1" x14ac:dyDescent="0.15">
      <c r="A26" s="12">
        <v>23</v>
      </c>
      <c r="B26" s="6" t="str">
        <f>"304820210606223328105011"</f>
        <v>304820210606223328105011</v>
      </c>
      <c r="C26" s="6" t="s">
        <v>133</v>
      </c>
      <c r="D26" s="6" t="str">
        <f>"李美妙"</f>
        <v>李美妙</v>
      </c>
      <c r="E26" s="6" t="str">
        <f t="shared" si="0"/>
        <v>女</v>
      </c>
      <c r="F26" s="7" t="s">
        <v>151</v>
      </c>
    </row>
    <row r="27" spans="1:6" ht="20.100000000000001" customHeight="1" x14ac:dyDescent="0.15">
      <c r="A27" s="12">
        <v>24</v>
      </c>
      <c r="B27" s="6" t="str">
        <f>"304820210607000431105226"</f>
        <v>304820210607000431105226</v>
      </c>
      <c r="C27" s="6" t="s">
        <v>133</v>
      </c>
      <c r="D27" s="6" t="str">
        <f>"姚香香"</f>
        <v>姚香香</v>
      </c>
      <c r="E27" s="6" t="str">
        <f t="shared" si="0"/>
        <v>女</v>
      </c>
      <c r="F27" s="7" t="s">
        <v>152</v>
      </c>
    </row>
    <row r="28" spans="1:6" ht="20.100000000000001" customHeight="1" x14ac:dyDescent="0.15">
      <c r="A28" s="12">
        <v>25</v>
      </c>
      <c r="B28" s="6" t="str">
        <f>"304820210607021205105339"</f>
        <v>304820210607021205105339</v>
      </c>
      <c r="C28" s="6" t="s">
        <v>133</v>
      </c>
      <c r="D28" s="6" t="str">
        <f>"张裕正"</f>
        <v>张裕正</v>
      </c>
      <c r="E28" s="6" t="str">
        <f>"男"</f>
        <v>男</v>
      </c>
      <c r="F28" s="7" t="s">
        <v>153</v>
      </c>
    </row>
    <row r="29" spans="1:6" ht="20.100000000000001" customHeight="1" x14ac:dyDescent="0.15">
      <c r="A29" s="12">
        <v>26</v>
      </c>
      <c r="B29" s="6" t="str">
        <f>"304820210607103612106116"</f>
        <v>304820210607103612106116</v>
      </c>
      <c r="C29" s="6" t="s">
        <v>133</v>
      </c>
      <c r="D29" s="6" t="str">
        <f>"吴珠宝"</f>
        <v>吴珠宝</v>
      </c>
      <c r="E29" s="6" t="str">
        <f>"女"</f>
        <v>女</v>
      </c>
      <c r="F29" s="7" t="s">
        <v>154</v>
      </c>
    </row>
    <row r="30" spans="1:6" ht="20.100000000000001" customHeight="1" x14ac:dyDescent="0.15">
      <c r="A30" s="12">
        <v>27</v>
      </c>
      <c r="B30" s="6" t="str">
        <f>"304820210607105825106220"</f>
        <v>304820210607105825106220</v>
      </c>
      <c r="C30" s="6" t="s">
        <v>133</v>
      </c>
      <c r="D30" s="6" t="str">
        <f>"胡玉选"</f>
        <v>胡玉选</v>
      </c>
      <c r="E30" s="6" t="str">
        <f>"女"</f>
        <v>女</v>
      </c>
      <c r="F30" s="7" t="s">
        <v>155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.375" style="1" customWidth="1"/>
    <col min="2" max="2" width="24.625" style="1" customWidth="1"/>
    <col min="3" max="3" width="15" style="1" customWidth="1"/>
    <col min="4" max="4" width="9.625" style="1" customWidth="1"/>
    <col min="5" max="5" width="8.5" style="1" customWidth="1"/>
    <col min="6" max="6" width="18.6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6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12">
        <v>1</v>
      </c>
      <c r="B4" s="6" t="str">
        <f>"30482021060115005664138"</f>
        <v>30482021060115005664138</v>
      </c>
      <c r="C4" s="6" t="s">
        <v>156</v>
      </c>
      <c r="D4" s="6" t="str">
        <f>"王晶晶"</f>
        <v>王晶晶</v>
      </c>
      <c r="E4" s="6" t="str">
        <f t="shared" ref="E4:E8" si="0">"女"</f>
        <v>女</v>
      </c>
      <c r="F4" s="7" t="s">
        <v>157</v>
      </c>
    </row>
    <row r="5" spans="1:6" ht="20.100000000000001" customHeight="1" x14ac:dyDescent="0.15">
      <c r="A5" s="12">
        <v>2</v>
      </c>
      <c r="B5" s="6" t="str">
        <f>"30482021060115103964278"</f>
        <v>30482021060115103964278</v>
      </c>
      <c r="C5" s="6" t="s">
        <v>156</v>
      </c>
      <c r="D5" s="6" t="str">
        <f>"潘仙月"</f>
        <v>潘仙月</v>
      </c>
      <c r="E5" s="6" t="str">
        <f t="shared" si="0"/>
        <v>女</v>
      </c>
      <c r="F5" s="7" t="s">
        <v>158</v>
      </c>
    </row>
    <row r="6" spans="1:6" ht="20.100000000000001" customHeight="1" x14ac:dyDescent="0.15">
      <c r="A6" s="12">
        <v>3</v>
      </c>
      <c r="B6" s="6" t="str">
        <f>"30482021060116040364936"</f>
        <v>30482021060116040364936</v>
      </c>
      <c r="C6" s="6" t="s">
        <v>156</v>
      </c>
      <c r="D6" s="6" t="str">
        <f>"邢鸿娟"</f>
        <v>邢鸿娟</v>
      </c>
      <c r="E6" s="6" t="str">
        <f t="shared" si="0"/>
        <v>女</v>
      </c>
      <c r="F6" s="7" t="s">
        <v>159</v>
      </c>
    </row>
    <row r="7" spans="1:6" ht="20.100000000000001" customHeight="1" x14ac:dyDescent="0.15">
      <c r="A7" s="12">
        <v>4</v>
      </c>
      <c r="B7" s="6" t="str">
        <f>"30482021060116265765249"</f>
        <v>30482021060116265765249</v>
      </c>
      <c r="C7" s="6" t="s">
        <v>156</v>
      </c>
      <c r="D7" s="6" t="str">
        <f>"陈慕桦"</f>
        <v>陈慕桦</v>
      </c>
      <c r="E7" s="6" t="str">
        <f t="shared" si="0"/>
        <v>女</v>
      </c>
      <c r="F7" s="7" t="s">
        <v>160</v>
      </c>
    </row>
    <row r="8" spans="1:6" ht="20.100000000000001" customHeight="1" x14ac:dyDescent="0.15">
      <c r="A8" s="12">
        <v>5</v>
      </c>
      <c r="B8" s="6" t="str">
        <f>"30482021060116283365271"</f>
        <v>30482021060116283365271</v>
      </c>
      <c r="C8" s="6" t="s">
        <v>156</v>
      </c>
      <c r="D8" s="6" t="str">
        <f>"周天兰"</f>
        <v>周天兰</v>
      </c>
      <c r="E8" s="6" t="str">
        <f t="shared" si="0"/>
        <v>女</v>
      </c>
      <c r="F8" s="7" t="s">
        <v>161</v>
      </c>
    </row>
    <row r="9" spans="1:6" ht="20.100000000000001" customHeight="1" x14ac:dyDescent="0.15">
      <c r="A9" s="12">
        <v>6</v>
      </c>
      <c r="B9" s="6" t="str">
        <f>"30482021060117092665802"</f>
        <v>30482021060117092665802</v>
      </c>
      <c r="C9" s="6" t="s">
        <v>156</v>
      </c>
      <c r="D9" s="6" t="str">
        <f>"林觉聘"</f>
        <v>林觉聘</v>
      </c>
      <c r="E9" s="6" t="str">
        <f>"男"</f>
        <v>男</v>
      </c>
      <c r="F9" s="7" t="s">
        <v>162</v>
      </c>
    </row>
    <row r="10" spans="1:6" ht="20.100000000000001" customHeight="1" x14ac:dyDescent="0.15">
      <c r="A10" s="12">
        <v>7</v>
      </c>
      <c r="B10" s="6" t="str">
        <f>"30482021060117133765851"</f>
        <v>30482021060117133765851</v>
      </c>
      <c r="C10" s="6" t="s">
        <v>156</v>
      </c>
      <c r="D10" s="6" t="str">
        <f>"罗玉华"</f>
        <v>罗玉华</v>
      </c>
      <c r="E10" s="6" t="str">
        <f t="shared" ref="E10:E16" si="1">"女"</f>
        <v>女</v>
      </c>
      <c r="F10" s="7" t="s">
        <v>163</v>
      </c>
    </row>
    <row r="11" spans="1:6" ht="20.100000000000001" customHeight="1" x14ac:dyDescent="0.15">
      <c r="A11" s="12">
        <v>8</v>
      </c>
      <c r="B11" s="6" t="str">
        <f>"30482021060118145066449"</f>
        <v>30482021060118145066449</v>
      </c>
      <c r="C11" s="6" t="s">
        <v>156</v>
      </c>
      <c r="D11" s="6" t="str">
        <f>"朱儒平"</f>
        <v>朱儒平</v>
      </c>
      <c r="E11" s="6" t="str">
        <f t="shared" si="1"/>
        <v>女</v>
      </c>
      <c r="F11" s="7" t="s">
        <v>164</v>
      </c>
    </row>
    <row r="12" spans="1:6" ht="20.100000000000001" customHeight="1" x14ac:dyDescent="0.15">
      <c r="A12" s="12">
        <v>9</v>
      </c>
      <c r="B12" s="6" t="str">
        <f>"30482021060118185466482"</f>
        <v>30482021060118185466482</v>
      </c>
      <c r="C12" s="6" t="s">
        <v>156</v>
      </c>
      <c r="D12" s="6" t="str">
        <f>"王春月"</f>
        <v>王春月</v>
      </c>
      <c r="E12" s="6" t="str">
        <f t="shared" si="1"/>
        <v>女</v>
      </c>
      <c r="F12" s="7" t="s">
        <v>165</v>
      </c>
    </row>
    <row r="13" spans="1:6" ht="20.100000000000001" customHeight="1" x14ac:dyDescent="0.15">
      <c r="A13" s="12">
        <v>10</v>
      </c>
      <c r="B13" s="6" t="str">
        <f>"30482021060118343666615"</f>
        <v>30482021060118343666615</v>
      </c>
      <c r="C13" s="6" t="s">
        <v>156</v>
      </c>
      <c r="D13" s="6" t="str">
        <f>"周月风"</f>
        <v>周月风</v>
      </c>
      <c r="E13" s="6" t="str">
        <f t="shared" si="1"/>
        <v>女</v>
      </c>
      <c r="F13" s="7" t="s">
        <v>166</v>
      </c>
    </row>
    <row r="14" spans="1:6" ht="20.100000000000001" customHeight="1" x14ac:dyDescent="0.15">
      <c r="A14" s="12">
        <v>11</v>
      </c>
      <c r="B14" s="6" t="str">
        <f>"30482021060121405969429"</f>
        <v>30482021060121405969429</v>
      </c>
      <c r="C14" s="6" t="s">
        <v>156</v>
      </c>
      <c r="D14" s="6" t="str">
        <f>"陈韵"</f>
        <v>陈韵</v>
      </c>
      <c r="E14" s="6" t="str">
        <f t="shared" si="1"/>
        <v>女</v>
      </c>
      <c r="F14" s="7" t="s">
        <v>44</v>
      </c>
    </row>
    <row r="15" spans="1:6" ht="20.100000000000001" customHeight="1" x14ac:dyDescent="0.15">
      <c r="A15" s="12">
        <v>12</v>
      </c>
      <c r="B15" s="6" t="str">
        <f>"30482021060121530169550"</f>
        <v>30482021060121530169550</v>
      </c>
      <c r="C15" s="6" t="s">
        <v>156</v>
      </c>
      <c r="D15" s="6" t="str">
        <f>"徐凤翔"</f>
        <v>徐凤翔</v>
      </c>
      <c r="E15" s="6" t="str">
        <f t="shared" si="1"/>
        <v>女</v>
      </c>
      <c r="F15" s="7" t="s">
        <v>167</v>
      </c>
    </row>
    <row r="16" spans="1:6" ht="20.100000000000001" customHeight="1" x14ac:dyDescent="0.15">
      <c r="A16" s="12">
        <v>13</v>
      </c>
      <c r="B16" s="6" t="str">
        <f>"30482021060122175369769"</f>
        <v>30482021060122175369769</v>
      </c>
      <c r="C16" s="6" t="s">
        <v>156</v>
      </c>
      <c r="D16" s="6" t="str">
        <f>"陈梅菊"</f>
        <v>陈梅菊</v>
      </c>
      <c r="E16" s="6" t="str">
        <f t="shared" si="1"/>
        <v>女</v>
      </c>
      <c r="F16" s="7" t="s">
        <v>168</v>
      </c>
    </row>
    <row r="17" spans="1:6" ht="20.100000000000001" customHeight="1" x14ac:dyDescent="0.15">
      <c r="A17" s="12">
        <v>14</v>
      </c>
      <c r="B17" s="6" t="str">
        <f>"30482021060207571970660"</f>
        <v>30482021060207571970660</v>
      </c>
      <c r="C17" s="6" t="s">
        <v>156</v>
      </c>
      <c r="D17" s="6" t="str">
        <f>"张天阳"</f>
        <v>张天阳</v>
      </c>
      <c r="E17" s="6" t="str">
        <f>"男"</f>
        <v>男</v>
      </c>
      <c r="F17" s="7" t="s">
        <v>169</v>
      </c>
    </row>
    <row r="18" spans="1:6" ht="20.100000000000001" customHeight="1" x14ac:dyDescent="0.15">
      <c r="A18" s="12">
        <v>15</v>
      </c>
      <c r="B18" s="6" t="str">
        <f>"30482021060208290470844"</f>
        <v>30482021060208290470844</v>
      </c>
      <c r="C18" s="6" t="s">
        <v>156</v>
      </c>
      <c r="D18" s="6" t="str">
        <f>"王小波"</f>
        <v>王小波</v>
      </c>
      <c r="E18" s="6" t="str">
        <f>"男"</f>
        <v>男</v>
      </c>
      <c r="F18" s="7" t="s">
        <v>170</v>
      </c>
    </row>
    <row r="19" spans="1:6" ht="20.100000000000001" customHeight="1" x14ac:dyDescent="0.15">
      <c r="A19" s="12">
        <v>16</v>
      </c>
      <c r="B19" s="6" t="str">
        <f>"30482021060208505871027"</f>
        <v>30482021060208505871027</v>
      </c>
      <c r="C19" s="6" t="s">
        <v>156</v>
      </c>
      <c r="D19" s="6" t="str">
        <f>"符羽冰"</f>
        <v>符羽冰</v>
      </c>
      <c r="E19" s="6" t="str">
        <f t="shared" ref="E19:E30" si="2">"女"</f>
        <v>女</v>
      </c>
      <c r="F19" s="7" t="s">
        <v>138</v>
      </c>
    </row>
    <row r="20" spans="1:6" ht="20.100000000000001" customHeight="1" x14ac:dyDescent="0.15">
      <c r="A20" s="12">
        <v>17</v>
      </c>
      <c r="B20" s="6" t="str">
        <f>"30482021060209143971272"</f>
        <v>30482021060209143971272</v>
      </c>
      <c r="C20" s="6" t="s">
        <v>156</v>
      </c>
      <c r="D20" s="6" t="str">
        <f>"文金婵"</f>
        <v>文金婵</v>
      </c>
      <c r="E20" s="6" t="str">
        <f t="shared" si="2"/>
        <v>女</v>
      </c>
      <c r="F20" s="7" t="s">
        <v>171</v>
      </c>
    </row>
    <row r="21" spans="1:6" ht="20.100000000000001" customHeight="1" x14ac:dyDescent="0.15">
      <c r="A21" s="12">
        <v>18</v>
      </c>
      <c r="B21" s="6" t="str">
        <f>"30482021060211232472936"</f>
        <v>30482021060211232472936</v>
      </c>
      <c r="C21" s="6" t="s">
        <v>156</v>
      </c>
      <c r="D21" s="6" t="str">
        <f>"韦朗"</f>
        <v>韦朗</v>
      </c>
      <c r="E21" s="6" t="str">
        <f t="shared" si="2"/>
        <v>女</v>
      </c>
      <c r="F21" s="7" t="s">
        <v>172</v>
      </c>
    </row>
    <row r="22" spans="1:6" ht="20.100000000000001" customHeight="1" x14ac:dyDescent="0.15">
      <c r="A22" s="12">
        <v>19</v>
      </c>
      <c r="B22" s="6" t="str">
        <f>"30482021060211341173045"</f>
        <v>30482021060211341173045</v>
      </c>
      <c r="C22" s="6" t="s">
        <v>156</v>
      </c>
      <c r="D22" s="6" t="str">
        <f>"刘莹莹"</f>
        <v>刘莹莹</v>
      </c>
      <c r="E22" s="6" t="str">
        <f t="shared" si="2"/>
        <v>女</v>
      </c>
      <c r="F22" s="7" t="s">
        <v>173</v>
      </c>
    </row>
    <row r="23" spans="1:6" ht="20.100000000000001" customHeight="1" x14ac:dyDescent="0.15">
      <c r="A23" s="12">
        <v>20</v>
      </c>
      <c r="B23" s="6" t="str">
        <f>"30482021060211493273205"</f>
        <v>30482021060211493273205</v>
      </c>
      <c r="C23" s="6" t="s">
        <v>156</v>
      </c>
      <c r="D23" s="6" t="str">
        <f>"孙翠妹"</f>
        <v>孙翠妹</v>
      </c>
      <c r="E23" s="6" t="str">
        <f t="shared" si="2"/>
        <v>女</v>
      </c>
      <c r="F23" s="7" t="s">
        <v>174</v>
      </c>
    </row>
    <row r="24" spans="1:6" ht="20.100000000000001" customHeight="1" x14ac:dyDescent="0.15">
      <c r="A24" s="12">
        <v>21</v>
      </c>
      <c r="B24" s="6" t="str">
        <f>"30482021060212204373432"</f>
        <v>30482021060212204373432</v>
      </c>
      <c r="C24" s="6" t="s">
        <v>156</v>
      </c>
      <c r="D24" s="6" t="str">
        <f>"肖阳洁"</f>
        <v>肖阳洁</v>
      </c>
      <c r="E24" s="6" t="str">
        <f t="shared" si="2"/>
        <v>女</v>
      </c>
      <c r="F24" s="7" t="s">
        <v>16</v>
      </c>
    </row>
    <row r="25" spans="1:6" ht="20.100000000000001" customHeight="1" x14ac:dyDescent="0.15">
      <c r="A25" s="12">
        <v>22</v>
      </c>
      <c r="B25" s="6" t="str">
        <f>"30482021060212521973715"</f>
        <v>30482021060212521973715</v>
      </c>
      <c r="C25" s="6" t="s">
        <v>156</v>
      </c>
      <c r="D25" s="6" t="str">
        <f>"王莹"</f>
        <v>王莹</v>
      </c>
      <c r="E25" s="6" t="str">
        <f t="shared" si="2"/>
        <v>女</v>
      </c>
      <c r="F25" s="7" t="s">
        <v>175</v>
      </c>
    </row>
    <row r="26" spans="1:6" ht="20.100000000000001" customHeight="1" x14ac:dyDescent="0.15">
      <c r="A26" s="12">
        <v>23</v>
      </c>
      <c r="B26" s="6" t="str">
        <f>"30482021060215374574994"</f>
        <v>30482021060215374574994</v>
      </c>
      <c r="C26" s="6" t="s">
        <v>156</v>
      </c>
      <c r="D26" s="6" t="str">
        <f>"覃钰童"</f>
        <v>覃钰童</v>
      </c>
      <c r="E26" s="6" t="str">
        <f t="shared" si="2"/>
        <v>女</v>
      </c>
      <c r="F26" s="7" t="s">
        <v>176</v>
      </c>
    </row>
    <row r="27" spans="1:6" ht="20.100000000000001" customHeight="1" x14ac:dyDescent="0.15">
      <c r="A27" s="12">
        <v>24</v>
      </c>
      <c r="B27" s="6" t="str">
        <f>"30482021060216310575542"</f>
        <v>30482021060216310575542</v>
      </c>
      <c r="C27" s="6" t="s">
        <v>156</v>
      </c>
      <c r="D27" s="6" t="str">
        <f>"吴海红"</f>
        <v>吴海红</v>
      </c>
      <c r="E27" s="6" t="str">
        <f t="shared" si="2"/>
        <v>女</v>
      </c>
      <c r="F27" s="7" t="s">
        <v>177</v>
      </c>
    </row>
    <row r="28" spans="1:6" ht="20.100000000000001" customHeight="1" x14ac:dyDescent="0.15">
      <c r="A28" s="12">
        <v>25</v>
      </c>
      <c r="B28" s="6" t="str">
        <f>"30482021060218140776426"</f>
        <v>30482021060218140776426</v>
      </c>
      <c r="C28" s="6" t="s">
        <v>156</v>
      </c>
      <c r="D28" s="6" t="str">
        <f>"黄水玲"</f>
        <v>黄水玲</v>
      </c>
      <c r="E28" s="6" t="str">
        <f t="shared" si="2"/>
        <v>女</v>
      </c>
      <c r="F28" s="7" t="s">
        <v>178</v>
      </c>
    </row>
    <row r="29" spans="1:6" ht="20.100000000000001" customHeight="1" x14ac:dyDescent="0.15">
      <c r="A29" s="12">
        <v>26</v>
      </c>
      <c r="B29" s="6" t="str">
        <f>"30482021060219541377137"</f>
        <v>30482021060219541377137</v>
      </c>
      <c r="C29" s="6" t="s">
        <v>156</v>
      </c>
      <c r="D29" s="6" t="str">
        <f>"魏伊祎"</f>
        <v>魏伊祎</v>
      </c>
      <c r="E29" s="6" t="str">
        <f t="shared" si="2"/>
        <v>女</v>
      </c>
      <c r="F29" s="7" t="s">
        <v>179</v>
      </c>
    </row>
    <row r="30" spans="1:6" ht="20.100000000000001" customHeight="1" x14ac:dyDescent="0.15">
      <c r="A30" s="12">
        <v>27</v>
      </c>
      <c r="B30" s="6" t="str">
        <f>"30482021060220010377199"</f>
        <v>30482021060220010377199</v>
      </c>
      <c r="C30" s="6" t="s">
        <v>156</v>
      </c>
      <c r="D30" s="6" t="str">
        <f>"黄小钊"</f>
        <v>黄小钊</v>
      </c>
      <c r="E30" s="6" t="str">
        <f t="shared" si="2"/>
        <v>女</v>
      </c>
      <c r="F30" s="7" t="s">
        <v>180</v>
      </c>
    </row>
    <row r="31" spans="1:6" ht="20.100000000000001" customHeight="1" x14ac:dyDescent="0.15">
      <c r="A31" s="12">
        <v>28</v>
      </c>
      <c r="B31" s="6" t="str">
        <f>"30482021060220163577318"</f>
        <v>30482021060220163577318</v>
      </c>
      <c r="C31" s="6" t="s">
        <v>156</v>
      </c>
      <c r="D31" s="6" t="str">
        <f>"陈朝龙"</f>
        <v>陈朝龙</v>
      </c>
      <c r="E31" s="6" t="str">
        <f t="shared" ref="E31:E35" si="3">"男"</f>
        <v>男</v>
      </c>
      <c r="F31" s="7" t="s">
        <v>181</v>
      </c>
    </row>
    <row r="32" spans="1:6" ht="20.100000000000001" customHeight="1" x14ac:dyDescent="0.15">
      <c r="A32" s="12">
        <v>29</v>
      </c>
      <c r="B32" s="6" t="str">
        <f>"30482021060221055177749"</f>
        <v>30482021060221055177749</v>
      </c>
      <c r="C32" s="6" t="s">
        <v>156</v>
      </c>
      <c r="D32" s="6" t="str">
        <f>"王明磊"</f>
        <v>王明磊</v>
      </c>
      <c r="E32" s="6" t="str">
        <f t="shared" si="3"/>
        <v>男</v>
      </c>
      <c r="F32" s="7" t="s">
        <v>182</v>
      </c>
    </row>
    <row r="33" spans="1:6" ht="20.100000000000001" customHeight="1" x14ac:dyDescent="0.15">
      <c r="A33" s="12">
        <v>30</v>
      </c>
      <c r="B33" s="6" t="str">
        <f>"30482021060221335977985"</f>
        <v>30482021060221335977985</v>
      </c>
      <c r="C33" s="6" t="s">
        <v>156</v>
      </c>
      <c r="D33" s="6" t="str">
        <f>"刘萌萌"</f>
        <v>刘萌萌</v>
      </c>
      <c r="E33" s="6" t="str">
        <f t="shared" ref="E33:E51" si="4">"女"</f>
        <v>女</v>
      </c>
      <c r="F33" s="7" t="s">
        <v>183</v>
      </c>
    </row>
    <row r="34" spans="1:6" ht="20.100000000000001" customHeight="1" x14ac:dyDescent="0.15">
      <c r="A34" s="12">
        <v>31</v>
      </c>
      <c r="B34" s="6" t="str">
        <f>"30482021060221442678067"</f>
        <v>30482021060221442678067</v>
      </c>
      <c r="C34" s="6" t="s">
        <v>156</v>
      </c>
      <c r="D34" s="6" t="str">
        <f>"王杏"</f>
        <v>王杏</v>
      </c>
      <c r="E34" s="6" t="str">
        <f t="shared" si="4"/>
        <v>女</v>
      </c>
      <c r="F34" s="7" t="s">
        <v>184</v>
      </c>
    </row>
    <row r="35" spans="1:6" ht="20.100000000000001" customHeight="1" x14ac:dyDescent="0.15">
      <c r="A35" s="12">
        <v>32</v>
      </c>
      <c r="B35" s="6" t="str">
        <f>"30482021060307394879210"</f>
        <v>30482021060307394879210</v>
      </c>
      <c r="C35" s="6" t="s">
        <v>156</v>
      </c>
      <c r="D35" s="6" t="str">
        <f>"何升民"</f>
        <v>何升民</v>
      </c>
      <c r="E35" s="6" t="str">
        <f t="shared" si="3"/>
        <v>男</v>
      </c>
      <c r="F35" s="7" t="s">
        <v>185</v>
      </c>
    </row>
    <row r="36" spans="1:6" ht="20.100000000000001" customHeight="1" x14ac:dyDescent="0.15">
      <c r="A36" s="12">
        <v>33</v>
      </c>
      <c r="B36" s="6" t="str">
        <f>"30482021060308062479298"</f>
        <v>30482021060308062479298</v>
      </c>
      <c r="C36" s="6" t="s">
        <v>156</v>
      </c>
      <c r="D36" s="6" t="str">
        <f>"范小慧"</f>
        <v>范小慧</v>
      </c>
      <c r="E36" s="6" t="str">
        <f t="shared" si="4"/>
        <v>女</v>
      </c>
      <c r="F36" s="7" t="s">
        <v>186</v>
      </c>
    </row>
    <row r="37" spans="1:6" ht="20.100000000000001" customHeight="1" x14ac:dyDescent="0.15">
      <c r="A37" s="12">
        <v>34</v>
      </c>
      <c r="B37" s="6" t="str">
        <f>"30482021060309061779876"</f>
        <v>30482021060309061779876</v>
      </c>
      <c r="C37" s="6" t="s">
        <v>156</v>
      </c>
      <c r="D37" s="6" t="str">
        <f>"郭传艳"</f>
        <v>郭传艳</v>
      </c>
      <c r="E37" s="6" t="str">
        <f t="shared" si="4"/>
        <v>女</v>
      </c>
      <c r="F37" s="7" t="s">
        <v>187</v>
      </c>
    </row>
    <row r="38" spans="1:6" ht="20.100000000000001" customHeight="1" x14ac:dyDescent="0.15">
      <c r="A38" s="12">
        <v>35</v>
      </c>
      <c r="B38" s="6" t="str">
        <f>"30482021060310251081089"</f>
        <v>30482021060310251081089</v>
      </c>
      <c r="C38" s="6" t="s">
        <v>156</v>
      </c>
      <c r="D38" s="6" t="str">
        <f>"曾小慧"</f>
        <v>曾小慧</v>
      </c>
      <c r="E38" s="6" t="str">
        <f t="shared" si="4"/>
        <v>女</v>
      </c>
      <c r="F38" s="7" t="s">
        <v>188</v>
      </c>
    </row>
    <row r="39" spans="1:6" ht="20.100000000000001" customHeight="1" x14ac:dyDescent="0.15">
      <c r="A39" s="12">
        <v>36</v>
      </c>
      <c r="B39" s="6" t="str">
        <f>"30482021060310261081104"</f>
        <v>30482021060310261081104</v>
      </c>
      <c r="C39" s="6" t="s">
        <v>156</v>
      </c>
      <c r="D39" s="6" t="str">
        <f>"陈珂珂"</f>
        <v>陈珂珂</v>
      </c>
      <c r="E39" s="6" t="str">
        <f t="shared" si="4"/>
        <v>女</v>
      </c>
      <c r="F39" s="7" t="s">
        <v>189</v>
      </c>
    </row>
    <row r="40" spans="1:6" ht="20.100000000000001" customHeight="1" x14ac:dyDescent="0.15">
      <c r="A40" s="12">
        <v>37</v>
      </c>
      <c r="B40" s="6" t="str">
        <f>"30482021060311065181783"</f>
        <v>30482021060311065181783</v>
      </c>
      <c r="C40" s="6" t="s">
        <v>156</v>
      </c>
      <c r="D40" s="6" t="str">
        <f>"蔡婉菲"</f>
        <v>蔡婉菲</v>
      </c>
      <c r="E40" s="6" t="str">
        <f t="shared" si="4"/>
        <v>女</v>
      </c>
      <c r="F40" s="7" t="s">
        <v>190</v>
      </c>
    </row>
    <row r="41" spans="1:6" ht="20.100000000000001" customHeight="1" x14ac:dyDescent="0.15">
      <c r="A41" s="12">
        <v>38</v>
      </c>
      <c r="B41" s="6" t="str">
        <f>"30482021060312233182647"</f>
        <v>30482021060312233182647</v>
      </c>
      <c r="C41" s="6" t="s">
        <v>156</v>
      </c>
      <c r="D41" s="6" t="str">
        <f>"曾小妮"</f>
        <v>曾小妮</v>
      </c>
      <c r="E41" s="6" t="str">
        <f t="shared" si="4"/>
        <v>女</v>
      </c>
      <c r="F41" s="7" t="s">
        <v>100</v>
      </c>
    </row>
    <row r="42" spans="1:6" ht="20.100000000000001" customHeight="1" x14ac:dyDescent="0.15">
      <c r="A42" s="12">
        <v>39</v>
      </c>
      <c r="B42" s="6" t="str">
        <f>"30482021060313584383458"</f>
        <v>30482021060313584383458</v>
      </c>
      <c r="C42" s="6" t="s">
        <v>156</v>
      </c>
      <c r="D42" s="6" t="str">
        <f>"邓柳英"</f>
        <v>邓柳英</v>
      </c>
      <c r="E42" s="6" t="str">
        <f t="shared" si="4"/>
        <v>女</v>
      </c>
      <c r="F42" s="7" t="s">
        <v>50</v>
      </c>
    </row>
    <row r="43" spans="1:6" ht="20.100000000000001" customHeight="1" x14ac:dyDescent="0.15">
      <c r="A43" s="12">
        <v>40</v>
      </c>
      <c r="B43" s="6" t="str">
        <f>"30482021060315575684852"</f>
        <v>30482021060315575684852</v>
      </c>
      <c r="C43" s="6" t="s">
        <v>156</v>
      </c>
      <c r="D43" s="6" t="str">
        <f>"吴昭璇"</f>
        <v>吴昭璇</v>
      </c>
      <c r="E43" s="6" t="str">
        <f t="shared" si="4"/>
        <v>女</v>
      </c>
      <c r="F43" s="7" t="s">
        <v>152</v>
      </c>
    </row>
    <row r="44" spans="1:6" ht="20.100000000000001" customHeight="1" x14ac:dyDescent="0.15">
      <c r="A44" s="12">
        <v>41</v>
      </c>
      <c r="B44" s="6" t="str">
        <f>"30482021060316574685566"</f>
        <v>30482021060316574685566</v>
      </c>
      <c r="C44" s="6" t="s">
        <v>156</v>
      </c>
      <c r="D44" s="6" t="str">
        <f>"李秋菊"</f>
        <v>李秋菊</v>
      </c>
      <c r="E44" s="6" t="str">
        <f t="shared" si="4"/>
        <v>女</v>
      </c>
      <c r="F44" s="7" t="s">
        <v>191</v>
      </c>
    </row>
    <row r="45" spans="1:6" ht="20.100000000000001" customHeight="1" x14ac:dyDescent="0.15">
      <c r="A45" s="12">
        <v>42</v>
      </c>
      <c r="B45" s="6" t="str">
        <f>"30482021060320201487434"</f>
        <v>30482021060320201487434</v>
      </c>
      <c r="C45" s="6" t="s">
        <v>156</v>
      </c>
      <c r="D45" s="6" t="str">
        <f>"谭春暖"</f>
        <v>谭春暖</v>
      </c>
      <c r="E45" s="6" t="str">
        <f t="shared" si="4"/>
        <v>女</v>
      </c>
      <c r="F45" s="7" t="s">
        <v>37</v>
      </c>
    </row>
    <row r="46" spans="1:6" ht="20.100000000000001" customHeight="1" x14ac:dyDescent="0.15">
      <c r="A46" s="12">
        <v>43</v>
      </c>
      <c r="B46" s="6" t="str">
        <f>"30482021060322474389121"</f>
        <v>30482021060322474389121</v>
      </c>
      <c r="C46" s="6" t="s">
        <v>156</v>
      </c>
      <c r="D46" s="6" t="str">
        <f>"黄慧环"</f>
        <v>黄慧环</v>
      </c>
      <c r="E46" s="6" t="str">
        <f t="shared" si="4"/>
        <v>女</v>
      </c>
      <c r="F46" s="7" t="s">
        <v>192</v>
      </c>
    </row>
    <row r="47" spans="1:6" ht="20.100000000000001" customHeight="1" x14ac:dyDescent="0.15">
      <c r="A47" s="12">
        <v>44</v>
      </c>
      <c r="B47" s="6" t="str">
        <f>"30482021060416103896861"</f>
        <v>30482021060416103896861</v>
      </c>
      <c r="C47" s="6" t="s">
        <v>156</v>
      </c>
      <c r="D47" s="6" t="str">
        <f>"陈静"</f>
        <v>陈静</v>
      </c>
      <c r="E47" s="6" t="str">
        <f t="shared" si="4"/>
        <v>女</v>
      </c>
      <c r="F47" s="7" t="s">
        <v>193</v>
      </c>
    </row>
    <row r="48" spans="1:6" ht="20.100000000000001" customHeight="1" x14ac:dyDescent="0.15">
      <c r="A48" s="12">
        <v>45</v>
      </c>
      <c r="B48" s="6" t="str">
        <f>"30482021060423081799887"</f>
        <v>30482021060423081799887</v>
      </c>
      <c r="C48" s="6" t="s">
        <v>156</v>
      </c>
      <c r="D48" s="6" t="str">
        <f>"蔡开止"</f>
        <v>蔡开止</v>
      </c>
      <c r="E48" s="6" t="str">
        <f t="shared" si="4"/>
        <v>女</v>
      </c>
      <c r="F48" s="7" t="s">
        <v>194</v>
      </c>
    </row>
    <row r="49" spans="1:6" ht="20.100000000000001" customHeight="1" x14ac:dyDescent="0.15">
      <c r="A49" s="12">
        <v>46</v>
      </c>
      <c r="B49" s="6" t="str">
        <f>"304820210605012546100056"</f>
        <v>304820210605012546100056</v>
      </c>
      <c r="C49" s="6" t="s">
        <v>156</v>
      </c>
      <c r="D49" s="6" t="str">
        <f>"杨玉秀"</f>
        <v>杨玉秀</v>
      </c>
      <c r="E49" s="6" t="str">
        <f t="shared" si="4"/>
        <v>女</v>
      </c>
      <c r="F49" s="7" t="s">
        <v>195</v>
      </c>
    </row>
    <row r="50" spans="1:6" ht="20.100000000000001" customHeight="1" x14ac:dyDescent="0.15">
      <c r="A50" s="12">
        <v>47</v>
      </c>
      <c r="B50" s="6" t="str">
        <f>"304820210605113924100662"</f>
        <v>304820210605113924100662</v>
      </c>
      <c r="C50" s="6" t="s">
        <v>156</v>
      </c>
      <c r="D50" s="6" t="str">
        <f>"罗爱先"</f>
        <v>罗爱先</v>
      </c>
      <c r="E50" s="6" t="str">
        <f t="shared" si="4"/>
        <v>女</v>
      </c>
      <c r="F50" s="7" t="s">
        <v>196</v>
      </c>
    </row>
    <row r="51" spans="1:6" ht="20.100000000000001" customHeight="1" x14ac:dyDescent="0.15">
      <c r="A51" s="12">
        <v>48</v>
      </c>
      <c r="B51" s="6" t="str">
        <f>"304820210605190738101827"</f>
        <v>304820210605190738101827</v>
      </c>
      <c r="C51" s="6" t="s">
        <v>156</v>
      </c>
      <c r="D51" s="6" t="str">
        <f>"林婧"</f>
        <v>林婧</v>
      </c>
      <c r="E51" s="6" t="str">
        <f t="shared" si="4"/>
        <v>女</v>
      </c>
      <c r="F51" s="7" t="s">
        <v>197</v>
      </c>
    </row>
    <row r="52" spans="1:6" ht="20.100000000000001" customHeight="1" x14ac:dyDescent="0.15">
      <c r="A52" s="12">
        <v>49</v>
      </c>
      <c r="B52" s="6" t="str">
        <f>"304820210605213252102200"</f>
        <v>304820210605213252102200</v>
      </c>
      <c r="C52" s="6" t="s">
        <v>156</v>
      </c>
      <c r="D52" s="6" t="str">
        <f>"王国兴"</f>
        <v>王国兴</v>
      </c>
      <c r="E52" s="6" t="str">
        <f>"男"</f>
        <v>男</v>
      </c>
      <c r="F52" s="7" t="s">
        <v>198</v>
      </c>
    </row>
    <row r="53" spans="1:6" ht="20.100000000000001" customHeight="1" x14ac:dyDescent="0.15">
      <c r="A53" s="12">
        <v>50</v>
      </c>
      <c r="B53" s="6" t="str">
        <f>"304820210606021407102644"</f>
        <v>304820210606021407102644</v>
      </c>
      <c r="C53" s="6" t="s">
        <v>156</v>
      </c>
      <c r="D53" s="6" t="str">
        <f>"林媚"</f>
        <v>林媚</v>
      </c>
      <c r="E53" s="6" t="str">
        <f t="shared" ref="E53:E58" si="5">"女"</f>
        <v>女</v>
      </c>
      <c r="F53" s="7" t="s">
        <v>199</v>
      </c>
    </row>
    <row r="54" spans="1:6" ht="20.100000000000001" customHeight="1" x14ac:dyDescent="0.15">
      <c r="A54" s="12">
        <v>51</v>
      </c>
      <c r="B54" s="6" t="str">
        <f>"304820210606092345102832"</f>
        <v>304820210606092345102832</v>
      </c>
      <c r="C54" s="6" t="s">
        <v>156</v>
      </c>
      <c r="D54" s="6" t="str">
        <f>"黄亚媛"</f>
        <v>黄亚媛</v>
      </c>
      <c r="E54" s="6" t="str">
        <f t="shared" si="5"/>
        <v>女</v>
      </c>
      <c r="F54" s="7" t="s">
        <v>200</v>
      </c>
    </row>
    <row r="55" spans="1:6" ht="20.100000000000001" customHeight="1" x14ac:dyDescent="0.15">
      <c r="A55" s="12">
        <v>52</v>
      </c>
      <c r="B55" s="6" t="str">
        <f>"304820210606142135103706"</f>
        <v>304820210606142135103706</v>
      </c>
      <c r="C55" s="6" t="s">
        <v>156</v>
      </c>
      <c r="D55" s="6" t="str">
        <f>"李寅姣"</f>
        <v>李寅姣</v>
      </c>
      <c r="E55" s="6" t="str">
        <f t="shared" si="5"/>
        <v>女</v>
      </c>
      <c r="F55" s="7" t="s">
        <v>59</v>
      </c>
    </row>
    <row r="56" spans="1:6" ht="20.100000000000001" customHeight="1" x14ac:dyDescent="0.15">
      <c r="A56" s="12">
        <v>53</v>
      </c>
      <c r="B56" s="6" t="str">
        <f>"304820210606164250104118"</f>
        <v>304820210606164250104118</v>
      </c>
      <c r="C56" s="6" t="s">
        <v>156</v>
      </c>
      <c r="D56" s="6" t="str">
        <f>"李娇珍"</f>
        <v>李娇珍</v>
      </c>
      <c r="E56" s="6" t="str">
        <f t="shared" si="5"/>
        <v>女</v>
      </c>
      <c r="F56" s="7" t="s">
        <v>201</v>
      </c>
    </row>
    <row r="57" spans="1:6" ht="20.100000000000001" customHeight="1" x14ac:dyDescent="0.15">
      <c r="A57" s="12">
        <v>54</v>
      </c>
      <c r="B57" s="6" t="str">
        <f>"304820210606173120104300"</f>
        <v>304820210606173120104300</v>
      </c>
      <c r="C57" s="6" t="s">
        <v>156</v>
      </c>
      <c r="D57" s="6" t="str">
        <f>"苏文菊"</f>
        <v>苏文菊</v>
      </c>
      <c r="E57" s="6" t="str">
        <f t="shared" si="5"/>
        <v>女</v>
      </c>
      <c r="F57" s="7" t="s">
        <v>202</v>
      </c>
    </row>
    <row r="58" spans="1:6" ht="20.100000000000001" customHeight="1" x14ac:dyDescent="0.15">
      <c r="A58" s="12">
        <v>55</v>
      </c>
      <c r="B58" s="6" t="str">
        <f>"304820210606192026104525"</f>
        <v>304820210606192026104525</v>
      </c>
      <c r="C58" s="6" t="s">
        <v>156</v>
      </c>
      <c r="D58" s="6" t="str">
        <f>"甄学苹"</f>
        <v>甄学苹</v>
      </c>
      <c r="E58" s="6" t="str">
        <f t="shared" si="5"/>
        <v>女</v>
      </c>
      <c r="F58" s="7" t="s">
        <v>203</v>
      </c>
    </row>
    <row r="59" spans="1:6" ht="20.100000000000001" customHeight="1" x14ac:dyDescent="0.15">
      <c r="A59" s="12">
        <v>56</v>
      </c>
      <c r="B59" s="6" t="str">
        <f>"304820210606195626104577"</f>
        <v>304820210606195626104577</v>
      </c>
      <c r="C59" s="6" t="s">
        <v>156</v>
      </c>
      <c r="D59" s="6" t="str">
        <f>"易大安"</f>
        <v>易大安</v>
      </c>
      <c r="E59" s="6" t="str">
        <f>"男"</f>
        <v>男</v>
      </c>
      <c r="F59" s="7" t="s">
        <v>204</v>
      </c>
    </row>
    <row r="60" spans="1:6" ht="20.100000000000001" customHeight="1" x14ac:dyDescent="0.15">
      <c r="A60" s="12">
        <v>57</v>
      </c>
      <c r="B60" s="6" t="str">
        <f>"304820210606214656104863"</f>
        <v>304820210606214656104863</v>
      </c>
      <c r="C60" s="6" t="s">
        <v>156</v>
      </c>
      <c r="D60" s="6" t="str">
        <f>"郭教薇"</f>
        <v>郭教薇</v>
      </c>
      <c r="E60" s="6" t="str">
        <f t="shared" ref="E60:E64" si="6">"女"</f>
        <v>女</v>
      </c>
      <c r="F60" s="7" t="s">
        <v>205</v>
      </c>
    </row>
    <row r="61" spans="1:6" ht="20.100000000000001" customHeight="1" x14ac:dyDescent="0.15">
      <c r="A61" s="12">
        <v>58</v>
      </c>
      <c r="B61" s="6" t="str">
        <f>"304820210607002046105246"</f>
        <v>304820210607002046105246</v>
      </c>
      <c r="C61" s="6" t="s">
        <v>156</v>
      </c>
      <c r="D61" s="6" t="str">
        <f>"祝育锦"</f>
        <v>祝育锦</v>
      </c>
      <c r="E61" s="6" t="str">
        <f>"男"</f>
        <v>男</v>
      </c>
      <c r="F61" s="7" t="s">
        <v>206</v>
      </c>
    </row>
    <row r="62" spans="1:6" ht="20.100000000000001" customHeight="1" x14ac:dyDescent="0.15">
      <c r="A62" s="12">
        <v>59</v>
      </c>
      <c r="B62" s="6" t="str">
        <f>"304820210607081730105401"</f>
        <v>304820210607081730105401</v>
      </c>
      <c r="C62" s="6" t="s">
        <v>156</v>
      </c>
      <c r="D62" s="6" t="str">
        <f>"宋晓萍"</f>
        <v>宋晓萍</v>
      </c>
      <c r="E62" s="6" t="str">
        <f t="shared" si="6"/>
        <v>女</v>
      </c>
      <c r="F62" s="7" t="s">
        <v>160</v>
      </c>
    </row>
    <row r="63" spans="1:6" ht="20.100000000000001" customHeight="1" x14ac:dyDescent="0.15">
      <c r="A63" s="12">
        <v>60</v>
      </c>
      <c r="B63" s="6" t="str">
        <f>"304820210607091714105630"</f>
        <v>304820210607091714105630</v>
      </c>
      <c r="C63" s="6" t="s">
        <v>156</v>
      </c>
      <c r="D63" s="6" t="str">
        <f>"邢文婷"</f>
        <v>邢文婷</v>
      </c>
      <c r="E63" s="6" t="str">
        <f t="shared" si="6"/>
        <v>女</v>
      </c>
      <c r="F63" s="7" t="s">
        <v>207</v>
      </c>
    </row>
    <row r="64" spans="1:6" ht="20.100000000000001" customHeight="1" x14ac:dyDescent="0.15">
      <c r="A64" s="12">
        <v>61</v>
      </c>
      <c r="B64" s="6" t="str">
        <f>"304820210607095939105883"</f>
        <v>304820210607095939105883</v>
      </c>
      <c r="C64" s="6" t="s">
        <v>156</v>
      </c>
      <c r="D64" s="6" t="str">
        <f>"谭火芸"</f>
        <v>谭火芸</v>
      </c>
      <c r="E64" s="6" t="str">
        <f t="shared" si="6"/>
        <v>女</v>
      </c>
      <c r="F64" s="7" t="s">
        <v>208</v>
      </c>
    </row>
    <row r="65" spans="1:6" ht="20.100000000000001" customHeight="1" x14ac:dyDescent="0.15">
      <c r="A65" s="13"/>
      <c r="B65" s="14"/>
      <c r="C65" s="14"/>
      <c r="D65" s="15"/>
      <c r="E65" s="14"/>
      <c r="F65" s="13"/>
    </row>
    <row r="66" spans="1:6" ht="20.100000000000001" customHeight="1" x14ac:dyDescent="0.15">
      <c r="A66" s="13"/>
      <c r="B66" s="14"/>
      <c r="C66" s="14"/>
      <c r="D66" s="15"/>
      <c r="E66" s="14"/>
      <c r="F66" s="13"/>
    </row>
    <row r="67" spans="1:6" ht="20.100000000000001" customHeight="1" x14ac:dyDescent="0.15">
      <c r="A67" s="13"/>
      <c r="B67" s="14"/>
      <c r="C67" s="14"/>
      <c r="D67" s="15"/>
      <c r="E67" s="14"/>
      <c r="F67" s="13"/>
    </row>
    <row r="68" spans="1:6" ht="20.100000000000001" customHeight="1" x14ac:dyDescent="0.15">
      <c r="A68" s="13"/>
      <c r="B68" s="14"/>
      <c r="C68" s="14"/>
      <c r="D68" s="15"/>
      <c r="E68" s="14"/>
      <c r="F68" s="13"/>
    </row>
    <row r="69" spans="1:6" ht="20.100000000000001" customHeight="1" x14ac:dyDescent="0.15">
      <c r="A69" s="13"/>
      <c r="B69" s="14"/>
      <c r="C69" s="14"/>
      <c r="D69" s="15"/>
      <c r="E69" s="14"/>
      <c r="F69" s="13"/>
    </row>
    <row r="70" spans="1:6" ht="20.100000000000001" customHeight="1" x14ac:dyDescent="0.15">
      <c r="A70" s="13"/>
      <c r="B70" s="14"/>
      <c r="C70" s="14"/>
      <c r="D70" s="15"/>
      <c r="E70" s="14"/>
      <c r="F70" s="13"/>
    </row>
    <row r="71" spans="1:6" ht="20.100000000000001" customHeight="1" x14ac:dyDescent="0.15">
      <c r="A71" s="13"/>
      <c r="B71" s="14"/>
      <c r="C71" s="14"/>
      <c r="D71" s="15"/>
      <c r="E71" s="14"/>
      <c r="F71" s="13"/>
    </row>
    <row r="72" spans="1:6" ht="20.100000000000001" customHeight="1" x14ac:dyDescent="0.15">
      <c r="A72" s="13"/>
      <c r="B72" s="14"/>
      <c r="C72" s="14"/>
      <c r="D72" s="15"/>
      <c r="E72" s="14"/>
      <c r="F72" s="13"/>
    </row>
    <row r="73" spans="1:6" ht="20.100000000000001" customHeight="1" x14ac:dyDescent="0.15">
      <c r="A73" s="13"/>
      <c r="B73" s="14"/>
      <c r="C73" s="14"/>
      <c r="D73" s="15"/>
      <c r="E73" s="14"/>
      <c r="F73" s="13"/>
    </row>
    <row r="74" spans="1:6" ht="20.100000000000001" customHeight="1" x14ac:dyDescent="0.15">
      <c r="A74" s="13"/>
      <c r="B74" s="14"/>
      <c r="C74" s="14"/>
      <c r="D74" s="15"/>
      <c r="E74" s="14"/>
      <c r="F74" s="13"/>
    </row>
    <row r="75" spans="1:6" ht="20.100000000000001" customHeight="1" x14ac:dyDescent="0.15">
      <c r="A75" s="13"/>
      <c r="B75" s="14"/>
      <c r="C75" s="14"/>
      <c r="D75" s="15"/>
      <c r="E75" s="14"/>
      <c r="F75" s="13"/>
    </row>
    <row r="76" spans="1:6" ht="20.100000000000001" customHeight="1" x14ac:dyDescent="0.15">
      <c r="A76" s="13"/>
      <c r="B76" s="14"/>
      <c r="C76" s="14"/>
      <c r="D76" s="15"/>
      <c r="E76" s="14"/>
      <c r="F76" s="13"/>
    </row>
    <row r="77" spans="1:6" ht="20.100000000000001" customHeight="1" x14ac:dyDescent="0.15">
      <c r="A77" s="13"/>
      <c r="B77" s="14"/>
      <c r="C77" s="14"/>
      <c r="D77" s="15"/>
      <c r="E77" s="14"/>
      <c r="F77" s="13"/>
    </row>
    <row r="78" spans="1:6" ht="20.100000000000001" customHeight="1" x14ac:dyDescent="0.15">
      <c r="A78" s="13"/>
      <c r="B78" s="14"/>
      <c r="C78" s="14"/>
      <c r="D78" s="15"/>
      <c r="E78" s="14"/>
      <c r="F78" s="13"/>
    </row>
    <row r="79" spans="1:6" ht="20.100000000000001" customHeight="1" x14ac:dyDescent="0.15">
      <c r="A79" s="13"/>
      <c r="B79" s="14"/>
      <c r="C79" s="14"/>
      <c r="D79" s="15"/>
      <c r="E79" s="14"/>
      <c r="F79" s="13"/>
    </row>
    <row r="80" spans="1:6" ht="20.100000000000001" customHeight="1" x14ac:dyDescent="0.15">
      <c r="A80" s="13"/>
      <c r="B80" s="14"/>
      <c r="C80" s="14"/>
      <c r="D80" s="15"/>
      <c r="E80" s="14"/>
      <c r="F80" s="13"/>
    </row>
    <row r="81" spans="1:6" ht="20.100000000000001" customHeight="1" x14ac:dyDescent="0.15">
      <c r="A81" s="13"/>
      <c r="B81" s="14"/>
      <c r="C81" s="14"/>
      <c r="D81" s="15"/>
      <c r="E81" s="14"/>
      <c r="F81" s="13"/>
    </row>
    <row r="82" spans="1:6" ht="20.100000000000001" customHeight="1" x14ac:dyDescent="0.15">
      <c r="A82" s="13"/>
      <c r="B82" s="14"/>
      <c r="C82" s="14"/>
      <c r="D82" s="15"/>
      <c r="E82" s="14"/>
      <c r="F82" s="13"/>
    </row>
    <row r="83" spans="1:6" ht="20.100000000000001" customHeight="1" x14ac:dyDescent="0.15">
      <c r="A83" s="13"/>
      <c r="B83" s="14"/>
      <c r="C83" s="14"/>
      <c r="D83" s="15"/>
      <c r="E83" s="14"/>
      <c r="F83" s="13"/>
    </row>
    <row r="84" spans="1:6" ht="20.100000000000001" customHeight="1" x14ac:dyDescent="0.15">
      <c r="A84" s="13"/>
      <c r="B84" s="14"/>
      <c r="C84" s="14"/>
      <c r="D84" s="15"/>
      <c r="E84" s="14"/>
      <c r="F84" s="13"/>
    </row>
    <row r="85" spans="1:6" ht="20.100000000000001" customHeight="1" x14ac:dyDescent="0.15">
      <c r="A85" s="13"/>
      <c r="B85" s="14"/>
      <c r="C85" s="14"/>
      <c r="D85" s="15"/>
      <c r="E85" s="14"/>
      <c r="F85" s="13"/>
    </row>
    <row r="86" spans="1:6" ht="20.100000000000001" customHeight="1" x14ac:dyDescent="0.15">
      <c r="A86" s="13"/>
      <c r="B86" s="14"/>
      <c r="C86" s="14"/>
      <c r="D86" s="15"/>
      <c r="E86" s="14"/>
      <c r="F86" s="13"/>
    </row>
    <row r="87" spans="1:6" ht="20.100000000000001" customHeight="1" x14ac:dyDescent="0.15">
      <c r="A87" s="13"/>
      <c r="B87" s="14"/>
      <c r="C87" s="14"/>
      <c r="D87" s="15"/>
      <c r="E87" s="14"/>
      <c r="F87" s="13"/>
    </row>
    <row r="88" spans="1:6" ht="20.100000000000001" customHeight="1" x14ac:dyDescent="0.15">
      <c r="A88" s="13"/>
      <c r="B88" s="14"/>
      <c r="C88" s="14"/>
      <c r="D88" s="15"/>
      <c r="E88" s="14"/>
      <c r="F88" s="13"/>
    </row>
    <row r="89" spans="1:6" ht="20.100000000000001" customHeight="1" x14ac:dyDescent="0.15">
      <c r="A89" s="13"/>
      <c r="B89" s="14"/>
      <c r="C89" s="14"/>
      <c r="D89" s="15"/>
      <c r="E89" s="14"/>
      <c r="F89" s="13"/>
    </row>
    <row r="90" spans="1:6" ht="20.100000000000001" customHeight="1" x14ac:dyDescent="0.15">
      <c r="A90" s="13"/>
      <c r="B90" s="14"/>
      <c r="C90" s="14"/>
      <c r="D90" s="15"/>
      <c r="E90" s="14"/>
      <c r="F90" s="13"/>
    </row>
    <row r="91" spans="1:6" ht="20.100000000000001" customHeight="1" x14ac:dyDescent="0.15">
      <c r="A91" s="13"/>
      <c r="B91" s="14"/>
      <c r="C91" s="14"/>
      <c r="D91" s="15"/>
      <c r="E91" s="14"/>
      <c r="F91" s="13"/>
    </row>
    <row r="92" spans="1:6" ht="20.100000000000001" customHeight="1" x14ac:dyDescent="0.15">
      <c r="A92" s="13"/>
      <c r="B92" s="14"/>
      <c r="C92" s="14"/>
      <c r="D92" s="15"/>
      <c r="E92" s="14"/>
      <c r="F92" s="13"/>
    </row>
    <row r="93" spans="1:6" ht="20.100000000000001" customHeight="1" x14ac:dyDescent="0.15">
      <c r="A93" s="13"/>
      <c r="B93" s="14"/>
      <c r="C93" s="14"/>
      <c r="D93" s="15"/>
      <c r="E93" s="14"/>
      <c r="F93" s="13"/>
    </row>
    <row r="94" spans="1:6" ht="20.100000000000001" customHeight="1" x14ac:dyDescent="0.15">
      <c r="A94" s="13"/>
      <c r="B94" s="14"/>
      <c r="C94" s="14"/>
      <c r="D94" s="15"/>
      <c r="E94" s="14"/>
      <c r="F94" s="13"/>
    </row>
    <row r="95" spans="1:6" ht="20.100000000000001" customHeight="1" x14ac:dyDescent="0.15">
      <c r="A95" s="13"/>
      <c r="B95" s="14"/>
      <c r="C95" s="14"/>
      <c r="D95" s="15"/>
      <c r="E95" s="14"/>
      <c r="F95" s="13"/>
    </row>
    <row r="96" spans="1:6" ht="20.100000000000001" customHeight="1" x14ac:dyDescent="0.15">
      <c r="A96" s="13"/>
      <c r="B96" s="14"/>
      <c r="C96" s="14"/>
      <c r="D96" s="15"/>
      <c r="E96" s="14"/>
      <c r="F96" s="13"/>
    </row>
    <row r="97" spans="1:6" ht="20.100000000000001" customHeight="1" x14ac:dyDescent="0.15">
      <c r="A97" s="13"/>
      <c r="B97" s="14"/>
      <c r="C97" s="14"/>
      <c r="D97" s="15"/>
      <c r="E97" s="14"/>
      <c r="F97" s="13"/>
    </row>
    <row r="98" spans="1:6" ht="20.100000000000001" customHeight="1" x14ac:dyDescent="0.15">
      <c r="A98" s="13"/>
      <c r="B98" s="14"/>
      <c r="C98" s="14"/>
      <c r="D98" s="15"/>
      <c r="E98" s="14"/>
      <c r="F98" s="13"/>
    </row>
    <row r="99" spans="1:6" ht="20.100000000000001" customHeight="1" x14ac:dyDescent="0.15">
      <c r="A99" s="13"/>
      <c r="B99" s="14"/>
      <c r="C99" s="14"/>
      <c r="D99" s="15"/>
      <c r="E99" s="14"/>
      <c r="F99" s="13"/>
    </row>
    <row r="100" spans="1:6" ht="20.100000000000001" customHeight="1" x14ac:dyDescent="0.15">
      <c r="A100" s="13"/>
      <c r="B100" s="14"/>
      <c r="C100" s="14"/>
      <c r="D100" s="15"/>
      <c r="E100" s="14"/>
      <c r="F100" s="13"/>
    </row>
    <row r="101" spans="1:6" ht="20.100000000000001" customHeight="1" x14ac:dyDescent="0.15">
      <c r="A101" s="13"/>
      <c r="B101" s="14"/>
      <c r="C101" s="14"/>
      <c r="D101" s="15"/>
      <c r="E101" s="14"/>
      <c r="F101" s="13"/>
    </row>
    <row r="102" spans="1:6" ht="20.100000000000001" customHeight="1" x14ac:dyDescent="0.15">
      <c r="A102" s="13"/>
      <c r="B102" s="14"/>
      <c r="C102" s="14"/>
      <c r="D102" s="15"/>
      <c r="E102" s="14"/>
      <c r="F102" s="13"/>
    </row>
    <row r="103" spans="1:6" ht="20.100000000000001" customHeight="1" x14ac:dyDescent="0.15">
      <c r="A103" s="13"/>
      <c r="B103" s="14"/>
      <c r="C103" s="14"/>
      <c r="D103" s="15"/>
      <c r="E103" s="14"/>
      <c r="F103" s="13"/>
    </row>
    <row r="104" spans="1:6" ht="20.100000000000001" customHeight="1" x14ac:dyDescent="0.15">
      <c r="A104" s="13"/>
      <c r="B104" s="14"/>
      <c r="C104" s="14"/>
      <c r="D104" s="15"/>
      <c r="E104" s="14"/>
      <c r="F104" s="13"/>
    </row>
    <row r="105" spans="1:6" ht="20.100000000000001" customHeight="1" x14ac:dyDescent="0.15">
      <c r="A105" s="13"/>
      <c r="B105" s="14"/>
      <c r="C105" s="14"/>
      <c r="D105" s="15"/>
      <c r="E105" s="14"/>
      <c r="F105" s="13"/>
    </row>
    <row r="106" spans="1:6" ht="20.100000000000001" customHeight="1" x14ac:dyDescent="0.15">
      <c r="A106" s="13"/>
      <c r="B106" s="14"/>
      <c r="C106" s="14"/>
      <c r="D106" s="15"/>
      <c r="E106" s="14"/>
      <c r="F106" s="13"/>
    </row>
    <row r="107" spans="1:6" ht="20.100000000000001" customHeight="1" x14ac:dyDescent="0.15">
      <c r="A107" s="13"/>
      <c r="B107" s="14"/>
      <c r="C107" s="14"/>
      <c r="D107" s="15"/>
      <c r="E107" s="14"/>
      <c r="F107" s="13"/>
    </row>
    <row r="108" spans="1:6" ht="20.100000000000001" customHeight="1" x14ac:dyDescent="0.15">
      <c r="A108" s="13"/>
      <c r="B108" s="14"/>
      <c r="C108" s="14"/>
      <c r="D108" s="15"/>
      <c r="E108" s="14"/>
      <c r="F108" s="13"/>
    </row>
    <row r="109" spans="1:6" ht="20.100000000000001" customHeight="1" x14ac:dyDescent="0.15">
      <c r="A109" s="13"/>
      <c r="B109" s="14"/>
      <c r="C109" s="14"/>
      <c r="D109" s="15"/>
      <c r="E109" s="14"/>
      <c r="F109" s="13"/>
    </row>
    <row r="110" spans="1:6" ht="20.100000000000001" customHeight="1" x14ac:dyDescent="0.15">
      <c r="A110" s="13"/>
      <c r="B110" s="14"/>
      <c r="C110" s="14"/>
      <c r="D110" s="15"/>
      <c r="E110" s="14"/>
      <c r="F110" s="13"/>
    </row>
    <row r="111" spans="1:6" ht="20.100000000000001" customHeight="1" x14ac:dyDescent="0.15">
      <c r="A111" s="13"/>
      <c r="B111" s="14"/>
      <c r="C111" s="14"/>
      <c r="D111" s="15"/>
      <c r="E111" s="14"/>
      <c r="F111" s="13"/>
    </row>
    <row r="112" spans="1:6" ht="20.100000000000001" customHeight="1" x14ac:dyDescent="0.15">
      <c r="A112" s="13"/>
      <c r="B112" s="14"/>
      <c r="C112" s="14"/>
      <c r="D112" s="15"/>
      <c r="E112" s="14"/>
      <c r="F112" s="13"/>
    </row>
    <row r="113" spans="1:6" ht="20.100000000000001" customHeight="1" x14ac:dyDescent="0.15">
      <c r="A113" s="13"/>
      <c r="B113" s="14"/>
      <c r="C113" s="14"/>
      <c r="D113" s="15"/>
      <c r="E113" s="14"/>
      <c r="F113" s="13"/>
    </row>
    <row r="114" spans="1:6" ht="20.100000000000001" customHeight="1" x14ac:dyDescent="0.15">
      <c r="A114" s="13"/>
      <c r="B114" s="14"/>
      <c r="C114" s="14"/>
      <c r="D114" s="15"/>
      <c r="E114" s="14"/>
      <c r="F114" s="13"/>
    </row>
    <row r="115" spans="1:6" ht="20.100000000000001" customHeight="1" x14ac:dyDescent="0.15">
      <c r="A115" s="13"/>
      <c r="B115" s="14"/>
      <c r="C115" s="14"/>
      <c r="D115" s="15"/>
      <c r="E115" s="14"/>
      <c r="F115" s="13"/>
    </row>
    <row r="116" spans="1:6" ht="20.100000000000001" customHeight="1" x14ac:dyDescent="0.15">
      <c r="A116" s="13"/>
      <c r="B116" s="14"/>
      <c r="C116" s="14"/>
      <c r="D116" s="15"/>
      <c r="E116" s="14"/>
      <c r="F116" s="13"/>
    </row>
    <row r="117" spans="1:6" ht="20.100000000000001" customHeight="1" x14ac:dyDescent="0.15">
      <c r="A117" s="13"/>
      <c r="B117" s="14"/>
      <c r="C117" s="14"/>
      <c r="D117" s="15"/>
      <c r="E117" s="14"/>
      <c r="F117" s="13"/>
    </row>
    <row r="118" spans="1:6" ht="20.100000000000001" customHeight="1" x14ac:dyDescent="0.15">
      <c r="A118" s="13"/>
      <c r="B118" s="14"/>
      <c r="C118" s="14"/>
      <c r="D118" s="15"/>
      <c r="E118" s="14"/>
      <c r="F118" s="13"/>
    </row>
    <row r="119" spans="1:6" ht="20.100000000000001" customHeight="1" x14ac:dyDescent="0.15">
      <c r="A119" s="13"/>
      <c r="B119" s="14"/>
      <c r="C119" s="14"/>
      <c r="D119" s="15"/>
      <c r="E119" s="14"/>
      <c r="F119" s="13"/>
    </row>
    <row r="120" spans="1:6" ht="20.100000000000001" customHeight="1" x14ac:dyDescent="0.15">
      <c r="A120" s="13"/>
      <c r="B120" s="14"/>
      <c r="C120" s="14"/>
      <c r="D120" s="15"/>
      <c r="E120" s="14"/>
      <c r="F120" s="13"/>
    </row>
    <row r="121" spans="1:6" ht="20.100000000000001" customHeight="1" x14ac:dyDescent="0.15">
      <c r="A121" s="13"/>
      <c r="B121" s="14"/>
      <c r="C121" s="14"/>
      <c r="D121" s="15"/>
      <c r="E121" s="14"/>
      <c r="F121" s="13"/>
    </row>
    <row r="122" spans="1:6" ht="20.100000000000001" customHeight="1" x14ac:dyDescent="0.15">
      <c r="A122" s="13"/>
      <c r="B122" s="14"/>
      <c r="C122" s="14"/>
      <c r="D122" s="15"/>
      <c r="E122" s="14"/>
      <c r="F122" s="13"/>
    </row>
    <row r="123" spans="1:6" ht="20.100000000000001" customHeight="1" x14ac:dyDescent="0.15">
      <c r="A123" s="13"/>
      <c r="B123" s="14"/>
      <c r="C123" s="14"/>
      <c r="D123" s="15"/>
      <c r="E123" s="14"/>
      <c r="F123" s="13"/>
    </row>
    <row r="124" spans="1:6" ht="20.100000000000001" customHeight="1" x14ac:dyDescent="0.15">
      <c r="A124" s="13"/>
      <c r="B124" s="14"/>
      <c r="C124" s="14"/>
      <c r="D124" s="15"/>
      <c r="E124" s="14"/>
      <c r="F124" s="13"/>
    </row>
    <row r="125" spans="1:6" ht="20.100000000000001" customHeight="1" x14ac:dyDescent="0.15">
      <c r="A125" s="13"/>
      <c r="B125" s="14"/>
      <c r="C125" s="14"/>
      <c r="D125" s="15"/>
      <c r="E125" s="14"/>
      <c r="F125" s="13"/>
    </row>
    <row r="126" spans="1:6" ht="20.100000000000001" customHeight="1" x14ac:dyDescent="0.15">
      <c r="A126" s="13"/>
      <c r="B126" s="14"/>
      <c r="C126" s="14"/>
      <c r="D126" s="15"/>
      <c r="E126" s="14"/>
      <c r="F126" s="13"/>
    </row>
    <row r="127" spans="1:6" ht="20.100000000000001" customHeight="1" x14ac:dyDescent="0.15">
      <c r="A127" s="13"/>
      <c r="B127" s="14"/>
      <c r="C127" s="14"/>
      <c r="D127" s="15"/>
      <c r="E127" s="14"/>
      <c r="F127" s="13"/>
    </row>
    <row r="128" spans="1:6" ht="20.100000000000001" customHeight="1" x14ac:dyDescent="0.15">
      <c r="A128" s="13"/>
      <c r="B128" s="14"/>
      <c r="C128" s="14"/>
      <c r="D128" s="15"/>
      <c r="E128" s="14"/>
      <c r="F128" s="13"/>
    </row>
    <row r="129" spans="1:6" ht="20.100000000000001" customHeight="1" x14ac:dyDescent="0.15">
      <c r="A129" s="13"/>
      <c r="B129" s="14"/>
      <c r="C129" s="14"/>
      <c r="D129" s="15"/>
      <c r="E129" s="14"/>
      <c r="F129" s="13"/>
    </row>
    <row r="130" spans="1:6" ht="20.100000000000001" customHeight="1" x14ac:dyDescent="0.15">
      <c r="A130" s="13"/>
      <c r="B130" s="14"/>
      <c r="C130" s="14"/>
      <c r="D130" s="15"/>
      <c r="E130" s="14"/>
      <c r="F130" s="13"/>
    </row>
    <row r="131" spans="1:6" ht="20.100000000000001" customHeight="1" x14ac:dyDescent="0.15">
      <c r="A131" s="13"/>
      <c r="B131" s="14"/>
      <c r="C131" s="14"/>
      <c r="D131" s="15"/>
      <c r="E131" s="14"/>
      <c r="F131" s="13"/>
    </row>
    <row r="132" spans="1:6" ht="20.100000000000001" customHeight="1" x14ac:dyDescent="0.15">
      <c r="A132" s="13"/>
      <c r="B132" s="14"/>
      <c r="C132" s="14"/>
      <c r="D132" s="15"/>
      <c r="E132" s="14"/>
      <c r="F132" s="13"/>
    </row>
    <row r="133" spans="1:6" ht="20.100000000000001" customHeight="1" x14ac:dyDescent="0.15">
      <c r="A133" s="13"/>
      <c r="B133" s="14"/>
      <c r="C133" s="14"/>
      <c r="D133" s="15"/>
      <c r="E133" s="14"/>
      <c r="F133" s="13"/>
    </row>
    <row r="134" spans="1:6" ht="20.100000000000001" customHeight="1" x14ac:dyDescent="0.15">
      <c r="A134" s="13"/>
      <c r="B134" s="14"/>
      <c r="C134" s="14"/>
      <c r="D134" s="15"/>
      <c r="E134" s="14"/>
      <c r="F134" s="13"/>
    </row>
    <row r="135" spans="1:6" ht="20.100000000000001" customHeight="1" x14ac:dyDescent="0.15">
      <c r="A135" s="13"/>
      <c r="B135" s="14"/>
      <c r="C135" s="14"/>
      <c r="D135" s="15"/>
      <c r="E135" s="14"/>
      <c r="F135" s="13"/>
    </row>
    <row r="136" spans="1:6" ht="20.100000000000001" customHeight="1" x14ac:dyDescent="0.15">
      <c r="A136" s="13"/>
      <c r="B136" s="14"/>
      <c r="C136" s="14"/>
      <c r="D136" s="15"/>
      <c r="E136" s="14"/>
      <c r="F136" s="13"/>
    </row>
    <row r="137" spans="1:6" ht="20.100000000000001" customHeight="1" x14ac:dyDescent="0.15">
      <c r="A137" s="13"/>
      <c r="B137" s="14"/>
      <c r="C137" s="14"/>
      <c r="D137" s="15"/>
      <c r="E137" s="14"/>
      <c r="F137" s="13"/>
    </row>
    <row r="138" spans="1:6" ht="20.100000000000001" customHeight="1" x14ac:dyDescent="0.15">
      <c r="A138" s="13"/>
      <c r="B138" s="14"/>
      <c r="C138" s="14"/>
      <c r="D138" s="15"/>
      <c r="E138" s="14"/>
      <c r="F138" s="13"/>
    </row>
    <row r="139" spans="1:6" ht="20.100000000000001" customHeight="1" x14ac:dyDescent="0.15">
      <c r="A139" s="13"/>
      <c r="B139" s="14"/>
      <c r="C139" s="14"/>
      <c r="D139" s="15"/>
      <c r="E139" s="14"/>
      <c r="F139" s="13"/>
    </row>
    <row r="140" spans="1:6" ht="20.100000000000001" customHeight="1" x14ac:dyDescent="0.15">
      <c r="A140" s="13"/>
      <c r="B140" s="14"/>
      <c r="C140" s="14"/>
      <c r="D140" s="15"/>
      <c r="E140" s="14"/>
      <c r="F140" s="13"/>
    </row>
    <row r="141" spans="1:6" ht="20.100000000000001" customHeight="1" x14ac:dyDescent="0.15">
      <c r="A141" s="13"/>
      <c r="B141" s="14"/>
      <c r="C141" s="14"/>
      <c r="D141" s="15"/>
      <c r="E141" s="14"/>
      <c r="F141" s="13"/>
    </row>
    <row r="142" spans="1:6" ht="20.100000000000001" customHeight="1" x14ac:dyDescent="0.15">
      <c r="A142" s="13"/>
      <c r="B142" s="14"/>
      <c r="C142" s="14"/>
      <c r="D142" s="15"/>
      <c r="E142" s="14"/>
      <c r="F142" s="13"/>
    </row>
    <row r="143" spans="1:6" ht="20.100000000000001" customHeight="1" x14ac:dyDescent="0.15">
      <c r="A143" s="13"/>
      <c r="B143" s="14"/>
      <c r="C143" s="14"/>
      <c r="D143" s="15"/>
      <c r="E143" s="14"/>
      <c r="F143" s="13"/>
    </row>
    <row r="144" spans="1:6" ht="20.100000000000001" customHeight="1" x14ac:dyDescent="0.15">
      <c r="A144" s="13"/>
      <c r="B144" s="14"/>
      <c r="C144" s="14"/>
      <c r="D144" s="15"/>
      <c r="E144" s="14"/>
      <c r="F144" s="13"/>
    </row>
    <row r="145" spans="1:6" ht="20.100000000000001" customHeight="1" x14ac:dyDescent="0.15">
      <c r="A145" s="13"/>
      <c r="B145" s="14"/>
      <c r="C145" s="14"/>
      <c r="D145" s="15"/>
      <c r="E145" s="14"/>
      <c r="F145" s="13"/>
    </row>
    <row r="146" spans="1:6" ht="20.100000000000001" customHeight="1" x14ac:dyDescent="0.15">
      <c r="A146" s="13"/>
      <c r="B146" s="14"/>
      <c r="C146" s="14"/>
      <c r="D146" s="15"/>
      <c r="E146" s="14"/>
      <c r="F146" s="13"/>
    </row>
    <row r="147" spans="1:6" ht="20.100000000000001" customHeight="1" x14ac:dyDescent="0.15">
      <c r="A147" s="13"/>
      <c r="B147" s="14"/>
      <c r="C147" s="14"/>
      <c r="D147" s="15"/>
      <c r="E147" s="14"/>
      <c r="F147" s="13"/>
    </row>
    <row r="148" spans="1:6" ht="20.100000000000001" customHeight="1" x14ac:dyDescent="0.15">
      <c r="A148" s="13"/>
      <c r="B148" s="14"/>
      <c r="C148" s="14"/>
      <c r="D148" s="15"/>
      <c r="E148" s="14"/>
      <c r="F148" s="13"/>
    </row>
    <row r="149" spans="1:6" ht="20.100000000000001" customHeight="1" x14ac:dyDescent="0.15">
      <c r="A149" s="13"/>
      <c r="B149" s="14"/>
      <c r="C149" s="14"/>
      <c r="D149" s="15"/>
      <c r="E149" s="14"/>
      <c r="F149" s="13"/>
    </row>
    <row r="150" spans="1:6" ht="20.100000000000001" customHeight="1" x14ac:dyDescent="0.15">
      <c r="A150" s="13"/>
      <c r="B150" s="14"/>
      <c r="C150" s="14"/>
      <c r="D150" s="15"/>
      <c r="E150" s="14"/>
      <c r="F150" s="13"/>
    </row>
    <row r="151" spans="1:6" ht="20.100000000000001" customHeight="1" x14ac:dyDescent="0.15">
      <c r="A151" s="13"/>
      <c r="B151" s="14"/>
      <c r="C151" s="14"/>
      <c r="D151" s="15"/>
      <c r="E151" s="14"/>
      <c r="F151" s="13"/>
    </row>
    <row r="152" spans="1:6" ht="20.100000000000001" customHeight="1" x14ac:dyDescent="0.15">
      <c r="A152" s="13"/>
      <c r="B152" s="14"/>
      <c r="C152" s="14"/>
      <c r="D152" s="15"/>
      <c r="E152" s="14"/>
      <c r="F152" s="13"/>
    </row>
    <row r="153" spans="1:6" ht="20.100000000000001" customHeight="1" x14ac:dyDescent="0.15">
      <c r="A153" s="13"/>
      <c r="B153" s="14"/>
      <c r="C153" s="14"/>
      <c r="D153" s="15"/>
      <c r="E153" s="14"/>
      <c r="F153" s="13"/>
    </row>
    <row r="154" spans="1:6" ht="20.100000000000001" customHeight="1" x14ac:dyDescent="0.15">
      <c r="A154" s="13"/>
      <c r="B154" s="14"/>
      <c r="C154" s="14"/>
      <c r="D154" s="15"/>
      <c r="E154" s="14"/>
      <c r="F154" s="13"/>
    </row>
    <row r="155" spans="1:6" ht="20.100000000000001" customHeight="1" x14ac:dyDescent="0.15">
      <c r="A155" s="13"/>
      <c r="B155" s="14"/>
      <c r="C155" s="14"/>
      <c r="D155" s="15"/>
      <c r="E155" s="14"/>
      <c r="F155" s="13"/>
    </row>
    <row r="156" spans="1:6" ht="20.100000000000001" customHeight="1" x14ac:dyDescent="0.15">
      <c r="A156" s="13"/>
      <c r="B156" s="14"/>
      <c r="C156" s="14"/>
      <c r="D156" s="15"/>
      <c r="E156" s="14"/>
      <c r="F156" s="13"/>
    </row>
    <row r="157" spans="1:6" ht="20.100000000000001" customHeight="1" x14ac:dyDescent="0.15">
      <c r="A157" s="13"/>
      <c r="B157" s="14"/>
      <c r="C157" s="14"/>
      <c r="D157" s="15"/>
      <c r="E157" s="14"/>
      <c r="F157" s="13"/>
    </row>
    <row r="158" spans="1:6" ht="20.100000000000001" customHeight="1" x14ac:dyDescent="0.15">
      <c r="A158" s="13"/>
      <c r="B158" s="14"/>
      <c r="C158" s="14"/>
      <c r="D158" s="15"/>
      <c r="E158" s="14"/>
      <c r="F158" s="13"/>
    </row>
    <row r="159" spans="1:6" ht="20.100000000000001" customHeight="1" x14ac:dyDescent="0.15">
      <c r="A159" s="13"/>
      <c r="B159" s="14"/>
      <c r="C159" s="14"/>
      <c r="D159" s="15"/>
      <c r="E159" s="14"/>
      <c r="F159" s="13"/>
    </row>
    <row r="160" spans="1:6" ht="20.100000000000001" customHeight="1" x14ac:dyDescent="0.15">
      <c r="A160" s="13"/>
      <c r="B160" s="14"/>
      <c r="C160" s="14"/>
      <c r="D160" s="15"/>
      <c r="E160" s="14"/>
      <c r="F160" s="13"/>
    </row>
    <row r="161" spans="1:6" ht="20.100000000000001" customHeight="1" x14ac:dyDescent="0.15">
      <c r="A161" s="13"/>
      <c r="B161" s="14"/>
      <c r="C161" s="14"/>
      <c r="D161" s="15"/>
      <c r="E161" s="14"/>
      <c r="F161" s="13"/>
    </row>
    <row r="162" spans="1:6" ht="20.100000000000001" customHeight="1" x14ac:dyDescent="0.15">
      <c r="A162" s="13"/>
      <c r="B162" s="14"/>
      <c r="C162" s="14"/>
      <c r="D162" s="15"/>
      <c r="E162" s="14"/>
      <c r="F162" s="13"/>
    </row>
    <row r="163" spans="1:6" ht="20.100000000000001" customHeight="1" x14ac:dyDescent="0.15">
      <c r="A163" s="13"/>
      <c r="B163" s="14"/>
      <c r="C163" s="14"/>
      <c r="D163" s="15"/>
      <c r="E163" s="14"/>
      <c r="F163" s="13"/>
    </row>
    <row r="164" spans="1:6" ht="20.100000000000001" customHeight="1" x14ac:dyDescent="0.15">
      <c r="A164" s="13"/>
      <c r="B164" s="14"/>
      <c r="C164" s="14"/>
      <c r="D164" s="15"/>
      <c r="E164" s="14"/>
      <c r="F164" s="13"/>
    </row>
    <row r="165" spans="1:6" ht="20.100000000000001" customHeight="1" x14ac:dyDescent="0.15">
      <c r="A165" s="13"/>
      <c r="B165" s="14"/>
      <c r="C165" s="14"/>
      <c r="D165" s="15"/>
      <c r="E165" s="14"/>
      <c r="F165" s="13"/>
    </row>
    <row r="166" spans="1:6" ht="20.100000000000001" customHeight="1" x14ac:dyDescent="0.15">
      <c r="A166" s="13"/>
      <c r="B166" s="14"/>
      <c r="C166" s="14"/>
      <c r="D166" s="15"/>
      <c r="E166" s="14"/>
      <c r="F166" s="13"/>
    </row>
    <row r="167" spans="1:6" ht="20.100000000000001" customHeight="1" x14ac:dyDescent="0.15">
      <c r="A167" s="13"/>
      <c r="B167" s="14"/>
      <c r="C167" s="14"/>
      <c r="D167" s="15"/>
      <c r="E167" s="14"/>
      <c r="F167" s="13"/>
    </row>
    <row r="168" spans="1:6" ht="20.100000000000001" customHeight="1" x14ac:dyDescent="0.15">
      <c r="A168" s="13"/>
      <c r="B168" s="14"/>
      <c r="C168" s="14"/>
      <c r="D168" s="15"/>
      <c r="E168" s="14"/>
      <c r="F168" s="13"/>
    </row>
    <row r="169" spans="1:6" ht="20.100000000000001" customHeight="1" x14ac:dyDescent="0.15">
      <c r="A169" s="13"/>
      <c r="B169" s="14"/>
      <c r="C169" s="14"/>
      <c r="D169" s="15"/>
      <c r="E169" s="14"/>
      <c r="F169" s="13"/>
    </row>
    <row r="170" spans="1:6" ht="20.100000000000001" customHeight="1" x14ac:dyDescent="0.15">
      <c r="A170" s="13"/>
      <c r="B170" s="14"/>
      <c r="C170" s="14"/>
      <c r="D170" s="15"/>
      <c r="E170" s="14"/>
      <c r="F170" s="13"/>
    </row>
    <row r="171" spans="1:6" ht="20.100000000000001" customHeight="1" x14ac:dyDescent="0.15">
      <c r="A171" s="13"/>
      <c r="B171" s="14"/>
      <c r="C171" s="14"/>
      <c r="D171" s="15"/>
      <c r="E171" s="14"/>
      <c r="F171" s="13"/>
    </row>
    <row r="172" spans="1:6" ht="20.100000000000001" customHeight="1" x14ac:dyDescent="0.15">
      <c r="A172" s="13"/>
      <c r="B172" s="14"/>
      <c r="C172" s="14"/>
      <c r="D172" s="15"/>
      <c r="E172" s="14"/>
      <c r="F172" s="13"/>
    </row>
    <row r="173" spans="1:6" ht="20.100000000000001" customHeight="1" x14ac:dyDescent="0.15">
      <c r="A173" s="13"/>
      <c r="B173" s="14"/>
      <c r="C173" s="14"/>
      <c r="D173" s="15"/>
      <c r="E173" s="14"/>
      <c r="F173" s="13"/>
    </row>
    <row r="174" spans="1:6" ht="20.100000000000001" customHeight="1" x14ac:dyDescent="0.15">
      <c r="A174" s="13"/>
      <c r="B174" s="14"/>
      <c r="C174" s="14"/>
      <c r="D174" s="15"/>
      <c r="E174" s="14"/>
      <c r="F174" s="13"/>
    </row>
    <row r="175" spans="1:6" ht="20.100000000000001" customHeight="1" x14ac:dyDescent="0.15">
      <c r="A175" s="13"/>
      <c r="B175" s="14"/>
      <c r="C175" s="14"/>
      <c r="D175" s="15"/>
      <c r="E175" s="14"/>
      <c r="F175" s="13"/>
    </row>
    <row r="176" spans="1:6" ht="20.100000000000001" customHeight="1" x14ac:dyDescent="0.15">
      <c r="A176" s="13"/>
      <c r="B176" s="14"/>
      <c r="C176" s="14"/>
      <c r="D176" s="15"/>
      <c r="E176" s="14"/>
      <c r="F176" s="13"/>
    </row>
    <row r="177" spans="1:6" ht="20.100000000000001" customHeight="1" x14ac:dyDescent="0.15">
      <c r="A177" s="13"/>
      <c r="B177" s="14"/>
      <c r="C177" s="14"/>
      <c r="D177" s="15"/>
      <c r="E177" s="14"/>
      <c r="F177" s="13"/>
    </row>
    <row r="178" spans="1:6" ht="20.100000000000001" customHeight="1" x14ac:dyDescent="0.15">
      <c r="A178" s="13"/>
      <c r="B178" s="14"/>
      <c r="C178" s="14"/>
      <c r="D178" s="15"/>
      <c r="E178" s="14"/>
      <c r="F178" s="13"/>
    </row>
    <row r="179" spans="1:6" ht="20.100000000000001" customHeight="1" x14ac:dyDescent="0.15">
      <c r="A179" s="13"/>
      <c r="B179" s="14"/>
      <c r="C179" s="14"/>
      <c r="D179" s="15"/>
      <c r="E179" s="14"/>
      <c r="F179" s="13"/>
    </row>
    <row r="180" spans="1:6" ht="20.100000000000001" customHeight="1" x14ac:dyDescent="0.15">
      <c r="A180" s="13"/>
      <c r="B180" s="14"/>
      <c r="C180" s="14"/>
      <c r="D180" s="15"/>
      <c r="E180" s="14"/>
      <c r="F180" s="13"/>
    </row>
    <row r="181" spans="1:6" ht="20.100000000000001" customHeight="1" x14ac:dyDescent="0.15">
      <c r="A181" s="13"/>
      <c r="B181" s="14"/>
      <c r="C181" s="14"/>
      <c r="D181" s="15"/>
      <c r="E181" s="14"/>
      <c r="F181" s="13"/>
    </row>
    <row r="182" spans="1:6" ht="20.100000000000001" customHeight="1" x14ac:dyDescent="0.15">
      <c r="A182" s="13"/>
      <c r="B182" s="14"/>
      <c r="C182" s="14"/>
      <c r="D182" s="15"/>
      <c r="E182" s="14"/>
      <c r="F182" s="13"/>
    </row>
    <row r="183" spans="1:6" ht="20.100000000000001" customHeight="1" x14ac:dyDescent="0.15">
      <c r="A183" s="13"/>
      <c r="B183" s="14"/>
      <c r="C183" s="14"/>
      <c r="D183" s="15"/>
      <c r="E183" s="14"/>
      <c r="F183" s="13"/>
    </row>
    <row r="184" spans="1:6" ht="20.100000000000001" customHeight="1" x14ac:dyDescent="0.15">
      <c r="A184" s="13"/>
      <c r="B184" s="14"/>
      <c r="C184" s="14"/>
      <c r="D184" s="15"/>
      <c r="E184" s="14"/>
      <c r="F184" s="13"/>
    </row>
    <row r="185" spans="1:6" ht="20.100000000000001" customHeight="1" x14ac:dyDescent="0.15">
      <c r="A185" s="13"/>
      <c r="B185" s="14"/>
      <c r="C185" s="14"/>
      <c r="D185" s="15"/>
      <c r="E185" s="14"/>
      <c r="F185" s="13"/>
    </row>
    <row r="186" spans="1:6" ht="20.100000000000001" customHeight="1" x14ac:dyDescent="0.15">
      <c r="A186" s="13"/>
      <c r="B186" s="14"/>
      <c r="C186" s="14"/>
      <c r="D186" s="15"/>
      <c r="E186" s="14"/>
      <c r="F186" s="13"/>
    </row>
    <row r="187" spans="1:6" ht="20.100000000000001" customHeight="1" x14ac:dyDescent="0.15">
      <c r="A187" s="13"/>
      <c r="B187" s="14"/>
      <c r="C187" s="14"/>
      <c r="D187" s="15"/>
      <c r="E187" s="14"/>
      <c r="F187" s="13"/>
    </row>
    <row r="188" spans="1:6" ht="20.100000000000001" customHeight="1" x14ac:dyDescent="0.15">
      <c r="A188" s="13"/>
      <c r="B188" s="14"/>
      <c r="C188" s="14"/>
      <c r="D188" s="15"/>
      <c r="E188" s="14"/>
      <c r="F188" s="13"/>
    </row>
    <row r="189" spans="1:6" ht="20.100000000000001" customHeight="1" x14ac:dyDescent="0.15">
      <c r="A189" s="13"/>
      <c r="B189" s="14"/>
      <c r="C189" s="14"/>
      <c r="D189" s="15"/>
      <c r="E189" s="14"/>
      <c r="F189" s="13"/>
    </row>
    <row r="190" spans="1:6" ht="20.100000000000001" customHeight="1" x14ac:dyDescent="0.15">
      <c r="A190" s="13"/>
      <c r="B190" s="14"/>
      <c r="C190" s="14"/>
      <c r="D190" s="15"/>
      <c r="E190" s="14"/>
      <c r="F190" s="13"/>
    </row>
    <row r="191" spans="1:6" ht="20.100000000000001" customHeight="1" x14ac:dyDescent="0.15">
      <c r="A191" s="13"/>
      <c r="B191" s="14"/>
      <c r="C191" s="14"/>
      <c r="D191" s="15"/>
      <c r="E191" s="14"/>
      <c r="F191" s="13"/>
    </row>
    <row r="192" spans="1:6" ht="20.100000000000001" customHeight="1" x14ac:dyDescent="0.15">
      <c r="A192" s="13"/>
      <c r="B192" s="14"/>
      <c r="C192" s="14"/>
      <c r="D192" s="15"/>
      <c r="E192" s="14"/>
      <c r="F192" s="13"/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7" style="1" customWidth="1"/>
    <col min="2" max="2" width="24.625" style="1" customWidth="1"/>
    <col min="3" max="3" width="15.375" style="1" customWidth="1"/>
    <col min="4" max="4" width="9.625" style="1" customWidth="1"/>
    <col min="5" max="5" width="8" style="1" customWidth="1"/>
    <col min="6" max="6" width="13.125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3.950000000000003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"30482021060114212063658"</f>
        <v>30482021060114212063658</v>
      </c>
      <c r="C4" s="6" t="s">
        <v>209</v>
      </c>
      <c r="D4" s="6" t="str">
        <f>"孙涛涛"</f>
        <v>孙涛涛</v>
      </c>
      <c r="E4" s="6" t="str">
        <f>"女"</f>
        <v>女</v>
      </c>
      <c r="F4" s="7" t="s">
        <v>210</v>
      </c>
    </row>
    <row r="5" spans="1:6" ht="20.100000000000001" customHeight="1" x14ac:dyDescent="0.15">
      <c r="A5" s="5">
        <v>2</v>
      </c>
      <c r="B5" s="6" t="str">
        <f>"30482021060114562564084"</f>
        <v>30482021060114562564084</v>
      </c>
      <c r="C5" s="6" t="s">
        <v>209</v>
      </c>
      <c r="D5" s="6" t="str">
        <f>"陈献秀"</f>
        <v>陈献秀</v>
      </c>
      <c r="E5" s="6" t="str">
        <f t="shared" ref="E5:E10" si="0">"男"</f>
        <v>男</v>
      </c>
      <c r="F5" s="7" t="s">
        <v>211</v>
      </c>
    </row>
    <row r="6" spans="1:6" ht="20.100000000000001" customHeight="1" x14ac:dyDescent="0.15">
      <c r="A6" s="5">
        <v>3</v>
      </c>
      <c r="B6" s="6" t="str">
        <f>"30482021060115240864442"</f>
        <v>30482021060115240864442</v>
      </c>
      <c r="C6" s="6" t="s">
        <v>209</v>
      </c>
      <c r="D6" s="6" t="str">
        <f>"徐邦宇"</f>
        <v>徐邦宇</v>
      </c>
      <c r="E6" s="6" t="str">
        <f t="shared" si="0"/>
        <v>男</v>
      </c>
      <c r="F6" s="7" t="s">
        <v>212</v>
      </c>
    </row>
    <row r="7" spans="1:6" ht="20.100000000000001" customHeight="1" x14ac:dyDescent="0.15">
      <c r="A7" s="5">
        <v>4</v>
      </c>
      <c r="B7" s="6" t="str">
        <f>"30482021060115595264887"</f>
        <v>30482021060115595264887</v>
      </c>
      <c r="C7" s="6" t="s">
        <v>209</v>
      </c>
      <c r="D7" s="6" t="str">
        <f>"卢佳宁"</f>
        <v>卢佳宁</v>
      </c>
      <c r="E7" s="6" t="str">
        <f t="shared" ref="E7:E13" si="1">"女"</f>
        <v>女</v>
      </c>
      <c r="F7" s="7" t="s">
        <v>213</v>
      </c>
    </row>
    <row r="8" spans="1:6" ht="20.100000000000001" customHeight="1" x14ac:dyDescent="0.15">
      <c r="A8" s="5">
        <v>5</v>
      </c>
      <c r="B8" s="6" t="str">
        <f>"30482021060120532768357"</f>
        <v>30482021060120532768357</v>
      </c>
      <c r="C8" s="6" t="s">
        <v>209</v>
      </c>
      <c r="D8" s="6" t="str">
        <f>"付连连"</f>
        <v>付连连</v>
      </c>
      <c r="E8" s="6" t="str">
        <f t="shared" si="0"/>
        <v>男</v>
      </c>
      <c r="F8" s="7" t="s">
        <v>214</v>
      </c>
    </row>
    <row r="9" spans="1:6" ht="20.100000000000001" customHeight="1" x14ac:dyDescent="0.15">
      <c r="A9" s="5">
        <v>6</v>
      </c>
      <c r="B9" s="6" t="str">
        <f>"30482021060122282369858"</f>
        <v>30482021060122282369858</v>
      </c>
      <c r="C9" s="6" t="s">
        <v>209</v>
      </c>
      <c r="D9" s="6" t="str">
        <f>"杨旭"</f>
        <v>杨旭</v>
      </c>
      <c r="E9" s="6" t="str">
        <f t="shared" si="0"/>
        <v>男</v>
      </c>
      <c r="F9" s="7" t="s">
        <v>215</v>
      </c>
    </row>
    <row r="10" spans="1:6" ht="20.100000000000001" customHeight="1" x14ac:dyDescent="0.15">
      <c r="A10" s="5">
        <v>7</v>
      </c>
      <c r="B10" s="6" t="str">
        <f>"30482021060210282172252"</f>
        <v>30482021060210282172252</v>
      </c>
      <c r="C10" s="6" t="s">
        <v>209</v>
      </c>
      <c r="D10" s="6" t="str">
        <f>"吴全珍"</f>
        <v>吴全珍</v>
      </c>
      <c r="E10" s="6" t="str">
        <f t="shared" si="0"/>
        <v>男</v>
      </c>
      <c r="F10" s="7" t="s">
        <v>216</v>
      </c>
    </row>
    <row r="11" spans="1:6" ht="20.100000000000001" customHeight="1" x14ac:dyDescent="0.15">
      <c r="A11" s="5">
        <v>8</v>
      </c>
      <c r="B11" s="6" t="str">
        <f>"30482021060215273274868"</f>
        <v>30482021060215273274868</v>
      </c>
      <c r="C11" s="6" t="s">
        <v>209</v>
      </c>
      <c r="D11" s="6" t="str">
        <f>"王梦楠"</f>
        <v>王梦楠</v>
      </c>
      <c r="E11" s="6" t="str">
        <f t="shared" si="1"/>
        <v>女</v>
      </c>
      <c r="F11" s="7" t="s">
        <v>217</v>
      </c>
    </row>
    <row r="12" spans="1:6" ht="20.100000000000001" customHeight="1" x14ac:dyDescent="0.15">
      <c r="A12" s="5">
        <v>9</v>
      </c>
      <c r="B12" s="6" t="str">
        <f>"30482021060219402177025"</f>
        <v>30482021060219402177025</v>
      </c>
      <c r="C12" s="6" t="s">
        <v>209</v>
      </c>
      <c r="D12" s="6" t="str">
        <f>"李雪梅"</f>
        <v>李雪梅</v>
      </c>
      <c r="E12" s="6" t="str">
        <f t="shared" si="1"/>
        <v>女</v>
      </c>
      <c r="F12" s="7" t="s">
        <v>218</v>
      </c>
    </row>
    <row r="13" spans="1:6" ht="20.100000000000001" customHeight="1" x14ac:dyDescent="0.15">
      <c r="A13" s="5">
        <v>10</v>
      </c>
      <c r="B13" s="6" t="str">
        <f>"30482021060221303577959"</f>
        <v>30482021060221303577959</v>
      </c>
      <c r="C13" s="6" t="s">
        <v>209</v>
      </c>
      <c r="D13" s="6" t="str">
        <f>"李皓敏"</f>
        <v>李皓敏</v>
      </c>
      <c r="E13" s="6" t="str">
        <f t="shared" si="1"/>
        <v>女</v>
      </c>
      <c r="F13" s="7" t="s">
        <v>219</v>
      </c>
    </row>
    <row r="14" spans="1:6" ht="20.100000000000001" customHeight="1" x14ac:dyDescent="0.15">
      <c r="A14" s="5">
        <v>11</v>
      </c>
      <c r="B14" s="6" t="str">
        <f>"30482021060223365578863"</f>
        <v>30482021060223365578863</v>
      </c>
      <c r="C14" s="6" t="s">
        <v>209</v>
      </c>
      <c r="D14" s="6" t="str">
        <f>"姜亮"</f>
        <v>姜亮</v>
      </c>
      <c r="E14" s="6" t="str">
        <f t="shared" ref="E14:E19" si="2">"男"</f>
        <v>男</v>
      </c>
      <c r="F14" s="7" t="s">
        <v>220</v>
      </c>
    </row>
    <row r="15" spans="1:6" ht="20.100000000000001" customHeight="1" x14ac:dyDescent="0.15">
      <c r="A15" s="5">
        <v>12</v>
      </c>
      <c r="B15" s="6" t="str">
        <f>"30482021060223591278960"</f>
        <v>30482021060223591278960</v>
      </c>
      <c r="C15" s="6" t="s">
        <v>209</v>
      </c>
      <c r="D15" s="6" t="str">
        <f>"付楚欣"</f>
        <v>付楚欣</v>
      </c>
      <c r="E15" s="6" t="str">
        <f t="shared" ref="E15:E18" si="3">"女"</f>
        <v>女</v>
      </c>
      <c r="F15" s="7" t="s">
        <v>221</v>
      </c>
    </row>
    <row r="16" spans="1:6" ht="20.100000000000001" customHeight="1" x14ac:dyDescent="0.15">
      <c r="A16" s="5">
        <v>13</v>
      </c>
      <c r="B16" s="6" t="str">
        <f>"30482021060310053580766"</f>
        <v>30482021060310053580766</v>
      </c>
      <c r="C16" s="6" t="s">
        <v>209</v>
      </c>
      <c r="D16" s="6" t="str">
        <f>"袁鹤铭"</f>
        <v>袁鹤铭</v>
      </c>
      <c r="E16" s="6" t="str">
        <f t="shared" si="2"/>
        <v>男</v>
      </c>
      <c r="F16" s="7" t="s">
        <v>222</v>
      </c>
    </row>
    <row r="17" spans="1:6" ht="20.100000000000001" customHeight="1" x14ac:dyDescent="0.15">
      <c r="A17" s="5">
        <v>14</v>
      </c>
      <c r="B17" s="6" t="str">
        <f>"30482021060311002881668"</f>
        <v>30482021060311002881668</v>
      </c>
      <c r="C17" s="6" t="s">
        <v>209</v>
      </c>
      <c r="D17" s="6" t="str">
        <f>"赵丹"</f>
        <v>赵丹</v>
      </c>
      <c r="E17" s="6" t="str">
        <f t="shared" si="3"/>
        <v>女</v>
      </c>
      <c r="F17" s="7" t="s">
        <v>223</v>
      </c>
    </row>
    <row r="18" spans="1:6" ht="20.100000000000001" customHeight="1" x14ac:dyDescent="0.15">
      <c r="A18" s="5">
        <v>15</v>
      </c>
      <c r="B18" s="6" t="str">
        <f>"30482021060314411683837"</f>
        <v>30482021060314411683837</v>
      </c>
      <c r="C18" s="6" t="s">
        <v>209</v>
      </c>
      <c r="D18" s="6" t="str">
        <f>"张海文"</f>
        <v>张海文</v>
      </c>
      <c r="E18" s="6" t="str">
        <f t="shared" si="3"/>
        <v>女</v>
      </c>
      <c r="F18" s="7" t="s">
        <v>224</v>
      </c>
    </row>
    <row r="19" spans="1:6" ht="20.100000000000001" customHeight="1" x14ac:dyDescent="0.15">
      <c r="A19" s="5">
        <v>16</v>
      </c>
      <c r="B19" s="6" t="str">
        <f>"30482021060316184185103"</f>
        <v>30482021060316184185103</v>
      </c>
      <c r="C19" s="6" t="s">
        <v>209</v>
      </c>
      <c r="D19" s="6" t="str">
        <f>"李桦桂"</f>
        <v>李桦桂</v>
      </c>
      <c r="E19" s="6" t="str">
        <f t="shared" si="2"/>
        <v>男</v>
      </c>
      <c r="F19" s="7" t="s">
        <v>104</v>
      </c>
    </row>
    <row r="20" spans="1:6" ht="20.100000000000001" customHeight="1" x14ac:dyDescent="0.15">
      <c r="A20" s="5">
        <v>17</v>
      </c>
      <c r="B20" s="6" t="str">
        <f>"304820210605002303100017"</f>
        <v>304820210605002303100017</v>
      </c>
      <c r="C20" s="6" t="s">
        <v>209</v>
      </c>
      <c r="D20" s="6" t="str">
        <f>"陈永妃"</f>
        <v>陈永妃</v>
      </c>
      <c r="E20" s="6" t="str">
        <f t="shared" ref="E20:E25" si="4">"女"</f>
        <v>女</v>
      </c>
      <c r="F20" s="7" t="s">
        <v>225</v>
      </c>
    </row>
    <row r="21" spans="1:6" ht="20.100000000000001" customHeight="1" x14ac:dyDescent="0.15">
      <c r="A21" s="5">
        <v>18</v>
      </c>
      <c r="B21" s="6" t="str">
        <f>"304820210605183350101755"</f>
        <v>304820210605183350101755</v>
      </c>
      <c r="C21" s="6" t="s">
        <v>209</v>
      </c>
      <c r="D21" s="6" t="str">
        <f>"张巾杰"</f>
        <v>张巾杰</v>
      </c>
      <c r="E21" s="6" t="str">
        <f t="shared" si="4"/>
        <v>女</v>
      </c>
      <c r="F21" s="7" t="s">
        <v>226</v>
      </c>
    </row>
    <row r="22" spans="1:6" ht="20.100000000000001" customHeight="1" x14ac:dyDescent="0.15">
      <c r="A22" s="5">
        <v>19</v>
      </c>
      <c r="B22" s="6" t="str">
        <f>"304820210606121741103362"</f>
        <v>304820210606121741103362</v>
      </c>
      <c r="C22" s="6" t="s">
        <v>209</v>
      </c>
      <c r="D22" s="6" t="str">
        <f>"赵宇航"</f>
        <v>赵宇航</v>
      </c>
      <c r="E22" s="6" t="str">
        <f>"男"</f>
        <v>男</v>
      </c>
      <c r="F22" s="7" t="s">
        <v>227</v>
      </c>
    </row>
    <row r="23" spans="1:6" ht="20.100000000000001" customHeight="1" x14ac:dyDescent="0.15">
      <c r="A23" s="5">
        <v>20</v>
      </c>
      <c r="B23" s="6" t="str">
        <f>"304820210606142821103725"</f>
        <v>304820210606142821103725</v>
      </c>
      <c r="C23" s="6" t="s">
        <v>209</v>
      </c>
      <c r="D23" s="6" t="str">
        <f>"王程"</f>
        <v>王程</v>
      </c>
      <c r="E23" s="6" t="str">
        <f t="shared" si="4"/>
        <v>女</v>
      </c>
      <c r="F23" s="7" t="s">
        <v>228</v>
      </c>
    </row>
    <row r="24" spans="1:6" ht="20.100000000000001" customHeight="1" x14ac:dyDescent="0.15">
      <c r="A24" s="5">
        <v>21</v>
      </c>
      <c r="B24" s="6" t="str">
        <f>"304820210607082141105405"</f>
        <v>304820210607082141105405</v>
      </c>
      <c r="C24" s="6" t="s">
        <v>209</v>
      </c>
      <c r="D24" s="6" t="str">
        <f>"罗宝菊"</f>
        <v>罗宝菊</v>
      </c>
      <c r="E24" s="6" t="str">
        <f t="shared" si="4"/>
        <v>女</v>
      </c>
      <c r="F24" s="7" t="s">
        <v>229</v>
      </c>
    </row>
    <row r="25" spans="1:6" ht="20.100000000000001" customHeight="1" x14ac:dyDescent="0.15">
      <c r="A25" s="5">
        <v>22</v>
      </c>
      <c r="B25" s="6" t="str">
        <f>"304820210607112528106370"</f>
        <v>304820210607112528106370</v>
      </c>
      <c r="C25" s="6" t="s">
        <v>209</v>
      </c>
      <c r="D25" s="6" t="str">
        <f>"张晓月"</f>
        <v>张晓月</v>
      </c>
      <c r="E25" s="6" t="str">
        <f t="shared" si="4"/>
        <v>女</v>
      </c>
      <c r="F25" s="7" t="s">
        <v>230</v>
      </c>
    </row>
    <row r="26" spans="1:6" ht="20.100000000000001" customHeight="1" x14ac:dyDescent="0.15">
      <c r="A26" s="9"/>
      <c r="B26" s="10"/>
      <c r="C26" s="10"/>
      <c r="D26" s="11"/>
      <c r="E26" s="10"/>
      <c r="F26" s="9"/>
    </row>
    <row r="27" spans="1:6" ht="20.100000000000001" customHeight="1" x14ac:dyDescent="0.15">
      <c r="A27" s="9"/>
      <c r="B27" s="10"/>
      <c r="C27" s="10"/>
      <c r="D27" s="11"/>
      <c r="E27" s="10"/>
      <c r="F27" s="9"/>
    </row>
    <row r="28" spans="1:6" ht="20.100000000000001" customHeight="1" x14ac:dyDescent="0.15">
      <c r="A28" s="9"/>
      <c r="B28" s="10"/>
      <c r="C28" s="10"/>
      <c r="D28" s="11"/>
      <c r="E28" s="10"/>
      <c r="F28" s="9"/>
    </row>
    <row r="29" spans="1:6" ht="20.100000000000001" customHeight="1" x14ac:dyDescent="0.15">
      <c r="A29" s="9"/>
      <c r="B29" s="10"/>
      <c r="C29" s="10"/>
      <c r="D29" s="11"/>
      <c r="E29" s="10"/>
      <c r="F29" s="9"/>
    </row>
    <row r="30" spans="1:6" ht="20.100000000000001" customHeight="1" x14ac:dyDescent="0.15">
      <c r="A30" s="9"/>
      <c r="B30" s="10"/>
      <c r="C30" s="10"/>
      <c r="D30" s="11"/>
      <c r="E30" s="10"/>
      <c r="F30" s="9"/>
    </row>
    <row r="31" spans="1:6" ht="20.100000000000001" customHeight="1" x14ac:dyDescent="0.15">
      <c r="A31" s="9"/>
      <c r="B31" s="10"/>
      <c r="C31" s="10"/>
      <c r="D31" s="11"/>
      <c r="E31" s="10"/>
      <c r="F31" s="9"/>
    </row>
    <row r="32" spans="1:6" ht="20.100000000000001" customHeight="1" x14ac:dyDescent="0.15">
      <c r="A32" s="9"/>
      <c r="B32" s="10"/>
      <c r="C32" s="10"/>
      <c r="D32" s="11"/>
      <c r="E32" s="10"/>
      <c r="F32" s="9"/>
    </row>
    <row r="33" spans="1:6" ht="20.100000000000001" customHeight="1" x14ac:dyDescent="0.15">
      <c r="A33" s="9"/>
      <c r="B33" s="10"/>
      <c r="C33" s="10"/>
      <c r="D33" s="11"/>
      <c r="E33" s="10"/>
      <c r="F33" s="9"/>
    </row>
    <row r="34" spans="1:6" ht="20.100000000000001" customHeight="1" x14ac:dyDescent="0.15">
      <c r="A34" s="9"/>
      <c r="B34" s="10"/>
      <c r="C34" s="10"/>
      <c r="D34" s="11"/>
      <c r="E34" s="10"/>
      <c r="F34" s="9"/>
    </row>
    <row r="35" spans="1:6" ht="20.100000000000001" customHeight="1" x14ac:dyDescent="0.15">
      <c r="A35" s="9"/>
      <c r="B35" s="10"/>
      <c r="C35" s="10"/>
      <c r="D35" s="11"/>
      <c r="E35" s="10"/>
      <c r="F35" s="9"/>
    </row>
    <row r="36" spans="1:6" ht="20.100000000000001" customHeight="1" x14ac:dyDescent="0.15">
      <c r="A36" s="9"/>
      <c r="B36" s="10"/>
      <c r="C36" s="10"/>
      <c r="D36" s="11"/>
      <c r="E36" s="10"/>
      <c r="F36" s="9"/>
    </row>
    <row r="37" spans="1:6" ht="20.100000000000001" customHeight="1" x14ac:dyDescent="0.15">
      <c r="A37" s="9"/>
      <c r="B37" s="10"/>
      <c r="C37" s="10"/>
      <c r="D37" s="11"/>
      <c r="E37" s="10"/>
      <c r="F37" s="9"/>
    </row>
    <row r="38" spans="1:6" ht="20.100000000000001" customHeight="1" x14ac:dyDescent="0.15">
      <c r="A38" s="9"/>
      <c r="B38" s="10"/>
      <c r="C38" s="10"/>
      <c r="D38" s="11"/>
      <c r="E38" s="10"/>
      <c r="F38" s="9"/>
    </row>
    <row r="39" spans="1:6" ht="20.100000000000001" customHeight="1" x14ac:dyDescent="0.15">
      <c r="A39" s="9"/>
      <c r="B39" s="10"/>
      <c r="C39" s="10"/>
      <c r="D39" s="11"/>
      <c r="E39" s="10"/>
      <c r="F39" s="9"/>
    </row>
    <row r="40" spans="1:6" ht="20.100000000000001" customHeight="1" x14ac:dyDescent="0.15">
      <c r="A40" s="9"/>
      <c r="B40" s="10"/>
      <c r="C40" s="10"/>
      <c r="D40" s="11"/>
      <c r="E40" s="10"/>
      <c r="F40" s="9"/>
    </row>
    <row r="41" spans="1:6" ht="20.100000000000001" customHeight="1" x14ac:dyDescent="0.15">
      <c r="A41" s="9"/>
      <c r="B41" s="10"/>
      <c r="C41" s="10"/>
      <c r="D41" s="11"/>
      <c r="E41" s="10"/>
      <c r="F41" s="9"/>
    </row>
    <row r="42" spans="1:6" ht="20.100000000000001" customHeight="1" x14ac:dyDescent="0.15">
      <c r="A42" s="9"/>
      <c r="B42" s="10"/>
      <c r="C42" s="10"/>
      <c r="D42" s="11"/>
      <c r="E42" s="10"/>
      <c r="F42" s="9"/>
    </row>
    <row r="43" spans="1:6" ht="20.100000000000001" customHeight="1" x14ac:dyDescent="0.15">
      <c r="A43" s="9"/>
      <c r="B43" s="10"/>
      <c r="C43" s="10"/>
      <c r="D43" s="11"/>
      <c r="E43" s="10"/>
      <c r="F43" s="9"/>
    </row>
    <row r="44" spans="1:6" ht="20.100000000000001" customHeight="1" x14ac:dyDescent="0.15">
      <c r="A44" s="9"/>
      <c r="B44" s="10"/>
      <c r="C44" s="10"/>
      <c r="D44" s="11"/>
      <c r="E44" s="10"/>
      <c r="F44" s="9"/>
    </row>
    <row r="45" spans="1:6" ht="20.100000000000001" customHeight="1" x14ac:dyDescent="0.15">
      <c r="A45" s="9"/>
      <c r="B45" s="10"/>
      <c r="C45" s="10"/>
      <c r="D45" s="11"/>
      <c r="E45" s="10"/>
      <c r="F45" s="9"/>
    </row>
    <row r="46" spans="1:6" ht="20.100000000000001" customHeight="1" x14ac:dyDescent="0.15">
      <c r="A46" s="9"/>
      <c r="B46" s="10"/>
      <c r="C46" s="10"/>
      <c r="D46" s="11"/>
      <c r="E46" s="10"/>
      <c r="F46" s="9"/>
    </row>
    <row r="47" spans="1:6" ht="20.100000000000001" customHeight="1" x14ac:dyDescent="0.15">
      <c r="A47" s="9"/>
      <c r="B47" s="10"/>
      <c r="C47" s="10"/>
      <c r="D47" s="11"/>
      <c r="E47" s="10"/>
      <c r="F47" s="9"/>
    </row>
    <row r="48" spans="1:6" ht="20.100000000000001" customHeight="1" x14ac:dyDescent="0.15">
      <c r="A48" s="9"/>
      <c r="B48" s="10"/>
      <c r="C48" s="10"/>
      <c r="D48" s="11"/>
      <c r="E48" s="10"/>
      <c r="F48" s="9"/>
    </row>
    <row r="49" spans="1:6" ht="20.100000000000001" customHeight="1" x14ac:dyDescent="0.15">
      <c r="A49" s="9"/>
      <c r="B49" s="10"/>
      <c r="C49" s="10"/>
      <c r="D49" s="11"/>
      <c r="E49" s="10"/>
      <c r="F49" s="9"/>
    </row>
    <row r="50" spans="1:6" ht="20.100000000000001" customHeight="1" x14ac:dyDescent="0.15">
      <c r="A50" s="9"/>
      <c r="B50" s="10"/>
      <c r="C50" s="10"/>
      <c r="D50" s="11"/>
      <c r="E50" s="10"/>
      <c r="F50" s="9"/>
    </row>
    <row r="51" spans="1:6" ht="20.100000000000001" customHeight="1" x14ac:dyDescent="0.15">
      <c r="A51" s="9"/>
      <c r="B51" s="10"/>
      <c r="C51" s="10"/>
      <c r="D51" s="11"/>
      <c r="E51" s="10"/>
      <c r="F51" s="9"/>
    </row>
    <row r="52" spans="1:6" ht="20.100000000000001" customHeight="1" x14ac:dyDescent="0.15">
      <c r="A52" s="9"/>
      <c r="B52" s="10"/>
      <c r="C52" s="10"/>
      <c r="D52" s="11"/>
      <c r="E52" s="10"/>
      <c r="F52" s="9"/>
    </row>
    <row r="53" spans="1:6" ht="20.100000000000001" customHeight="1" x14ac:dyDescent="0.15">
      <c r="A53" s="9"/>
      <c r="B53" s="10"/>
      <c r="C53" s="10"/>
      <c r="D53" s="11"/>
      <c r="E53" s="10"/>
      <c r="F53" s="9"/>
    </row>
    <row r="54" spans="1:6" ht="20.100000000000001" customHeight="1" x14ac:dyDescent="0.15">
      <c r="A54" s="9"/>
      <c r="B54" s="10"/>
      <c r="C54" s="10"/>
      <c r="D54" s="11"/>
      <c r="E54" s="10"/>
      <c r="F54" s="9"/>
    </row>
    <row r="55" spans="1:6" ht="20.100000000000001" customHeight="1" x14ac:dyDescent="0.15">
      <c r="A55" s="9"/>
      <c r="B55" s="10"/>
      <c r="C55" s="10"/>
      <c r="D55" s="11"/>
      <c r="E55" s="10"/>
      <c r="F55" s="9"/>
    </row>
    <row r="56" spans="1:6" ht="20.100000000000001" customHeight="1" x14ac:dyDescent="0.15">
      <c r="A56" s="9"/>
      <c r="B56" s="10"/>
      <c r="C56" s="10"/>
      <c r="D56" s="11"/>
      <c r="E56" s="10"/>
      <c r="F56" s="9"/>
    </row>
    <row r="57" spans="1:6" ht="20.100000000000001" customHeight="1" x14ac:dyDescent="0.15">
      <c r="A57" s="9"/>
      <c r="B57" s="10"/>
      <c r="C57" s="10"/>
      <c r="D57" s="11"/>
      <c r="E57" s="10"/>
      <c r="F57" s="9"/>
    </row>
    <row r="58" spans="1:6" ht="20.100000000000001" customHeight="1" x14ac:dyDescent="0.15">
      <c r="A58" s="9"/>
      <c r="B58" s="10"/>
      <c r="C58" s="10"/>
      <c r="D58" s="11"/>
      <c r="E58" s="10"/>
      <c r="F58" s="9"/>
    </row>
    <row r="59" spans="1:6" ht="20.100000000000001" customHeight="1" x14ac:dyDescent="0.15">
      <c r="A59" s="9"/>
      <c r="B59" s="10"/>
      <c r="C59" s="10"/>
      <c r="D59" s="11"/>
      <c r="E59" s="10"/>
      <c r="F59" s="9"/>
    </row>
    <row r="60" spans="1:6" ht="20.100000000000001" customHeight="1" x14ac:dyDescent="0.15">
      <c r="A60" s="9"/>
      <c r="B60" s="10"/>
      <c r="C60" s="10"/>
      <c r="D60" s="11"/>
      <c r="E60" s="10"/>
      <c r="F60" s="9"/>
    </row>
    <row r="61" spans="1:6" ht="20.100000000000001" customHeight="1" x14ac:dyDescent="0.15">
      <c r="A61" s="9"/>
      <c r="B61" s="10"/>
      <c r="C61" s="10"/>
      <c r="D61" s="11"/>
      <c r="E61" s="10"/>
      <c r="F61" s="9"/>
    </row>
    <row r="62" spans="1:6" ht="20.100000000000001" customHeight="1" x14ac:dyDescent="0.15">
      <c r="A62" s="9"/>
      <c r="B62" s="10"/>
      <c r="C62" s="10"/>
      <c r="D62" s="11"/>
      <c r="E62" s="10"/>
      <c r="F62" s="9"/>
    </row>
    <row r="63" spans="1:6" ht="20.100000000000001" customHeight="1" x14ac:dyDescent="0.15">
      <c r="A63" s="9"/>
      <c r="B63" s="10"/>
      <c r="C63" s="10"/>
      <c r="D63" s="11"/>
      <c r="E63" s="10"/>
      <c r="F63" s="9"/>
    </row>
    <row r="64" spans="1:6" ht="20.100000000000001" customHeight="1" x14ac:dyDescent="0.15">
      <c r="A64" s="9"/>
      <c r="B64" s="10"/>
      <c r="C64" s="10"/>
      <c r="D64" s="11"/>
      <c r="E64" s="10"/>
      <c r="F64" s="9"/>
    </row>
    <row r="65" spans="1:6" ht="20.100000000000001" customHeight="1" x14ac:dyDescent="0.15">
      <c r="A65" s="9"/>
      <c r="B65" s="10"/>
      <c r="C65" s="10"/>
      <c r="D65" s="11"/>
      <c r="E65" s="10"/>
      <c r="F65" s="9"/>
    </row>
    <row r="66" spans="1:6" ht="20.100000000000001" customHeight="1" x14ac:dyDescent="0.15">
      <c r="A66" s="9"/>
      <c r="B66" s="10"/>
      <c r="C66" s="10"/>
      <c r="D66" s="11"/>
      <c r="E66" s="10"/>
      <c r="F66" s="9"/>
    </row>
    <row r="67" spans="1:6" ht="20.100000000000001" customHeight="1" x14ac:dyDescent="0.15">
      <c r="A67" s="9"/>
      <c r="B67" s="10"/>
      <c r="C67" s="10"/>
      <c r="D67" s="11"/>
      <c r="E67" s="10"/>
      <c r="F67" s="9"/>
    </row>
    <row r="68" spans="1:6" ht="20.100000000000001" customHeight="1" x14ac:dyDescent="0.15">
      <c r="A68" s="9"/>
      <c r="B68" s="10"/>
      <c r="C68" s="10"/>
      <c r="D68" s="11"/>
      <c r="E68" s="10"/>
      <c r="F68" s="9"/>
    </row>
    <row r="69" spans="1:6" ht="20.100000000000001" customHeight="1" x14ac:dyDescent="0.15">
      <c r="A69" s="9"/>
      <c r="B69" s="10"/>
      <c r="C69" s="10"/>
      <c r="D69" s="11"/>
      <c r="E69" s="10"/>
      <c r="F69" s="9"/>
    </row>
    <row r="70" spans="1:6" ht="20.100000000000001" customHeight="1" x14ac:dyDescent="0.15">
      <c r="A70" s="9"/>
      <c r="B70" s="10"/>
      <c r="C70" s="10"/>
      <c r="D70" s="11"/>
      <c r="E70" s="10"/>
      <c r="F70" s="9"/>
    </row>
    <row r="71" spans="1:6" ht="20.100000000000001" customHeight="1" x14ac:dyDescent="0.15">
      <c r="A71" s="9"/>
      <c r="B71" s="10"/>
      <c r="C71" s="10"/>
      <c r="D71" s="11"/>
      <c r="E71" s="10"/>
      <c r="F71" s="9"/>
    </row>
    <row r="72" spans="1:6" ht="20.100000000000001" customHeight="1" x14ac:dyDescent="0.15">
      <c r="A72" s="9"/>
      <c r="B72" s="10"/>
      <c r="C72" s="10"/>
      <c r="D72" s="11"/>
      <c r="E72" s="10"/>
      <c r="F72" s="9"/>
    </row>
    <row r="73" spans="1:6" ht="20.100000000000001" customHeight="1" x14ac:dyDescent="0.15">
      <c r="A73" s="9"/>
      <c r="B73" s="10"/>
      <c r="C73" s="10"/>
      <c r="D73" s="11"/>
      <c r="E73" s="10"/>
      <c r="F73" s="9"/>
    </row>
    <row r="74" spans="1:6" ht="20.100000000000001" customHeight="1" x14ac:dyDescent="0.15">
      <c r="A74" s="9"/>
      <c r="B74" s="10"/>
      <c r="C74" s="10"/>
      <c r="D74" s="11"/>
      <c r="E74" s="10"/>
      <c r="F74" s="9"/>
    </row>
    <row r="75" spans="1:6" ht="20.100000000000001" customHeight="1" x14ac:dyDescent="0.15">
      <c r="A75" s="9"/>
      <c r="B75" s="10"/>
      <c r="C75" s="10"/>
      <c r="D75" s="11"/>
      <c r="E75" s="10"/>
      <c r="F75" s="9"/>
    </row>
    <row r="76" spans="1:6" ht="20.100000000000001" customHeight="1" x14ac:dyDescent="0.15">
      <c r="A76" s="9"/>
      <c r="B76" s="10"/>
      <c r="C76" s="10"/>
      <c r="D76" s="11"/>
      <c r="E76" s="10"/>
      <c r="F76" s="9"/>
    </row>
    <row r="77" spans="1:6" ht="20.100000000000001" customHeight="1" x14ac:dyDescent="0.15">
      <c r="A77" s="9"/>
      <c r="B77" s="10"/>
      <c r="C77" s="10"/>
      <c r="D77" s="11"/>
      <c r="E77" s="10"/>
      <c r="F77" s="9"/>
    </row>
    <row r="78" spans="1:6" ht="20.100000000000001" customHeight="1" x14ac:dyDescent="0.15">
      <c r="A78" s="9"/>
      <c r="B78" s="10"/>
      <c r="C78" s="10"/>
      <c r="D78" s="11"/>
      <c r="E78" s="10"/>
      <c r="F78" s="9"/>
    </row>
    <row r="79" spans="1:6" ht="20.100000000000001" customHeight="1" x14ac:dyDescent="0.15">
      <c r="A79" s="9"/>
      <c r="B79" s="10"/>
      <c r="C79" s="10"/>
      <c r="D79" s="11"/>
      <c r="E79" s="10"/>
      <c r="F79" s="9"/>
    </row>
    <row r="80" spans="1:6" ht="20.100000000000001" customHeight="1" x14ac:dyDescent="0.15">
      <c r="A80" s="9"/>
      <c r="B80" s="10"/>
      <c r="C80" s="10"/>
      <c r="D80" s="11"/>
      <c r="E80" s="10"/>
      <c r="F80" s="9"/>
    </row>
    <row r="81" spans="1:6" ht="20.100000000000001" customHeight="1" x14ac:dyDescent="0.15">
      <c r="A81" s="9"/>
      <c r="B81" s="10"/>
      <c r="C81" s="10"/>
      <c r="D81" s="11"/>
      <c r="E81" s="10"/>
      <c r="F81" s="9"/>
    </row>
    <row r="82" spans="1:6" ht="20.100000000000001" customHeight="1" x14ac:dyDescent="0.15">
      <c r="A82" s="9"/>
      <c r="B82" s="10"/>
      <c r="C82" s="10"/>
      <c r="D82" s="11"/>
      <c r="E82" s="10"/>
      <c r="F82" s="9"/>
    </row>
    <row r="83" spans="1:6" ht="20.100000000000001" customHeight="1" x14ac:dyDescent="0.15">
      <c r="A83" s="9"/>
      <c r="B83" s="10"/>
      <c r="C83" s="10"/>
      <c r="D83" s="11"/>
      <c r="E83" s="10"/>
      <c r="F83" s="9"/>
    </row>
    <row r="84" spans="1:6" ht="20.100000000000001" customHeight="1" x14ac:dyDescent="0.15">
      <c r="A84" s="9"/>
      <c r="B84" s="10"/>
      <c r="C84" s="10"/>
      <c r="D84" s="11"/>
      <c r="E84" s="10"/>
      <c r="F84" s="9"/>
    </row>
    <row r="85" spans="1:6" ht="20.100000000000001" customHeight="1" x14ac:dyDescent="0.15">
      <c r="A85" s="9"/>
      <c r="B85" s="10"/>
      <c r="C85" s="10"/>
      <c r="D85" s="11"/>
      <c r="E85" s="10"/>
      <c r="F85" s="9"/>
    </row>
    <row r="86" spans="1:6" ht="20.100000000000001" customHeight="1" x14ac:dyDescent="0.15">
      <c r="A86" s="9"/>
      <c r="B86" s="10"/>
      <c r="C86" s="10"/>
      <c r="D86" s="11"/>
      <c r="E86" s="10"/>
      <c r="F86" s="9"/>
    </row>
    <row r="87" spans="1:6" ht="20.100000000000001" customHeight="1" x14ac:dyDescent="0.15">
      <c r="A87" s="9"/>
      <c r="B87" s="10"/>
      <c r="C87" s="10"/>
      <c r="D87" s="11"/>
      <c r="E87" s="10"/>
      <c r="F87" s="9"/>
    </row>
    <row r="88" spans="1:6" ht="20.100000000000001" customHeight="1" x14ac:dyDescent="0.15">
      <c r="A88" s="9"/>
      <c r="B88" s="10"/>
      <c r="C88" s="10"/>
      <c r="D88" s="11"/>
      <c r="E88" s="10"/>
      <c r="F88" s="9"/>
    </row>
    <row r="89" spans="1:6" ht="20.100000000000001" customHeight="1" x14ac:dyDescent="0.15">
      <c r="A89" s="9"/>
      <c r="B89" s="10"/>
      <c r="C89" s="10"/>
      <c r="D89" s="11"/>
      <c r="E89" s="10"/>
      <c r="F89" s="9"/>
    </row>
    <row r="90" spans="1:6" ht="20.100000000000001" customHeight="1" x14ac:dyDescent="0.15">
      <c r="A90" s="9"/>
      <c r="B90" s="10"/>
      <c r="C90" s="10"/>
      <c r="D90" s="11"/>
      <c r="E90" s="10"/>
      <c r="F90" s="9"/>
    </row>
    <row r="91" spans="1:6" ht="20.100000000000001" customHeight="1" x14ac:dyDescent="0.15">
      <c r="A91" s="9"/>
      <c r="B91" s="10"/>
      <c r="C91" s="10"/>
      <c r="D91" s="11"/>
      <c r="E91" s="10"/>
      <c r="F91" s="9"/>
    </row>
    <row r="92" spans="1:6" ht="20.100000000000001" customHeight="1" x14ac:dyDescent="0.15">
      <c r="A92" s="9"/>
      <c r="B92" s="10"/>
      <c r="C92" s="10"/>
      <c r="D92" s="11"/>
      <c r="E92" s="10"/>
      <c r="F92" s="9"/>
    </row>
    <row r="93" spans="1:6" ht="20.100000000000001" customHeight="1" x14ac:dyDescent="0.15">
      <c r="A93" s="9"/>
      <c r="B93" s="10"/>
      <c r="C93" s="10"/>
      <c r="D93" s="11"/>
      <c r="E93" s="10"/>
      <c r="F93" s="9"/>
    </row>
    <row r="94" spans="1:6" ht="20.100000000000001" customHeight="1" x14ac:dyDescent="0.15">
      <c r="A94" s="9"/>
      <c r="B94" s="10"/>
      <c r="C94" s="10"/>
      <c r="D94" s="11"/>
      <c r="E94" s="10"/>
      <c r="F94" s="9"/>
    </row>
    <row r="95" spans="1:6" ht="20.100000000000001" customHeight="1" x14ac:dyDescent="0.15">
      <c r="A95" s="9"/>
      <c r="B95" s="10"/>
      <c r="C95" s="10"/>
      <c r="D95" s="11"/>
      <c r="E95" s="10"/>
      <c r="F95" s="9"/>
    </row>
    <row r="96" spans="1:6" ht="20.100000000000001" customHeight="1" x14ac:dyDescent="0.15">
      <c r="A96" s="9"/>
      <c r="B96" s="10"/>
      <c r="C96" s="10"/>
      <c r="D96" s="11"/>
      <c r="E96" s="10"/>
      <c r="F96" s="9"/>
    </row>
    <row r="97" spans="1:6" ht="20.100000000000001" customHeight="1" x14ac:dyDescent="0.15">
      <c r="A97" s="9"/>
      <c r="B97" s="10"/>
      <c r="C97" s="10"/>
      <c r="D97" s="11"/>
      <c r="E97" s="10"/>
      <c r="F97" s="9"/>
    </row>
    <row r="98" spans="1:6" ht="20.100000000000001" customHeight="1" x14ac:dyDescent="0.15">
      <c r="A98" s="9"/>
      <c r="B98" s="10"/>
      <c r="C98" s="10"/>
      <c r="D98" s="11"/>
      <c r="E98" s="10"/>
      <c r="F98" s="9"/>
    </row>
    <row r="99" spans="1:6" ht="20.100000000000001" customHeight="1" x14ac:dyDescent="0.15">
      <c r="A99" s="9"/>
      <c r="B99" s="10"/>
      <c r="C99" s="10"/>
      <c r="D99" s="11"/>
      <c r="E99" s="10"/>
      <c r="F99" s="9"/>
    </row>
    <row r="100" spans="1:6" ht="20.100000000000001" customHeight="1" x14ac:dyDescent="0.15">
      <c r="A100" s="9"/>
      <c r="B100" s="10"/>
      <c r="C100" s="10"/>
      <c r="D100" s="11"/>
      <c r="E100" s="10"/>
      <c r="F100" s="9"/>
    </row>
    <row r="101" spans="1:6" ht="20.100000000000001" customHeight="1" x14ac:dyDescent="0.15">
      <c r="A101" s="9"/>
      <c r="B101" s="10"/>
      <c r="C101" s="10"/>
      <c r="D101" s="11"/>
      <c r="E101" s="10"/>
      <c r="F101" s="9"/>
    </row>
    <row r="102" spans="1:6" ht="20.100000000000001" customHeight="1" x14ac:dyDescent="0.15">
      <c r="A102" s="9"/>
      <c r="B102" s="10"/>
      <c r="C102" s="10"/>
      <c r="D102" s="11"/>
      <c r="E102" s="10"/>
      <c r="F102" s="9"/>
    </row>
    <row r="103" spans="1:6" ht="20.100000000000001" customHeight="1" x14ac:dyDescent="0.15">
      <c r="A103" s="9"/>
      <c r="B103" s="10"/>
      <c r="C103" s="10"/>
      <c r="D103" s="11"/>
      <c r="E103" s="10"/>
      <c r="F103" s="9"/>
    </row>
    <row r="104" spans="1:6" ht="20.100000000000001" customHeight="1" x14ac:dyDescent="0.15">
      <c r="A104" s="9"/>
      <c r="B104" s="10"/>
      <c r="C104" s="10"/>
      <c r="D104" s="11"/>
      <c r="E104" s="10"/>
      <c r="F104" s="9"/>
    </row>
    <row r="105" spans="1:6" ht="20.100000000000001" customHeight="1" x14ac:dyDescent="0.15">
      <c r="A105" s="9"/>
      <c r="B105" s="10"/>
      <c r="C105" s="10"/>
      <c r="D105" s="11"/>
      <c r="E105" s="10"/>
      <c r="F105" s="9"/>
    </row>
    <row r="106" spans="1:6" ht="20.100000000000001" customHeight="1" x14ac:dyDescent="0.15">
      <c r="A106" s="9"/>
      <c r="B106" s="10"/>
      <c r="C106" s="10"/>
      <c r="D106" s="11"/>
      <c r="E106" s="10"/>
      <c r="F106" s="9"/>
    </row>
    <row r="107" spans="1:6" ht="20.100000000000001" customHeight="1" x14ac:dyDescent="0.15">
      <c r="A107" s="9"/>
      <c r="B107" s="10"/>
      <c r="C107" s="10"/>
      <c r="D107" s="11"/>
      <c r="E107" s="10"/>
      <c r="F107" s="9"/>
    </row>
    <row r="108" spans="1:6" ht="20.100000000000001" customHeight="1" x14ac:dyDescent="0.15">
      <c r="A108" s="9"/>
      <c r="B108" s="10"/>
      <c r="C108" s="10"/>
      <c r="D108" s="11"/>
      <c r="E108" s="10"/>
      <c r="F108" s="9"/>
    </row>
    <row r="109" spans="1:6" ht="20.100000000000001" customHeight="1" x14ac:dyDescent="0.15">
      <c r="A109" s="9"/>
      <c r="B109" s="10"/>
      <c r="C109" s="10"/>
      <c r="D109" s="11"/>
      <c r="E109" s="10"/>
      <c r="F109" s="9"/>
    </row>
    <row r="110" spans="1:6" ht="20.100000000000001" customHeight="1" x14ac:dyDescent="0.15">
      <c r="A110" s="9"/>
      <c r="B110" s="10"/>
      <c r="C110" s="10"/>
      <c r="D110" s="11"/>
      <c r="E110" s="10"/>
      <c r="F110" s="9"/>
    </row>
    <row r="111" spans="1:6" ht="20.100000000000001" customHeight="1" x14ac:dyDescent="0.15">
      <c r="A111" s="9"/>
      <c r="B111" s="10"/>
      <c r="C111" s="10"/>
      <c r="D111" s="11"/>
      <c r="E111" s="10"/>
      <c r="F111" s="9"/>
    </row>
    <row r="112" spans="1:6" ht="20.100000000000001" customHeight="1" x14ac:dyDescent="0.15">
      <c r="A112" s="9"/>
      <c r="B112" s="10"/>
      <c r="C112" s="10"/>
      <c r="D112" s="11"/>
      <c r="E112" s="10"/>
      <c r="F112" s="9"/>
    </row>
    <row r="113" spans="1:6" ht="20.100000000000001" customHeight="1" x14ac:dyDescent="0.15">
      <c r="A113" s="9"/>
      <c r="B113" s="10"/>
      <c r="C113" s="10"/>
      <c r="D113" s="11"/>
      <c r="E113" s="10"/>
      <c r="F113" s="9"/>
    </row>
    <row r="114" spans="1:6" ht="20.100000000000001" customHeight="1" x14ac:dyDescent="0.15">
      <c r="A114" s="9"/>
      <c r="B114" s="10"/>
      <c r="C114" s="10"/>
      <c r="D114" s="11"/>
      <c r="E114" s="10"/>
      <c r="F114" s="9"/>
    </row>
    <row r="115" spans="1:6" ht="20.100000000000001" customHeight="1" x14ac:dyDescent="0.15">
      <c r="A115" s="9"/>
      <c r="B115" s="10"/>
      <c r="C115" s="10"/>
      <c r="D115" s="11"/>
      <c r="E115" s="10"/>
      <c r="F115" s="9"/>
    </row>
    <row r="116" spans="1:6" ht="20.100000000000001" customHeight="1" x14ac:dyDescent="0.15">
      <c r="A116" s="9"/>
      <c r="B116" s="10"/>
      <c r="C116" s="10"/>
      <c r="D116" s="11"/>
      <c r="E116" s="10"/>
      <c r="F116" s="9"/>
    </row>
    <row r="117" spans="1:6" ht="20.100000000000001" customHeight="1" x14ac:dyDescent="0.15">
      <c r="A117" s="9"/>
      <c r="B117" s="10"/>
      <c r="C117" s="10"/>
      <c r="D117" s="11"/>
      <c r="E117" s="10"/>
      <c r="F117" s="9"/>
    </row>
    <row r="118" spans="1:6" ht="20.100000000000001" customHeight="1" x14ac:dyDescent="0.15">
      <c r="A118" s="9"/>
      <c r="B118" s="10"/>
      <c r="C118" s="10"/>
      <c r="D118" s="11"/>
      <c r="E118" s="10"/>
      <c r="F118" s="9"/>
    </row>
    <row r="119" spans="1:6" ht="20.100000000000001" customHeight="1" x14ac:dyDescent="0.15">
      <c r="A119" s="9"/>
      <c r="B119" s="10"/>
      <c r="C119" s="10"/>
      <c r="D119" s="11"/>
      <c r="E119" s="10"/>
      <c r="F119" s="9"/>
    </row>
    <row r="120" spans="1:6" ht="20.100000000000001" customHeight="1" x14ac:dyDescent="0.15">
      <c r="A120" s="9"/>
      <c r="B120" s="10"/>
      <c r="C120" s="10"/>
      <c r="D120" s="11"/>
      <c r="E120" s="10"/>
      <c r="F120" s="9"/>
    </row>
    <row r="121" spans="1:6" ht="20.100000000000001" customHeight="1" x14ac:dyDescent="0.15">
      <c r="A121" s="9"/>
      <c r="B121" s="10"/>
      <c r="C121" s="10"/>
      <c r="D121" s="11"/>
      <c r="E121" s="10"/>
      <c r="F121" s="9"/>
    </row>
    <row r="122" spans="1:6" ht="20.100000000000001" customHeight="1" x14ac:dyDescent="0.15">
      <c r="A122" s="9"/>
      <c r="B122" s="10"/>
      <c r="C122" s="10"/>
      <c r="D122" s="11"/>
      <c r="E122" s="10"/>
      <c r="F122" s="9"/>
    </row>
    <row r="123" spans="1:6" ht="20.100000000000001" customHeight="1" x14ac:dyDescent="0.15">
      <c r="A123" s="9"/>
      <c r="B123" s="10"/>
      <c r="C123" s="10"/>
      <c r="D123" s="11"/>
      <c r="E123" s="10"/>
      <c r="F123" s="9"/>
    </row>
    <row r="124" spans="1:6" ht="20.100000000000001" customHeight="1" x14ac:dyDescent="0.15">
      <c r="A124" s="9"/>
      <c r="B124" s="10"/>
      <c r="C124" s="10"/>
      <c r="D124" s="11"/>
      <c r="E124" s="10"/>
      <c r="F124" s="9"/>
    </row>
    <row r="125" spans="1:6" ht="20.100000000000001" customHeight="1" x14ac:dyDescent="0.15">
      <c r="A125" s="9"/>
      <c r="B125" s="10"/>
      <c r="C125" s="10"/>
      <c r="D125" s="11"/>
      <c r="E125" s="10"/>
      <c r="F125" s="9"/>
    </row>
    <row r="126" spans="1:6" ht="20.100000000000001" customHeight="1" x14ac:dyDescent="0.15">
      <c r="A126" s="9"/>
      <c r="B126" s="10"/>
      <c r="C126" s="10"/>
      <c r="D126" s="11"/>
      <c r="E126" s="10"/>
      <c r="F126" s="9"/>
    </row>
    <row r="127" spans="1:6" ht="20.100000000000001" customHeight="1" x14ac:dyDescent="0.15">
      <c r="A127" s="9"/>
      <c r="B127" s="10"/>
      <c r="C127" s="10"/>
      <c r="D127" s="11"/>
      <c r="E127" s="10"/>
      <c r="F127" s="9"/>
    </row>
    <row r="128" spans="1:6" ht="20.100000000000001" customHeight="1" x14ac:dyDescent="0.15">
      <c r="A128" s="9"/>
      <c r="B128" s="10"/>
      <c r="C128" s="10"/>
      <c r="D128" s="11"/>
      <c r="E128" s="10"/>
      <c r="F128" s="9"/>
    </row>
    <row r="129" spans="1:6" ht="20.100000000000001" customHeight="1" x14ac:dyDescent="0.15">
      <c r="A129" s="9"/>
      <c r="B129" s="10"/>
      <c r="C129" s="10"/>
      <c r="D129" s="11"/>
      <c r="E129" s="10"/>
      <c r="F129" s="9"/>
    </row>
    <row r="130" spans="1:6" ht="20.100000000000001" customHeight="1" x14ac:dyDescent="0.15">
      <c r="A130" s="9"/>
      <c r="B130" s="10"/>
      <c r="C130" s="10"/>
      <c r="D130" s="11"/>
      <c r="E130" s="10"/>
      <c r="F130" s="9"/>
    </row>
    <row r="131" spans="1:6" ht="20.100000000000001" customHeight="1" x14ac:dyDescent="0.15">
      <c r="A131" s="9"/>
      <c r="B131" s="10"/>
      <c r="C131" s="10"/>
      <c r="D131" s="11"/>
      <c r="E131" s="10"/>
      <c r="F131" s="9"/>
    </row>
    <row r="132" spans="1:6" ht="20.100000000000001" customHeight="1" x14ac:dyDescent="0.15">
      <c r="A132" s="9"/>
      <c r="B132" s="10"/>
      <c r="C132" s="10"/>
      <c r="D132" s="11"/>
      <c r="E132" s="10"/>
      <c r="F132" s="9"/>
    </row>
    <row r="133" spans="1:6" ht="20.100000000000001" customHeight="1" x14ac:dyDescent="0.15">
      <c r="A133" s="9"/>
      <c r="B133" s="10"/>
      <c r="C133" s="10"/>
      <c r="D133" s="11"/>
      <c r="E133" s="10"/>
      <c r="F133" s="9"/>
    </row>
    <row r="134" spans="1:6" ht="20.100000000000001" customHeight="1" x14ac:dyDescent="0.15">
      <c r="A134" s="9"/>
      <c r="B134" s="10"/>
      <c r="C134" s="10"/>
      <c r="D134" s="11"/>
      <c r="E134" s="10"/>
      <c r="F134" s="9"/>
    </row>
    <row r="135" spans="1:6" ht="20.100000000000001" customHeight="1" x14ac:dyDescent="0.15">
      <c r="A135" s="9"/>
      <c r="B135" s="10"/>
      <c r="C135" s="10"/>
      <c r="D135" s="11"/>
      <c r="E135" s="10"/>
      <c r="F135" s="9"/>
    </row>
    <row r="136" spans="1:6" ht="20.100000000000001" customHeight="1" x14ac:dyDescent="0.15">
      <c r="A136" s="9"/>
      <c r="B136" s="10"/>
      <c r="C136" s="10"/>
      <c r="D136" s="11"/>
      <c r="E136" s="10"/>
      <c r="F136" s="9"/>
    </row>
    <row r="137" spans="1:6" ht="20.100000000000001" customHeight="1" x14ac:dyDescent="0.15">
      <c r="A137" s="9"/>
      <c r="B137" s="10"/>
      <c r="C137" s="10"/>
      <c r="D137" s="11"/>
      <c r="E137" s="10"/>
      <c r="F137" s="9"/>
    </row>
    <row r="138" spans="1:6" ht="20.100000000000001" customHeight="1" x14ac:dyDescent="0.15">
      <c r="A138" s="9"/>
      <c r="B138" s="10"/>
      <c r="C138" s="10"/>
      <c r="D138" s="11"/>
      <c r="E138" s="10"/>
      <c r="F138" s="9"/>
    </row>
    <row r="139" spans="1:6" ht="20.100000000000001" customHeight="1" x14ac:dyDescent="0.15">
      <c r="A139" s="9"/>
      <c r="B139" s="10"/>
      <c r="C139" s="10"/>
      <c r="D139" s="11"/>
      <c r="E139" s="10"/>
      <c r="F139" s="9"/>
    </row>
    <row r="140" spans="1:6" ht="20.100000000000001" customHeight="1" x14ac:dyDescent="0.15">
      <c r="A140" s="9"/>
      <c r="B140" s="10"/>
      <c r="C140" s="10"/>
      <c r="D140" s="11"/>
      <c r="E140" s="10"/>
      <c r="F140" s="9"/>
    </row>
    <row r="141" spans="1:6" ht="20.100000000000001" customHeight="1" x14ac:dyDescent="0.15">
      <c r="A141" s="9"/>
      <c r="B141" s="10"/>
      <c r="C141" s="10"/>
      <c r="D141" s="11"/>
      <c r="E141" s="10"/>
      <c r="F141" s="9"/>
    </row>
    <row r="142" spans="1:6" ht="20.100000000000001" customHeight="1" x14ac:dyDescent="0.15">
      <c r="A142" s="9"/>
      <c r="B142" s="10"/>
      <c r="C142" s="10"/>
      <c r="D142" s="11"/>
      <c r="E142" s="10"/>
      <c r="F142" s="9"/>
    </row>
    <row r="143" spans="1:6" ht="20.100000000000001" customHeight="1" x14ac:dyDescent="0.15">
      <c r="A143" s="9"/>
      <c r="B143" s="10"/>
      <c r="C143" s="10"/>
      <c r="D143" s="11"/>
      <c r="E143" s="10"/>
      <c r="F143" s="9"/>
    </row>
    <row r="144" spans="1:6" ht="20.100000000000001" customHeight="1" x14ac:dyDescent="0.15">
      <c r="A144" s="9"/>
      <c r="B144" s="10"/>
      <c r="C144" s="10"/>
      <c r="D144" s="11"/>
      <c r="E144" s="10"/>
      <c r="F144" s="9"/>
    </row>
    <row r="145" spans="1:6" ht="20.100000000000001" customHeight="1" x14ac:dyDescent="0.15">
      <c r="A145" s="9"/>
      <c r="B145" s="10"/>
      <c r="C145" s="10"/>
      <c r="D145" s="11"/>
      <c r="E145" s="10"/>
      <c r="F145" s="9"/>
    </row>
    <row r="146" spans="1:6" ht="20.100000000000001" customHeight="1" x14ac:dyDescent="0.15">
      <c r="A146" s="9"/>
      <c r="B146" s="10"/>
      <c r="C146" s="10"/>
      <c r="D146" s="11"/>
      <c r="E146" s="10"/>
      <c r="F146" s="9"/>
    </row>
    <row r="147" spans="1:6" ht="20.100000000000001" customHeight="1" x14ac:dyDescent="0.15">
      <c r="A147" s="9"/>
      <c r="B147" s="10"/>
      <c r="C147" s="10"/>
      <c r="D147" s="11"/>
      <c r="E147" s="10"/>
      <c r="F147" s="9"/>
    </row>
    <row r="148" spans="1:6" ht="20.100000000000001" customHeight="1" x14ac:dyDescent="0.15">
      <c r="A148" s="9"/>
      <c r="B148" s="10"/>
      <c r="C148" s="10"/>
      <c r="D148" s="11"/>
      <c r="E148" s="10"/>
      <c r="F148" s="9"/>
    </row>
    <row r="149" spans="1:6" ht="20.100000000000001" customHeight="1" x14ac:dyDescent="0.15">
      <c r="A149" s="9"/>
      <c r="B149" s="10"/>
      <c r="C149" s="10"/>
      <c r="D149" s="11"/>
      <c r="E149" s="10"/>
      <c r="F149" s="9"/>
    </row>
    <row r="150" spans="1:6" ht="20.100000000000001" customHeight="1" x14ac:dyDescent="0.15">
      <c r="A150" s="9"/>
      <c r="B150" s="10"/>
      <c r="C150" s="10"/>
      <c r="D150" s="11"/>
      <c r="E150" s="10"/>
      <c r="F150" s="9"/>
    </row>
    <row r="151" spans="1:6" ht="20.100000000000001" customHeight="1" x14ac:dyDescent="0.15">
      <c r="A151" s="9"/>
      <c r="B151" s="10"/>
      <c r="C151" s="10"/>
      <c r="D151" s="11"/>
      <c r="E151" s="10"/>
      <c r="F151" s="9"/>
    </row>
    <row r="152" spans="1:6" ht="20.100000000000001" customHeight="1" x14ac:dyDescent="0.15">
      <c r="A152" s="9"/>
      <c r="B152" s="10"/>
      <c r="C152" s="10"/>
      <c r="D152" s="11"/>
      <c r="E152" s="10"/>
      <c r="F152" s="9"/>
    </row>
    <row r="153" spans="1:6" ht="20.100000000000001" customHeight="1" x14ac:dyDescent="0.15">
      <c r="A153" s="9"/>
      <c r="B153" s="10"/>
      <c r="C153" s="10"/>
      <c r="D153" s="11"/>
      <c r="E153" s="10"/>
      <c r="F153" s="9"/>
    </row>
    <row r="154" spans="1:6" ht="20.100000000000001" customHeight="1" x14ac:dyDescent="0.15">
      <c r="A154" s="9"/>
      <c r="B154" s="10"/>
      <c r="C154" s="10"/>
      <c r="D154" s="11"/>
      <c r="E154" s="10"/>
      <c r="F154" s="9"/>
    </row>
    <row r="155" spans="1:6" ht="20.100000000000001" customHeight="1" x14ac:dyDescent="0.15">
      <c r="A155" s="9"/>
      <c r="B155" s="10"/>
      <c r="C155" s="10"/>
      <c r="D155" s="11"/>
      <c r="E155" s="10"/>
      <c r="F155" s="9"/>
    </row>
    <row r="156" spans="1:6" ht="20.100000000000001" customHeight="1" x14ac:dyDescent="0.15">
      <c r="A156" s="9"/>
      <c r="B156" s="10"/>
      <c r="C156" s="10"/>
      <c r="D156" s="11"/>
      <c r="E156" s="10"/>
      <c r="F156" s="9"/>
    </row>
    <row r="157" spans="1:6" ht="20.100000000000001" customHeight="1" x14ac:dyDescent="0.15">
      <c r="A157" s="9"/>
      <c r="B157" s="10"/>
      <c r="C157" s="10"/>
      <c r="D157" s="11"/>
      <c r="E157" s="10"/>
      <c r="F157" s="9"/>
    </row>
    <row r="158" spans="1:6" ht="20.100000000000001" customHeight="1" x14ac:dyDescent="0.15">
      <c r="A158" s="9"/>
      <c r="B158" s="10"/>
      <c r="C158" s="10"/>
      <c r="D158" s="11"/>
      <c r="E158" s="10"/>
      <c r="F158" s="9"/>
    </row>
    <row r="159" spans="1:6" ht="20.100000000000001" customHeight="1" x14ac:dyDescent="0.15">
      <c r="A159" s="9"/>
      <c r="B159" s="10"/>
      <c r="C159" s="10"/>
      <c r="D159" s="11"/>
      <c r="E159" s="10"/>
      <c r="F159" s="9"/>
    </row>
    <row r="160" spans="1:6" ht="20.100000000000001" customHeight="1" x14ac:dyDescent="0.15">
      <c r="A160" s="9"/>
      <c r="B160" s="10"/>
      <c r="C160" s="10"/>
      <c r="D160" s="11"/>
      <c r="E160" s="10"/>
      <c r="F160" s="9"/>
    </row>
    <row r="161" spans="1:6" ht="20.100000000000001" customHeight="1" x14ac:dyDescent="0.15">
      <c r="A161" s="9"/>
      <c r="B161" s="10"/>
      <c r="C161" s="10"/>
      <c r="D161" s="11"/>
      <c r="E161" s="10"/>
      <c r="F161" s="9"/>
    </row>
    <row r="162" spans="1:6" ht="20.100000000000001" customHeight="1" x14ac:dyDescent="0.15">
      <c r="A162" s="9"/>
      <c r="B162" s="10"/>
      <c r="C162" s="10"/>
      <c r="D162" s="11"/>
      <c r="E162" s="10"/>
      <c r="F162" s="9"/>
    </row>
    <row r="163" spans="1:6" ht="20.100000000000001" customHeight="1" x14ac:dyDescent="0.15">
      <c r="A163" s="9"/>
      <c r="B163" s="10"/>
      <c r="C163" s="10"/>
      <c r="D163" s="11"/>
      <c r="E163" s="10"/>
      <c r="F163" s="9"/>
    </row>
    <row r="164" spans="1:6" ht="20.100000000000001" customHeight="1" x14ac:dyDescent="0.15">
      <c r="A164" s="9"/>
      <c r="B164" s="10"/>
      <c r="C164" s="10"/>
      <c r="D164" s="11"/>
      <c r="E164" s="10"/>
      <c r="F164" s="9"/>
    </row>
    <row r="165" spans="1:6" ht="20.100000000000001" customHeight="1" x14ac:dyDescent="0.15">
      <c r="A165" s="9"/>
      <c r="B165" s="10"/>
      <c r="C165" s="10"/>
      <c r="D165" s="11"/>
      <c r="E165" s="10"/>
      <c r="F165" s="9"/>
    </row>
    <row r="166" spans="1:6" ht="20.100000000000001" customHeight="1" x14ac:dyDescent="0.15">
      <c r="A166" s="9"/>
      <c r="B166" s="10"/>
      <c r="C166" s="10"/>
      <c r="D166" s="11"/>
      <c r="E166" s="10"/>
      <c r="F166" s="9"/>
    </row>
    <row r="167" spans="1:6" ht="20.100000000000001" customHeight="1" x14ac:dyDescent="0.15">
      <c r="A167" s="9"/>
      <c r="B167" s="10"/>
      <c r="C167" s="10"/>
      <c r="D167" s="11"/>
      <c r="E167" s="10"/>
      <c r="F167" s="9"/>
    </row>
    <row r="168" spans="1:6" ht="20.100000000000001" customHeight="1" x14ac:dyDescent="0.15">
      <c r="A168" s="9"/>
      <c r="B168" s="10"/>
      <c r="C168" s="10"/>
      <c r="D168" s="11"/>
      <c r="E168" s="10"/>
      <c r="F168" s="9"/>
    </row>
    <row r="169" spans="1:6" ht="20.100000000000001" customHeight="1" x14ac:dyDescent="0.15">
      <c r="A169" s="9"/>
      <c r="B169" s="10"/>
      <c r="C169" s="10"/>
      <c r="D169" s="11"/>
      <c r="E169" s="10"/>
      <c r="F169" s="9"/>
    </row>
    <row r="170" spans="1:6" ht="20.100000000000001" customHeight="1" x14ac:dyDescent="0.15">
      <c r="A170" s="9"/>
      <c r="B170" s="10"/>
      <c r="C170" s="10"/>
      <c r="D170" s="11"/>
      <c r="E170" s="10"/>
      <c r="F170" s="9"/>
    </row>
    <row r="171" spans="1:6" ht="20.100000000000001" customHeight="1" x14ac:dyDescent="0.15">
      <c r="A171" s="9"/>
      <c r="B171" s="10"/>
      <c r="C171" s="10"/>
      <c r="D171" s="11"/>
      <c r="E171" s="10"/>
      <c r="F171" s="9"/>
    </row>
    <row r="172" spans="1:6" ht="20.100000000000001" customHeight="1" x14ac:dyDescent="0.15">
      <c r="A172" s="9"/>
      <c r="B172" s="10"/>
      <c r="C172" s="10"/>
      <c r="D172" s="11"/>
      <c r="E172" s="10"/>
      <c r="F172" s="9"/>
    </row>
    <row r="173" spans="1:6" ht="20.100000000000001" customHeight="1" x14ac:dyDescent="0.15">
      <c r="A173" s="9"/>
      <c r="B173" s="10"/>
      <c r="C173" s="10"/>
      <c r="D173" s="11"/>
      <c r="E173" s="10"/>
      <c r="F173" s="9"/>
    </row>
    <row r="174" spans="1:6" ht="20.100000000000001" customHeight="1" x14ac:dyDescent="0.15">
      <c r="A174" s="9"/>
      <c r="B174" s="10"/>
      <c r="C174" s="10"/>
      <c r="D174" s="11"/>
      <c r="E174" s="10"/>
      <c r="F174" s="9"/>
    </row>
    <row r="175" spans="1:6" ht="20.100000000000001" customHeight="1" x14ac:dyDescent="0.15">
      <c r="A175" s="9"/>
      <c r="B175" s="10"/>
      <c r="C175" s="10"/>
      <c r="D175" s="11"/>
      <c r="E175" s="10"/>
      <c r="F175" s="9"/>
    </row>
    <row r="176" spans="1:6" ht="20.100000000000001" customHeight="1" x14ac:dyDescent="0.15">
      <c r="A176" s="9"/>
      <c r="B176" s="10"/>
      <c r="C176" s="10"/>
      <c r="D176" s="11"/>
      <c r="E176" s="10"/>
      <c r="F176" s="9"/>
    </row>
    <row r="177" spans="1:6" ht="20.100000000000001" customHeight="1" x14ac:dyDescent="0.15">
      <c r="A177" s="9"/>
      <c r="B177" s="10"/>
      <c r="C177" s="10"/>
      <c r="D177" s="11"/>
      <c r="E177" s="10"/>
      <c r="F177" s="9"/>
    </row>
    <row r="178" spans="1:6" ht="20.100000000000001" customHeight="1" x14ac:dyDescent="0.15">
      <c r="A178" s="9"/>
      <c r="B178" s="10"/>
      <c r="C178" s="10"/>
      <c r="D178" s="11"/>
      <c r="E178" s="10"/>
      <c r="F178" s="9"/>
    </row>
    <row r="179" spans="1:6" ht="20.100000000000001" customHeight="1" x14ac:dyDescent="0.15">
      <c r="A179" s="9"/>
      <c r="B179" s="10"/>
      <c r="C179" s="10"/>
      <c r="D179" s="11"/>
      <c r="E179" s="10"/>
      <c r="F179" s="9"/>
    </row>
    <row r="180" spans="1:6" ht="20.100000000000001" customHeight="1" x14ac:dyDescent="0.15">
      <c r="A180" s="9"/>
      <c r="B180" s="10"/>
      <c r="C180" s="10"/>
      <c r="D180" s="11"/>
      <c r="E180" s="10"/>
      <c r="F180" s="9"/>
    </row>
    <row r="181" spans="1:6" ht="20.100000000000001" customHeight="1" x14ac:dyDescent="0.15">
      <c r="A181" s="9"/>
      <c r="B181" s="10"/>
      <c r="C181" s="10"/>
      <c r="D181" s="11"/>
      <c r="E181" s="10"/>
      <c r="F181" s="9"/>
    </row>
    <row r="182" spans="1:6" ht="20.100000000000001" customHeight="1" x14ac:dyDescent="0.15">
      <c r="A182" s="9"/>
      <c r="B182" s="10"/>
      <c r="C182" s="10"/>
      <c r="D182" s="11"/>
      <c r="E182" s="10"/>
      <c r="F182" s="9"/>
    </row>
    <row r="183" spans="1:6" ht="20.100000000000001" customHeight="1" x14ac:dyDescent="0.15">
      <c r="A183" s="9"/>
      <c r="B183" s="10"/>
      <c r="C183" s="10"/>
      <c r="D183" s="11"/>
      <c r="E183" s="10"/>
      <c r="F183" s="9"/>
    </row>
    <row r="184" spans="1:6" ht="20.100000000000001" customHeight="1" x14ac:dyDescent="0.15">
      <c r="A184" s="9"/>
      <c r="B184" s="10"/>
      <c r="C184" s="10"/>
      <c r="D184" s="11"/>
      <c r="E184" s="10"/>
      <c r="F184" s="9"/>
    </row>
    <row r="185" spans="1:6" ht="20.100000000000001" customHeight="1" x14ac:dyDescent="0.15">
      <c r="A185" s="9"/>
      <c r="B185" s="10"/>
      <c r="C185" s="10"/>
      <c r="D185" s="11"/>
      <c r="E185" s="10"/>
      <c r="F185" s="9"/>
    </row>
    <row r="186" spans="1:6" ht="20.100000000000001" customHeight="1" x14ac:dyDescent="0.15">
      <c r="A186" s="9"/>
      <c r="B186" s="10"/>
      <c r="C186" s="10"/>
      <c r="D186" s="11"/>
      <c r="E186" s="10"/>
      <c r="F186" s="9"/>
    </row>
    <row r="187" spans="1:6" ht="20.100000000000001" customHeight="1" x14ac:dyDescent="0.15">
      <c r="A187" s="9"/>
      <c r="B187" s="10"/>
      <c r="C187" s="10"/>
      <c r="D187" s="11"/>
      <c r="E187" s="10"/>
      <c r="F187" s="9"/>
    </row>
    <row r="188" spans="1:6" ht="20.100000000000001" customHeight="1" x14ac:dyDescent="0.15">
      <c r="A188" s="9"/>
      <c r="B188" s="10"/>
      <c r="C188" s="10"/>
      <c r="D188" s="11"/>
      <c r="E188" s="10"/>
      <c r="F188" s="9"/>
    </row>
    <row r="189" spans="1:6" ht="20.100000000000001" customHeight="1" x14ac:dyDescent="0.15">
      <c r="A189" s="9"/>
      <c r="B189" s="10"/>
      <c r="C189" s="10"/>
      <c r="D189" s="11"/>
      <c r="E189" s="10"/>
      <c r="F189" s="9"/>
    </row>
    <row r="190" spans="1:6" ht="20.100000000000001" customHeight="1" x14ac:dyDescent="0.15">
      <c r="A190" s="9"/>
      <c r="B190" s="10"/>
      <c r="C190" s="10"/>
      <c r="D190" s="11"/>
      <c r="E190" s="10"/>
      <c r="F190" s="9"/>
    </row>
    <row r="191" spans="1:6" ht="20.100000000000001" customHeight="1" x14ac:dyDescent="0.15">
      <c r="A191" s="9"/>
      <c r="B191" s="10"/>
      <c r="C191" s="10"/>
      <c r="D191" s="11"/>
      <c r="E191" s="10"/>
      <c r="F191" s="9"/>
    </row>
    <row r="192" spans="1:6" ht="20.100000000000001" customHeight="1" x14ac:dyDescent="0.15">
      <c r="A192" s="9"/>
      <c r="B192" s="10"/>
      <c r="C192" s="10"/>
      <c r="D192" s="11"/>
      <c r="E192" s="10"/>
      <c r="F192" s="9"/>
    </row>
    <row r="193" spans="1:6" ht="20.100000000000001" customHeight="1" x14ac:dyDescent="0.15">
      <c r="A193" s="9"/>
      <c r="B193" s="10"/>
      <c r="C193" s="10"/>
      <c r="D193" s="11"/>
      <c r="E193" s="10"/>
      <c r="F193" s="9"/>
    </row>
    <row r="194" spans="1:6" ht="20.100000000000001" customHeight="1" x14ac:dyDescent="0.15">
      <c r="A194" s="9"/>
      <c r="B194" s="10"/>
      <c r="C194" s="10"/>
      <c r="D194" s="11"/>
      <c r="E194" s="10"/>
      <c r="F194" s="9"/>
    </row>
    <row r="195" spans="1:6" ht="20.100000000000001" customHeight="1" x14ac:dyDescent="0.15">
      <c r="A195" s="9"/>
      <c r="B195" s="10"/>
      <c r="C195" s="10"/>
      <c r="D195" s="11"/>
      <c r="E195" s="10"/>
      <c r="F195" s="9"/>
    </row>
    <row r="196" spans="1:6" ht="20.100000000000001" customHeight="1" x14ac:dyDescent="0.15">
      <c r="A196" s="9"/>
      <c r="B196" s="10"/>
      <c r="C196" s="10"/>
      <c r="D196" s="11"/>
      <c r="E196" s="10"/>
      <c r="F196" s="9"/>
    </row>
    <row r="197" spans="1:6" ht="20.100000000000001" customHeight="1" x14ac:dyDescent="0.15">
      <c r="A197" s="9"/>
      <c r="B197" s="10"/>
      <c r="C197" s="10"/>
      <c r="D197" s="11"/>
      <c r="E197" s="10"/>
      <c r="F197" s="9"/>
    </row>
    <row r="198" spans="1:6" ht="20.100000000000001" customHeight="1" x14ac:dyDescent="0.15">
      <c r="A198" s="9"/>
      <c r="B198" s="10"/>
      <c r="C198" s="10"/>
      <c r="D198" s="11"/>
      <c r="E198" s="10"/>
      <c r="F198" s="9"/>
    </row>
    <row r="199" spans="1:6" ht="20.100000000000001" customHeight="1" x14ac:dyDescent="0.15">
      <c r="A199" s="9"/>
      <c r="B199" s="10"/>
      <c r="C199" s="10"/>
      <c r="D199" s="11"/>
      <c r="E199" s="10"/>
      <c r="F199" s="9"/>
    </row>
    <row r="200" spans="1:6" ht="20.100000000000001" customHeight="1" x14ac:dyDescent="0.15">
      <c r="A200" s="9"/>
      <c r="B200" s="10"/>
      <c r="C200" s="10"/>
      <c r="D200" s="11"/>
      <c r="E200" s="10"/>
      <c r="F200" s="9"/>
    </row>
    <row r="201" spans="1:6" ht="20.100000000000001" customHeight="1" x14ac:dyDescent="0.15">
      <c r="A201" s="9"/>
      <c r="B201" s="10"/>
      <c r="C201" s="10"/>
      <c r="D201" s="11"/>
      <c r="E201" s="10"/>
      <c r="F201" s="9"/>
    </row>
    <row r="202" spans="1:6" ht="20.100000000000001" customHeight="1" x14ac:dyDescent="0.15">
      <c r="A202" s="9"/>
      <c r="B202" s="10"/>
      <c r="C202" s="10"/>
      <c r="D202" s="11"/>
      <c r="E202" s="10"/>
      <c r="F202" s="9"/>
    </row>
    <row r="203" spans="1:6" ht="20.100000000000001" customHeight="1" x14ac:dyDescent="0.15">
      <c r="A203" s="9"/>
      <c r="B203" s="10"/>
      <c r="C203" s="10"/>
      <c r="D203" s="11"/>
      <c r="E203" s="10"/>
      <c r="F203" s="9"/>
    </row>
    <row r="204" spans="1:6" ht="20.100000000000001" customHeight="1" x14ac:dyDescent="0.15">
      <c r="A204" s="9"/>
      <c r="B204" s="10"/>
      <c r="C204" s="10"/>
      <c r="D204" s="11"/>
      <c r="E204" s="10"/>
      <c r="F204" s="9"/>
    </row>
    <row r="205" spans="1:6" ht="20.100000000000001" customHeight="1" x14ac:dyDescent="0.15">
      <c r="A205" s="9"/>
      <c r="B205" s="10"/>
      <c r="C205" s="10"/>
      <c r="D205" s="11"/>
      <c r="E205" s="10"/>
      <c r="F205" s="9"/>
    </row>
    <row r="206" spans="1:6" ht="20.100000000000001" customHeight="1" x14ac:dyDescent="0.15">
      <c r="A206" s="9"/>
      <c r="B206" s="10"/>
      <c r="C206" s="10"/>
      <c r="D206" s="11"/>
      <c r="E206" s="10"/>
      <c r="F206" s="9"/>
    </row>
    <row r="207" spans="1:6" ht="20.100000000000001" customHeight="1" x14ac:dyDescent="0.15">
      <c r="A207" s="9"/>
      <c r="B207" s="10"/>
      <c r="C207" s="10"/>
      <c r="D207" s="11"/>
      <c r="E207" s="10"/>
      <c r="F207" s="9"/>
    </row>
    <row r="208" spans="1:6" ht="20.100000000000001" customHeight="1" x14ac:dyDescent="0.15">
      <c r="A208" s="9"/>
      <c r="B208" s="10"/>
      <c r="C208" s="10"/>
      <c r="D208" s="11"/>
      <c r="E208" s="10"/>
      <c r="F208" s="9"/>
    </row>
    <row r="209" spans="1:6" ht="20.100000000000001" customHeight="1" x14ac:dyDescent="0.15">
      <c r="A209" s="9"/>
      <c r="B209" s="10"/>
      <c r="C209" s="10"/>
      <c r="D209" s="11"/>
      <c r="E209" s="10"/>
      <c r="F209" s="9"/>
    </row>
    <row r="210" spans="1:6" ht="20.100000000000001" customHeight="1" x14ac:dyDescent="0.15">
      <c r="A210" s="9"/>
      <c r="B210" s="10"/>
      <c r="C210" s="10"/>
      <c r="D210" s="11"/>
      <c r="E210" s="10"/>
      <c r="F210" s="9"/>
    </row>
    <row r="211" spans="1:6" ht="20.100000000000001" customHeight="1" x14ac:dyDescent="0.15">
      <c r="A211" s="9"/>
      <c r="B211" s="10"/>
      <c r="C211" s="10"/>
      <c r="D211" s="11"/>
      <c r="E211" s="10"/>
      <c r="F211" s="9"/>
    </row>
    <row r="212" spans="1:6" ht="20.100000000000001" customHeight="1" x14ac:dyDescent="0.15">
      <c r="A212" s="9"/>
      <c r="B212" s="10"/>
      <c r="C212" s="10"/>
      <c r="D212" s="11"/>
      <c r="E212" s="10"/>
      <c r="F212" s="9"/>
    </row>
    <row r="213" spans="1:6" ht="20.100000000000001" customHeight="1" x14ac:dyDescent="0.15">
      <c r="A213" s="9"/>
      <c r="B213" s="10"/>
      <c r="C213" s="10"/>
      <c r="D213" s="11"/>
      <c r="E213" s="10"/>
      <c r="F213" s="9"/>
    </row>
    <row r="214" spans="1:6" ht="20.100000000000001" customHeight="1" x14ac:dyDescent="0.15">
      <c r="A214" s="9"/>
      <c r="B214" s="10"/>
      <c r="C214" s="10"/>
      <c r="D214" s="11"/>
      <c r="E214" s="10"/>
      <c r="F214" s="9"/>
    </row>
    <row r="215" spans="1:6" ht="20.100000000000001" customHeight="1" x14ac:dyDescent="0.15">
      <c r="A215" s="9"/>
      <c r="B215" s="10"/>
      <c r="C215" s="10"/>
      <c r="D215" s="11"/>
      <c r="E215" s="10"/>
      <c r="F215" s="9"/>
    </row>
    <row r="216" spans="1:6" ht="20.100000000000001" customHeight="1" x14ac:dyDescent="0.15">
      <c r="A216" s="9"/>
      <c r="B216" s="10"/>
      <c r="C216" s="10"/>
      <c r="D216" s="11"/>
      <c r="E216" s="10"/>
      <c r="F216" s="9"/>
    </row>
    <row r="217" spans="1:6" ht="20.100000000000001" customHeight="1" x14ac:dyDescent="0.15">
      <c r="A217" s="9"/>
      <c r="B217" s="10"/>
      <c r="C217" s="10"/>
      <c r="D217" s="11"/>
      <c r="E217" s="10"/>
      <c r="F217" s="9"/>
    </row>
    <row r="218" spans="1:6" ht="20.100000000000001" customHeight="1" x14ac:dyDescent="0.15">
      <c r="A218" s="9"/>
      <c r="B218" s="10"/>
      <c r="C218" s="10"/>
      <c r="D218" s="11"/>
      <c r="E218" s="10"/>
      <c r="F218" s="9"/>
    </row>
    <row r="219" spans="1:6" ht="20.100000000000001" customHeight="1" x14ac:dyDescent="0.15">
      <c r="A219" s="9"/>
      <c r="B219" s="10"/>
      <c r="C219" s="10"/>
      <c r="D219" s="11"/>
      <c r="E219" s="10"/>
      <c r="F219" s="9"/>
    </row>
    <row r="220" spans="1:6" ht="20.100000000000001" customHeight="1" x14ac:dyDescent="0.15">
      <c r="A220" s="9"/>
      <c r="B220" s="10"/>
      <c r="C220" s="10"/>
      <c r="D220" s="11"/>
      <c r="E220" s="10"/>
      <c r="F220" s="9"/>
    </row>
    <row r="221" spans="1:6" ht="20.100000000000001" customHeight="1" x14ac:dyDescent="0.15">
      <c r="A221" s="9"/>
      <c r="B221" s="10"/>
      <c r="C221" s="10"/>
      <c r="D221" s="11"/>
      <c r="E221" s="10"/>
      <c r="F221" s="9"/>
    </row>
    <row r="222" spans="1:6" ht="20.100000000000001" customHeight="1" x14ac:dyDescent="0.15">
      <c r="A222" s="9"/>
      <c r="B222" s="10"/>
      <c r="C222" s="10"/>
      <c r="D222" s="11"/>
      <c r="E222" s="10"/>
      <c r="F222" s="9"/>
    </row>
    <row r="223" spans="1:6" ht="20.100000000000001" customHeight="1" x14ac:dyDescent="0.15">
      <c r="A223" s="9"/>
      <c r="B223" s="10"/>
      <c r="C223" s="10"/>
      <c r="D223" s="11"/>
      <c r="E223" s="10"/>
      <c r="F223" s="9"/>
    </row>
    <row r="224" spans="1:6" ht="20.100000000000001" customHeight="1" x14ac:dyDescent="0.15">
      <c r="A224" s="9"/>
      <c r="B224" s="10"/>
      <c r="C224" s="10"/>
      <c r="D224" s="11"/>
      <c r="E224" s="10"/>
      <c r="F224" s="9"/>
    </row>
    <row r="225" spans="1:6" ht="20.100000000000001" customHeight="1" x14ac:dyDescent="0.15">
      <c r="A225" s="9"/>
      <c r="B225" s="10"/>
      <c r="C225" s="10"/>
      <c r="D225" s="11"/>
      <c r="E225" s="10"/>
      <c r="F225" s="9"/>
    </row>
    <row r="226" spans="1:6" ht="20.100000000000001" customHeight="1" x14ac:dyDescent="0.15">
      <c r="A226" s="9"/>
      <c r="B226" s="10"/>
      <c r="C226" s="10"/>
      <c r="D226" s="11"/>
      <c r="E226" s="10"/>
      <c r="F226" s="9"/>
    </row>
    <row r="227" spans="1:6" ht="20.100000000000001" customHeight="1" x14ac:dyDescent="0.15">
      <c r="A227" s="9"/>
      <c r="B227" s="10"/>
      <c r="C227" s="10"/>
      <c r="D227" s="11"/>
      <c r="E227" s="10"/>
      <c r="F227" s="9"/>
    </row>
    <row r="228" spans="1:6" ht="20.100000000000001" customHeight="1" x14ac:dyDescent="0.15">
      <c r="A228" s="9"/>
      <c r="B228" s="10"/>
      <c r="C228" s="10"/>
      <c r="D228" s="11"/>
      <c r="E228" s="10"/>
      <c r="F228" s="9"/>
    </row>
    <row r="229" spans="1:6" ht="20.100000000000001" customHeight="1" x14ac:dyDescent="0.15">
      <c r="A229" s="9"/>
      <c r="B229" s="10"/>
      <c r="C229" s="10"/>
      <c r="D229" s="11"/>
      <c r="E229" s="10"/>
      <c r="F229" s="9"/>
    </row>
    <row r="230" spans="1:6" ht="20.100000000000001" customHeight="1" x14ac:dyDescent="0.15">
      <c r="A230" s="9"/>
      <c r="B230" s="10"/>
      <c r="C230" s="10"/>
      <c r="D230" s="11"/>
      <c r="E230" s="10"/>
      <c r="F230" s="9"/>
    </row>
    <row r="231" spans="1:6" ht="20.100000000000001" customHeight="1" x14ac:dyDescent="0.15">
      <c r="A231" s="9"/>
      <c r="B231" s="10"/>
      <c r="C231" s="10"/>
      <c r="D231" s="11"/>
      <c r="E231" s="10"/>
      <c r="F231" s="9"/>
    </row>
    <row r="232" spans="1:6" ht="20.100000000000001" customHeight="1" x14ac:dyDescent="0.15">
      <c r="A232" s="9"/>
      <c r="B232" s="10"/>
      <c r="C232" s="10"/>
      <c r="D232" s="11"/>
      <c r="E232" s="10"/>
      <c r="F232" s="9"/>
    </row>
    <row r="233" spans="1:6" ht="20.100000000000001" customHeight="1" x14ac:dyDescent="0.15">
      <c r="A233" s="9"/>
      <c r="B233" s="10"/>
      <c r="C233" s="10"/>
      <c r="D233" s="11"/>
      <c r="E233" s="10"/>
      <c r="F233" s="9"/>
    </row>
    <row r="234" spans="1:6" ht="20.100000000000001" customHeight="1" x14ac:dyDescent="0.15">
      <c r="A234" s="9"/>
      <c r="B234" s="10"/>
      <c r="C234" s="10"/>
      <c r="D234" s="11"/>
      <c r="E234" s="10"/>
      <c r="F234" s="9"/>
    </row>
    <row r="235" spans="1:6" ht="20.100000000000001" customHeight="1" x14ac:dyDescent="0.15">
      <c r="A235" s="9"/>
      <c r="B235" s="10"/>
      <c r="C235" s="10"/>
      <c r="D235" s="11"/>
      <c r="E235" s="10"/>
      <c r="F235" s="9"/>
    </row>
    <row r="236" spans="1:6" ht="20.100000000000001" customHeight="1" x14ac:dyDescent="0.15">
      <c r="A236" s="9"/>
      <c r="B236" s="10"/>
      <c r="C236" s="10"/>
      <c r="D236" s="11"/>
      <c r="E236" s="10"/>
      <c r="F236" s="9"/>
    </row>
    <row r="237" spans="1:6" ht="20.100000000000001" customHeight="1" x14ac:dyDescent="0.15">
      <c r="A237" s="9"/>
      <c r="B237" s="10"/>
      <c r="C237" s="10"/>
      <c r="D237" s="11"/>
      <c r="E237" s="10"/>
      <c r="F237" s="9"/>
    </row>
    <row r="238" spans="1:6" ht="20.100000000000001" customHeight="1" x14ac:dyDescent="0.15">
      <c r="A238" s="9"/>
      <c r="B238" s="10"/>
      <c r="C238" s="10"/>
      <c r="D238" s="11"/>
      <c r="E238" s="10"/>
      <c r="F238" s="9"/>
    </row>
    <row r="239" spans="1:6" ht="20.100000000000001" customHeight="1" x14ac:dyDescent="0.15">
      <c r="A239" s="9"/>
      <c r="B239" s="10"/>
      <c r="C239" s="10"/>
      <c r="D239" s="11"/>
      <c r="E239" s="10"/>
      <c r="F239" s="9"/>
    </row>
    <row r="240" spans="1:6" ht="20.100000000000001" customHeight="1" x14ac:dyDescent="0.15">
      <c r="A240" s="9"/>
      <c r="B240" s="10"/>
      <c r="C240" s="10"/>
      <c r="D240" s="11"/>
      <c r="E240" s="10"/>
      <c r="F240" s="9"/>
    </row>
    <row r="241" spans="1:6" ht="20.100000000000001" customHeight="1" x14ac:dyDescent="0.15">
      <c r="A241" s="9"/>
      <c r="B241" s="10"/>
      <c r="C241" s="10"/>
      <c r="D241" s="11"/>
      <c r="E241" s="10"/>
      <c r="F241" s="9"/>
    </row>
    <row r="242" spans="1:6" ht="20.100000000000001" customHeight="1" x14ac:dyDescent="0.15">
      <c r="A242" s="9"/>
      <c r="B242" s="10"/>
      <c r="C242" s="10"/>
      <c r="D242" s="11"/>
      <c r="E242" s="10"/>
      <c r="F242" s="9"/>
    </row>
    <row r="243" spans="1:6" ht="20.100000000000001" customHeight="1" x14ac:dyDescent="0.15">
      <c r="A243" s="9"/>
      <c r="B243" s="10"/>
      <c r="C243" s="10"/>
      <c r="D243" s="11"/>
      <c r="E243" s="10"/>
      <c r="F243" s="9"/>
    </row>
    <row r="244" spans="1:6" ht="20.100000000000001" customHeight="1" x14ac:dyDescent="0.15">
      <c r="A244" s="9"/>
      <c r="B244" s="10"/>
      <c r="C244" s="10"/>
      <c r="D244" s="11"/>
      <c r="E244" s="10"/>
      <c r="F244" s="9"/>
    </row>
    <row r="245" spans="1:6" ht="20.100000000000001" customHeight="1" x14ac:dyDescent="0.15">
      <c r="A245" s="9"/>
      <c r="B245" s="10"/>
      <c r="C245" s="10"/>
      <c r="D245" s="11"/>
      <c r="E245" s="10"/>
      <c r="F245" s="9"/>
    </row>
    <row r="246" spans="1:6" ht="20.100000000000001" customHeight="1" x14ac:dyDescent="0.15">
      <c r="A246" s="9"/>
      <c r="B246" s="10"/>
      <c r="C246" s="10"/>
      <c r="D246" s="11"/>
      <c r="E246" s="10"/>
      <c r="F246" s="9"/>
    </row>
    <row r="247" spans="1:6" ht="20.100000000000001" customHeight="1" x14ac:dyDescent="0.15">
      <c r="A247" s="9"/>
      <c r="B247" s="10"/>
      <c r="C247" s="10"/>
      <c r="D247" s="11"/>
      <c r="E247" s="10"/>
      <c r="F247" s="9"/>
    </row>
    <row r="248" spans="1:6" ht="20.100000000000001" customHeight="1" x14ac:dyDescent="0.15">
      <c r="A248" s="9"/>
      <c r="B248" s="10"/>
      <c r="C248" s="10"/>
      <c r="D248" s="11"/>
      <c r="E248" s="10"/>
      <c r="F248" s="9"/>
    </row>
    <row r="249" spans="1:6" ht="20.100000000000001" customHeight="1" x14ac:dyDescent="0.15">
      <c r="A249" s="9"/>
      <c r="B249" s="10"/>
      <c r="C249" s="10"/>
      <c r="D249" s="11"/>
      <c r="E249" s="10"/>
      <c r="F249" s="9"/>
    </row>
    <row r="250" spans="1:6" ht="20.100000000000001" customHeight="1" x14ac:dyDescent="0.15">
      <c r="A250" s="9"/>
      <c r="B250" s="10"/>
      <c r="C250" s="10"/>
      <c r="D250" s="11"/>
      <c r="E250" s="10"/>
      <c r="F250" s="9"/>
    </row>
    <row r="251" spans="1:6" ht="20.100000000000001" customHeight="1" x14ac:dyDescent="0.15">
      <c r="A251" s="9"/>
      <c r="B251" s="10"/>
      <c r="C251" s="10"/>
      <c r="D251" s="11"/>
      <c r="E251" s="10"/>
      <c r="F251" s="9"/>
    </row>
    <row r="252" spans="1:6" ht="20.100000000000001" customHeight="1" x14ac:dyDescent="0.15">
      <c r="A252" s="9"/>
      <c r="B252" s="10"/>
      <c r="C252" s="10"/>
      <c r="D252" s="11"/>
      <c r="E252" s="10"/>
      <c r="F252" s="9"/>
    </row>
    <row r="253" spans="1:6" ht="20.100000000000001" customHeight="1" x14ac:dyDescent="0.15">
      <c r="A253" s="9"/>
      <c r="B253" s="10"/>
      <c r="C253" s="10"/>
      <c r="D253" s="11"/>
      <c r="E253" s="10"/>
      <c r="F253" s="9"/>
    </row>
    <row r="254" spans="1:6" ht="20.100000000000001" customHeight="1" x14ac:dyDescent="0.15">
      <c r="A254" s="9"/>
      <c r="B254" s="10"/>
      <c r="C254" s="10"/>
      <c r="D254" s="11"/>
      <c r="E254" s="10"/>
      <c r="F254" s="9"/>
    </row>
    <row r="255" spans="1:6" ht="20.100000000000001" customHeight="1" x14ac:dyDescent="0.15">
      <c r="A255" s="9"/>
      <c r="B255" s="10"/>
      <c r="C255" s="10"/>
      <c r="D255" s="11"/>
      <c r="E255" s="10"/>
      <c r="F255" s="9"/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G1" sqref="A1:XFD3"/>
    </sheetView>
  </sheetViews>
  <sheetFormatPr defaultColWidth="9" defaultRowHeight="20.100000000000001" customHeight="1" x14ac:dyDescent="0.15"/>
  <cols>
    <col min="1" max="1" width="6" style="1" customWidth="1"/>
    <col min="2" max="2" width="24.625" style="1" customWidth="1"/>
    <col min="3" max="3" width="14.125" style="1" customWidth="1"/>
    <col min="4" max="4" width="9.25" style="1" customWidth="1"/>
    <col min="5" max="5" width="8" style="1" customWidth="1"/>
    <col min="6" max="6" width="16" style="1" customWidth="1"/>
  </cols>
  <sheetData>
    <row r="1" spans="1:6" ht="20.100000000000001" customHeight="1" x14ac:dyDescent="0.15">
      <c r="A1" s="19" t="s">
        <v>0</v>
      </c>
      <c r="B1" s="19"/>
      <c r="C1" s="19"/>
      <c r="D1" s="19"/>
      <c r="E1" s="19"/>
      <c r="F1" s="19"/>
    </row>
    <row r="2" spans="1:6" ht="30.95" customHeight="1" x14ac:dyDescent="0.15">
      <c r="A2" s="19"/>
      <c r="B2" s="19"/>
      <c r="C2" s="19"/>
      <c r="D2" s="19"/>
      <c r="E2" s="19"/>
      <c r="F2" s="19"/>
    </row>
    <row r="3" spans="1:6" ht="20.100000000000001" customHeight="1" x14ac:dyDescent="0.1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00000000000001" customHeight="1" x14ac:dyDescent="0.15">
      <c r="A4" s="5">
        <v>1</v>
      </c>
      <c r="B4" s="6" t="str">
        <f>"30482021060114013463453"</f>
        <v>30482021060114013463453</v>
      </c>
      <c r="C4" s="6" t="s">
        <v>231</v>
      </c>
      <c r="D4" s="6" t="str">
        <f>"吴雪玲"</f>
        <v>吴雪玲</v>
      </c>
      <c r="E4" s="6" t="str">
        <f t="shared" ref="E4:E8" si="0">"女"</f>
        <v>女</v>
      </c>
      <c r="F4" s="7" t="s">
        <v>232</v>
      </c>
    </row>
    <row r="5" spans="1:6" ht="20.100000000000001" customHeight="1" x14ac:dyDescent="0.15">
      <c r="A5" s="5">
        <v>2</v>
      </c>
      <c r="B5" s="6" t="str">
        <f>"30482021060114304263758"</f>
        <v>30482021060114304263758</v>
      </c>
      <c r="C5" s="6" t="s">
        <v>231</v>
      </c>
      <c r="D5" s="6" t="str">
        <f>"陈婷"</f>
        <v>陈婷</v>
      </c>
      <c r="E5" s="6" t="str">
        <f t="shared" si="0"/>
        <v>女</v>
      </c>
      <c r="F5" s="7" t="s">
        <v>233</v>
      </c>
    </row>
    <row r="6" spans="1:6" ht="20.100000000000001" customHeight="1" x14ac:dyDescent="0.15">
      <c r="A6" s="5">
        <v>3</v>
      </c>
      <c r="B6" s="6" t="str">
        <f>"30482021060114455063937"</f>
        <v>30482021060114455063937</v>
      </c>
      <c r="C6" s="6" t="s">
        <v>231</v>
      </c>
      <c r="D6" s="6" t="str">
        <f>"洪小杏"</f>
        <v>洪小杏</v>
      </c>
      <c r="E6" s="6" t="str">
        <f t="shared" si="0"/>
        <v>女</v>
      </c>
      <c r="F6" s="7" t="s">
        <v>234</v>
      </c>
    </row>
    <row r="7" spans="1:6" ht="20.100000000000001" customHeight="1" x14ac:dyDescent="0.15">
      <c r="A7" s="5">
        <v>4</v>
      </c>
      <c r="B7" s="6" t="str">
        <f>"30482021060114511363998"</f>
        <v>30482021060114511363998</v>
      </c>
      <c r="C7" s="6" t="s">
        <v>231</v>
      </c>
      <c r="D7" s="6" t="str">
        <f>"王才华"</f>
        <v>王才华</v>
      </c>
      <c r="E7" s="6" t="str">
        <f t="shared" si="0"/>
        <v>女</v>
      </c>
      <c r="F7" s="7" t="s">
        <v>235</v>
      </c>
    </row>
    <row r="8" spans="1:6" ht="20.100000000000001" customHeight="1" x14ac:dyDescent="0.15">
      <c r="A8" s="5">
        <v>5</v>
      </c>
      <c r="B8" s="6" t="str">
        <f>"30482021060115064864217"</f>
        <v>30482021060115064864217</v>
      </c>
      <c r="C8" s="6" t="s">
        <v>231</v>
      </c>
      <c r="D8" s="6" t="str">
        <f>"薛伟积"</f>
        <v>薛伟积</v>
      </c>
      <c r="E8" s="6" t="str">
        <f t="shared" si="0"/>
        <v>女</v>
      </c>
      <c r="F8" s="7" t="s">
        <v>236</v>
      </c>
    </row>
    <row r="9" spans="1:6" ht="20.100000000000001" customHeight="1" x14ac:dyDescent="0.15">
      <c r="A9" s="5">
        <v>6</v>
      </c>
      <c r="B9" s="6" t="str">
        <f>"30482021060115331164561"</f>
        <v>30482021060115331164561</v>
      </c>
      <c r="C9" s="6" t="s">
        <v>231</v>
      </c>
      <c r="D9" s="6" t="str">
        <f>"林明文"</f>
        <v>林明文</v>
      </c>
      <c r="E9" s="6" t="str">
        <f>"男"</f>
        <v>男</v>
      </c>
      <c r="F9" s="7" t="s">
        <v>237</v>
      </c>
    </row>
    <row r="10" spans="1:6" ht="20.100000000000001" customHeight="1" x14ac:dyDescent="0.15">
      <c r="A10" s="5">
        <v>7</v>
      </c>
      <c r="B10" s="6" t="str">
        <f>"30482021060116054864958"</f>
        <v>30482021060116054864958</v>
      </c>
      <c r="C10" s="6" t="s">
        <v>231</v>
      </c>
      <c r="D10" s="6" t="str">
        <f>"董美妤"</f>
        <v>董美妤</v>
      </c>
      <c r="E10" s="6" t="str">
        <f t="shared" ref="E10:E13" si="1">"女"</f>
        <v>女</v>
      </c>
      <c r="F10" s="7" t="s">
        <v>238</v>
      </c>
    </row>
    <row r="11" spans="1:6" ht="20.100000000000001" customHeight="1" x14ac:dyDescent="0.15">
      <c r="A11" s="5">
        <v>8</v>
      </c>
      <c r="B11" s="6" t="str">
        <f>"30482021060116190165122"</f>
        <v>30482021060116190165122</v>
      </c>
      <c r="C11" s="6" t="s">
        <v>231</v>
      </c>
      <c r="D11" s="6" t="str">
        <f>"黄杏丁"</f>
        <v>黄杏丁</v>
      </c>
      <c r="E11" s="6" t="str">
        <f t="shared" si="1"/>
        <v>女</v>
      </c>
      <c r="F11" s="7" t="s">
        <v>239</v>
      </c>
    </row>
    <row r="12" spans="1:6" ht="20.100000000000001" customHeight="1" x14ac:dyDescent="0.15">
      <c r="A12" s="5">
        <v>9</v>
      </c>
      <c r="B12" s="6" t="str">
        <f>"30482021060116333165341"</f>
        <v>30482021060116333165341</v>
      </c>
      <c r="C12" s="6" t="s">
        <v>231</v>
      </c>
      <c r="D12" s="6" t="str">
        <f>"赵瑞华"</f>
        <v>赵瑞华</v>
      </c>
      <c r="E12" s="6" t="str">
        <f t="shared" si="1"/>
        <v>女</v>
      </c>
      <c r="F12" s="7" t="s">
        <v>240</v>
      </c>
    </row>
    <row r="13" spans="1:6" ht="20.100000000000001" customHeight="1" x14ac:dyDescent="0.15">
      <c r="A13" s="5">
        <v>10</v>
      </c>
      <c r="B13" s="6" t="str">
        <f>"30482021060116512365577"</f>
        <v>30482021060116512365577</v>
      </c>
      <c r="C13" s="6" t="s">
        <v>231</v>
      </c>
      <c r="D13" s="6" t="str">
        <f>"谭慧艳"</f>
        <v>谭慧艳</v>
      </c>
      <c r="E13" s="6" t="str">
        <f t="shared" si="1"/>
        <v>女</v>
      </c>
      <c r="F13" s="7" t="s">
        <v>241</v>
      </c>
    </row>
    <row r="14" spans="1:6" ht="20.100000000000001" customHeight="1" x14ac:dyDescent="0.15">
      <c r="A14" s="5">
        <v>11</v>
      </c>
      <c r="B14" s="6" t="str">
        <f>"30482021060116565265650"</f>
        <v>30482021060116565265650</v>
      </c>
      <c r="C14" s="6" t="s">
        <v>231</v>
      </c>
      <c r="D14" s="6" t="str">
        <f>"吉健"</f>
        <v>吉健</v>
      </c>
      <c r="E14" s="6" t="str">
        <f>"男"</f>
        <v>男</v>
      </c>
      <c r="F14" s="7" t="s">
        <v>242</v>
      </c>
    </row>
    <row r="15" spans="1:6" ht="20.100000000000001" customHeight="1" x14ac:dyDescent="0.15">
      <c r="A15" s="5">
        <v>12</v>
      </c>
      <c r="B15" s="6" t="str">
        <f>"30482021060117011065692"</f>
        <v>30482021060117011065692</v>
      </c>
      <c r="C15" s="6" t="s">
        <v>231</v>
      </c>
      <c r="D15" s="6" t="str">
        <f>"龙夏妲"</f>
        <v>龙夏妲</v>
      </c>
      <c r="E15" s="6" t="str">
        <f t="shared" ref="E15:E62" si="2">"女"</f>
        <v>女</v>
      </c>
      <c r="F15" s="7" t="s">
        <v>243</v>
      </c>
    </row>
    <row r="16" spans="1:6" ht="20.100000000000001" customHeight="1" x14ac:dyDescent="0.15">
      <c r="A16" s="5">
        <v>13</v>
      </c>
      <c r="B16" s="6" t="str">
        <f>"30482021060117360966105"</f>
        <v>30482021060117360966105</v>
      </c>
      <c r="C16" s="6" t="s">
        <v>231</v>
      </c>
      <c r="D16" s="6" t="str">
        <f>"符冬梅"</f>
        <v>符冬梅</v>
      </c>
      <c r="E16" s="6" t="str">
        <f t="shared" si="2"/>
        <v>女</v>
      </c>
      <c r="F16" s="7" t="s">
        <v>244</v>
      </c>
    </row>
    <row r="17" spans="1:6" ht="20.100000000000001" customHeight="1" x14ac:dyDescent="0.15">
      <c r="A17" s="5">
        <v>14</v>
      </c>
      <c r="B17" s="6" t="str">
        <f>"30482021060117492366226"</f>
        <v>30482021060117492366226</v>
      </c>
      <c r="C17" s="6" t="s">
        <v>231</v>
      </c>
      <c r="D17" s="6" t="str">
        <f>"毕建丽"</f>
        <v>毕建丽</v>
      </c>
      <c r="E17" s="6" t="str">
        <f t="shared" si="2"/>
        <v>女</v>
      </c>
      <c r="F17" s="7" t="s">
        <v>102</v>
      </c>
    </row>
    <row r="18" spans="1:6" ht="20.100000000000001" customHeight="1" x14ac:dyDescent="0.15">
      <c r="A18" s="5">
        <v>15</v>
      </c>
      <c r="B18" s="6" t="str">
        <f>"30482021060118091666402"</f>
        <v>30482021060118091666402</v>
      </c>
      <c r="C18" s="6" t="s">
        <v>231</v>
      </c>
      <c r="D18" s="6" t="str">
        <f>"李珍方"</f>
        <v>李珍方</v>
      </c>
      <c r="E18" s="6" t="str">
        <f t="shared" si="2"/>
        <v>女</v>
      </c>
      <c r="F18" s="7" t="s">
        <v>245</v>
      </c>
    </row>
    <row r="19" spans="1:6" ht="20.100000000000001" customHeight="1" x14ac:dyDescent="0.15">
      <c r="A19" s="5">
        <v>16</v>
      </c>
      <c r="B19" s="6" t="str">
        <f>"30482021060118332566600"</f>
        <v>30482021060118332566600</v>
      </c>
      <c r="C19" s="6" t="s">
        <v>231</v>
      </c>
      <c r="D19" s="6" t="str">
        <f>"林玛明"</f>
        <v>林玛明</v>
      </c>
      <c r="E19" s="6" t="str">
        <f t="shared" si="2"/>
        <v>女</v>
      </c>
      <c r="F19" s="7" t="s">
        <v>246</v>
      </c>
    </row>
    <row r="20" spans="1:6" ht="20.100000000000001" customHeight="1" x14ac:dyDescent="0.15">
      <c r="A20" s="5">
        <v>17</v>
      </c>
      <c r="B20" s="6" t="str">
        <f>"30482021060118592566807"</f>
        <v>30482021060118592566807</v>
      </c>
      <c r="C20" s="6" t="s">
        <v>231</v>
      </c>
      <c r="D20" s="6" t="str">
        <f>"陈文雯"</f>
        <v>陈文雯</v>
      </c>
      <c r="E20" s="6" t="str">
        <f t="shared" si="2"/>
        <v>女</v>
      </c>
      <c r="F20" s="7" t="s">
        <v>247</v>
      </c>
    </row>
    <row r="21" spans="1:6" ht="20.100000000000001" customHeight="1" x14ac:dyDescent="0.15">
      <c r="A21" s="5">
        <v>18</v>
      </c>
      <c r="B21" s="6" t="str">
        <f>"30482021060119115966895"</f>
        <v>30482021060119115966895</v>
      </c>
      <c r="C21" s="6" t="s">
        <v>231</v>
      </c>
      <c r="D21" s="6" t="str">
        <f>"陈莹莹"</f>
        <v>陈莹莹</v>
      </c>
      <c r="E21" s="6" t="str">
        <f t="shared" si="2"/>
        <v>女</v>
      </c>
      <c r="F21" s="7" t="s">
        <v>248</v>
      </c>
    </row>
    <row r="22" spans="1:6" ht="20.100000000000001" customHeight="1" x14ac:dyDescent="0.15">
      <c r="A22" s="5">
        <v>19</v>
      </c>
      <c r="B22" s="6" t="str">
        <f>"30482021060120074467952"</f>
        <v>30482021060120074467952</v>
      </c>
      <c r="C22" s="6" t="s">
        <v>231</v>
      </c>
      <c r="D22" s="6" t="str">
        <f>"邵小萍"</f>
        <v>邵小萍</v>
      </c>
      <c r="E22" s="6" t="str">
        <f t="shared" si="2"/>
        <v>女</v>
      </c>
      <c r="F22" s="7" t="s">
        <v>249</v>
      </c>
    </row>
    <row r="23" spans="1:6" ht="20.100000000000001" customHeight="1" x14ac:dyDescent="0.15">
      <c r="A23" s="5">
        <v>20</v>
      </c>
      <c r="B23" s="6" t="str">
        <f>"30482021060120153768015"</f>
        <v>30482021060120153768015</v>
      </c>
      <c r="C23" s="6" t="s">
        <v>231</v>
      </c>
      <c r="D23" s="6" t="str">
        <f>"李玲"</f>
        <v>李玲</v>
      </c>
      <c r="E23" s="6" t="str">
        <f t="shared" si="2"/>
        <v>女</v>
      </c>
      <c r="F23" s="7" t="s">
        <v>250</v>
      </c>
    </row>
    <row r="24" spans="1:6" ht="20.100000000000001" customHeight="1" x14ac:dyDescent="0.15">
      <c r="A24" s="5">
        <v>21</v>
      </c>
      <c r="B24" s="6" t="str">
        <f>"30482021060120183668039"</f>
        <v>30482021060120183668039</v>
      </c>
      <c r="C24" s="6" t="s">
        <v>231</v>
      </c>
      <c r="D24" s="6" t="str">
        <f>"罗莘"</f>
        <v>罗莘</v>
      </c>
      <c r="E24" s="6" t="str">
        <f t="shared" si="2"/>
        <v>女</v>
      </c>
      <c r="F24" s="7" t="s">
        <v>239</v>
      </c>
    </row>
    <row r="25" spans="1:6" ht="20.100000000000001" customHeight="1" x14ac:dyDescent="0.15">
      <c r="A25" s="5">
        <v>22</v>
      </c>
      <c r="B25" s="6" t="str">
        <f>"30482021060120210968068"</f>
        <v>30482021060120210968068</v>
      </c>
      <c r="C25" s="6" t="s">
        <v>231</v>
      </c>
      <c r="D25" s="6" t="str">
        <f>"谢小芸"</f>
        <v>谢小芸</v>
      </c>
      <c r="E25" s="6" t="str">
        <f t="shared" si="2"/>
        <v>女</v>
      </c>
      <c r="F25" s="7" t="s">
        <v>167</v>
      </c>
    </row>
    <row r="26" spans="1:6" ht="20.100000000000001" customHeight="1" x14ac:dyDescent="0.15">
      <c r="A26" s="5">
        <v>23</v>
      </c>
      <c r="B26" s="6" t="str">
        <f>"30482021060120503768332"</f>
        <v>30482021060120503768332</v>
      </c>
      <c r="C26" s="6" t="s">
        <v>231</v>
      </c>
      <c r="D26" s="6" t="str">
        <f>"林丽"</f>
        <v>林丽</v>
      </c>
      <c r="E26" s="6" t="str">
        <f t="shared" si="2"/>
        <v>女</v>
      </c>
      <c r="F26" s="7" t="s">
        <v>251</v>
      </c>
    </row>
    <row r="27" spans="1:6" ht="20.100000000000001" customHeight="1" x14ac:dyDescent="0.15">
      <c r="A27" s="5">
        <v>24</v>
      </c>
      <c r="B27" s="6" t="str">
        <f>"30482021060120561668385"</f>
        <v>30482021060120561668385</v>
      </c>
      <c r="C27" s="6" t="s">
        <v>231</v>
      </c>
      <c r="D27" s="6" t="str">
        <f>"郭海珊"</f>
        <v>郭海珊</v>
      </c>
      <c r="E27" s="6" t="str">
        <f t="shared" si="2"/>
        <v>女</v>
      </c>
      <c r="F27" s="7" t="s">
        <v>252</v>
      </c>
    </row>
    <row r="28" spans="1:6" ht="20.100000000000001" customHeight="1" x14ac:dyDescent="0.15">
      <c r="A28" s="5">
        <v>25</v>
      </c>
      <c r="B28" s="6" t="str">
        <f>"30482021060121060468467"</f>
        <v>30482021060121060468467</v>
      </c>
      <c r="C28" s="6" t="s">
        <v>231</v>
      </c>
      <c r="D28" s="6" t="str">
        <f>"王锡雪"</f>
        <v>王锡雪</v>
      </c>
      <c r="E28" s="6" t="str">
        <f t="shared" si="2"/>
        <v>女</v>
      </c>
      <c r="F28" s="7" t="s">
        <v>253</v>
      </c>
    </row>
    <row r="29" spans="1:6" ht="20.100000000000001" customHeight="1" x14ac:dyDescent="0.15">
      <c r="A29" s="5">
        <v>26</v>
      </c>
      <c r="B29" s="6" t="str">
        <f>"30482021060121252768642"</f>
        <v>30482021060121252768642</v>
      </c>
      <c r="C29" s="6" t="s">
        <v>231</v>
      </c>
      <c r="D29" s="6" t="str">
        <f>"程丹"</f>
        <v>程丹</v>
      </c>
      <c r="E29" s="6" t="str">
        <f t="shared" si="2"/>
        <v>女</v>
      </c>
      <c r="F29" s="7" t="s">
        <v>254</v>
      </c>
    </row>
    <row r="30" spans="1:6" ht="20.100000000000001" customHeight="1" x14ac:dyDescent="0.15">
      <c r="A30" s="5">
        <v>27</v>
      </c>
      <c r="B30" s="6" t="str">
        <f>"30482021060122565970077"</f>
        <v>30482021060122565970077</v>
      </c>
      <c r="C30" s="6" t="s">
        <v>231</v>
      </c>
      <c r="D30" s="6" t="str">
        <f>"羊秀美"</f>
        <v>羊秀美</v>
      </c>
      <c r="E30" s="6" t="str">
        <f t="shared" si="2"/>
        <v>女</v>
      </c>
      <c r="F30" s="7" t="s">
        <v>255</v>
      </c>
    </row>
    <row r="31" spans="1:6" ht="20.100000000000001" customHeight="1" x14ac:dyDescent="0.15">
      <c r="A31" s="5">
        <v>28</v>
      </c>
      <c r="B31" s="6" t="str">
        <f>"30482021060123370670301"</f>
        <v>30482021060123370670301</v>
      </c>
      <c r="C31" s="6" t="s">
        <v>231</v>
      </c>
      <c r="D31" s="6" t="str">
        <f>"王小琼"</f>
        <v>王小琼</v>
      </c>
      <c r="E31" s="6" t="str">
        <f t="shared" si="2"/>
        <v>女</v>
      </c>
      <c r="F31" s="7" t="s">
        <v>183</v>
      </c>
    </row>
    <row r="32" spans="1:6" ht="20.100000000000001" customHeight="1" x14ac:dyDescent="0.15">
      <c r="A32" s="5">
        <v>29</v>
      </c>
      <c r="B32" s="6" t="str">
        <f>"30482021060201371870515"</f>
        <v>30482021060201371870515</v>
      </c>
      <c r="C32" s="6" t="s">
        <v>231</v>
      </c>
      <c r="D32" s="6" t="str">
        <f>"方瑶"</f>
        <v>方瑶</v>
      </c>
      <c r="E32" s="6" t="str">
        <f t="shared" si="2"/>
        <v>女</v>
      </c>
      <c r="F32" s="7" t="s">
        <v>256</v>
      </c>
    </row>
    <row r="33" spans="1:6" ht="20.100000000000001" customHeight="1" x14ac:dyDescent="0.15">
      <c r="A33" s="5">
        <v>30</v>
      </c>
      <c r="B33" s="6" t="str">
        <f>"30482021060207593970668"</f>
        <v>30482021060207593970668</v>
      </c>
      <c r="C33" s="6" t="s">
        <v>231</v>
      </c>
      <c r="D33" s="6" t="str">
        <f>"陈琼金"</f>
        <v>陈琼金</v>
      </c>
      <c r="E33" s="6" t="str">
        <f t="shared" si="2"/>
        <v>女</v>
      </c>
      <c r="F33" s="7" t="s">
        <v>66</v>
      </c>
    </row>
    <row r="34" spans="1:6" ht="20.100000000000001" customHeight="1" x14ac:dyDescent="0.15">
      <c r="A34" s="5">
        <v>31</v>
      </c>
      <c r="B34" s="6" t="str">
        <f>"30482021060208163370755"</f>
        <v>30482021060208163370755</v>
      </c>
      <c r="C34" s="6" t="s">
        <v>231</v>
      </c>
      <c r="D34" s="6" t="str">
        <f>"周艳"</f>
        <v>周艳</v>
      </c>
      <c r="E34" s="6" t="str">
        <f t="shared" si="2"/>
        <v>女</v>
      </c>
      <c r="F34" s="7" t="s">
        <v>140</v>
      </c>
    </row>
    <row r="35" spans="1:6" ht="20.100000000000001" customHeight="1" x14ac:dyDescent="0.15">
      <c r="A35" s="5">
        <v>32</v>
      </c>
      <c r="B35" s="6" t="str">
        <f>"30482021060208581071095"</f>
        <v>30482021060208581071095</v>
      </c>
      <c r="C35" s="6" t="s">
        <v>231</v>
      </c>
      <c r="D35" s="6" t="str">
        <f>"钟英"</f>
        <v>钟英</v>
      </c>
      <c r="E35" s="6" t="str">
        <f t="shared" si="2"/>
        <v>女</v>
      </c>
      <c r="F35" s="7" t="s">
        <v>257</v>
      </c>
    </row>
    <row r="36" spans="1:6" ht="20.100000000000001" customHeight="1" x14ac:dyDescent="0.15">
      <c r="A36" s="5">
        <v>33</v>
      </c>
      <c r="B36" s="6" t="str">
        <f>"30482021060209362171533"</f>
        <v>30482021060209362171533</v>
      </c>
      <c r="C36" s="6" t="s">
        <v>231</v>
      </c>
      <c r="D36" s="6" t="str">
        <f>"李智芳"</f>
        <v>李智芳</v>
      </c>
      <c r="E36" s="6" t="str">
        <f t="shared" si="2"/>
        <v>女</v>
      </c>
      <c r="F36" s="7" t="s">
        <v>258</v>
      </c>
    </row>
    <row r="37" spans="1:6" ht="20.100000000000001" customHeight="1" x14ac:dyDescent="0.15">
      <c r="A37" s="5">
        <v>34</v>
      </c>
      <c r="B37" s="6" t="str">
        <f>"30482021060210190472112"</f>
        <v>30482021060210190472112</v>
      </c>
      <c r="C37" s="6" t="s">
        <v>231</v>
      </c>
      <c r="D37" s="6" t="str">
        <f>"曾芬"</f>
        <v>曾芬</v>
      </c>
      <c r="E37" s="6" t="str">
        <f t="shared" si="2"/>
        <v>女</v>
      </c>
      <c r="F37" s="7" t="s">
        <v>259</v>
      </c>
    </row>
    <row r="38" spans="1:6" ht="20.100000000000001" customHeight="1" x14ac:dyDescent="0.15">
      <c r="A38" s="5">
        <v>35</v>
      </c>
      <c r="B38" s="6" t="str">
        <f>"30482021060210243872194"</f>
        <v>30482021060210243872194</v>
      </c>
      <c r="C38" s="6" t="s">
        <v>231</v>
      </c>
      <c r="D38" s="6" t="str">
        <f>"陈小桥"</f>
        <v>陈小桥</v>
      </c>
      <c r="E38" s="6" t="str">
        <f t="shared" si="2"/>
        <v>女</v>
      </c>
      <c r="F38" s="7" t="s">
        <v>260</v>
      </c>
    </row>
    <row r="39" spans="1:6" ht="20.100000000000001" customHeight="1" x14ac:dyDescent="0.15">
      <c r="A39" s="5">
        <v>36</v>
      </c>
      <c r="B39" s="6" t="str">
        <f>"30482021060210285572260"</f>
        <v>30482021060210285572260</v>
      </c>
      <c r="C39" s="6" t="s">
        <v>231</v>
      </c>
      <c r="D39" s="6" t="str">
        <f>"陈金丹"</f>
        <v>陈金丹</v>
      </c>
      <c r="E39" s="6" t="str">
        <f t="shared" si="2"/>
        <v>女</v>
      </c>
      <c r="F39" s="7" t="s">
        <v>261</v>
      </c>
    </row>
    <row r="40" spans="1:6" ht="20.100000000000001" customHeight="1" x14ac:dyDescent="0.15">
      <c r="A40" s="5">
        <v>37</v>
      </c>
      <c r="B40" s="6" t="str">
        <f>"30482021060210512472558"</f>
        <v>30482021060210512472558</v>
      </c>
      <c r="C40" s="6" t="s">
        <v>231</v>
      </c>
      <c r="D40" s="6" t="str">
        <f>"韩小燕"</f>
        <v>韩小燕</v>
      </c>
      <c r="E40" s="6" t="str">
        <f t="shared" si="2"/>
        <v>女</v>
      </c>
      <c r="F40" s="7" t="s">
        <v>262</v>
      </c>
    </row>
    <row r="41" spans="1:6" ht="20.100000000000001" customHeight="1" x14ac:dyDescent="0.15">
      <c r="A41" s="5">
        <v>38</v>
      </c>
      <c r="B41" s="6" t="str">
        <f>"30482021060210581672648"</f>
        <v>30482021060210581672648</v>
      </c>
      <c r="C41" s="6" t="s">
        <v>231</v>
      </c>
      <c r="D41" s="6" t="str">
        <f>"李秋萍"</f>
        <v>李秋萍</v>
      </c>
      <c r="E41" s="6" t="str">
        <f t="shared" si="2"/>
        <v>女</v>
      </c>
      <c r="F41" s="7" t="s">
        <v>30</v>
      </c>
    </row>
    <row r="42" spans="1:6" ht="20.100000000000001" customHeight="1" x14ac:dyDescent="0.15">
      <c r="A42" s="5">
        <v>39</v>
      </c>
      <c r="B42" s="6" t="str">
        <f>"30482021060211195572904"</f>
        <v>30482021060211195572904</v>
      </c>
      <c r="C42" s="6" t="s">
        <v>231</v>
      </c>
      <c r="D42" s="6" t="str">
        <f>"何海来"</f>
        <v>何海来</v>
      </c>
      <c r="E42" s="6" t="str">
        <f t="shared" si="2"/>
        <v>女</v>
      </c>
      <c r="F42" s="7" t="s">
        <v>137</v>
      </c>
    </row>
    <row r="43" spans="1:6" ht="20.100000000000001" customHeight="1" x14ac:dyDescent="0.15">
      <c r="A43" s="5">
        <v>40</v>
      </c>
      <c r="B43" s="6" t="str">
        <f>"30482021060211370473071"</f>
        <v>30482021060211370473071</v>
      </c>
      <c r="C43" s="6" t="s">
        <v>231</v>
      </c>
      <c r="D43" s="6" t="str">
        <f>"陈映苗"</f>
        <v>陈映苗</v>
      </c>
      <c r="E43" s="6" t="str">
        <f t="shared" si="2"/>
        <v>女</v>
      </c>
      <c r="F43" s="7" t="s">
        <v>263</v>
      </c>
    </row>
    <row r="44" spans="1:6" ht="20.100000000000001" customHeight="1" x14ac:dyDescent="0.15">
      <c r="A44" s="5">
        <v>41</v>
      </c>
      <c r="B44" s="6" t="str">
        <f>"30482021060213025173799"</f>
        <v>30482021060213025173799</v>
      </c>
      <c r="C44" s="6" t="s">
        <v>231</v>
      </c>
      <c r="D44" s="6" t="str">
        <f>"麦小菊"</f>
        <v>麦小菊</v>
      </c>
      <c r="E44" s="6" t="str">
        <f t="shared" si="2"/>
        <v>女</v>
      </c>
      <c r="F44" s="7" t="s">
        <v>264</v>
      </c>
    </row>
    <row r="45" spans="1:6" ht="20.100000000000001" customHeight="1" x14ac:dyDescent="0.15">
      <c r="A45" s="5">
        <v>42</v>
      </c>
      <c r="B45" s="6" t="str">
        <f>"30482021060213172773907"</f>
        <v>30482021060213172773907</v>
      </c>
      <c r="C45" s="6" t="s">
        <v>231</v>
      </c>
      <c r="D45" s="6" t="str">
        <f>"李禹衡"</f>
        <v>李禹衡</v>
      </c>
      <c r="E45" s="6" t="str">
        <f t="shared" si="2"/>
        <v>女</v>
      </c>
      <c r="F45" s="7" t="s">
        <v>265</v>
      </c>
    </row>
    <row r="46" spans="1:6" ht="20.100000000000001" customHeight="1" x14ac:dyDescent="0.15">
      <c r="A46" s="5">
        <v>43</v>
      </c>
      <c r="B46" s="6" t="str">
        <f>"30482021060215034274618"</f>
        <v>30482021060215034274618</v>
      </c>
      <c r="C46" s="6" t="s">
        <v>231</v>
      </c>
      <c r="D46" s="6" t="str">
        <f>"李华姑"</f>
        <v>李华姑</v>
      </c>
      <c r="E46" s="6" t="str">
        <f t="shared" si="2"/>
        <v>女</v>
      </c>
      <c r="F46" s="7" t="s">
        <v>266</v>
      </c>
    </row>
    <row r="47" spans="1:6" ht="20.100000000000001" customHeight="1" x14ac:dyDescent="0.15">
      <c r="A47" s="5">
        <v>44</v>
      </c>
      <c r="B47" s="6" t="str">
        <f>"30482021060215560775207"</f>
        <v>30482021060215560775207</v>
      </c>
      <c r="C47" s="6" t="s">
        <v>231</v>
      </c>
      <c r="D47" s="6" t="str">
        <f>"潘雯"</f>
        <v>潘雯</v>
      </c>
      <c r="E47" s="6" t="str">
        <f t="shared" si="2"/>
        <v>女</v>
      </c>
      <c r="F47" s="7" t="s">
        <v>267</v>
      </c>
    </row>
    <row r="48" spans="1:6" ht="20.100000000000001" customHeight="1" x14ac:dyDescent="0.15">
      <c r="A48" s="5">
        <v>45</v>
      </c>
      <c r="B48" s="6" t="str">
        <f>"30482021060216050575302"</f>
        <v>30482021060216050575302</v>
      </c>
      <c r="C48" s="6" t="s">
        <v>231</v>
      </c>
      <c r="D48" s="6" t="str">
        <f>"靳雅萌"</f>
        <v>靳雅萌</v>
      </c>
      <c r="E48" s="6" t="str">
        <f t="shared" si="2"/>
        <v>女</v>
      </c>
      <c r="F48" s="7" t="s">
        <v>268</v>
      </c>
    </row>
    <row r="49" spans="1:6" ht="20.100000000000001" customHeight="1" x14ac:dyDescent="0.15">
      <c r="A49" s="5">
        <v>46</v>
      </c>
      <c r="B49" s="6" t="str">
        <f>"30482021060216062775319"</f>
        <v>30482021060216062775319</v>
      </c>
      <c r="C49" s="6" t="s">
        <v>231</v>
      </c>
      <c r="D49" s="6" t="str">
        <f>"符含萍"</f>
        <v>符含萍</v>
      </c>
      <c r="E49" s="6" t="str">
        <f t="shared" si="2"/>
        <v>女</v>
      </c>
      <c r="F49" s="7" t="s">
        <v>31</v>
      </c>
    </row>
    <row r="50" spans="1:6" ht="20.100000000000001" customHeight="1" x14ac:dyDescent="0.15">
      <c r="A50" s="5">
        <v>47</v>
      </c>
      <c r="B50" s="6" t="str">
        <f>"30482021060216141175389"</f>
        <v>30482021060216141175389</v>
      </c>
      <c r="C50" s="6" t="s">
        <v>231</v>
      </c>
      <c r="D50" s="6" t="str">
        <f>"林丹"</f>
        <v>林丹</v>
      </c>
      <c r="E50" s="6" t="str">
        <f t="shared" si="2"/>
        <v>女</v>
      </c>
      <c r="F50" s="7" t="s">
        <v>269</v>
      </c>
    </row>
    <row r="51" spans="1:6" ht="20.100000000000001" customHeight="1" x14ac:dyDescent="0.15">
      <c r="A51" s="5">
        <v>48</v>
      </c>
      <c r="B51" s="6" t="str">
        <f>"30482021060219471377088"</f>
        <v>30482021060219471377088</v>
      </c>
      <c r="C51" s="6" t="s">
        <v>231</v>
      </c>
      <c r="D51" s="6" t="str">
        <f>"周亚莲"</f>
        <v>周亚莲</v>
      </c>
      <c r="E51" s="6" t="str">
        <f t="shared" si="2"/>
        <v>女</v>
      </c>
      <c r="F51" s="7" t="s">
        <v>270</v>
      </c>
    </row>
    <row r="52" spans="1:6" ht="20.100000000000001" customHeight="1" x14ac:dyDescent="0.15">
      <c r="A52" s="5">
        <v>49</v>
      </c>
      <c r="B52" s="6" t="str">
        <f>"30482021060219524577122"</f>
        <v>30482021060219524577122</v>
      </c>
      <c r="C52" s="6" t="s">
        <v>231</v>
      </c>
      <c r="D52" s="6" t="str">
        <f>"林小晶"</f>
        <v>林小晶</v>
      </c>
      <c r="E52" s="6" t="str">
        <f t="shared" si="2"/>
        <v>女</v>
      </c>
      <c r="F52" s="7" t="s">
        <v>271</v>
      </c>
    </row>
    <row r="53" spans="1:6" ht="20.100000000000001" customHeight="1" x14ac:dyDescent="0.15">
      <c r="A53" s="5">
        <v>50</v>
      </c>
      <c r="B53" s="6" t="str">
        <f>"30482021060220013977204"</f>
        <v>30482021060220013977204</v>
      </c>
      <c r="C53" s="6" t="s">
        <v>231</v>
      </c>
      <c r="D53" s="6" t="str">
        <f>"薛萌"</f>
        <v>薛萌</v>
      </c>
      <c r="E53" s="6" t="str">
        <f t="shared" si="2"/>
        <v>女</v>
      </c>
      <c r="F53" s="7" t="s">
        <v>272</v>
      </c>
    </row>
    <row r="54" spans="1:6" ht="20.100000000000001" customHeight="1" x14ac:dyDescent="0.15">
      <c r="A54" s="5">
        <v>51</v>
      </c>
      <c r="B54" s="6" t="str">
        <f>"30482021060220231977375"</f>
        <v>30482021060220231977375</v>
      </c>
      <c r="C54" s="6" t="s">
        <v>231</v>
      </c>
      <c r="D54" s="6" t="str">
        <f>"王芳"</f>
        <v>王芳</v>
      </c>
      <c r="E54" s="6" t="str">
        <f t="shared" si="2"/>
        <v>女</v>
      </c>
      <c r="F54" s="7" t="s">
        <v>273</v>
      </c>
    </row>
    <row r="55" spans="1:6" ht="20.100000000000001" customHeight="1" x14ac:dyDescent="0.15">
      <c r="A55" s="5">
        <v>52</v>
      </c>
      <c r="B55" s="6" t="str">
        <f>"30482021060221114377798"</f>
        <v>30482021060221114377798</v>
      </c>
      <c r="C55" s="6" t="s">
        <v>231</v>
      </c>
      <c r="D55" s="6" t="str">
        <f>"胡丽金"</f>
        <v>胡丽金</v>
      </c>
      <c r="E55" s="6" t="str">
        <f t="shared" si="2"/>
        <v>女</v>
      </c>
      <c r="F55" s="7" t="s">
        <v>274</v>
      </c>
    </row>
    <row r="56" spans="1:6" ht="20.100000000000001" customHeight="1" x14ac:dyDescent="0.15">
      <c r="A56" s="5">
        <v>53</v>
      </c>
      <c r="B56" s="6" t="str">
        <f>"30482021060221361178004"</f>
        <v>30482021060221361178004</v>
      </c>
      <c r="C56" s="6" t="s">
        <v>231</v>
      </c>
      <c r="D56" s="6" t="str">
        <f>"吉家娟"</f>
        <v>吉家娟</v>
      </c>
      <c r="E56" s="6" t="str">
        <f t="shared" si="2"/>
        <v>女</v>
      </c>
      <c r="F56" s="7" t="s">
        <v>275</v>
      </c>
    </row>
    <row r="57" spans="1:6" ht="20.100000000000001" customHeight="1" x14ac:dyDescent="0.15">
      <c r="A57" s="5">
        <v>54</v>
      </c>
      <c r="B57" s="6" t="str">
        <f>"30482021060221495678104"</f>
        <v>30482021060221495678104</v>
      </c>
      <c r="C57" s="6" t="s">
        <v>231</v>
      </c>
      <c r="D57" s="6" t="str">
        <f>"王红芳"</f>
        <v>王红芳</v>
      </c>
      <c r="E57" s="6" t="str">
        <f t="shared" si="2"/>
        <v>女</v>
      </c>
      <c r="F57" s="7" t="s">
        <v>276</v>
      </c>
    </row>
    <row r="58" spans="1:6" ht="20.100000000000001" customHeight="1" x14ac:dyDescent="0.15">
      <c r="A58" s="5">
        <v>55</v>
      </c>
      <c r="B58" s="6" t="str">
        <f>"30482021060222280178403"</f>
        <v>30482021060222280178403</v>
      </c>
      <c r="C58" s="6" t="s">
        <v>231</v>
      </c>
      <c r="D58" s="6" t="str">
        <f>"王慧丽"</f>
        <v>王慧丽</v>
      </c>
      <c r="E58" s="6" t="str">
        <f t="shared" si="2"/>
        <v>女</v>
      </c>
      <c r="F58" s="7" t="s">
        <v>277</v>
      </c>
    </row>
    <row r="59" spans="1:6" ht="20.100000000000001" customHeight="1" x14ac:dyDescent="0.15">
      <c r="A59" s="5">
        <v>56</v>
      </c>
      <c r="B59" s="6" t="str">
        <f>"30482021060222552978614"</f>
        <v>30482021060222552978614</v>
      </c>
      <c r="C59" s="6" t="s">
        <v>231</v>
      </c>
      <c r="D59" s="6" t="str">
        <f>"许彩熊"</f>
        <v>许彩熊</v>
      </c>
      <c r="E59" s="6" t="str">
        <f t="shared" si="2"/>
        <v>女</v>
      </c>
      <c r="F59" s="7" t="s">
        <v>278</v>
      </c>
    </row>
    <row r="60" spans="1:6" ht="20.100000000000001" customHeight="1" x14ac:dyDescent="0.15">
      <c r="A60" s="5">
        <v>57</v>
      </c>
      <c r="B60" s="6" t="str">
        <f>"30482021060300313679038"</f>
        <v>30482021060300313679038</v>
      </c>
      <c r="C60" s="6" t="s">
        <v>231</v>
      </c>
      <c r="D60" s="6" t="str">
        <f>"吕东洋"</f>
        <v>吕东洋</v>
      </c>
      <c r="E60" s="6" t="str">
        <f t="shared" si="2"/>
        <v>女</v>
      </c>
      <c r="F60" s="7" t="s">
        <v>279</v>
      </c>
    </row>
    <row r="61" spans="1:6" ht="20.100000000000001" customHeight="1" x14ac:dyDescent="0.15">
      <c r="A61" s="5">
        <v>58</v>
      </c>
      <c r="B61" s="6" t="str">
        <f>"30482021060308045779291"</f>
        <v>30482021060308045779291</v>
      </c>
      <c r="C61" s="6" t="s">
        <v>231</v>
      </c>
      <c r="D61" s="6" t="str">
        <f>"曲佳佳"</f>
        <v>曲佳佳</v>
      </c>
      <c r="E61" s="6" t="str">
        <f t="shared" si="2"/>
        <v>女</v>
      </c>
      <c r="F61" s="7" t="s">
        <v>30</v>
      </c>
    </row>
    <row r="62" spans="1:6" ht="20.100000000000001" customHeight="1" x14ac:dyDescent="0.15">
      <c r="A62" s="5">
        <v>59</v>
      </c>
      <c r="B62" s="6" t="str">
        <f>"30482021060308543279713"</f>
        <v>30482021060308543279713</v>
      </c>
      <c r="C62" s="6" t="s">
        <v>231</v>
      </c>
      <c r="D62" s="6" t="str">
        <f>"陈丽蕻"</f>
        <v>陈丽蕻</v>
      </c>
      <c r="E62" s="6" t="str">
        <f t="shared" si="2"/>
        <v>女</v>
      </c>
      <c r="F62" s="7" t="s">
        <v>280</v>
      </c>
    </row>
    <row r="63" spans="1:6" ht="20.100000000000001" customHeight="1" x14ac:dyDescent="0.15">
      <c r="A63" s="5">
        <v>60</v>
      </c>
      <c r="B63" s="6" t="str">
        <f>"30482021060310020980716"</f>
        <v>30482021060310020980716</v>
      </c>
      <c r="C63" s="6" t="s">
        <v>231</v>
      </c>
      <c r="D63" s="6" t="str">
        <f>"刘后鑫"</f>
        <v>刘后鑫</v>
      </c>
      <c r="E63" s="6" t="str">
        <f>"男"</f>
        <v>男</v>
      </c>
      <c r="F63" s="7" t="s">
        <v>281</v>
      </c>
    </row>
    <row r="64" spans="1:6" ht="20.100000000000001" customHeight="1" x14ac:dyDescent="0.15">
      <c r="A64" s="5">
        <v>61</v>
      </c>
      <c r="B64" s="6" t="str">
        <f>"30482021060310154980946"</f>
        <v>30482021060310154980946</v>
      </c>
      <c r="C64" s="6" t="s">
        <v>231</v>
      </c>
      <c r="D64" s="6" t="str">
        <f>"王振霞"</f>
        <v>王振霞</v>
      </c>
      <c r="E64" s="6" t="str">
        <f t="shared" ref="E64:E73" si="3">"女"</f>
        <v>女</v>
      </c>
      <c r="F64" s="7" t="s">
        <v>282</v>
      </c>
    </row>
    <row r="65" spans="1:6" ht="20.100000000000001" customHeight="1" x14ac:dyDescent="0.15">
      <c r="A65" s="5">
        <v>62</v>
      </c>
      <c r="B65" s="6" t="str">
        <f>"30482021060310165480968"</f>
        <v>30482021060310165480968</v>
      </c>
      <c r="C65" s="6" t="s">
        <v>231</v>
      </c>
      <c r="D65" s="6" t="str">
        <f>"符传丹"</f>
        <v>符传丹</v>
      </c>
      <c r="E65" s="6" t="str">
        <f t="shared" si="3"/>
        <v>女</v>
      </c>
      <c r="F65" s="7" t="s">
        <v>283</v>
      </c>
    </row>
    <row r="66" spans="1:6" ht="20.100000000000001" customHeight="1" x14ac:dyDescent="0.15">
      <c r="A66" s="5">
        <v>63</v>
      </c>
      <c r="B66" s="6" t="str">
        <f>"30482021060310340081226"</f>
        <v>30482021060310340081226</v>
      </c>
      <c r="C66" s="6" t="s">
        <v>231</v>
      </c>
      <c r="D66" s="6" t="str">
        <f>"张名娟"</f>
        <v>张名娟</v>
      </c>
      <c r="E66" s="6" t="str">
        <f t="shared" si="3"/>
        <v>女</v>
      </c>
      <c r="F66" s="7" t="s">
        <v>44</v>
      </c>
    </row>
    <row r="67" spans="1:6" ht="20.100000000000001" customHeight="1" x14ac:dyDescent="0.15">
      <c r="A67" s="5">
        <v>64</v>
      </c>
      <c r="B67" s="6" t="str">
        <f>"30482021060311344582135"</f>
        <v>30482021060311344582135</v>
      </c>
      <c r="C67" s="6" t="s">
        <v>231</v>
      </c>
      <c r="D67" s="6" t="str">
        <f>"李璐怡"</f>
        <v>李璐怡</v>
      </c>
      <c r="E67" s="6" t="str">
        <f t="shared" si="3"/>
        <v>女</v>
      </c>
      <c r="F67" s="7" t="s">
        <v>160</v>
      </c>
    </row>
    <row r="68" spans="1:6" ht="20.100000000000001" customHeight="1" x14ac:dyDescent="0.15">
      <c r="A68" s="5">
        <v>65</v>
      </c>
      <c r="B68" s="6" t="str">
        <f>"30482021060312431882852"</f>
        <v>30482021060312431882852</v>
      </c>
      <c r="C68" s="6" t="s">
        <v>231</v>
      </c>
      <c r="D68" s="6" t="str">
        <f>"程娟"</f>
        <v>程娟</v>
      </c>
      <c r="E68" s="6" t="str">
        <f t="shared" si="3"/>
        <v>女</v>
      </c>
      <c r="F68" s="7" t="s">
        <v>284</v>
      </c>
    </row>
    <row r="69" spans="1:6" ht="20.100000000000001" customHeight="1" x14ac:dyDescent="0.15">
      <c r="A69" s="5">
        <v>66</v>
      </c>
      <c r="B69" s="6" t="str">
        <f>"30482021060317104185700"</f>
        <v>30482021060317104185700</v>
      </c>
      <c r="C69" s="6" t="s">
        <v>231</v>
      </c>
      <c r="D69" s="6" t="str">
        <f>"蒙诗琪"</f>
        <v>蒙诗琪</v>
      </c>
      <c r="E69" s="6" t="str">
        <f t="shared" si="3"/>
        <v>女</v>
      </c>
      <c r="F69" s="7" t="s">
        <v>97</v>
      </c>
    </row>
    <row r="70" spans="1:6" ht="20.100000000000001" customHeight="1" x14ac:dyDescent="0.15">
      <c r="A70" s="5">
        <v>67</v>
      </c>
      <c r="B70" s="6" t="str">
        <f>"30482021060317183185792"</f>
        <v>30482021060317183185792</v>
      </c>
      <c r="C70" s="6" t="s">
        <v>231</v>
      </c>
      <c r="D70" s="6" t="str">
        <f>"曾惠帆"</f>
        <v>曾惠帆</v>
      </c>
      <c r="E70" s="6" t="str">
        <f t="shared" si="3"/>
        <v>女</v>
      </c>
      <c r="F70" s="7" t="s">
        <v>285</v>
      </c>
    </row>
    <row r="71" spans="1:6" ht="20.100000000000001" customHeight="1" x14ac:dyDescent="0.15">
      <c r="A71" s="5">
        <v>68</v>
      </c>
      <c r="B71" s="6" t="str">
        <f>"30482021060319310086970"</f>
        <v>30482021060319310086970</v>
      </c>
      <c r="C71" s="6" t="s">
        <v>231</v>
      </c>
      <c r="D71" s="6" t="str">
        <f>"赵玉丹"</f>
        <v>赵玉丹</v>
      </c>
      <c r="E71" s="6" t="str">
        <f t="shared" si="3"/>
        <v>女</v>
      </c>
      <c r="F71" s="7" t="s">
        <v>286</v>
      </c>
    </row>
    <row r="72" spans="1:6" ht="20.100000000000001" customHeight="1" x14ac:dyDescent="0.15">
      <c r="A72" s="5">
        <v>69</v>
      </c>
      <c r="B72" s="6" t="str">
        <f>"30482021060320145887378"</f>
        <v>30482021060320145887378</v>
      </c>
      <c r="C72" s="6" t="s">
        <v>231</v>
      </c>
      <c r="D72" s="6" t="str">
        <f>"邢文完"</f>
        <v>邢文完</v>
      </c>
      <c r="E72" s="6" t="str">
        <f t="shared" si="3"/>
        <v>女</v>
      </c>
      <c r="F72" s="7" t="s">
        <v>191</v>
      </c>
    </row>
    <row r="73" spans="1:6" ht="20.100000000000001" customHeight="1" x14ac:dyDescent="0.15">
      <c r="A73" s="5">
        <v>70</v>
      </c>
      <c r="B73" s="6" t="str">
        <f>"30482021060321581388572"</f>
        <v>30482021060321581388572</v>
      </c>
      <c r="C73" s="6" t="s">
        <v>231</v>
      </c>
      <c r="D73" s="6" t="str">
        <f>"张万晶"</f>
        <v>张万晶</v>
      </c>
      <c r="E73" s="6" t="str">
        <f t="shared" si="3"/>
        <v>女</v>
      </c>
      <c r="F73" s="7" t="s">
        <v>287</v>
      </c>
    </row>
    <row r="74" spans="1:6" ht="20.100000000000001" customHeight="1" x14ac:dyDescent="0.15">
      <c r="A74" s="5">
        <v>71</v>
      </c>
      <c r="B74" s="6" t="str">
        <f>"30482021060323042689284"</f>
        <v>30482021060323042689284</v>
      </c>
      <c r="C74" s="6" t="s">
        <v>231</v>
      </c>
      <c r="D74" s="6" t="str">
        <f>"郑森"</f>
        <v>郑森</v>
      </c>
      <c r="E74" s="6" t="str">
        <f>"男"</f>
        <v>男</v>
      </c>
      <c r="F74" s="7" t="s">
        <v>288</v>
      </c>
    </row>
    <row r="75" spans="1:6" ht="20.100000000000001" customHeight="1" x14ac:dyDescent="0.15">
      <c r="A75" s="5">
        <v>72</v>
      </c>
      <c r="B75" s="6" t="str">
        <f>"30482021060410112691417"</f>
        <v>30482021060410112691417</v>
      </c>
      <c r="C75" s="6" t="s">
        <v>231</v>
      </c>
      <c r="D75" s="6" t="str">
        <f>"麦桑桑"</f>
        <v>麦桑桑</v>
      </c>
      <c r="E75" s="6" t="str">
        <f t="shared" ref="E75:E98" si="4">"女"</f>
        <v>女</v>
      </c>
      <c r="F75" s="7" t="s">
        <v>289</v>
      </c>
    </row>
    <row r="76" spans="1:6" ht="20.100000000000001" customHeight="1" x14ac:dyDescent="0.15">
      <c r="A76" s="5">
        <v>73</v>
      </c>
      <c r="B76" s="6" t="str">
        <f>"30482021060410510391974"</f>
        <v>30482021060410510391974</v>
      </c>
      <c r="C76" s="6" t="s">
        <v>231</v>
      </c>
      <c r="D76" s="6" t="str">
        <f>"李助桂"</f>
        <v>李助桂</v>
      </c>
      <c r="E76" s="6" t="str">
        <f t="shared" si="4"/>
        <v>女</v>
      </c>
      <c r="F76" s="7" t="s">
        <v>290</v>
      </c>
    </row>
    <row r="77" spans="1:6" ht="20.100000000000001" customHeight="1" x14ac:dyDescent="0.15">
      <c r="A77" s="5">
        <v>74</v>
      </c>
      <c r="B77" s="6" t="str">
        <f>"30482021060411414893175"</f>
        <v>30482021060411414893175</v>
      </c>
      <c r="C77" s="6" t="s">
        <v>231</v>
      </c>
      <c r="D77" s="6" t="str">
        <f>"陈依宁"</f>
        <v>陈依宁</v>
      </c>
      <c r="E77" s="6" t="str">
        <f t="shared" si="4"/>
        <v>女</v>
      </c>
      <c r="F77" s="7" t="s">
        <v>291</v>
      </c>
    </row>
    <row r="78" spans="1:6" ht="20.100000000000001" customHeight="1" x14ac:dyDescent="0.15">
      <c r="A78" s="5">
        <v>75</v>
      </c>
      <c r="B78" s="6" t="str">
        <f>"30482021060411471293226"</f>
        <v>30482021060411471293226</v>
      </c>
      <c r="C78" s="6" t="s">
        <v>231</v>
      </c>
      <c r="D78" s="6" t="str">
        <f>"云孟欣"</f>
        <v>云孟欣</v>
      </c>
      <c r="E78" s="6" t="str">
        <f t="shared" si="4"/>
        <v>女</v>
      </c>
      <c r="F78" s="7" t="s">
        <v>292</v>
      </c>
    </row>
    <row r="79" spans="1:6" ht="20.100000000000001" customHeight="1" x14ac:dyDescent="0.15">
      <c r="A79" s="5">
        <v>76</v>
      </c>
      <c r="B79" s="6" t="str">
        <f>"30482021060413194394222"</f>
        <v>30482021060413194394222</v>
      </c>
      <c r="C79" s="6" t="s">
        <v>231</v>
      </c>
      <c r="D79" s="6" t="str">
        <f>"刘乐乐"</f>
        <v>刘乐乐</v>
      </c>
      <c r="E79" s="6" t="str">
        <f t="shared" si="4"/>
        <v>女</v>
      </c>
      <c r="F79" s="7" t="s">
        <v>293</v>
      </c>
    </row>
    <row r="80" spans="1:6" ht="20.100000000000001" customHeight="1" x14ac:dyDescent="0.15">
      <c r="A80" s="5">
        <v>77</v>
      </c>
      <c r="B80" s="6" t="str">
        <f>"30482021060414000794592"</f>
        <v>30482021060414000794592</v>
      </c>
      <c r="C80" s="6" t="s">
        <v>231</v>
      </c>
      <c r="D80" s="6" t="str">
        <f>"石一凡"</f>
        <v>石一凡</v>
      </c>
      <c r="E80" s="6" t="str">
        <f t="shared" si="4"/>
        <v>女</v>
      </c>
      <c r="F80" s="7" t="s">
        <v>56</v>
      </c>
    </row>
    <row r="81" spans="1:6" ht="20.100000000000001" customHeight="1" x14ac:dyDescent="0.15">
      <c r="A81" s="5">
        <v>78</v>
      </c>
      <c r="B81" s="6" t="str">
        <f>"30482021060414150695358"</f>
        <v>30482021060414150695358</v>
      </c>
      <c r="C81" s="6" t="s">
        <v>231</v>
      </c>
      <c r="D81" s="6" t="str">
        <f>"王婷婷"</f>
        <v>王婷婷</v>
      </c>
      <c r="E81" s="6" t="str">
        <f t="shared" si="4"/>
        <v>女</v>
      </c>
      <c r="F81" s="7" t="s">
        <v>294</v>
      </c>
    </row>
    <row r="82" spans="1:6" ht="20.100000000000001" customHeight="1" x14ac:dyDescent="0.15">
      <c r="A82" s="5">
        <v>79</v>
      </c>
      <c r="B82" s="6" t="str">
        <f>"30482021060416150396939"</f>
        <v>30482021060416150396939</v>
      </c>
      <c r="C82" s="6" t="s">
        <v>231</v>
      </c>
      <c r="D82" s="6" t="str">
        <f>"陈银"</f>
        <v>陈银</v>
      </c>
      <c r="E82" s="6" t="str">
        <f t="shared" si="4"/>
        <v>女</v>
      </c>
      <c r="F82" s="7" t="s">
        <v>295</v>
      </c>
    </row>
    <row r="83" spans="1:6" ht="20.100000000000001" customHeight="1" x14ac:dyDescent="0.15">
      <c r="A83" s="5">
        <v>80</v>
      </c>
      <c r="B83" s="6" t="str">
        <f>"30482021060417153997723"</f>
        <v>30482021060417153997723</v>
      </c>
      <c r="C83" s="6" t="s">
        <v>231</v>
      </c>
      <c r="D83" s="6" t="str">
        <f>"邹燕"</f>
        <v>邹燕</v>
      </c>
      <c r="E83" s="6" t="str">
        <f t="shared" si="4"/>
        <v>女</v>
      </c>
      <c r="F83" s="7" t="s">
        <v>296</v>
      </c>
    </row>
    <row r="84" spans="1:6" ht="20.100000000000001" customHeight="1" x14ac:dyDescent="0.15">
      <c r="A84" s="5">
        <v>81</v>
      </c>
      <c r="B84" s="6" t="str">
        <f>"30482021060417211597807"</f>
        <v>30482021060417211597807</v>
      </c>
      <c r="C84" s="6" t="s">
        <v>231</v>
      </c>
      <c r="D84" s="6" t="str">
        <f>"文凤挑"</f>
        <v>文凤挑</v>
      </c>
      <c r="E84" s="6" t="str">
        <f t="shared" si="4"/>
        <v>女</v>
      </c>
      <c r="F84" s="7" t="s">
        <v>297</v>
      </c>
    </row>
    <row r="85" spans="1:6" ht="20.100000000000001" customHeight="1" x14ac:dyDescent="0.15">
      <c r="A85" s="5">
        <v>82</v>
      </c>
      <c r="B85" s="6" t="str">
        <f>"30482021060417245397860"</f>
        <v>30482021060417245397860</v>
      </c>
      <c r="C85" s="6" t="s">
        <v>231</v>
      </c>
      <c r="D85" s="6" t="str">
        <f>"何惠芬"</f>
        <v>何惠芬</v>
      </c>
      <c r="E85" s="6" t="str">
        <f t="shared" si="4"/>
        <v>女</v>
      </c>
      <c r="F85" s="7" t="s">
        <v>250</v>
      </c>
    </row>
    <row r="86" spans="1:6" ht="20.100000000000001" customHeight="1" x14ac:dyDescent="0.15">
      <c r="A86" s="5">
        <v>83</v>
      </c>
      <c r="B86" s="6" t="str">
        <f>"30482021060418174298357"</f>
        <v>30482021060418174298357</v>
      </c>
      <c r="C86" s="6" t="s">
        <v>231</v>
      </c>
      <c r="D86" s="6" t="str">
        <f>"陈倩"</f>
        <v>陈倩</v>
      </c>
      <c r="E86" s="6" t="str">
        <f t="shared" si="4"/>
        <v>女</v>
      </c>
      <c r="F86" s="7" t="s">
        <v>140</v>
      </c>
    </row>
    <row r="87" spans="1:6" ht="20.100000000000001" customHeight="1" x14ac:dyDescent="0.15">
      <c r="A87" s="5">
        <v>84</v>
      </c>
      <c r="B87" s="6" t="str">
        <f>"30482021060419394699228"</f>
        <v>30482021060419394699228</v>
      </c>
      <c r="C87" s="6" t="s">
        <v>231</v>
      </c>
      <c r="D87" s="6" t="str">
        <f>"高秀佳"</f>
        <v>高秀佳</v>
      </c>
      <c r="E87" s="6" t="str">
        <f t="shared" si="4"/>
        <v>女</v>
      </c>
      <c r="F87" s="7" t="s">
        <v>152</v>
      </c>
    </row>
    <row r="88" spans="1:6" ht="20.100000000000001" customHeight="1" x14ac:dyDescent="0.15">
      <c r="A88" s="5">
        <v>85</v>
      </c>
      <c r="B88" s="6" t="str">
        <f>"30482021060420282899389"</f>
        <v>30482021060420282899389</v>
      </c>
      <c r="C88" s="6" t="s">
        <v>231</v>
      </c>
      <c r="D88" s="6" t="str">
        <f>"唐杨柳"</f>
        <v>唐杨柳</v>
      </c>
      <c r="E88" s="6" t="str">
        <f t="shared" si="4"/>
        <v>女</v>
      </c>
      <c r="F88" s="7" t="s">
        <v>186</v>
      </c>
    </row>
    <row r="89" spans="1:6" ht="20.100000000000001" customHeight="1" x14ac:dyDescent="0.15">
      <c r="A89" s="5">
        <v>86</v>
      </c>
      <c r="B89" s="6" t="str">
        <f>"30482021060420555699482"</f>
        <v>30482021060420555699482</v>
      </c>
      <c r="C89" s="6" t="s">
        <v>231</v>
      </c>
      <c r="D89" s="6" t="str">
        <f>"黄小燕"</f>
        <v>黄小燕</v>
      </c>
      <c r="E89" s="6" t="str">
        <f t="shared" si="4"/>
        <v>女</v>
      </c>
      <c r="F89" s="7" t="s">
        <v>298</v>
      </c>
    </row>
    <row r="90" spans="1:6" ht="20.100000000000001" customHeight="1" x14ac:dyDescent="0.15">
      <c r="A90" s="5">
        <v>87</v>
      </c>
      <c r="B90" s="6" t="str">
        <f>"30482021060421054899517"</f>
        <v>30482021060421054899517</v>
      </c>
      <c r="C90" s="6" t="s">
        <v>231</v>
      </c>
      <c r="D90" s="6" t="str">
        <f>"薛婆保"</f>
        <v>薛婆保</v>
      </c>
      <c r="E90" s="6" t="str">
        <f t="shared" si="4"/>
        <v>女</v>
      </c>
      <c r="F90" s="7" t="s">
        <v>56</v>
      </c>
    </row>
    <row r="91" spans="1:6" ht="20.100000000000001" customHeight="1" x14ac:dyDescent="0.15">
      <c r="A91" s="5">
        <v>88</v>
      </c>
      <c r="B91" s="6" t="str">
        <f>"30482021060500090599998"</f>
        <v>30482021060500090599998</v>
      </c>
      <c r="C91" s="6" t="s">
        <v>231</v>
      </c>
      <c r="D91" s="6" t="str">
        <f>"苏丽"</f>
        <v>苏丽</v>
      </c>
      <c r="E91" s="6" t="str">
        <f t="shared" si="4"/>
        <v>女</v>
      </c>
      <c r="F91" s="7" t="s">
        <v>299</v>
      </c>
    </row>
    <row r="92" spans="1:6" ht="20.100000000000001" customHeight="1" x14ac:dyDescent="0.15">
      <c r="A92" s="5">
        <v>89</v>
      </c>
      <c r="B92" s="6" t="str">
        <f>"304820210605073810100123"</f>
        <v>304820210605073810100123</v>
      </c>
      <c r="C92" s="6" t="s">
        <v>231</v>
      </c>
      <c r="D92" s="6" t="str">
        <f>"吴海花"</f>
        <v>吴海花</v>
      </c>
      <c r="E92" s="6" t="str">
        <f t="shared" si="4"/>
        <v>女</v>
      </c>
      <c r="F92" s="7" t="s">
        <v>300</v>
      </c>
    </row>
    <row r="93" spans="1:6" ht="20.100000000000001" customHeight="1" x14ac:dyDescent="0.15">
      <c r="A93" s="5">
        <v>90</v>
      </c>
      <c r="B93" s="6" t="str">
        <f>"304820210605113725100657"</f>
        <v>304820210605113725100657</v>
      </c>
      <c r="C93" s="6" t="s">
        <v>231</v>
      </c>
      <c r="D93" s="6" t="str">
        <f>"杨贵草"</f>
        <v>杨贵草</v>
      </c>
      <c r="E93" s="6" t="str">
        <f t="shared" si="4"/>
        <v>女</v>
      </c>
      <c r="F93" s="7" t="s">
        <v>219</v>
      </c>
    </row>
    <row r="94" spans="1:6" ht="20.100000000000001" customHeight="1" x14ac:dyDescent="0.15">
      <c r="A94" s="5">
        <v>91</v>
      </c>
      <c r="B94" s="6" t="str">
        <f>"304820210605133631100930"</f>
        <v>304820210605133631100930</v>
      </c>
      <c r="C94" s="6" t="s">
        <v>231</v>
      </c>
      <c r="D94" s="6" t="str">
        <f>"张华"</f>
        <v>张华</v>
      </c>
      <c r="E94" s="6" t="str">
        <f t="shared" si="4"/>
        <v>女</v>
      </c>
      <c r="F94" s="7" t="s">
        <v>301</v>
      </c>
    </row>
    <row r="95" spans="1:6" ht="20.100000000000001" customHeight="1" x14ac:dyDescent="0.15">
      <c r="A95" s="5">
        <v>92</v>
      </c>
      <c r="B95" s="6" t="str">
        <f>"304820210605170720101518"</f>
        <v>304820210605170720101518</v>
      </c>
      <c r="C95" s="6" t="s">
        <v>231</v>
      </c>
      <c r="D95" s="6" t="str">
        <f>"吴倩倩"</f>
        <v>吴倩倩</v>
      </c>
      <c r="E95" s="6" t="str">
        <f t="shared" si="4"/>
        <v>女</v>
      </c>
      <c r="F95" s="7" t="s">
        <v>302</v>
      </c>
    </row>
    <row r="96" spans="1:6" ht="20.100000000000001" customHeight="1" x14ac:dyDescent="0.15">
      <c r="A96" s="5">
        <v>93</v>
      </c>
      <c r="B96" s="6" t="str">
        <f>"304820210605200458101960"</f>
        <v>304820210605200458101960</v>
      </c>
      <c r="C96" s="6" t="s">
        <v>231</v>
      </c>
      <c r="D96" s="6" t="str">
        <f>"徐长女"</f>
        <v>徐长女</v>
      </c>
      <c r="E96" s="6" t="str">
        <f t="shared" si="4"/>
        <v>女</v>
      </c>
      <c r="F96" s="7" t="s">
        <v>303</v>
      </c>
    </row>
    <row r="97" spans="1:6" ht="20.100000000000001" customHeight="1" x14ac:dyDescent="0.15">
      <c r="A97" s="5">
        <v>94</v>
      </c>
      <c r="B97" s="6" t="str">
        <f>"304820210605225523102441"</f>
        <v>304820210605225523102441</v>
      </c>
      <c r="C97" s="6" t="s">
        <v>231</v>
      </c>
      <c r="D97" s="6" t="str">
        <f>"于晓梅"</f>
        <v>于晓梅</v>
      </c>
      <c r="E97" s="6" t="str">
        <f t="shared" si="4"/>
        <v>女</v>
      </c>
      <c r="F97" s="7" t="s">
        <v>304</v>
      </c>
    </row>
    <row r="98" spans="1:6" ht="20.100000000000001" customHeight="1" x14ac:dyDescent="0.15">
      <c r="A98" s="5">
        <v>95</v>
      </c>
      <c r="B98" s="6" t="str">
        <f>"304820210606093932102867"</f>
        <v>304820210606093932102867</v>
      </c>
      <c r="C98" s="6" t="s">
        <v>231</v>
      </c>
      <c r="D98" s="6" t="str">
        <f>"周小妙"</f>
        <v>周小妙</v>
      </c>
      <c r="E98" s="6" t="str">
        <f t="shared" si="4"/>
        <v>女</v>
      </c>
      <c r="F98" s="7" t="s">
        <v>305</v>
      </c>
    </row>
    <row r="99" spans="1:6" ht="20.100000000000001" customHeight="1" x14ac:dyDescent="0.15">
      <c r="A99" s="5">
        <v>96</v>
      </c>
      <c r="B99" s="6" t="str">
        <f>"304820210606104042103055"</f>
        <v>304820210606104042103055</v>
      </c>
      <c r="C99" s="6" t="s">
        <v>231</v>
      </c>
      <c r="D99" s="6" t="str">
        <f>"谢慧超"</f>
        <v>谢慧超</v>
      </c>
      <c r="E99" s="6" t="str">
        <f>"男"</f>
        <v>男</v>
      </c>
      <c r="F99" s="7" t="s">
        <v>306</v>
      </c>
    </row>
    <row r="100" spans="1:6" ht="20.100000000000001" customHeight="1" x14ac:dyDescent="0.15">
      <c r="A100" s="5">
        <v>97</v>
      </c>
      <c r="B100" s="6" t="str">
        <f>"304820210606114139103243"</f>
        <v>304820210606114139103243</v>
      </c>
      <c r="C100" s="6" t="s">
        <v>231</v>
      </c>
      <c r="D100" s="6" t="str">
        <f>"林宇洁"</f>
        <v>林宇洁</v>
      </c>
      <c r="E100" s="6" t="str">
        <f t="shared" ref="E100:E110" si="5">"女"</f>
        <v>女</v>
      </c>
      <c r="F100" s="7" t="s">
        <v>307</v>
      </c>
    </row>
    <row r="101" spans="1:6" ht="20.100000000000001" customHeight="1" x14ac:dyDescent="0.15">
      <c r="A101" s="5">
        <v>98</v>
      </c>
      <c r="B101" s="6" t="str">
        <f>"304820210606164020104108"</f>
        <v>304820210606164020104108</v>
      </c>
      <c r="C101" s="6" t="s">
        <v>231</v>
      </c>
      <c r="D101" s="6" t="str">
        <f>"王澜洁"</f>
        <v>王澜洁</v>
      </c>
      <c r="E101" s="6" t="str">
        <f t="shared" si="5"/>
        <v>女</v>
      </c>
      <c r="F101" s="7" t="s">
        <v>308</v>
      </c>
    </row>
    <row r="102" spans="1:6" ht="20.100000000000001" customHeight="1" x14ac:dyDescent="0.15">
      <c r="A102" s="5">
        <v>99</v>
      </c>
      <c r="B102" s="6" t="str">
        <f>"304820210606181356104413"</f>
        <v>304820210606181356104413</v>
      </c>
      <c r="C102" s="6" t="s">
        <v>231</v>
      </c>
      <c r="D102" s="6" t="str">
        <f>"吴淑玲"</f>
        <v>吴淑玲</v>
      </c>
      <c r="E102" s="6" t="str">
        <f t="shared" si="5"/>
        <v>女</v>
      </c>
      <c r="F102" s="7" t="s">
        <v>309</v>
      </c>
    </row>
    <row r="103" spans="1:6" ht="20.100000000000001" customHeight="1" x14ac:dyDescent="0.15">
      <c r="A103" s="5">
        <v>100</v>
      </c>
      <c r="B103" s="6" t="str">
        <f>"304820210606193321104545"</f>
        <v>304820210606193321104545</v>
      </c>
      <c r="C103" s="6" t="s">
        <v>231</v>
      </c>
      <c r="D103" s="6" t="str">
        <f>"陈桂来"</f>
        <v>陈桂来</v>
      </c>
      <c r="E103" s="6" t="str">
        <f t="shared" si="5"/>
        <v>女</v>
      </c>
      <c r="F103" s="7" t="s">
        <v>310</v>
      </c>
    </row>
    <row r="104" spans="1:6" ht="20.100000000000001" customHeight="1" x14ac:dyDescent="0.15">
      <c r="A104" s="5">
        <v>101</v>
      </c>
      <c r="B104" s="6" t="str">
        <f>"304820210606212900104810"</f>
        <v>304820210606212900104810</v>
      </c>
      <c r="C104" s="6" t="s">
        <v>231</v>
      </c>
      <c r="D104" s="6" t="str">
        <f>"黎俊贞"</f>
        <v>黎俊贞</v>
      </c>
      <c r="E104" s="6" t="str">
        <f t="shared" si="5"/>
        <v>女</v>
      </c>
      <c r="F104" s="7" t="s">
        <v>311</v>
      </c>
    </row>
    <row r="105" spans="1:6" ht="20.100000000000001" customHeight="1" x14ac:dyDescent="0.15">
      <c r="A105" s="5">
        <v>102</v>
      </c>
      <c r="B105" s="6" t="str">
        <f>"304820210606221412104947"</f>
        <v>304820210606221412104947</v>
      </c>
      <c r="C105" s="6" t="s">
        <v>231</v>
      </c>
      <c r="D105" s="6" t="str">
        <f>"孙翠"</f>
        <v>孙翠</v>
      </c>
      <c r="E105" s="6" t="str">
        <f t="shared" si="5"/>
        <v>女</v>
      </c>
      <c r="F105" s="7" t="s">
        <v>312</v>
      </c>
    </row>
    <row r="106" spans="1:6" ht="20.100000000000001" customHeight="1" x14ac:dyDescent="0.15">
      <c r="A106" s="5">
        <v>103</v>
      </c>
      <c r="B106" s="6" t="str">
        <f>"304820210606231411105122"</f>
        <v>304820210606231411105122</v>
      </c>
      <c r="C106" s="6" t="s">
        <v>231</v>
      </c>
      <c r="D106" s="6" t="str">
        <f>"周晶晶"</f>
        <v>周晶晶</v>
      </c>
      <c r="E106" s="6" t="str">
        <f t="shared" si="5"/>
        <v>女</v>
      </c>
      <c r="F106" s="7" t="s">
        <v>313</v>
      </c>
    </row>
    <row r="107" spans="1:6" ht="20.100000000000001" customHeight="1" x14ac:dyDescent="0.15">
      <c r="A107" s="5">
        <v>104</v>
      </c>
      <c r="B107" s="6" t="str">
        <f>"304820210606232942105168"</f>
        <v>304820210606232942105168</v>
      </c>
      <c r="C107" s="6" t="s">
        <v>231</v>
      </c>
      <c r="D107" s="6" t="str">
        <f>"蔡文静"</f>
        <v>蔡文静</v>
      </c>
      <c r="E107" s="6" t="str">
        <f t="shared" si="5"/>
        <v>女</v>
      </c>
      <c r="F107" s="7" t="s">
        <v>314</v>
      </c>
    </row>
    <row r="108" spans="1:6" ht="20.100000000000001" customHeight="1" x14ac:dyDescent="0.15">
      <c r="A108" s="5">
        <v>105</v>
      </c>
      <c r="B108" s="6" t="str">
        <f>"304820210607071700105368"</f>
        <v>304820210607071700105368</v>
      </c>
      <c r="C108" s="6" t="s">
        <v>231</v>
      </c>
      <c r="D108" s="6" t="str">
        <f>"莫启燕"</f>
        <v>莫启燕</v>
      </c>
      <c r="E108" s="6" t="str">
        <f t="shared" si="5"/>
        <v>女</v>
      </c>
      <c r="F108" s="7" t="s">
        <v>315</v>
      </c>
    </row>
    <row r="109" spans="1:6" ht="20.100000000000001" customHeight="1" x14ac:dyDescent="0.15">
      <c r="A109" s="5">
        <v>106</v>
      </c>
      <c r="B109" s="6" t="str">
        <f>"304820210607094718105810"</f>
        <v>304820210607094718105810</v>
      </c>
      <c r="C109" s="6" t="s">
        <v>231</v>
      </c>
      <c r="D109" s="6" t="str">
        <f>"王诗晶"</f>
        <v>王诗晶</v>
      </c>
      <c r="E109" s="6" t="str">
        <f t="shared" si="5"/>
        <v>女</v>
      </c>
      <c r="F109" s="7" t="s">
        <v>131</v>
      </c>
    </row>
    <row r="110" spans="1:6" ht="20.100000000000001" customHeight="1" x14ac:dyDescent="0.15">
      <c r="A110" s="5">
        <v>107</v>
      </c>
      <c r="B110" s="6" t="str">
        <f>"304820210607110134106246"</f>
        <v>304820210607110134106246</v>
      </c>
      <c r="C110" s="6" t="s">
        <v>231</v>
      </c>
      <c r="D110" s="6" t="str">
        <f>"林于淑"</f>
        <v>林于淑</v>
      </c>
      <c r="E110" s="6" t="str">
        <f t="shared" si="5"/>
        <v>女</v>
      </c>
      <c r="F110" s="7" t="s">
        <v>316</v>
      </c>
    </row>
  </sheetData>
  <mergeCells count="1">
    <mergeCell ref="A1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45</vt:i4>
      </vt:variant>
      <vt:variant>
        <vt:lpstr>命名范围</vt:lpstr>
      </vt:variant>
      <vt:variant>
        <vt:i4>32</vt:i4>
      </vt:variant>
    </vt:vector>
  </HeadingPairs>
  <TitlesOfParts>
    <vt:vector size="77" baseType="lpstr">
      <vt:lpstr>0101-高中政治</vt:lpstr>
      <vt:lpstr>0201-高中数学</vt:lpstr>
      <vt:lpstr>0202-高中英语</vt:lpstr>
      <vt:lpstr>0301-高中音乐1</vt:lpstr>
      <vt:lpstr>0302-高中音乐2</vt:lpstr>
      <vt:lpstr>0303-高中历史</vt:lpstr>
      <vt:lpstr>0304-高中地理</vt:lpstr>
      <vt:lpstr>0305-高中美术</vt:lpstr>
      <vt:lpstr>0306-高中生物</vt:lpstr>
      <vt:lpstr>0401-初中数学</vt:lpstr>
      <vt:lpstr>0402-初中历史</vt:lpstr>
      <vt:lpstr>0501-初中英语</vt:lpstr>
      <vt:lpstr>0502-初中政治</vt:lpstr>
      <vt:lpstr>0601-初中数学</vt:lpstr>
      <vt:lpstr>0602-初中地理</vt:lpstr>
      <vt:lpstr>0603-初中美术</vt:lpstr>
      <vt:lpstr>0604-初中体育</vt:lpstr>
      <vt:lpstr>0701-初中数学</vt:lpstr>
      <vt:lpstr>0801-初中语文</vt:lpstr>
      <vt:lpstr>0802-初中音乐</vt:lpstr>
      <vt:lpstr>0803-初中物理</vt:lpstr>
      <vt:lpstr>0901-初中物理</vt:lpstr>
      <vt:lpstr>1001-初中英语</vt:lpstr>
      <vt:lpstr>1002-初中历史</vt:lpstr>
      <vt:lpstr>1101-康复</vt:lpstr>
      <vt:lpstr>1102-体育</vt:lpstr>
      <vt:lpstr>1201-小学语文1</vt:lpstr>
      <vt:lpstr>1202-小学语文2</vt:lpstr>
      <vt:lpstr>1203-小学数学1</vt:lpstr>
      <vt:lpstr>1204-小学数学2</vt:lpstr>
      <vt:lpstr>1205-小学英语1</vt:lpstr>
      <vt:lpstr>1206-小学英语2</vt:lpstr>
      <vt:lpstr>1207-小学音乐1</vt:lpstr>
      <vt:lpstr>1208-小学音乐2</vt:lpstr>
      <vt:lpstr>1209-小学美术1</vt:lpstr>
      <vt:lpstr>1210-小学美术2</vt:lpstr>
      <vt:lpstr>1211-小学体育1</vt:lpstr>
      <vt:lpstr>1212-小学体育2</vt:lpstr>
      <vt:lpstr>1213-小学体育3</vt:lpstr>
      <vt:lpstr>1214-小学体育4</vt:lpstr>
      <vt:lpstr>1215-小学体育5</vt:lpstr>
      <vt:lpstr>1216-小学计算机1</vt:lpstr>
      <vt:lpstr>1217-小学计算机2</vt:lpstr>
      <vt:lpstr>1218-医务人员</vt:lpstr>
      <vt:lpstr>1301-医务人员</vt:lpstr>
      <vt:lpstr>'0101-高中政治'!Print_Titles</vt:lpstr>
      <vt:lpstr>'0201-高中数学'!Print_Titles</vt:lpstr>
      <vt:lpstr>'0202-高中英语'!Print_Titles</vt:lpstr>
      <vt:lpstr>'0303-高中历史'!Print_Titles</vt:lpstr>
      <vt:lpstr>'0304-高中地理'!Print_Titles</vt:lpstr>
      <vt:lpstr>'0305-高中美术'!Print_Titles</vt:lpstr>
      <vt:lpstr>'0306-高中生物'!Print_Titles</vt:lpstr>
      <vt:lpstr>'0401-初中数学'!Print_Titles</vt:lpstr>
      <vt:lpstr>'0402-初中历史'!Print_Titles</vt:lpstr>
      <vt:lpstr>'0501-初中英语'!Print_Titles</vt:lpstr>
      <vt:lpstr>'0502-初中政治'!Print_Titles</vt:lpstr>
      <vt:lpstr>'0601-初中数学'!Print_Titles</vt:lpstr>
      <vt:lpstr>'0602-初中地理'!Print_Titles</vt:lpstr>
      <vt:lpstr>'0604-初中体育'!Print_Titles</vt:lpstr>
      <vt:lpstr>'0701-初中数学'!Print_Titles</vt:lpstr>
      <vt:lpstr>'0801-初中语文'!Print_Titles</vt:lpstr>
      <vt:lpstr>'0803-初中物理'!Print_Titles</vt:lpstr>
      <vt:lpstr>'0901-初中物理'!Print_Titles</vt:lpstr>
      <vt:lpstr>'1001-初中英语'!Print_Titles</vt:lpstr>
      <vt:lpstr>'1002-初中历史'!Print_Titles</vt:lpstr>
      <vt:lpstr>'1102-体育'!Print_Titles</vt:lpstr>
      <vt:lpstr>'1201-小学语文1'!Print_Titles</vt:lpstr>
      <vt:lpstr>'1202-小学语文2'!Print_Titles</vt:lpstr>
      <vt:lpstr>'1203-小学数学1'!Print_Titles</vt:lpstr>
      <vt:lpstr>'1204-小学数学2'!Print_Titles</vt:lpstr>
      <vt:lpstr>'1205-小学英语1'!Print_Titles</vt:lpstr>
      <vt:lpstr>'1206-小学英语2'!Print_Titles</vt:lpstr>
      <vt:lpstr>'1207-小学音乐1'!Print_Titles</vt:lpstr>
      <vt:lpstr>'1209-小学美术1'!Print_Titles</vt:lpstr>
      <vt:lpstr>'1213-小学体育3'!Print_Titles</vt:lpstr>
      <vt:lpstr>'1216-小学计算机1'!Print_Titles</vt:lpstr>
      <vt:lpstr>'1218-医务人员'!Print_Titles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2021-06-16T02:24:39Z</cp:lastPrinted>
  <dcterms:created xsi:type="dcterms:W3CDTF">2019-07-18T12:04:00Z</dcterms:created>
  <dcterms:modified xsi:type="dcterms:W3CDTF">2021-06-16T02:24:41Z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BB4A5705087143D69994A399E4BC994C</vt:lpwstr>
  </property>
</Properties>
</file>