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930" activeTab="0"/>
  </bookViews>
  <sheets>
    <sheet name="专业测试" sheetId="1" r:id="rId1"/>
  </sheets>
  <definedNames/>
  <calcPr fullCalcOnLoad="1"/>
</workbook>
</file>

<file path=xl/sharedStrings.xml><?xml version="1.0" encoding="utf-8"?>
<sst xmlns="http://schemas.openxmlformats.org/spreadsheetml/2006/main" count="904" uniqueCount="86">
  <si>
    <t>利辛县2021年中小学新任教师公开招聘拟参加                                       专业测试人员名单</t>
  </si>
  <si>
    <t>序号</t>
  </si>
  <si>
    <t>姓名</t>
  </si>
  <si>
    <t>岗位代码</t>
  </si>
  <si>
    <t>岗位名称</t>
  </si>
  <si>
    <t>准考号</t>
  </si>
  <si>
    <t>综合成绩</t>
  </si>
  <si>
    <t>专业成绩</t>
  </si>
  <si>
    <t>笔试成绩</t>
  </si>
  <si>
    <t>加分</t>
  </si>
  <si>
    <t>总成绩</t>
  </si>
  <si>
    <t>江丹凤</t>
  </si>
  <si>
    <t>中学语文1组</t>
  </si>
  <si>
    <t>中学语文2组</t>
  </si>
  <si>
    <t>中学数学1组</t>
  </si>
  <si>
    <t>中学数学2组</t>
  </si>
  <si>
    <t>中学英语1组</t>
  </si>
  <si>
    <t>中学英语2组</t>
  </si>
  <si>
    <t>中学物理2组</t>
  </si>
  <si>
    <t>中学化学1组</t>
  </si>
  <si>
    <t>中学化学2组</t>
  </si>
  <si>
    <t>中学生物1组</t>
  </si>
  <si>
    <t>中学生物2组</t>
  </si>
  <si>
    <t>中学政治1组</t>
  </si>
  <si>
    <t>中学政治2组</t>
  </si>
  <si>
    <t>中学历史1组</t>
  </si>
  <si>
    <t>中学历史2组</t>
  </si>
  <si>
    <t>中学地理1组</t>
  </si>
  <si>
    <t>中学地理2组</t>
  </si>
  <si>
    <t>中学美术1组</t>
  </si>
  <si>
    <t>中学美术2组</t>
  </si>
  <si>
    <t>中学音乐1组</t>
  </si>
  <si>
    <t>中学音乐2组</t>
  </si>
  <si>
    <t>中学体育与健康1组</t>
  </si>
  <si>
    <t>中学体育与健康2组</t>
  </si>
  <si>
    <t>中学信息技术1组</t>
  </si>
  <si>
    <t>中学信息技术2组</t>
  </si>
  <si>
    <t>心理健康教育</t>
  </si>
  <si>
    <t>中学语文3组</t>
  </si>
  <si>
    <t>中学语文4组</t>
  </si>
  <si>
    <t>中学数学3组</t>
  </si>
  <si>
    <t>中学数学4组</t>
  </si>
  <si>
    <t>中学英语3组</t>
  </si>
  <si>
    <t>中学英语4组</t>
  </si>
  <si>
    <t>中学物理3组</t>
  </si>
  <si>
    <t>中学物理4组</t>
  </si>
  <si>
    <t>中学化学3组</t>
  </si>
  <si>
    <t>中学化学4组</t>
  </si>
  <si>
    <t>中学生物3组</t>
  </si>
  <si>
    <t>中学政治3组</t>
  </si>
  <si>
    <t>中学政治4组</t>
  </si>
  <si>
    <t>中学历史3组</t>
  </si>
  <si>
    <t>中学历史4组</t>
  </si>
  <si>
    <t>中学地理3组</t>
  </si>
  <si>
    <t>中学地理4组</t>
  </si>
  <si>
    <t>中学美术3组</t>
  </si>
  <si>
    <t>中学美术4组</t>
  </si>
  <si>
    <t>中学音乐3组</t>
  </si>
  <si>
    <t>中学音乐4组</t>
  </si>
  <si>
    <t>中学体育与健康3组</t>
  </si>
  <si>
    <t>中学体育与健康4组</t>
  </si>
  <si>
    <t>中学信息技术3组</t>
  </si>
  <si>
    <t>小学语文1组</t>
  </si>
  <si>
    <t>小学语文2组</t>
  </si>
  <si>
    <t>小学语文3组</t>
  </si>
  <si>
    <t>小学语文4组</t>
  </si>
  <si>
    <t>小学数学1组</t>
  </si>
  <si>
    <t>小学数学2组</t>
  </si>
  <si>
    <t>小学数学3组</t>
  </si>
  <si>
    <t>小学数学4组</t>
  </si>
  <si>
    <t>小学英语1组</t>
  </si>
  <si>
    <t>小学英语2组</t>
  </si>
  <si>
    <t>小学道德与法治1组</t>
  </si>
  <si>
    <t>小学道德与法治2组</t>
  </si>
  <si>
    <t>小学美术1组</t>
  </si>
  <si>
    <t>小学美术2组</t>
  </si>
  <si>
    <t>小学音乐1组</t>
  </si>
  <si>
    <t>小学音乐2组</t>
  </si>
  <si>
    <t>小学体育与健康1组</t>
  </si>
  <si>
    <t>小学体育与健康2组</t>
  </si>
  <si>
    <t>小学信息技术1组</t>
  </si>
  <si>
    <t>小学信息技术2组</t>
  </si>
  <si>
    <t>小学特殊教育1组</t>
  </si>
  <si>
    <t>小学特殊教育2组</t>
  </si>
  <si>
    <t>递补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</si>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</sst>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2" fillId="14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9" borderId="7" applyNumberFormat="0" applyAlignment="0" applyProtection="0"/>
    <xf numFmtId="0" fontId="13" fillId="3" borderId="4" applyNumberFormat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783"/>
  <sheetViews>
    <sheetView tabSelected="1" zoomScalePageLayoutView="0" workbookViewId="0" topLeftCell="A1">
      <selection activeCell="N37" sqref="N37"/>
    </sheetView>
  </sheetViews>
  <sheetFormatPr defaultColWidth="9.00390625" defaultRowHeight="13.5"/>
  <cols>
    <col min="1" max="1" width="5.375" style="0" customWidth="1"/>
    <col min="2" max="2" width="8.50390625" style="0" customWidth="1"/>
    <col min="3" max="4" width="15.00390625" style="0" customWidth="1"/>
    <col min="5" max="5" width="12.875" style="0" customWidth="1"/>
    <col min="7" max="7" width="9.00390625" style="2" customWidth="1"/>
    <col min="9" max="9" width="5.50390625" style="0" customWidth="1"/>
    <col min="10" max="10" width="8.00390625" style="0" customWidth="1"/>
  </cols>
  <sheetData>
    <row r="1" spans="1:11" ht="6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s="1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8" t="s">
        <v>85</v>
      </c>
    </row>
    <row r="4" spans="1:11" s="1" customFormat="1" ht="15" customHeight="1">
      <c r="A4" s="3">
        <v>1</v>
      </c>
      <c r="B4" s="9" t="str">
        <f>"朱园园"</f>
        <v>朱园园</v>
      </c>
      <c r="C4" s="9" t="str">
        <f aca="true" t="shared" si="0" ref="C4:C25">"1623010120101"</f>
        <v>1623010120101</v>
      </c>
      <c r="D4" s="9" t="s">
        <v>12</v>
      </c>
      <c r="E4" s="9" t="str">
        <f>"16230035101"</f>
        <v>16230035101</v>
      </c>
      <c r="F4" s="7">
        <v>99.32</v>
      </c>
      <c r="G4" s="7">
        <v>88.6</v>
      </c>
      <c r="H4" s="7">
        <v>92.89</v>
      </c>
      <c r="I4" s="10"/>
      <c r="J4" s="7">
        <f aca="true" t="shared" si="1" ref="J4:J67">H4+I4</f>
        <v>92.89</v>
      </c>
      <c r="K4" s="11"/>
    </row>
    <row r="5" spans="1:11" s="1" customFormat="1" ht="15" customHeight="1">
      <c r="A5" s="3">
        <v>2</v>
      </c>
      <c r="B5" s="9" t="str">
        <f>"陈晴"</f>
        <v>陈晴</v>
      </c>
      <c r="C5" s="9" t="str">
        <f t="shared" si="0"/>
        <v>1623010120101</v>
      </c>
      <c r="D5" s="9" t="s">
        <v>12</v>
      </c>
      <c r="E5" s="9" t="str">
        <f>"16230035126"</f>
        <v>16230035126</v>
      </c>
      <c r="F5" s="7">
        <v>98.1</v>
      </c>
      <c r="G5" s="7">
        <v>89.3</v>
      </c>
      <c r="H5" s="7">
        <v>92.82</v>
      </c>
      <c r="I5" s="10"/>
      <c r="J5" s="7">
        <f t="shared" si="1"/>
        <v>92.82</v>
      </c>
      <c r="K5" s="11"/>
    </row>
    <row r="6" spans="1:11" s="1" customFormat="1" ht="15" customHeight="1">
      <c r="A6" s="3">
        <v>3</v>
      </c>
      <c r="B6" s="9" t="str">
        <f>"王珍珍"</f>
        <v>王珍珍</v>
      </c>
      <c r="C6" s="9" t="str">
        <f t="shared" si="0"/>
        <v>1623010120101</v>
      </c>
      <c r="D6" s="9" t="s">
        <v>12</v>
      </c>
      <c r="E6" s="9" t="str">
        <f>"16230035115"</f>
        <v>16230035115</v>
      </c>
      <c r="F6" s="7">
        <v>88.56</v>
      </c>
      <c r="G6" s="7">
        <v>90.2</v>
      </c>
      <c r="H6" s="7">
        <v>89.54</v>
      </c>
      <c r="I6" s="10"/>
      <c r="J6" s="7">
        <f t="shared" si="1"/>
        <v>89.54</v>
      </c>
      <c r="K6" s="11"/>
    </row>
    <row r="7" spans="1:11" s="1" customFormat="1" ht="15" customHeight="1">
      <c r="A7" s="3">
        <v>4</v>
      </c>
      <c r="B7" s="9" t="str">
        <f>"陈婷"</f>
        <v>陈婷</v>
      </c>
      <c r="C7" s="9" t="str">
        <f t="shared" si="0"/>
        <v>1623010120101</v>
      </c>
      <c r="D7" s="9" t="s">
        <v>12</v>
      </c>
      <c r="E7" s="9" t="str">
        <f>"16230035116"</f>
        <v>16230035116</v>
      </c>
      <c r="F7" s="7">
        <v>93.24</v>
      </c>
      <c r="G7" s="7">
        <v>86.9</v>
      </c>
      <c r="H7" s="7">
        <v>89.44</v>
      </c>
      <c r="I7" s="10"/>
      <c r="J7" s="7">
        <f t="shared" si="1"/>
        <v>89.44</v>
      </c>
      <c r="K7" s="11"/>
    </row>
    <row r="8" spans="1:11" s="1" customFormat="1" ht="15" customHeight="1">
      <c r="A8" s="3">
        <v>5</v>
      </c>
      <c r="B8" s="9" t="str">
        <f>"牛楠"</f>
        <v>牛楠</v>
      </c>
      <c r="C8" s="9" t="str">
        <f t="shared" si="0"/>
        <v>1623010120101</v>
      </c>
      <c r="D8" s="9" t="s">
        <v>12</v>
      </c>
      <c r="E8" s="9" t="str">
        <f>"16230035112"</f>
        <v>16230035112</v>
      </c>
      <c r="F8" s="7">
        <v>95.56</v>
      </c>
      <c r="G8" s="7">
        <v>85.1</v>
      </c>
      <c r="H8" s="7">
        <v>89.28</v>
      </c>
      <c r="I8" s="10"/>
      <c r="J8" s="7">
        <f t="shared" si="1"/>
        <v>89.28</v>
      </c>
      <c r="K8" s="11"/>
    </row>
    <row r="9" spans="1:11" s="1" customFormat="1" ht="15" customHeight="1">
      <c r="A9" s="3">
        <v>6</v>
      </c>
      <c r="B9" s="9" t="str">
        <f>"董玉坤"</f>
        <v>董玉坤</v>
      </c>
      <c r="C9" s="9" t="str">
        <f t="shared" si="0"/>
        <v>1623010120101</v>
      </c>
      <c r="D9" s="9" t="s">
        <v>12</v>
      </c>
      <c r="E9" s="9" t="str">
        <f>"16230035120"</f>
        <v>16230035120</v>
      </c>
      <c r="F9" s="7">
        <v>87.2</v>
      </c>
      <c r="G9" s="7">
        <v>87.8</v>
      </c>
      <c r="H9" s="7">
        <v>87.56</v>
      </c>
      <c r="I9" s="10"/>
      <c r="J9" s="7">
        <f t="shared" si="1"/>
        <v>87.56</v>
      </c>
      <c r="K9" s="11"/>
    </row>
    <row r="10" spans="1:11" s="1" customFormat="1" ht="15" customHeight="1">
      <c r="A10" s="3">
        <v>7</v>
      </c>
      <c r="B10" s="9" t="str">
        <f>"周晴"</f>
        <v>周晴</v>
      </c>
      <c r="C10" s="9" t="str">
        <f t="shared" si="0"/>
        <v>1623010120101</v>
      </c>
      <c r="D10" s="9" t="s">
        <v>12</v>
      </c>
      <c r="E10" s="9" t="str">
        <f>"16230035218"</f>
        <v>16230035218</v>
      </c>
      <c r="F10" s="7">
        <v>85.24</v>
      </c>
      <c r="G10" s="7">
        <v>88.6</v>
      </c>
      <c r="H10" s="7">
        <v>87.26</v>
      </c>
      <c r="I10" s="10"/>
      <c r="J10" s="7">
        <f t="shared" si="1"/>
        <v>87.26</v>
      </c>
      <c r="K10" s="11"/>
    </row>
    <row r="11" spans="1:11" s="1" customFormat="1" ht="15" customHeight="1">
      <c r="A11" s="3">
        <v>8</v>
      </c>
      <c r="B11" s="9" t="str">
        <f>"刘文"</f>
        <v>刘文</v>
      </c>
      <c r="C11" s="9" t="str">
        <f t="shared" si="0"/>
        <v>1623010120101</v>
      </c>
      <c r="D11" s="9" t="s">
        <v>12</v>
      </c>
      <c r="E11" s="9" t="str">
        <f>"16230035130"</f>
        <v>16230035130</v>
      </c>
      <c r="F11" s="7">
        <v>90.1</v>
      </c>
      <c r="G11" s="7">
        <v>85.3</v>
      </c>
      <c r="H11" s="7">
        <v>87.22</v>
      </c>
      <c r="I11" s="10"/>
      <c r="J11" s="7">
        <f t="shared" si="1"/>
        <v>87.22</v>
      </c>
      <c r="K11" s="11"/>
    </row>
    <row r="12" spans="1:11" s="1" customFormat="1" ht="15" customHeight="1">
      <c r="A12" s="3">
        <v>9</v>
      </c>
      <c r="B12" s="9" t="str">
        <f>"齐慧影"</f>
        <v>齐慧影</v>
      </c>
      <c r="C12" s="9" t="str">
        <f t="shared" si="0"/>
        <v>1623010120101</v>
      </c>
      <c r="D12" s="9" t="s">
        <v>12</v>
      </c>
      <c r="E12" s="9" t="str">
        <f>"16230035125"</f>
        <v>16230035125</v>
      </c>
      <c r="F12" s="7">
        <v>93.64</v>
      </c>
      <c r="G12" s="7">
        <v>82.8</v>
      </c>
      <c r="H12" s="7">
        <v>87.14</v>
      </c>
      <c r="I12" s="10"/>
      <c r="J12" s="7">
        <f t="shared" si="1"/>
        <v>87.14</v>
      </c>
      <c r="K12" s="11"/>
    </row>
    <row r="13" spans="1:11" s="1" customFormat="1" ht="15" customHeight="1">
      <c r="A13" s="3">
        <v>10</v>
      </c>
      <c r="B13" s="9" t="str">
        <f>"陈倩楠"</f>
        <v>陈倩楠</v>
      </c>
      <c r="C13" s="9" t="str">
        <f t="shared" si="0"/>
        <v>1623010120101</v>
      </c>
      <c r="D13" s="9" t="s">
        <v>12</v>
      </c>
      <c r="E13" s="9" t="str">
        <f>"16230035114"</f>
        <v>16230035114</v>
      </c>
      <c r="F13" s="7">
        <v>95.96</v>
      </c>
      <c r="G13" s="7">
        <v>81.2</v>
      </c>
      <c r="H13" s="7">
        <v>87.1</v>
      </c>
      <c r="I13" s="10"/>
      <c r="J13" s="7">
        <f t="shared" si="1"/>
        <v>87.1</v>
      </c>
      <c r="K13" s="11"/>
    </row>
    <row r="14" spans="1:11" s="1" customFormat="1" ht="15" customHeight="1">
      <c r="A14" s="3">
        <v>11</v>
      </c>
      <c r="B14" s="9" t="str">
        <f>"张瑞"</f>
        <v>张瑞</v>
      </c>
      <c r="C14" s="9" t="str">
        <f t="shared" si="0"/>
        <v>1623010120101</v>
      </c>
      <c r="D14" s="9" t="s">
        <v>12</v>
      </c>
      <c r="E14" s="9" t="str">
        <f>"16230035213"</f>
        <v>16230035213</v>
      </c>
      <c r="F14" s="7">
        <v>93.34</v>
      </c>
      <c r="G14" s="7">
        <v>82.9</v>
      </c>
      <c r="H14" s="7">
        <v>87.08</v>
      </c>
      <c r="I14" s="10"/>
      <c r="J14" s="7">
        <f t="shared" si="1"/>
        <v>87.08</v>
      </c>
      <c r="K14" s="11"/>
    </row>
    <row r="15" spans="1:11" s="1" customFormat="1" ht="15" customHeight="1">
      <c r="A15" s="3">
        <v>12</v>
      </c>
      <c r="B15" s="9" t="str">
        <f>"胡珂"</f>
        <v>胡珂</v>
      </c>
      <c r="C15" s="9" t="str">
        <f t="shared" si="0"/>
        <v>1623010120101</v>
      </c>
      <c r="D15" s="9" t="s">
        <v>12</v>
      </c>
      <c r="E15" s="9" t="str">
        <f>"16230035107"</f>
        <v>16230035107</v>
      </c>
      <c r="F15" s="7">
        <v>88.56</v>
      </c>
      <c r="G15" s="7">
        <v>86</v>
      </c>
      <c r="H15" s="7">
        <v>87.02</v>
      </c>
      <c r="I15" s="10"/>
      <c r="J15" s="7">
        <f t="shared" si="1"/>
        <v>87.02</v>
      </c>
      <c r="K15" s="11"/>
    </row>
    <row r="16" spans="1:11" s="1" customFormat="1" ht="15" customHeight="1">
      <c r="A16" s="3">
        <v>13</v>
      </c>
      <c r="B16" s="9" t="str">
        <f>"马雨桐"</f>
        <v>马雨桐</v>
      </c>
      <c r="C16" s="9" t="str">
        <f t="shared" si="0"/>
        <v>1623010120101</v>
      </c>
      <c r="D16" s="9" t="s">
        <v>12</v>
      </c>
      <c r="E16" s="9" t="str">
        <f>"16230035217"</f>
        <v>16230035217</v>
      </c>
      <c r="F16" s="7">
        <v>81.98</v>
      </c>
      <c r="G16" s="7">
        <v>90.2</v>
      </c>
      <c r="H16" s="7">
        <v>86.91</v>
      </c>
      <c r="I16" s="10"/>
      <c r="J16" s="7">
        <f t="shared" si="1"/>
        <v>86.91</v>
      </c>
      <c r="K16" s="11"/>
    </row>
    <row r="17" spans="1:11" s="1" customFormat="1" ht="15" customHeight="1">
      <c r="A17" s="3">
        <v>14</v>
      </c>
      <c r="B17" s="9" t="str">
        <f>"赵洪曼"</f>
        <v>赵洪曼</v>
      </c>
      <c r="C17" s="9" t="str">
        <f t="shared" si="0"/>
        <v>1623010120101</v>
      </c>
      <c r="D17" s="9" t="s">
        <v>12</v>
      </c>
      <c r="E17" s="9" t="str">
        <f>"16230035103"</f>
        <v>16230035103</v>
      </c>
      <c r="F17" s="7">
        <v>89.12</v>
      </c>
      <c r="G17" s="7">
        <v>84.7</v>
      </c>
      <c r="H17" s="7">
        <v>86.47</v>
      </c>
      <c r="I17" s="10"/>
      <c r="J17" s="7">
        <f t="shared" si="1"/>
        <v>86.47</v>
      </c>
      <c r="K17" s="11"/>
    </row>
    <row r="18" spans="1:14" s="1" customFormat="1" ht="15" customHeight="1">
      <c r="A18" s="3">
        <v>15</v>
      </c>
      <c r="B18" s="9" t="str">
        <f>"宋丽娜"</f>
        <v>宋丽娜</v>
      </c>
      <c r="C18" s="9" t="str">
        <f t="shared" si="0"/>
        <v>1623010120101</v>
      </c>
      <c r="D18" s="9" t="s">
        <v>12</v>
      </c>
      <c r="E18" s="9" t="str">
        <f>"16230035121"</f>
        <v>16230035121</v>
      </c>
      <c r="F18" s="7">
        <v>86.14</v>
      </c>
      <c r="G18" s="7">
        <v>86</v>
      </c>
      <c r="H18" s="7">
        <v>86.06</v>
      </c>
      <c r="I18" s="10"/>
      <c r="J18" s="7">
        <f t="shared" si="1"/>
        <v>86.06</v>
      </c>
      <c r="K18" s="11"/>
      <c r="N18" s="5"/>
    </row>
    <row r="19" spans="1:11" s="1" customFormat="1" ht="15" customHeight="1">
      <c r="A19" s="3">
        <v>16</v>
      </c>
      <c r="B19" s="9" t="str">
        <f>"李惠惠"</f>
        <v>李惠惠</v>
      </c>
      <c r="C19" s="9" t="str">
        <f t="shared" si="0"/>
        <v>1623010120101</v>
      </c>
      <c r="D19" s="9" t="s">
        <v>12</v>
      </c>
      <c r="E19" s="9" t="str">
        <f>"16230035203"</f>
        <v>16230035203</v>
      </c>
      <c r="F19" s="7">
        <v>86.66</v>
      </c>
      <c r="G19" s="7">
        <v>85.4</v>
      </c>
      <c r="H19" s="7">
        <v>85.9</v>
      </c>
      <c r="I19" s="10"/>
      <c r="J19" s="7">
        <f t="shared" si="1"/>
        <v>85.9</v>
      </c>
      <c r="K19" s="11"/>
    </row>
    <row r="20" spans="1:11" s="1" customFormat="1" ht="15" customHeight="1">
      <c r="A20" s="3">
        <v>17</v>
      </c>
      <c r="B20" s="9" t="str">
        <f>"张曼曼"</f>
        <v>张曼曼</v>
      </c>
      <c r="C20" s="9" t="str">
        <f t="shared" si="0"/>
        <v>1623010120101</v>
      </c>
      <c r="D20" s="9" t="s">
        <v>12</v>
      </c>
      <c r="E20" s="9" t="str">
        <f>"16230035127"</f>
        <v>16230035127</v>
      </c>
      <c r="F20" s="7">
        <v>92.86</v>
      </c>
      <c r="G20" s="7">
        <v>81.2</v>
      </c>
      <c r="H20" s="7">
        <v>85.86</v>
      </c>
      <c r="I20" s="10"/>
      <c r="J20" s="7">
        <f t="shared" si="1"/>
        <v>85.86</v>
      </c>
      <c r="K20" s="11"/>
    </row>
    <row r="21" spans="1:11" s="1" customFormat="1" ht="15" customHeight="1">
      <c r="A21" s="3">
        <v>18</v>
      </c>
      <c r="B21" s="9" t="str">
        <f>"罗秀洁"</f>
        <v>罗秀洁</v>
      </c>
      <c r="C21" s="9" t="str">
        <f t="shared" si="0"/>
        <v>1623010120101</v>
      </c>
      <c r="D21" s="9" t="s">
        <v>12</v>
      </c>
      <c r="E21" s="9" t="str">
        <f>"16230035104"</f>
        <v>16230035104</v>
      </c>
      <c r="F21" s="7">
        <v>82.92</v>
      </c>
      <c r="G21" s="7">
        <v>87.1</v>
      </c>
      <c r="H21" s="7">
        <v>85.43</v>
      </c>
      <c r="I21" s="10"/>
      <c r="J21" s="7">
        <f t="shared" si="1"/>
        <v>85.43</v>
      </c>
      <c r="K21" s="11"/>
    </row>
    <row r="22" spans="1:11" s="1" customFormat="1" ht="15" customHeight="1">
      <c r="A22" s="3">
        <v>19</v>
      </c>
      <c r="B22" s="9" t="str">
        <f>"王会"</f>
        <v>王会</v>
      </c>
      <c r="C22" s="9" t="str">
        <f t="shared" si="0"/>
        <v>1623010120101</v>
      </c>
      <c r="D22" s="9" t="s">
        <v>12</v>
      </c>
      <c r="E22" s="9" t="str">
        <f>"16230035210"</f>
        <v>16230035210</v>
      </c>
      <c r="F22" s="7">
        <v>83.5</v>
      </c>
      <c r="G22" s="7">
        <v>85.5</v>
      </c>
      <c r="H22" s="7">
        <v>84.7</v>
      </c>
      <c r="I22" s="10"/>
      <c r="J22" s="7">
        <f t="shared" si="1"/>
        <v>84.7</v>
      </c>
      <c r="K22" s="11"/>
    </row>
    <row r="23" spans="1:11" s="1" customFormat="1" ht="15" customHeight="1">
      <c r="A23" s="3">
        <v>20</v>
      </c>
      <c r="B23" s="9" t="str">
        <f>"周敏"</f>
        <v>周敏</v>
      </c>
      <c r="C23" s="9" t="str">
        <f t="shared" si="0"/>
        <v>1623010120101</v>
      </c>
      <c r="D23" s="9" t="s">
        <v>12</v>
      </c>
      <c r="E23" s="9" t="str">
        <f>"16230035117"</f>
        <v>16230035117</v>
      </c>
      <c r="F23" s="7">
        <v>84.12</v>
      </c>
      <c r="G23" s="7">
        <v>83.8</v>
      </c>
      <c r="H23" s="7">
        <v>83.93</v>
      </c>
      <c r="I23" s="10"/>
      <c r="J23" s="7">
        <f t="shared" si="1"/>
        <v>83.93</v>
      </c>
      <c r="K23" s="11" t="s">
        <v>84</v>
      </c>
    </row>
    <row r="24" spans="1:11" s="1" customFormat="1" ht="15" customHeight="1">
      <c r="A24" s="3">
        <v>21</v>
      </c>
      <c r="B24" s="9" t="str">
        <f>"孟伟"</f>
        <v>孟伟</v>
      </c>
      <c r="C24" s="9" t="str">
        <f t="shared" si="0"/>
        <v>1623010120101</v>
      </c>
      <c r="D24" s="9" t="s">
        <v>12</v>
      </c>
      <c r="E24" s="9" t="str">
        <f>"16230035109"</f>
        <v>16230035109</v>
      </c>
      <c r="F24" s="7">
        <v>80.98</v>
      </c>
      <c r="G24" s="7">
        <v>85.5</v>
      </c>
      <c r="H24" s="7">
        <v>83.69</v>
      </c>
      <c r="I24" s="10"/>
      <c r="J24" s="7">
        <f t="shared" si="1"/>
        <v>83.69</v>
      </c>
      <c r="K24" s="11" t="s">
        <v>84</v>
      </c>
    </row>
    <row r="25" spans="1:11" s="1" customFormat="1" ht="15" customHeight="1">
      <c r="A25" s="3">
        <v>22</v>
      </c>
      <c r="B25" s="9" t="str">
        <f>"李沅涟"</f>
        <v>李沅涟</v>
      </c>
      <c r="C25" s="9" t="str">
        <f t="shared" si="0"/>
        <v>1623010120101</v>
      </c>
      <c r="D25" s="9" t="s">
        <v>12</v>
      </c>
      <c r="E25" s="9" t="str">
        <f>"16230035118"</f>
        <v>16230035118</v>
      </c>
      <c r="F25" s="7">
        <v>86.76</v>
      </c>
      <c r="G25" s="7">
        <v>81.4</v>
      </c>
      <c r="H25" s="7">
        <v>83.54</v>
      </c>
      <c r="I25" s="10"/>
      <c r="J25" s="7">
        <f t="shared" si="1"/>
        <v>83.54</v>
      </c>
      <c r="K25" s="11" t="s">
        <v>84</v>
      </c>
    </row>
    <row r="26" spans="1:11" s="1" customFormat="1" ht="15" customHeight="1">
      <c r="A26" s="3">
        <v>23</v>
      </c>
      <c r="B26" s="9" t="str">
        <f>"侯跃"</f>
        <v>侯跃</v>
      </c>
      <c r="C26" s="9" t="str">
        <f aca="true" t="shared" si="2" ref="C26:C47">"1623010120102"</f>
        <v>1623010120102</v>
      </c>
      <c r="D26" s="9" t="s">
        <v>13</v>
      </c>
      <c r="E26" s="9" t="str">
        <f>"16230035312"</f>
        <v>16230035312</v>
      </c>
      <c r="F26" s="7">
        <v>89.28</v>
      </c>
      <c r="G26" s="7">
        <v>91.5</v>
      </c>
      <c r="H26" s="7">
        <v>90.61</v>
      </c>
      <c r="I26" s="10"/>
      <c r="J26" s="7">
        <f t="shared" si="1"/>
        <v>90.61</v>
      </c>
      <c r="K26" s="11"/>
    </row>
    <row r="27" spans="1:11" s="1" customFormat="1" ht="15" customHeight="1">
      <c r="A27" s="3">
        <v>24</v>
      </c>
      <c r="B27" s="9" t="str">
        <f>"王二菲"</f>
        <v>王二菲</v>
      </c>
      <c r="C27" s="9" t="str">
        <f t="shared" si="2"/>
        <v>1623010120102</v>
      </c>
      <c r="D27" s="9" t="s">
        <v>13</v>
      </c>
      <c r="E27" s="9" t="str">
        <f>"16230035321"</f>
        <v>16230035321</v>
      </c>
      <c r="F27" s="7">
        <v>96.08</v>
      </c>
      <c r="G27" s="7">
        <v>84.5</v>
      </c>
      <c r="H27" s="7">
        <v>89.13</v>
      </c>
      <c r="I27" s="10"/>
      <c r="J27" s="7">
        <f t="shared" si="1"/>
        <v>89.13</v>
      </c>
      <c r="K27" s="11"/>
    </row>
    <row r="28" spans="1:11" s="1" customFormat="1" ht="15" customHeight="1">
      <c r="A28" s="3">
        <v>25</v>
      </c>
      <c r="B28" s="9" t="str">
        <f>"王璐"</f>
        <v>王璐</v>
      </c>
      <c r="C28" s="9" t="str">
        <f t="shared" si="2"/>
        <v>1623010120102</v>
      </c>
      <c r="D28" s="9" t="s">
        <v>13</v>
      </c>
      <c r="E28" s="9" t="str">
        <f>"16230035223"</f>
        <v>16230035223</v>
      </c>
      <c r="F28" s="7">
        <v>91.62</v>
      </c>
      <c r="G28" s="7">
        <v>86.7</v>
      </c>
      <c r="H28" s="7">
        <v>88.67</v>
      </c>
      <c r="I28" s="10"/>
      <c r="J28" s="7">
        <f t="shared" si="1"/>
        <v>88.67</v>
      </c>
      <c r="K28" s="11"/>
    </row>
    <row r="29" spans="1:11" s="1" customFormat="1" ht="15" customHeight="1">
      <c r="A29" s="3">
        <v>26</v>
      </c>
      <c r="B29" s="9" t="str">
        <f>"王春菊"</f>
        <v>王春菊</v>
      </c>
      <c r="C29" s="9" t="str">
        <f t="shared" si="2"/>
        <v>1623010120102</v>
      </c>
      <c r="D29" s="9" t="s">
        <v>13</v>
      </c>
      <c r="E29" s="9" t="str">
        <f>"16230035411"</f>
        <v>16230035411</v>
      </c>
      <c r="F29" s="7">
        <v>88.5</v>
      </c>
      <c r="G29" s="7">
        <v>87.1</v>
      </c>
      <c r="H29" s="7">
        <v>87.66</v>
      </c>
      <c r="I29" s="10"/>
      <c r="J29" s="7">
        <f t="shared" si="1"/>
        <v>87.66</v>
      </c>
      <c r="K29" s="11"/>
    </row>
    <row r="30" spans="1:11" s="1" customFormat="1" ht="15" customHeight="1">
      <c r="A30" s="3">
        <v>27</v>
      </c>
      <c r="B30" s="9" t="str">
        <f>"马彦楠"</f>
        <v>马彦楠</v>
      </c>
      <c r="C30" s="9" t="str">
        <f t="shared" si="2"/>
        <v>1623010120102</v>
      </c>
      <c r="D30" s="9" t="s">
        <v>13</v>
      </c>
      <c r="E30" s="9" t="str">
        <f>"16230035308"</f>
        <v>16230035308</v>
      </c>
      <c r="F30" s="7">
        <v>90.1</v>
      </c>
      <c r="G30" s="7">
        <v>86</v>
      </c>
      <c r="H30" s="7">
        <v>87.64</v>
      </c>
      <c r="I30" s="10"/>
      <c r="J30" s="7">
        <f t="shared" si="1"/>
        <v>87.64</v>
      </c>
      <c r="K30" s="11"/>
    </row>
    <row r="31" spans="1:11" s="1" customFormat="1" ht="15" customHeight="1">
      <c r="A31" s="3">
        <v>28</v>
      </c>
      <c r="B31" s="9" t="str">
        <f>"薛晓侠"</f>
        <v>薛晓侠</v>
      </c>
      <c r="C31" s="9" t="str">
        <f t="shared" si="2"/>
        <v>1623010120102</v>
      </c>
      <c r="D31" s="9" t="s">
        <v>13</v>
      </c>
      <c r="E31" s="9" t="str">
        <f>"16230035227"</f>
        <v>16230035227</v>
      </c>
      <c r="F31" s="7">
        <v>97.7</v>
      </c>
      <c r="G31" s="7">
        <v>80.3</v>
      </c>
      <c r="H31" s="7">
        <v>87.26</v>
      </c>
      <c r="I31" s="10"/>
      <c r="J31" s="7">
        <f t="shared" si="1"/>
        <v>87.26</v>
      </c>
      <c r="K31" s="11"/>
    </row>
    <row r="32" spans="1:11" s="1" customFormat="1" ht="15" customHeight="1">
      <c r="A32" s="3">
        <v>29</v>
      </c>
      <c r="B32" s="9" t="str">
        <f>"姜晓亮"</f>
        <v>姜晓亮</v>
      </c>
      <c r="C32" s="9" t="str">
        <f t="shared" si="2"/>
        <v>1623010120102</v>
      </c>
      <c r="D32" s="9" t="s">
        <v>13</v>
      </c>
      <c r="E32" s="9" t="str">
        <f>"16230035415"</f>
        <v>16230035415</v>
      </c>
      <c r="F32" s="7">
        <v>90.7</v>
      </c>
      <c r="G32" s="7">
        <v>84.1</v>
      </c>
      <c r="H32" s="7">
        <v>86.74</v>
      </c>
      <c r="I32" s="10"/>
      <c r="J32" s="7">
        <f t="shared" si="1"/>
        <v>86.74</v>
      </c>
      <c r="K32" s="11"/>
    </row>
    <row r="33" spans="1:11" s="1" customFormat="1" ht="15" customHeight="1">
      <c r="A33" s="3">
        <v>30</v>
      </c>
      <c r="B33" s="9" t="str">
        <f>"怀荣孟"</f>
        <v>怀荣孟</v>
      </c>
      <c r="C33" s="9" t="str">
        <f t="shared" si="2"/>
        <v>1623010120102</v>
      </c>
      <c r="D33" s="9" t="s">
        <v>13</v>
      </c>
      <c r="E33" s="9" t="str">
        <f>"16230035222"</f>
        <v>16230035222</v>
      </c>
      <c r="F33" s="7">
        <v>83.72</v>
      </c>
      <c r="G33" s="7">
        <v>88.5</v>
      </c>
      <c r="H33" s="7">
        <v>86.59</v>
      </c>
      <c r="I33" s="10"/>
      <c r="J33" s="7">
        <f t="shared" si="1"/>
        <v>86.59</v>
      </c>
      <c r="K33" s="11"/>
    </row>
    <row r="34" spans="1:11" s="1" customFormat="1" ht="15" customHeight="1">
      <c r="A34" s="3">
        <v>31</v>
      </c>
      <c r="B34" s="9" t="str">
        <f>"李桃"</f>
        <v>李桃</v>
      </c>
      <c r="C34" s="9" t="str">
        <f t="shared" si="2"/>
        <v>1623010120102</v>
      </c>
      <c r="D34" s="9" t="s">
        <v>13</v>
      </c>
      <c r="E34" s="9" t="str">
        <f>"16230035310"</f>
        <v>16230035310</v>
      </c>
      <c r="F34" s="7">
        <v>91.64</v>
      </c>
      <c r="G34" s="7">
        <v>82.7</v>
      </c>
      <c r="H34" s="7">
        <v>86.28</v>
      </c>
      <c r="I34" s="10"/>
      <c r="J34" s="7">
        <f t="shared" si="1"/>
        <v>86.28</v>
      </c>
      <c r="K34" s="11"/>
    </row>
    <row r="35" spans="1:11" s="1" customFormat="1" ht="15" customHeight="1">
      <c r="A35" s="3">
        <v>32</v>
      </c>
      <c r="B35" s="9" t="str">
        <f>"侯玉杰"</f>
        <v>侯玉杰</v>
      </c>
      <c r="C35" s="9" t="str">
        <f t="shared" si="2"/>
        <v>1623010120102</v>
      </c>
      <c r="D35" s="9" t="s">
        <v>13</v>
      </c>
      <c r="E35" s="9" t="str">
        <f>"16230035412"</f>
        <v>16230035412</v>
      </c>
      <c r="F35" s="7">
        <v>96.38</v>
      </c>
      <c r="G35" s="7">
        <v>78.7</v>
      </c>
      <c r="H35" s="7">
        <v>85.77</v>
      </c>
      <c r="I35" s="10"/>
      <c r="J35" s="7">
        <f t="shared" si="1"/>
        <v>85.77</v>
      </c>
      <c r="K35" s="11"/>
    </row>
    <row r="36" spans="1:11" s="1" customFormat="1" ht="15" customHeight="1">
      <c r="A36" s="3">
        <v>33</v>
      </c>
      <c r="B36" s="9" t="str">
        <f>"胡钟伦"</f>
        <v>胡钟伦</v>
      </c>
      <c r="C36" s="9" t="str">
        <f t="shared" si="2"/>
        <v>1623010120102</v>
      </c>
      <c r="D36" s="9" t="s">
        <v>13</v>
      </c>
      <c r="E36" s="9" t="str">
        <f>"16230035404"</f>
        <v>16230035404</v>
      </c>
      <c r="F36" s="7">
        <v>83.32</v>
      </c>
      <c r="G36" s="7">
        <v>86.5</v>
      </c>
      <c r="H36" s="7">
        <v>85.23</v>
      </c>
      <c r="I36" s="10"/>
      <c r="J36" s="7">
        <f t="shared" si="1"/>
        <v>85.23</v>
      </c>
      <c r="K36" s="11"/>
    </row>
    <row r="37" spans="1:11" s="1" customFormat="1" ht="15" customHeight="1">
      <c r="A37" s="3">
        <v>34</v>
      </c>
      <c r="B37" s="9" t="str">
        <f>"汪菁"</f>
        <v>汪菁</v>
      </c>
      <c r="C37" s="9" t="str">
        <f t="shared" si="2"/>
        <v>1623010120102</v>
      </c>
      <c r="D37" s="9" t="s">
        <v>13</v>
      </c>
      <c r="E37" s="9" t="str">
        <f>"16230035408"</f>
        <v>16230035408</v>
      </c>
      <c r="F37" s="7">
        <v>90.22</v>
      </c>
      <c r="G37" s="7">
        <v>81.3</v>
      </c>
      <c r="H37" s="7">
        <v>84.87</v>
      </c>
      <c r="I37" s="10"/>
      <c r="J37" s="7">
        <f t="shared" si="1"/>
        <v>84.87</v>
      </c>
      <c r="K37" s="11"/>
    </row>
    <row r="38" spans="1:11" s="1" customFormat="1" ht="15" customHeight="1">
      <c r="A38" s="3">
        <v>35</v>
      </c>
      <c r="B38" s="9" t="str">
        <f>"胡军"</f>
        <v>胡军</v>
      </c>
      <c r="C38" s="9" t="str">
        <f t="shared" si="2"/>
        <v>1623010120102</v>
      </c>
      <c r="D38" s="9" t="s">
        <v>13</v>
      </c>
      <c r="E38" s="9" t="str">
        <f>"16230035409"</f>
        <v>16230035409</v>
      </c>
      <c r="F38" s="7">
        <v>90.18</v>
      </c>
      <c r="G38" s="7">
        <v>80.8</v>
      </c>
      <c r="H38" s="7">
        <v>84.55</v>
      </c>
      <c r="I38" s="10"/>
      <c r="J38" s="7">
        <f t="shared" si="1"/>
        <v>84.55</v>
      </c>
      <c r="K38" s="11"/>
    </row>
    <row r="39" spans="1:11" s="1" customFormat="1" ht="15" customHeight="1">
      <c r="A39" s="3">
        <v>36</v>
      </c>
      <c r="B39" s="9" t="str">
        <f>"李亚鸿"</f>
        <v>李亚鸿</v>
      </c>
      <c r="C39" s="9" t="str">
        <f t="shared" si="2"/>
        <v>1623010120102</v>
      </c>
      <c r="D39" s="9" t="s">
        <v>13</v>
      </c>
      <c r="E39" s="9" t="str">
        <f>"16230035304"</f>
        <v>16230035304</v>
      </c>
      <c r="F39" s="7">
        <v>87.48</v>
      </c>
      <c r="G39" s="7">
        <v>82.2</v>
      </c>
      <c r="H39" s="7">
        <v>84.31</v>
      </c>
      <c r="I39" s="10"/>
      <c r="J39" s="7">
        <f t="shared" si="1"/>
        <v>84.31</v>
      </c>
      <c r="K39" s="11"/>
    </row>
    <row r="40" spans="1:11" s="1" customFormat="1" ht="15" customHeight="1">
      <c r="A40" s="3">
        <v>37</v>
      </c>
      <c r="B40" s="9" t="str">
        <f>"徐泽霖"</f>
        <v>徐泽霖</v>
      </c>
      <c r="C40" s="9" t="str">
        <f t="shared" si="2"/>
        <v>1623010120102</v>
      </c>
      <c r="D40" s="9" t="s">
        <v>13</v>
      </c>
      <c r="E40" s="9" t="str">
        <f>"16230035401"</f>
        <v>16230035401</v>
      </c>
      <c r="F40" s="7">
        <v>90.2</v>
      </c>
      <c r="G40" s="7">
        <v>80</v>
      </c>
      <c r="H40" s="7">
        <v>84.08</v>
      </c>
      <c r="I40" s="10"/>
      <c r="J40" s="7">
        <f t="shared" si="1"/>
        <v>84.08</v>
      </c>
      <c r="K40" s="11"/>
    </row>
    <row r="41" spans="1:11" s="1" customFormat="1" ht="15" customHeight="1">
      <c r="A41" s="3">
        <v>38</v>
      </c>
      <c r="B41" s="9" t="str">
        <f>"李劝"</f>
        <v>李劝</v>
      </c>
      <c r="C41" s="9" t="str">
        <f t="shared" si="2"/>
        <v>1623010120102</v>
      </c>
      <c r="D41" s="9" t="s">
        <v>13</v>
      </c>
      <c r="E41" s="9" t="str">
        <f>"16230035318"</f>
        <v>16230035318</v>
      </c>
      <c r="F41" s="7">
        <v>88.46</v>
      </c>
      <c r="G41" s="7">
        <v>81</v>
      </c>
      <c r="H41" s="7">
        <v>83.98</v>
      </c>
      <c r="I41" s="10"/>
      <c r="J41" s="7">
        <f t="shared" si="1"/>
        <v>83.98</v>
      </c>
      <c r="K41" s="11"/>
    </row>
    <row r="42" spans="1:11" s="1" customFormat="1" ht="15" customHeight="1">
      <c r="A42" s="3">
        <v>39</v>
      </c>
      <c r="B42" s="9" t="str">
        <f>"于晓莉"</f>
        <v>于晓莉</v>
      </c>
      <c r="C42" s="9" t="str">
        <f t="shared" si="2"/>
        <v>1623010120102</v>
      </c>
      <c r="D42" s="9" t="s">
        <v>13</v>
      </c>
      <c r="E42" s="9" t="str">
        <f>"16230035313"</f>
        <v>16230035313</v>
      </c>
      <c r="F42" s="7">
        <v>86.86</v>
      </c>
      <c r="G42" s="7">
        <v>81.9</v>
      </c>
      <c r="H42" s="7">
        <v>83.88</v>
      </c>
      <c r="I42" s="10"/>
      <c r="J42" s="7">
        <f t="shared" si="1"/>
        <v>83.88</v>
      </c>
      <c r="K42" s="11"/>
    </row>
    <row r="43" spans="1:11" s="1" customFormat="1" ht="15" customHeight="1">
      <c r="A43" s="3">
        <v>40</v>
      </c>
      <c r="B43" s="9" t="str">
        <f>"齐文丽"</f>
        <v>齐文丽</v>
      </c>
      <c r="C43" s="9" t="str">
        <f t="shared" si="2"/>
        <v>1623010120102</v>
      </c>
      <c r="D43" s="9" t="s">
        <v>13</v>
      </c>
      <c r="E43" s="9" t="str">
        <f>"16230035410"</f>
        <v>16230035410</v>
      </c>
      <c r="F43" s="7">
        <v>88.18</v>
      </c>
      <c r="G43" s="7">
        <v>80.6</v>
      </c>
      <c r="H43" s="7">
        <v>83.63</v>
      </c>
      <c r="I43" s="10"/>
      <c r="J43" s="7">
        <f t="shared" si="1"/>
        <v>83.63</v>
      </c>
      <c r="K43" s="11"/>
    </row>
    <row r="44" spans="1:11" s="1" customFormat="1" ht="15" customHeight="1">
      <c r="A44" s="3">
        <v>41</v>
      </c>
      <c r="B44" s="9" t="str">
        <f>"杨静"</f>
        <v>杨静</v>
      </c>
      <c r="C44" s="9" t="str">
        <f t="shared" si="2"/>
        <v>1623010120102</v>
      </c>
      <c r="D44" s="9" t="s">
        <v>13</v>
      </c>
      <c r="E44" s="9" t="str">
        <f>"16230035229"</f>
        <v>16230035229</v>
      </c>
      <c r="F44" s="7">
        <v>84.54</v>
      </c>
      <c r="G44" s="7">
        <v>82.7</v>
      </c>
      <c r="H44" s="7">
        <v>83.44</v>
      </c>
      <c r="I44" s="10"/>
      <c r="J44" s="7">
        <f t="shared" si="1"/>
        <v>83.44</v>
      </c>
      <c r="K44" s="11"/>
    </row>
    <row r="45" spans="1:11" s="1" customFormat="1" ht="15" customHeight="1">
      <c r="A45" s="3">
        <v>42</v>
      </c>
      <c r="B45" s="9" t="str">
        <f>"胡纬"</f>
        <v>胡纬</v>
      </c>
      <c r="C45" s="9" t="str">
        <f t="shared" si="2"/>
        <v>1623010120102</v>
      </c>
      <c r="D45" s="9" t="s">
        <v>13</v>
      </c>
      <c r="E45" s="9" t="str">
        <f>"16230035324"</f>
        <v>16230035324</v>
      </c>
      <c r="F45" s="7">
        <v>92.04</v>
      </c>
      <c r="G45" s="7">
        <v>76.6</v>
      </c>
      <c r="H45" s="7">
        <v>82.78</v>
      </c>
      <c r="I45" s="10"/>
      <c r="J45" s="7">
        <f t="shared" si="1"/>
        <v>82.78</v>
      </c>
      <c r="K45" s="11"/>
    </row>
    <row r="46" spans="1:11" s="1" customFormat="1" ht="15" customHeight="1">
      <c r="A46" s="3">
        <v>43</v>
      </c>
      <c r="B46" s="9" t="str">
        <f>"刁兴莉"</f>
        <v>刁兴莉</v>
      </c>
      <c r="C46" s="9" t="str">
        <f t="shared" si="2"/>
        <v>1623010120102</v>
      </c>
      <c r="D46" s="9" t="s">
        <v>13</v>
      </c>
      <c r="E46" s="9" t="str">
        <f>"16230035329"</f>
        <v>16230035329</v>
      </c>
      <c r="F46" s="7">
        <v>86.16</v>
      </c>
      <c r="G46" s="7">
        <v>77</v>
      </c>
      <c r="H46" s="7">
        <v>80.66</v>
      </c>
      <c r="I46" s="10">
        <v>2</v>
      </c>
      <c r="J46" s="7">
        <f t="shared" si="1"/>
        <v>82.66</v>
      </c>
      <c r="K46" s="11" t="s">
        <v>84</v>
      </c>
    </row>
    <row r="47" spans="1:11" s="1" customFormat="1" ht="15" customHeight="1">
      <c r="A47" s="3">
        <v>44</v>
      </c>
      <c r="B47" s="9" t="str">
        <f>"丁莉莉"</f>
        <v>丁莉莉</v>
      </c>
      <c r="C47" s="9" t="str">
        <f t="shared" si="2"/>
        <v>1623010120102</v>
      </c>
      <c r="D47" s="9" t="s">
        <v>13</v>
      </c>
      <c r="E47" s="9" t="str">
        <f>"16230035317"</f>
        <v>16230035317</v>
      </c>
      <c r="F47" s="7">
        <v>85.24</v>
      </c>
      <c r="G47" s="7">
        <v>79.5</v>
      </c>
      <c r="H47" s="7">
        <v>81.8</v>
      </c>
      <c r="I47" s="10"/>
      <c r="J47" s="7">
        <f t="shared" si="1"/>
        <v>81.8</v>
      </c>
      <c r="K47" s="11" t="s">
        <v>84</v>
      </c>
    </row>
    <row r="48" spans="1:11" s="1" customFormat="1" ht="15" customHeight="1">
      <c r="A48" s="3">
        <v>45</v>
      </c>
      <c r="B48" s="9" t="str">
        <f>"王娟"</f>
        <v>王娟</v>
      </c>
      <c r="C48" s="9" t="str">
        <f aca="true" t="shared" si="3" ref="C48:C71">"1623010120203"</f>
        <v>1623010120203</v>
      </c>
      <c r="D48" s="9" t="s">
        <v>14</v>
      </c>
      <c r="E48" s="9" t="str">
        <f>"16230042805"</f>
        <v>16230042805</v>
      </c>
      <c r="F48" s="7">
        <v>92.02</v>
      </c>
      <c r="G48" s="7">
        <v>94.5</v>
      </c>
      <c r="H48" s="7">
        <v>93.51</v>
      </c>
      <c r="I48" s="10"/>
      <c r="J48" s="7">
        <f t="shared" si="1"/>
        <v>93.51</v>
      </c>
      <c r="K48" s="11"/>
    </row>
    <row r="49" spans="1:11" s="1" customFormat="1" ht="15" customHeight="1">
      <c r="A49" s="3">
        <v>46</v>
      </c>
      <c r="B49" s="9" t="str">
        <f>"武龙庆"</f>
        <v>武龙庆</v>
      </c>
      <c r="C49" s="9" t="str">
        <f t="shared" si="3"/>
        <v>1623010120203</v>
      </c>
      <c r="D49" s="9" t="s">
        <v>14</v>
      </c>
      <c r="E49" s="9" t="str">
        <f>"16230042830"</f>
        <v>16230042830</v>
      </c>
      <c r="F49" s="7">
        <v>87.56</v>
      </c>
      <c r="G49" s="7">
        <v>94.35</v>
      </c>
      <c r="H49" s="7">
        <v>91.63</v>
      </c>
      <c r="I49" s="10"/>
      <c r="J49" s="7">
        <f t="shared" si="1"/>
        <v>91.63</v>
      </c>
      <c r="K49" s="11"/>
    </row>
    <row r="50" spans="1:11" s="1" customFormat="1" ht="15" customHeight="1">
      <c r="A50" s="3">
        <v>47</v>
      </c>
      <c r="B50" s="9" t="str">
        <f>"刘纯子"</f>
        <v>刘纯子</v>
      </c>
      <c r="C50" s="9" t="str">
        <f t="shared" si="3"/>
        <v>1623010120203</v>
      </c>
      <c r="D50" s="9" t="s">
        <v>14</v>
      </c>
      <c r="E50" s="9" t="str">
        <f>"16230042818"</f>
        <v>16230042818</v>
      </c>
      <c r="F50" s="7">
        <v>91.16</v>
      </c>
      <c r="G50" s="7">
        <v>90.1</v>
      </c>
      <c r="H50" s="7">
        <v>90.52</v>
      </c>
      <c r="I50" s="10"/>
      <c r="J50" s="7">
        <f t="shared" si="1"/>
        <v>90.52</v>
      </c>
      <c r="K50" s="11"/>
    </row>
    <row r="51" spans="1:11" s="1" customFormat="1" ht="15" customHeight="1">
      <c r="A51" s="3">
        <v>48</v>
      </c>
      <c r="B51" s="9" t="str">
        <f>"张宇凡"</f>
        <v>张宇凡</v>
      </c>
      <c r="C51" s="9" t="str">
        <f t="shared" si="3"/>
        <v>1623010120203</v>
      </c>
      <c r="D51" s="9" t="s">
        <v>14</v>
      </c>
      <c r="E51" s="9" t="str">
        <f>"16230042914"</f>
        <v>16230042914</v>
      </c>
      <c r="F51" s="7">
        <v>86.78</v>
      </c>
      <c r="G51" s="7">
        <v>91.7</v>
      </c>
      <c r="H51" s="7">
        <v>89.73</v>
      </c>
      <c r="I51" s="10"/>
      <c r="J51" s="7">
        <f t="shared" si="1"/>
        <v>89.73</v>
      </c>
      <c r="K51" s="11"/>
    </row>
    <row r="52" spans="1:11" s="1" customFormat="1" ht="15" customHeight="1">
      <c r="A52" s="3">
        <v>49</v>
      </c>
      <c r="B52" s="9" t="str">
        <f>"李珊珊"</f>
        <v>李珊珊</v>
      </c>
      <c r="C52" s="9" t="str">
        <f t="shared" si="3"/>
        <v>1623010120203</v>
      </c>
      <c r="D52" s="9" t="s">
        <v>14</v>
      </c>
      <c r="E52" s="9" t="str">
        <f>"16230042821"</f>
        <v>16230042821</v>
      </c>
      <c r="F52" s="7">
        <v>92.54</v>
      </c>
      <c r="G52" s="7">
        <v>84.65</v>
      </c>
      <c r="H52" s="7">
        <v>87.81</v>
      </c>
      <c r="I52" s="10"/>
      <c r="J52" s="7">
        <f t="shared" si="1"/>
        <v>87.81</v>
      </c>
      <c r="K52" s="11"/>
    </row>
    <row r="53" spans="1:11" s="1" customFormat="1" ht="15" customHeight="1">
      <c r="A53" s="3">
        <v>50</v>
      </c>
      <c r="B53" s="9" t="str">
        <f>"盛梅"</f>
        <v>盛梅</v>
      </c>
      <c r="C53" s="9" t="str">
        <f t="shared" si="3"/>
        <v>1623010120203</v>
      </c>
      <c r="D53" s="9" t="s">
        <v>14</v>
      </c>
      <c r="E53" s="9" t="str">
        <f>"16230042825"</f>
        <v>16230042825</v>
      </c>
      <c r="F53" s="7">
        <v>92.62</v>
      </c>
      <c r="G53" s="7">
        <v>84.2</v>
      </c>
      <c r="H53" s="7">
        <v>87.57</v>
      </c>
      <c r="I53" s="10"/>
      <c r="J53" s="7">
        <f t="shared" si="1"/>
        <v>87.57</v>
      </c>
      <c r="K53" s="11"/>
    </row>
    <row r="54" spans="1:11" s="1" customFormat="1" ht="15" customHeight="1">
      <c r="A54" s="3">
        <v>51</v>
      </c>
      <c r="B54" s="9" t="str">
        <f>"夏悦"</f>
        <v>夏悦</v>
      </c>
      <c r="C54" s="9" t="str">
        <f t="shared" si="3"/>
        <v>1623010120203</v>
      </c>
      <c r="D54" s="9" t="s">
        <v>14</v>
      </c>
      <c r="E54" s="9" t="str">
        <f>"16230042829"</f>
        <v>16230042829</v>
      </c>
      <c r="F54" s="7">
        <v>84</v>
      </c>
      <c r="G54" s="7">
        <v>89.3</v>
      </c>
      <c r="H54" s="7">
        <v>87.18</v>
      </c>
      <c r="I54" s="10"/>
      <c r="J54" s="7">
        <f t="shared" si="1"/>
        <v>87.18</v>
      </c>
      <c r="K54" s="11"/>
    </row>
    <row r="55" spans="1:11" s="1" customFormat="1" ht="15" customHeight="1">
      <c r="A55" s="3">
        <v>52</v>
      </c>
      <c r="B55" s="9" t="str">
        <f>"杜鹏飞"</f>
        <v>杜鹏飞</v>
      </c>
      <c r="C55" s="9" t="str">
        <f t="shared" si="3"/>
        <v>1623010120203</v>
      </c>
      <c r="D55" s="9" t="s">
        <v>14</v>
      </c>
      <c r="E55" s="9" t="str">
        <f>"16230042908"</f>
        <v>16230042908</v>
      </c>
      <c r="F55" s="7">
        <v>86.26</v>
      </c>
      <c r="G55" s="7">
        <v>85.85</v>
      </c>
      <c r="H55" s="7">
        <v>86.01</v>
      </c>
      <c r="I55" s="10"/>
      <c r="J55" s="7">
        <f t="shared" si="1"/>
        <v>86.01</v>
      </c>
      <c r="K55" s="11"/>
    </row>
    <row r="56" spans="1:11" s="1" customFormat="1" ht="15" customHeight="1">
      <c r="A56" s="3">
        <v>53</v>
      </c>
      <c r="B56" s="9" t="str">
        <f>"孔圆圆"</f>
        <v>孔圆圆</v>
      </c>
      <c r="C56" s="9" t="str">
        <f t="shared" si="3"/>
        <v>1623010120203</v>
      </c>
      <c r="D56" s="9" t="s">
        <v>14</v>
      </c>
      <c r="E56" s="9" t="str">
        <f>"16230042816"</f>
        <v>16230042816</v>
      </c>
      <c r="F56" s="7">
        <v>89.4</v>
      </c>
      <c r="G56" s="7">
        <v>82.45</v>
      </c>
      <c r="H56" s="7">
        <v>85.23</v>
      </c>
      <c r="I56" s="10"/>
      <c r="J56" s="7">
        <f t="shared" si="1"/>
        <v>85.23</v>
      </c>
      <c r="K56" s="11"/>
    </row>
    <row r="57" spans="1:11" s="1" customFormat="1" ht="15" customHeight="1">
      <c r="A57" s="3">
        <v>54</v>
      </c>
      <c r="B57" s="9" t="str">
        <f>"邹林林"</f>
        <v>邹林林</v>
      </c>
      <c r="C57" s="9" t="str">
        <f t="shared" si="3"/>
        <v>1623010120203</v>
      </c>
      <c r="D57" s="9" t="s">
        <v>14</v>
      </c>
      <c r="E57" s="9" t="str">
        <f>"16230042904"</f>
        <v>16230042904</v>
      </c>
      <c r="F57" s="7">
        <v>87.14</v>
      </c>
      <c r="G57" s="7">
        <v>83</v>
      </c>
      <c r="H57" s="7">
        <v>84.66</v>
      </c>
      <c r="I57" s="10"/>
      <c r="J57" s="7">
        <f t="shared" si="1"/>
        <v>84.66</v>
      </c>
      <c r="K57" s="11"/>
    </row>
    <row r="58" spans="1:11" s="1" customFormat="1" ht="15" customHeight="1">
      <c r="A58" s="3">
        <v>55</v>
      </c>
      <c r="B58" s="9" t="str">
        <f>"聂士友"</f>
        <v>聂士友</v>
      </c>
      <c r="C58" s="9" t="str">
        <f t="shared" si="3"/>
        <v>1623010120203</v>
      </c>
      <c r="D58" s="9" t="s">
        <v>14</v>
      </c>
      <c r="E58" s="9" t="str">
        <f>"16230042915"</f>
        <v>16230042915</v>
      </c>
      <c r="F58" s="7">
        <v>75</v>
      </c>
      <c r="G58" s="7">
        <v>91.05</v>
      </c>
      <c r="H58" s="7">
        <v>84.63</v>
      </c>
      <c r="I58" s="10"/>
      <c r="J58" s="7">
        <f t="shared" si="1"/>
        <v>84.63</v>
      </c>
      <c r="K58" s="11"/>
    </row>
    <row r="59" spans="1:11" s="1" customFormat="1" ht="15" customHeight="1">
      <c r="A59" s="3">
        <v>56</v>
      </c>
      <c r="B59" s="9" t="str">
        <f>"马飞飞"</f>
        <v>马飞飞</v>
      </c>
      <c r="C59" s="9" t="str">
        <f t="shared" si="3"/>
        <v>1623010120203</v>
      </c>
      <c r="D59" s="9" t="s">
        <v>14</v>
      </c>
      <c r="E59" s="9" t="str">
        <f>"16230042812"</f>
        <v>16230042812</v>
      </c>
      <c r="F59" s="7">
        <v>85.16</v>
      </c>
      <c r="G59" s="7">
        <v>83.25</v>
      </c>
      <c r="H59" s="7">
        <v>84.01</v>
      </c>
      <c r="I59" s="10"/>
      <c r="J59" s="7">
        <f t="shared" si="1"/>
        <v>84.01</v>
      </c>
      <c r="K59" s="11"/>
    </row>
    <row r="60" spans="1:11" s="1" customFormat="1" ht="15" customHeight="1">
      <c r="A60" s="3">
        <v>57</v>
      </c>
      <c r="B60" s="9" t="str">
        <f>"都利娟"</f>
        <v>都利娟</v>
      </c>
      <c r="C60" s="9" t="str">
        <f t="shared" si="3"/>
        <v>1623010120203</v>
      </c>
      <c r="D60" s="9" t="s">
        <v>14</v>
      </c>
      <c r="E60" s="9" t="str">
        <f>"16230042913"</f>
        <v>16230042913</v>
      </c>
      <c r="F60" s="7">
        <v>93.86</v>
      </c>
      <c r="G60" s="7">
        <v>77.3</v>
      </c>
      <c r="H60" s="7">
        <v>83.92</v>
      </c>
      <c r="I60" s="10"/>
      <c r="J60" s="7">
        <f t="shared" si="1"/>
        <v>83.92</v>
      </c>
      <c r="K60" s="11"/>
    </row>
    <row r="61" spans="1:11" s="1" customFormat="1" ht="15" customHeight="1">
      <c r="A61" s="3">
        <v>58</v>
      </c>
      <c r="B61" s="9" t="str">
        <f>"张露瑶"</f>
        <v>张露瑶</v>
      </c>
      <c r="C61" s="9" t="str">
        <f t="shared" si="3"/>
        <v>1623010120203</v>
      </c>
      <c r="D61" s="9" t="s">
        <v>14</v>
      </c>
      <c r="E61" s="9" t="str">
        <f>"16230042811"</f>
        <v>16230042811</v>
      </c>
      <c r="F61" s="7">
        <v>81.6</v>
      </c>
      <c r="G61" s="7">
        <v>85.25</v>
      </c>
      <c r="H61" s="7">
        <v>83.79</v>
      </c>
      <c r="I61" s="10"/>
      <c r="J61" s="7">
        <f t="shared" si="1"/>
        <v>83.79</v>
      </c>
      <c r="K61" s="11"/>
    </row>
    <row r="62" spans="1:11" s="1" customFormat="1" ht="15" customHeight="1">
      <c r="A62" s="3">
        <v>59</v>
      </c>
      <c r="B62" s="9" t="str">
        <f>"刘阳"</f>
        <v>刘阳</v>
      </c>
      <c r="C62" s="9" t="str">
        <f t="shared" si="3"/>
        <v>1623010120203</v>
      </c>
      <c r="D62" s="9" t="s">
        <v>14</v>
      </c>
      <c r="E62" s="9" t="str">
        <f>"16230042907"</f>
        <v>16230042907</v>
      </c>
      <c r="F62" s="7">
        <v>91.82</v>
      </c>
      <c r="G62" s="7">
        <v>76.1</v>
      </c>
      <c r="H62" s="7">
        <v>82.39</v>
      </c>
      <c r="I62" s="10"/>
      <c r="J62" s="7">
        <f t="shared" si="1"/>
        <v>82.39</v>
      </c>
      <c r="K62" s="11"/>
    </row>
    <row r="63" spans="1:11" s="1" customFormat="1" ht="15" customHeight="1">
      <c r="A63" s="3">
        <v>60</v>
      </c>
      <c r="B63" s="9" t="str">
        <f>"孙竞博"</f>
        <v>孙竞博</v>
      </c>
      <c r="C63" s="9" t="str">
        <f t="shared" si="3"/>
        <v>1623010120203</v>
      </c>
      <c r="D63" s="9" t="s">
        <v>14</v>
      </c>
      <c r="E63" s="9" t="str">
        <f>"16230042909"</f>
        <v>16230042909</v>
      </c>
      <c r="F63" s="7">
        <v>77.46</v>
      </c>
      <c r="G63" s="7">
        <v>84.95</v>
      </c>
      <c r="H63" s="7">
        <v>81.95</v>
      </c>
      <c r="I63" s="10"/>
      <c r="J63" s="7">
        <f t="shared" si="1"/>
        <v>81.95</v>
      </c>
      <c r="K63" s="11"/>
    </row>
    <row r="64" spans="1:11" s="1" customFormat="1" ht="15" customHeight="1">
      <c r="A64" s="3">
        <v>61</v>
      </c>
      <c r="B64" s="9" t="str">
        <f>"马玉婷"</f>
        <v>马玉婷</v>
      </c>
      <c r="C64" s="9" t="str">
        <f t="shared" si="3"/>
        <v>1623010120203</v>
      </c>
      <c r="D64" s="9" t="s">
        <v>14</v>
      </c>
      <c r="E64" s="9" t="str">
        <f>"16230042912"</f>
        <v>16230042912</v>
      </c>
      <c r="F64" s="7">
        <v>89.64</v>
      </c>
      <c r="G64" s="7">
        <v>76.8</v>
      </c>
      <c r="H64" s="7">
        <v>81.94</v>
      </c>
      <c r="I64" s="10"/>
      <c r="J64" s="7">
        <f t="shared" si="1"/>
        <v>81.94</v>
      </c>
      <c r="K64" s="11"/>
    </row>
    <row r="65" spans="1:11" s="1" customFormat="1" ht="15" customHeight="1">
      <c r="A65" s="3">
        <v>62</v>
      </c>
      <c r="B65" s="9" t="str">
        <f>"武雪"</f>
        <v>武雪</v>
      </c>
      <c r="C65" s="9" t="str">
        <f t="shared" si="3"/>
        <v>1623010120203</v>
      </c>
      <c r="D65" s="9" t="s">
        <v>14</v>
      </c>
      <c r="E65" s="9" t="str">
        <f>"16230042803"</f>
        <v>16230042803</v>
      </c>
      <c r="F65" s="7">
        <v>94.64</v>
      </c>
      <c r="G65" s="7">
        <v>72.55</v>
      </c>
      <c r="H65" s="7">
        <v>81.39</v>
      </c>
      <c r="I65" s="10"/>
      <c r="J65" s="7">
        <f t="shared" si="1"/>
        <v>81.39</v>
      </c>
      <c r="K65" s="11"/>
    </row>
    <row r="66" spans="1:11" s="1" customFormat="1" ht="15" customHeight="1">
      <c r="A66" s="3">
        <v>63</v>
      </c>
      <c r="B66" s="9" t="str">
        <f>"杨晨"</f>
        <v>杨晨</v>
      </c>
      <c r="C66" s="9" t="str">
        <f t="shared" si="3"/>
        <v>1623010120203</v>
      </c>
      <c r="D66" s="9" t="s">
        <v>14</v>
      </c>
      <c r="E66" s="9" t="str">
        <f>"16230042824"</f>
        <v>16230042824</v>
      </c>
      <c r="F66" s="7">
        <v>89.5</v>
      </c>
      <c r="G66" s="7">
        <v>75.25</v>
      </c>
      <c r="H66" s="7">
        <v>80.95</v>
      </c>
      <c r="I66" s="10"/>
      <c r="J66" s="7">
        <f t="shared" si="1"/>
        <v>80.95</v>
      </c>
      <c r="K66" s="11"/>
    </row>
    <row r="67" spans="1:11" s="1" customFormat="1" ht="15" customHeight="1">
      <c r="A67" s="3">
        <v>64</v>
      </c>
      <c r="B67" s="9" t="str">
        <f>"王宇豪"</f>
        <v>王宇豪</v>
      </c>
      <c r="C67" s="9" t="str">
        <f t="shared" si="3"/>
        <v>1623010120203</v>
      </c>
      <c r="D67" s="9" t="s">
        <v>14</v>
      </c>
      <c r="E67" s="9" t="str">
        <f>"16230042823"</f>
        <v>16230042823</v>
      </c>
      <c r="F67" s="7">
        <v>94.46</v>
      </c>
      <c r="G67" s="7">
        <v>71.55</v>
      </c>
      <c r="H67" s="7">
        <v>80.71</v>
      </c>
      <c r="I67" s="10"/>
      <c r="J67" s="7">
        <f t="shared" si="1"/>
        <v>80.71</v>
      </c>
      <c r="K67" s="11"/>
    </row>
    <row r="68" spans="1:11" s="1" customFormat="1" ht="15" customHeight="1">
      <c r="A68" s="3">
        <v>65</v>
      </c>
      <c r="B68" s="9" t="str">
        <f>"刘梦琦"</f>
        <v>刘梦琦</v>
      </c>
      <c r="C68" s="9" t="str">
        <f t="shared" si="3"/>
        <v>1623010120203</v>
      </c>
      <c r="D68" s="9" t="s">
        <v>14</v>
      </c>
      <c r="E68" s="9" t="str">
        <f>"16230042801"</f>
        <v>16230042801</v>
      </c>
      <c r="F68" s="7">
        <v>74.68</v>
      </c>
      <c r="G68" s="7">
        <v>82.75</v>
      </c>
      <c r="H68" s="7">
        <v>79.52</v>
      </c>
      <c r="I68" s="10"/>
      <c r="J68" s="7">
        <f aca="true" t="shared" si="4" ref="J68:J131">H68+I68</f>
        <v>79.52</v>
      </c>
      <c r="K68" s="11"/>
    </row>
    <row r="69" spans="1:11" s="1" customFormat="1" ht="15" customHeight="1">
      <c r="A69" s="3">
        <v>66</v>
      </c>
      <c r="B69" s="9" t="str">
        <f>"孙媛"</f>
        <v>孙媛</v>
      </c>
      <c r="C69" s="9" t="str">
        <f t="shared" si="3"/>
        <v>1623010120203</v>
      </c>
      <c r="D69" s="9" t="s">
        <v>14</v>
      </c>
      <c r="E69" s="9" t="str">
        <f>"16230042814"</f>
        <v>16230042814</v>
      </c>
      <c r="F69" s="7">
        <v>81.7</v>
      </c>
      <c r="G69" s="7">
        <v>77.95</v>
      </c>
      <c r="H69" s="7">
        <v>79.45</v>
      </c>
      <c r="I69" s="10"/>
      <c r="J69" s="7">
        <f t="shared" si="4"/>
        <v>79.45</v>
      </c>
      <c r="K69" s="11"/>
    </row>
    <row r="70" spans="1:11" s="1" customFormat="1" ht="15" customHeight="1">
      <c r="A70" s="3">
        <v>67</v>
      </c>
      <c r="B70" s="9" t="str">
        <f>"刘柱"</f>
        <v>刘柱</v>
      </c>
      <c r="C70" s="9" t="str">
        <f t="shared" si="3"/>
        <v>1623010120203</v>
      </c>
      <c r="D70" s="9" t="s">
        <v>14</v>
      </c>
      <c r="E70" s="9" t="str">
        <f>"16230042827"</f>
        <v>16230042827</v>
      </c>
      <c r="F70" s="7">
        <v>83.32</v>
      </c>
      <c r="G70" s="7">
        <v>75.45</v>
      </c>
      <c r="H70" s="7">
        <v>78.6</v>
      </c>
      <c r="I70" s="10"/>
      <c r="J70" s="7">
        <f t="shared" si="4"/>
        <v>78.6</v>
      </c>
      <c r="K70" s="11" t="s">
        <v>84</v>
      </c>
    </row>
    <row r="71" spans="1:11" s="1" customFormat="1" ht="15" customHeight="1">
      <c r="A71" s="3">
        <v>68</v>
      </c>
      <c r="B71" s="9" t="str">
        <f>"朱德南"</f>
        <v>朱德南</v>
      </c>
      <c r="C71" s="9" t="str">
        <f t="shared" si="3"/>
        <v>1623010120203</v>
      </c>
      <c r="D71" s="9" t="s">
        <v>14</v>
      </c>
      <c r="E71" s="9" t="str">
        <f>"16230042910"</f>
        <v>16230042910</v>
      </c>
      <c r="F71" s="7">
        <v>81.44</v>
      </c>
      <c r="G71" s="7">
        <v>76.3</v>
      </c>
      <c r="H71" s="7">
        <v>78.36</v>
      </c>
      <c r="I71" s="10"/>
      <c r="J71" s="7">
        <f t="shared" si="4"/>
        <v>78.36</v>
      </c>
      <c r="K71" s="11" t="s">
        <v>84</v>
      </c>
    </row>
    <row r="72" spans="1:11" s="1" customFormat="1" ht="15" customHeight="1">
      <c r="A72" s="3">
        <v>69</v>
      </c>
      <c r="B72" s="9" t="str">
        <f>"陈龙辉"</f>
        <v>陈龙辉</v>
      </c>
      <c r="C72" s="9" t="str">
        <f aca="true" t="shared" si="5" ref="C72:C95">"1623010120204"</f>
        <v>1623010120204</v>
      </c>
      <c r="D72" s="9" t="s">
        <v>15</v>
      </c>
      <c r="E72" s="9" t="str">
        <f>"16230042919"</f>
        <v>16230042919</v>
      </c>
      <c r="F72" s="7">
        <v>91.84</v>
      </c>
      <c r="G72" s="7">
        <v>94.05</v>
      </c>
      <c r="H72" s="7">
        <v>93.17</v>
      </c>
      <c r="I72" s="10"/>
      <c r="J72" s="7">
        <f t="shared" si="4"/>
        <v>93.17</v>
      </c>
      <c r="K72" s="11"/>
    </row>
    <row r="73" spans="1:11" s="1" customFormat="1" ht="15" customHeight="1">
      <c r="A73" s="3">
        <v>70</v>
      </c>
      <c r="B73" s="9" t="str">
        <f>"裴思健"</f>
        <v>裴思健</v>
      </c>
      <c r="C73" s="9" t="str">
        <f t="shared" si="5"/>
        <v>1623010120204</v>
      </c>
      <c r="D73" s="9" t="s">
        <v>15</v>
      </c>
      <c r="E73" s="9" t="str">
        <f>"16230043126"</f>
        <v>16230043126</v>
      </c>
      <c r="F73" s="7">
        <v>86.5</v>
      </c>
      <c r="G73" s="7">
        <v>95.5</v>
      </c>
      <c r="H73" s="7">
        <v>91.9</v>
      </c>
      <c r="I73" s="10"/>
      <c r="J73" s="7">
        <f t="shared" si="4"/>
        <v>91.9</v>
      </c>
      <c r="K73" s="11"/>
    </row>
    <row r="74" spans="1:11" s="1" customFormat="1" ht="15" customHeight="1">
      <c r="A74" s="3">
        <v>71</v>
      </c>
      <c r="B74" s="9" t="str">
        <f>"朱子龙"</f>
        <v>朱子龙</v>
      </c>
      <c r="C74" s="9" t="str">
        <f t="shared" si="5"/>
        <v>1623010120204</v>
      </c>
      <c r="D74" s="9" t="s">
        <v>15</v>
      </c>
      <c r="E74" s="9" t="str">
        <f>"16230042929"</f>
        <v>16230042929</v>
      </c>
      <c r="F74" s="7">
        <v>85.86</v>
      </c>
      <c r="G74" s="7">
        <v>94.8</v>
      </c>
      <c r="H74" s="7">
        <v>91.22</v>
      </c>
      <c r="I74" s="10"/>
      <c r="J74" s="7">
        <f t="shared" si="4"/>
        <v>91.22</v>
      </c>
      <c r="K74" s="11"/>
    </row>
    <row r="75" spans="1:11" s="1" customFormat="1" ht="15" customHeight="1">
      <c r="A75" s="3">
        <v>72</v>
      </c>
      <c r="B75" s="9" t="str">
        <f>"张保强"</f>
        <v>张保强</v>
      </c>
      <c r="C75" s="9" t="str">
        <f t="shared" si="5"/>
        <v>1623010120204</v>
      </c>
      <c r="D75" s="9" t="s">
        <v>15</v>
      </c>
      <c r="E75" s="9" t="str">
        <f>"16230043102"</f>
        <v>16230043102</v>
      </c>
      <c r="F75" s="7">
        <v>93.72</v>
      </c>
      <c r="G75" s="7">
        <v>85.3</v>
      </c>
      <c r="H75" s="7">
        <v>88.67</v>
      </c>
      <c r="I75" s="12">
        <v>2</v>
      </c>
      <c r="J75" s="7">
        <f t="shared" si="4"/>
        <v>90.67</v>
      </c>
      <c r="K75" s="11"/>
    </row>
    <row r="76" spans="1:11" s="1" customFormat="1" ht="15" customHeight="1">
      <c r="A76" s="3">
        <v>73</v>
      </c>
      <c r="B76" s="9" t="str">
        <f>"黄庆标"</f>
        <v>黄庆标</v>
      </c>
      <c r="C76" s="9" t="str">
        <f t="shared" si="5"/>
        <v>1623010120204</v>
      </c>
      <c r="D76" s="9" t="s">
        <v>15</v>
      </c>
      <c r="E76" s="9" t="str">
        <f>"16230043107"</f>
        <v>16230043107</v>
      </c>
      <c r="F76" s="7">
        <v>96.18</v>
      </c>
      <c r="G76" s="7">
        <v>86.9</v>
      </c>
      <c r="H76" s="7">
        <v>90.61</v>
      </c>
      <c r="I76" s="10"/>
      <c r="J76" s="7">
        <f t="shared" si="4"/>
        <v>90.61</v>
      </c>
      <c r="K76" s="11"/>
    </row>
    <row r="77" spans="1:11" s="1" customFormat="1" ht="15" customHeight="1">
      <c r="A77" s="3">
        <v>74</v>
      </c>
      <c r="B77" s="9" t="str">
        <f>"邓翠翠"</f>
        <v>邓翠翠</v>
      </c>
      <c r="C77" s="9" t="str">
        <f t="shared" si="5"/>
        <v>1623010120204</v>
      </c>
      <c r="D77" s="9" t="s">
        <v>15</v>
      </c>
      <c r="E77" s="9" t="str">
        <f>"16230043119"</f>
        <v>16230043119</v>
      </c>
      <c r="F77" s="7">
        <v>86.96</v>
      </c>
      <c r="G77" s="7">
        <v>91.95</v>
      </c>
      <c r="H77" s="7">
        <v>89.95</v>
      </c>
      <c r="I77" s="10"/>
      <c r="J77" s="7">
        <f t="shared" si="4"/>
        <v>89.95</v>
      </c>
      <c r="K77" s="11"/>
    </row>
    <row r="78" spans="1:11" s="1" customFormat="1" ht="15" customHeight="1">
      <c r="A78" s="3">
        <v>75</v>
      </c>
      <c r="B78" s="9" t="str">
        <f>"凌凤"</f>
        <v>凌凤</v>
      </c>
      <c r="C78" s="9" t="str">
        <f t="shared" si="5"/>
        <v>1623010120204</v>
      </c>
      <c r="D78" s="9" t="s">
        <v>15</v>
      </c>
      <c r="E78" s="9" t="str">
        <f>"16230043115"</f>
        <v>16230043115</v>
      </c>
      <c r="F78" s="7">
        <v>89.9</v>
      </c>
      <c r="G78" s="7">
        <v>89.75</v>
      </c>
      <c r="H78" s="7">
        <v>89.81</v>
      </c>
      <c r="I78" s="10"/>
      <c r="J78" s="7">
        <f t="shared" si="4"/>
        <v>89.81</v>
      </c>
      <c r="K78" s="11"/>
    </row>
    <row r="79" spans="1:11" s="1" customFormat="1" ht="15" customHeight="1">
      <c r="A79" s="3">
        <v>76</v>
      </c>
      <c r="B79" s="9" t="str">
        <f>"宋先林"</f>
        <v>宋先林</v>
      </c>
      <c r="C79" s="9" t="str">
        <f t="shared" si="5"/>
        <v>1623010120204</v>
      </c>
      <c r="D79" s="9" t="s">
        <v>15</v>
      </c>
      <c r="E79" s="9" t="str">
        <f>"16230043111"</f>
        <v>16230043111</v>
      </c>
      <c r="F79" s="7">
        <v>88.92</v>
      </c>
      <c r="G79" s="7">
        <v>89.8</v>
      </c>
      <c r="H79" s="7">
        <v>89.45</v>
      </c>
      <c r="I79" s="10"/>
      <c r="J79" s="7">
        <f t="shared" si="4"/>
        <v>89.45</v>
      </c>
      <c r="K79" s="11"/>
    </row>
    <row r="80" spans="1:11" s="1" customFormat="1" ht="15" customHeight="1">
      <c r="A80" s="3">
        <v>77</v>
      </c>
      <c r="B80" s="9" t="str">
        <f>"刘存贺"</f>
        <v>刘存贺</v>
      </c>
      <c r="C80" s="9" t="str">
        <f t="shared" si="5"/>
        <v>1623010120204</v>
      </c>
      <c r="D80" s="9" t="s">
        <v>15</v>
      </c>
      <c r="E80" s="9" t="str">
        <f>"16230043202"</f>
        <v>16230043202</v>
      </c>
      <c r="F80" s="7">
        <v>94.96</v>
      </c>
      <c r="G80" s="7">
        <v>85.4</v>
      </c>
      <c r="H80" s="7">
        <v>89.22</v>
      </c>
      <c r="I80" s="10"/>
      <c r="J80" s="7">
        <f t="shared" si="4"/>
        <v>89.22</v>
      </c>
      <c r="K80" s="11"/>
    </row>
    <row r="81" spans="1:11" s="1" customFormat="1" ht="15" customHeight="1">
      <c r="A81" s="3">
        <v>78</v>
      </c>
      <c r="B81" s="9" t="str">
        <f>"王晓筱"</f>
        <v>王晓筱</v>
      </c>
      <c r="C81" s="9" t="str">
        <f t="shared" si="5"/>
        <v>1623010120204</v>
      </c>
      <c r="D81" s="9" t="s">
        <v>15</v>
      </c>
      <c r="E81" s="9" t="str">
        <f>"16230043104"</f>
        <v>16230043104</v>
      </c>
      <c r="F81" s="7">
        <v>85.18</v>
      </c>
      <c r="G81" s="7">
        <v>90.2</v>
      </c>
      <c r="H81" s="7">
        <v>88.19</v>
      </c>
      <c r="I81" s="10"/>
      <c r="J81" s="7">
        <f t="shared" si="4"/>
        <v>88.19</v>
      </c>
      <c r="K81" s="11"/>
    </row>
    <row r="82" spans="1:11" s="1" customFormat="1" ht="15" customHeight="1">
      <c r="A82" s="3">
        <v>79</v>
      </c>
      <c r="B82" s="9" t="str">
        <f>"孙玉丽"</f>
        <v>孙玉丽</v>
      </c>
      <c r="C82" s="9" t="str">
        <f t="shared" si="5"/>
        <v>1623010120204</v>
      </c>
      <c r="D82" s="9" t="s">
        <v>15</v>
      </c>
      <c r="E82" s="9" t="str">
        <f>"16230043124"</f>
        <v>16230043124</v>
      </c>
      <c r="F82" s="7">
        <v>85.16</v>
      </c>
      <c r="G82" s="7">
        <v>90.15</v>
      </c>
      <c r="H82" s="7">
        <v>88.15</v>
      </c>
      <c r="I82" s="10"/>
      <c r="J82" s="7">
        <f t="shared" si="4"/>
        <v>88.15</v>
      </c>
      <c r="K82" s="11"/>
    </row>
    <row r="83" spans="1:11" s="1" customFormat="1" ht="15" customHeight="1">
      <c r="A83" s="3">
        <v>80</v>
      </c>
      <c r="B83" s="9" t="str">
        <f>"张磊"</f>
        <v>张磊</v>
      </c>
      <c r="C83" s="9" t="str">
        <f t="shared" si="5"/>
        <v>1623010120204</v>
      </c>
      <c r="D83" s="9" t="s">
        <v>15</v>
      </c>
      <c r="E83" s="9" t="str">
        <f>"16230043009"</f>
        <v>16230043009</v>
      </c>
      <c r="F83" s="7">
        <v>91.86</v>
      </c>
      <c r="G83" s="7">
        <v>84.6</v>
      </c>
      <c r="H83" s="7">
        <v>87.5</v>
      </c>
      <c r="I83" s="10"/>
      <c r="J83" s="7">
        <f t="shared" si="4"/>
        <v>87.5</v>
      </c>
      <c r="K83" s="11"/>
    </row>
    <row r="84" spans="1:11" s="1" customFormat="1" ht="15" customHeight="1">
      <c r="A84" s="3">
        <v>81</v>
      </c>
      <c r="B84" s="9" t="str">
        <f>"叶芬"</f>
        <v>叶芬</v>
      </c>
      <c r="C84" s="9" t="str">
        <f t="shared" si="5"/>
        <v>1623010120204</v>
      </c>
      <c r="D84" s="9" t="s">
        <v>15</v>
      </c>
      <c r="E84" s="9" t="str">
        <f>"16230042922"</f>
        <v>16230042922</v>
      </c>
      <c r="F84" s="7">
        <v>86.72</v>
      </c>
      <c r="G84" s="7">
        <v>87.4</v>
      </c>
      <c r="H84" s="7">
        <v>87.13</v>
      </c>
      <c r="I84" s="10"/>
      <c r="J84" s="7">
        <f t="shared" si="4"/>
        <v>87.13</v>
      </c>
      <c r="K84" s="11"/>
    </row>
    <row r="85" spans="1:11" s="1" customFormat="1" ht="15" customHeight="1">
      <c r="A85" s="3">
        <v>82</v>
      </c>
      <c r="B85" s="9" t="str">
        <f>"刘畅"</f>
        <v>刘畅</v>
      </c>
      <c r="C85" s="9" t="str">
        <f t="shared" si="5"/>
        <v>1623010120204</v>
      </c>
      <c r="D85" s="9" t="s">
        <v>15</v>
      </c>
      <c r="E85" s="9" t="str">
        <f>"16230042917"</f>
        <v>16230042917</v>
      </c>
      <c r="F85" s="7">
        <v>92.32</v>
      </c>
      <c r="G85" s="7">
        <v>82.2</v>
      </c>
      <c r="H85" s="7">
        <v>86.25</v>
      </c>
      <c r="I85" s="10"/>
      <c r="J85" s="7">
        <f t="shared" si="4"/>
        <v>86.25</v>
      </c>
      <c r="K85" s="11"/>
    </row>
    <row r="86" spans="1:11" s="1" customFormat="1" ht="15" customHeight="1">
      <c r="A86" s="3">
        <v>83</v>
      </c>
      <c r="B86" s="9" t="str">
        <f>"张文辉"</f>
        <v>张文辉</v>
      </c>
      <c r="C86" s="9" t="str">
        <f t="shared" si="5"/>
        <v>1623010120204</v>
      </c>
      <c r="D86" s="9" t="s">
        <v>15</v>
      </c>
      <c r="E86" s="9" t="str">
        <f>"16230043116"</f>
        <v>16230043116</v>
      </c>
      <c r="F86" s="7">
        <v>84.62</v>
      </c>
      <c r="G86" s="7">
        <v>86.6</v>
      </c>
      <c r="H86" s="7">
        <v>85.81</v>
      </c>
      <c r="I86" s="10"/>
      <c r="J86" s="7">
        <f t="shared" si="4"/>
        <v>85.81</v>
      </c>
      <c r="K86" s="11"/>
    </row>
    <row r="87" spans="1:11" s="1" customFormat="1" ht="15" customHeight="1">
      <c r="A87" s="3">
        <v>84</v>
      </c>
      <c r="B87" s="9" t="str">
        <f>"纪佳美"</f>
        <v>纪佳美</v>
      </c>
      <c r="C87" s="9" t="str">
        <f t="shared" si="5"/>
        <v>1623010120204</v>
      </c>
      <c r="D87" s="9" t="s">
        <v>15</v>
      </c>
      <c r="E87" s="9" t="str">
        <f>"16230043130"</f>
        <v>16230043130</v>
      </c>
      <c r="F87" s="7">
        <v>87.58</v>
      </c>
      <c r="G87" s="7">
        <v>83.85</v>
      </c>
      <c r="H87" s="7">
        <v>85.34</v>
      </c>
      <c r="I87" s="10"/>
      <c r="J87" s="7">
        <f t="shared" si="4"/>
        <v>85.34</v>
      </c>
      <c r="K87" s="11"/>
    </row>
    <row r="88" spans="1:11" s="1" customFormat="1" ht="15" customHeight="1">
      <c r="A88" s="3">
        <v>85</v>
      </c>
      <c r="B88" s="9" t="str">
        <f>"纪艳艳"</f>
        <v>纪艳艳</v>
      </c>
      <c r="C88" s="9" t="str">
        <f t="shared" si="5"/>
        <v>1623010120204</v>
      </c>
      <c r="D88" s="9" t="s">
        <v>15</v>
      </c>
      <c r="E88" s="9" t="str">
        <f>"16230043008"</f>
        <v>16230043008</v>
      </c>
      <c r="F88" s="7">
        <v>79.28</v>
      </c>
      <c r="G88" s="7">
        <v>89.05</v>
      </c>
      <c r="H88" s="7">
        <v>85.14</v>
      </c>
      <c r="I88" s="10"/>
      <c r="J88" s="7">
        <f t="shared" si="4"/>
        <v>85.14</v>
      </c>
      <c r="K88" s="11"/>
    </row>
    <row r="89" spans="1:11" s="1" customFormat="1" ht="15" customHeight="1">
      <c r="A89" s="3">
        <v>86</v>
      </c>
      <c r="B89" s="9" t="str">
        <f>"夏鸣"</f>
        <v>夏鸣</v>
      </c>
      <c r="C89" s="9" t="str">
        <f t="shared" si="5"/>
        <v>1623010120204</v>
      </c>
      <c r="D89" s="9" t="s">
        <v>15</v>
      </c>
      <c r="E89" s="9" t="str">
        <f>"16230042920"</f>
        <v>16230042920</v>
      </c>
      <c r="F89" s="7">
        <v>86.78</v>
      </c>
      <c r="G89" s="7">
        <v>83.6</v>
      </c>
      <c r="H89" s="7">
        <v>84.87</v>
      </c>
      <c r="I89" s="10"/>
      <c r="J89" s="7">
        <f t="shared" si="4"/>
        <v>84.87</v>
      </c>
      <c r="K89" s="11" t="s">
        <v>84</v>
      </c>
    </row>
    <row r="90" spans="1:11" s="1" customFormat="1" ht="15" customHeight="1">
      <c r="A90" s="3">
        <v>87</v>
      </c>
      <c r="B90" s="9" t="str">
        <f>"苏东"</f>
        <v>苏东</v>
      </c>
      <c r="C90" s="9" t="str">
        <f t="shared" si="5"/>
        <v>1623010120204</v>
      </c>
      <c r="D90" s="9" t="s">
        <v>15</v>
      </c>
      <c r="E90" s="9" t="str">
        <f>"16230043011"</f>
        <v>16230043011</v>
      </c>
      <c r="F90" s="7">
        <v>86.86</v>
      </c>
      <c r="G90" s="7">
        <v>83.3</v>
      </c>
      <c r="H90" s="7">
        <v>84.72</v>
      </c>
      <c r="I90" s="10"/>
      <c r="J90" s="7">
        <f t="shared" si="4"/>
        <v>84.72</v>
      </c>
      <c r="K90" s="11" t="s">
        <v>84</v>
      </c>
    </row>
    <row r="91" spans="1:11" s="1" customFormat="1" ht="15" customHeight="1">
      <c r="A91" s="3">
        <v>88</v>
      </c>
      <c r="B91" s="9" t="str">
        <f>"汪萍"</f>
        <v>汪萍</v>
      </c>
      <c r="C91" s="9" t="str">
        <f t="shared" si="5"/>
        <v>1623010120204</v>
      </c>
      <c r="D91" s="9" t="s">
        <v>15</v>
      </c>
      <c r="E91" s="9" t="str">
        <f>"16230043122"</f>
        <v>16230043122</v>
      </c>
      <c r="F91" s="7">
        <v>87.64</v>
      </c>
      <c r="G91" s="7">
        <v>81.9</v>
      </c>
      <c r="H91" s="7">
        <v>84.2</v>
      </c>
      <c r="I91" s="10"/>
      <c r="J91" s="7">
        <f t="shared" si="4"/>
        <v>84.2</v>
      </c>
      <c r="K91" s="11" t="s">
        <v>84</v>
      </c>
    </row>
    <row r="92" spans="1:11" s="1" customFormat="1" ht="15" customHeight="1">
      <c r="A92" s="3">
        <v>89</v>
      </c>
      <c r="B92" s="9" t="str">
        <f>"司强"</f>
        <v>司强</v>
      </c>
      <c r="C92" s="9" t="str">
        <f t="shared" si="5"/>
        <v>1623010120204</v>
      </c>
      <c r="D92" s="9" t="s">
        <v>15</v>
      </c>
      <c r="E92" s="9" t="str">
        <f>"16230043017"</f>
        <v>16230043017</v>
      </c>
      <c r="F92" s="7">
        <v>73.94</v>
      </c>
      <c r="G92" s="7">
        <v>89.35</v>
      </c>
      <c r="H92" s="7">
        <v>83.19</v>
      </c>
      <c r="I92" s="10"/>
      <c r="J92" s="7">
        <f t="shared" si="4"/>
        <v>83.19</v>
      </c>
      <c r="K92" s="11" t="s">
        <v>84</v>
      </c>
    </row>
    <row r="93" spans="1:11" s="1" customFormat="1" ht="15" customHeight="1">
      <c r="A93" s="3">
        <v>90</v>
      </c>
      <c r="B93" s="9" t="str">
        <f>"张松岩"</f>
        <v>张松岩</v>
      </c>
      <c r="C93" s="9" t="str">
        <f t="shared" si="5"/>
        <v>1623010120204</v>
      </c>
      <c r="D93" s="9" t="s">
        <v>15</v>
      </c>
      <c r="E93" s="9" t="str">
        <f>"16230043016"</f>
        <v>16230043016</v>
      </c>
      <c r="F93" s="7">
        <v>84.9</v>
      </c>
      <c r="G93" s="7">
        <v>81.65</v>
      </c>
      <c r="H93" s="7">
        <v>82.95</v>
      </c>
      <c r="I93" s="10"/>
      <c r="J93" s="7">
        <f t="shared" si="4"/>
        <v>82.95</v>
      </c>
      <c r="K93" s="11" t="s">
        <v>84</v>
      </c>
    </row>
    <row r="94" spans="1:11" s="1" customFormat="1" ht="15" customHeight="1">
      <c r="A94" s="3">
        <v>91</v>
      </c>
      <c r="B94" s="9" t="str">
        <f>"武佳琳"</f>
        <v>武佳琳</v>
      </c>
      <c r="C94" s="9" t="str">
        <f t="shared" si="5"/>
        <v>1623010120204</v>
      </c>
      <c r="D94" s="9" t="s">
        <v>15</v>
      </c>
      <c r="E94" s="9" t="str">
        <f>"16230043205"</f>
        <v>16230043205</v>
      </c>
      <c r="F94" s="7">
        <v>91.5</v>
      </c>
      <c r="G94" s="7">
        <v>75.55</v>
      </c>
      <c r="H94" s="7">
        <v>81.93</v>
      </c>
      <c r="I94" s="10"/>
      <c r="J94" s="7">
        <f t="shared" si="4"/>
        <v>81.93</v>
      </c>
      <c r="K94" s="11" t="s">
        <v>84</v>
      </c>
    </row>
    <row r="95" spans="1:11" s="1" customFormat="1" ht="15" customHeight="1">
      <c r="A95" s="3">
        <v>92</v>
      </c>
      <c r="B95" s="9" t="str">
        <f>"毛响龙"</f>
        <v>毛响龙</v>
      </c>
      <c r="C95" s="9" t="str">
        <f t="shared" si="5"/>
        <v>1623010120204</v>
      </c>
      <c r="D95" s="9" t="s">
        <v>15</v>
      </c>
      <c r="E95" s="9" t="str">
        <f>"16230043029"</f>
        <v>16230043029</v>
      </c>
      <c r="F95" s="7">
        <v>85.5</v>
      </c>
      <c r="G95" s="7">
        <v>79.35</v>
      </c>
      <c r="H95" s="7">
        <v>81.81</v>
      </c>
      <c r="I95" s="10"/>
      <c r="J95" s="7">
        <f t="shared" si="4"/>
        <v>81.81</v>
      </c>
      <c r="K95" s="11" t="s">
        <v>84</v>
      </c>
    </row>
    <row r="96" spans="1:11" s="1" customFormat="1" ht="15" customHeight="1">
      <c r="A96" s="3">
        <v>93</v>
      </c>
      <c r="B96" s="9" t="str">
        <f>"李金倩"</f>
        <v>李金倩</v>
      </c>
      <c r="C96" s="9" t="str">
        <f aca="true" t="shared" si="6" ref="C96:C117">"1623010120305"</f>
        <v>1623010120305</v>
      </c>
      <c r="D96" s="9" t="s">
        <v>16</v>
      </c>
      <c r="E96" s="9" t="str">
        <f>"16230041625"</f>
        <v>16230041625</v>
      </c>
      <c r="F96" s="7">
        <v>95.66</v>
      </c>
      <c r="G96" s="7">
        <v>106.66</v>
      </c>
      <c r="H96" s="7">
        <v>102.26</v>
      </c>
      <c r="I96" s="10"/>
      <c r="J96" s="7">
        <f t="shared" si="4"/>
        <v>102.26</v>
      </c>
      <c r="K96" s="11"/>
    </row>
    <row r="97" spans="1:11" s="1" customFormat="1" ht="15" customHeight="1">
      <c r="A97" s="3">
        <v>94</v>
      </c>
      <c r="B97" s="9" t="str">
        <f>"吴静静"</f>
        <v>吴静静</v>
      </c>
      <c r="C97" s="9" t="str">
        <f t="shared" si="6"/>
        <v>1623010120305</v>
      </c>
      <c r="D97" s="9" t="s">
        <v>16</v>
      </c>
      <c r="E97" s="9" t="str">
        <f>"16230041521"</f>
        <v>16230041521</v>
      </c>
      <c r="F97" s="7">
        <v>97.16</v>
      </c>
      <c r="G97" s="7">
        <v>99.6</v>
      </c>
      <c r="H97" s="7">
        <v>98.62</v>
      </c>
      <c r="I97" s="10"/>
      <c r="J97" s="7">
        <f t="shared" si="4"/>
        <v>98.62</v>
      </c>
      <c r="K97" s="11"/>
    </row>
    <row r="98" spans="1:11" s="1" customFormat="1" ht="15" customHeight="1">
      <c r="A98" s="3">
        <v>95</v>
      </c>
      <c r="B98" s="9" t="str">
        <f>"韩梦媛"</f>
        <v>韩梦媛</v>
      </c>
      <c r="C98" s="9" t="str">
        <f t="shared" si="6"/>
        <v>1623010120305</v>
      </c>
      <c r="D98" s="9" t="s">
        <v>16</v>
      </c>
      <c r="E98" s="9" t="str">
        <f>"16230041516"</f>
        <v>16230041516</v>
      </c>
      <c r="F98" s="7">
        <v>95.26</v>
      </c>
      <c r="G98" s="7">
        <v>100.84</v>
      </c>
      <c r="H98" s="7">
        <v>98.61</v>
      </c>
      <c r="I98" s="10"/>
      <c r="J98" s="7">
        <f t="shared" si="4"/>
        <v>98.61</v>
      </c>
      <c r="K98" s="11"/>
    </row>
    <row r="99" spans="1:11" s="1" customFormat="1" ht="15" customHeight="1">
      <c r="A99" s="3">
        <v>96</v>
      </c>
      <c r="B99" s="9" t="str">
        <f>"张瑞启"</f>
        <v>张瑞启</v>
      </c>
      <c r="C99" s="9" t="str">
        <f t="shared" si="6"/>
        <v>1623010120305</v>
      </c>
      <c r="D99" s="9" t="s">
        <v>16</v>
      </c>
      <c r="E99" s="9" t="str">
        <f>"16230041518"</f>
        <v>16230041518</v>
      </c>
      <c r="F99" s="7">
        <v>95.78</v>
      </c>
      <c r="G99" s="7">
        <v>98.32</v>
      </c>
      <c r="H99" s="7">
        <v>97.3</v>
      </c>
      <c r="I99" s="10"/>
      <c r="J99" s="7">
        <f t="shared" si="4"/>
        <v>97.3</v>
      </c>
      <c r="K99" s="11"/>
    </row>
    <row r="100" spans="1:11" s="1" customFormat="1" ht="15" customHeight="1">
      <c r="A100" s="3">
        <v>97</v>
      </c>
      <c r="B100" s="9" t="str">
        <f>"刘欣茹"</f>
        <v>刘欣茹</v>
      </c>
      <c r="C100" s="9" t="str">
        <f t="shared" si="6"/>
        <v>1623010120305</v>
      </c>
      <c r="D100" s="9" t="s">
        <v>16</v>
      </c>
      <c r="E100" s="9" t="str">
        <f>"16230041624"</f>
        <v>16230041624</v>
      </c>
      <c r="F100" s="7">
        <v>92.62</v>
      </c>
      <c r="G100" s="7">
        <v>100.24</v>
      </c>
      <c r="H100" s="7">
        <v>97.19</v>
      </c>
      <c r="I100" s="10"/>
      <c r="J100" s="7">
        <f t="shared" si="4"/>
        <v>97.19</v>
      </c>
      <c r="K100" s="11"/>
    </row>
    <row r="101" spans="1:11" s="1" customFormat="1" ht="15" customHeight="1">
      <c r="A101" s="3">
        <v>98</v>
      </c>
      <c r="B101" s="9" t="str">
        <f>"苏皖"</f>
        <v>苏皖</v>
      </c>
      <c r="C101" s="9" t="str">
        <f t="shared" si="6"/>
        <v>1623010120305</v>
      </c>
      <c r="D101" s="9" t="s">
        <v>16</v>
      </c>
      <c r="E101" s="9" t="str">
        <f>"16230041614"</f>
        <v>16230041614</v>
      </c>
      <c r="F101" s="7">
        <v>90.5</v>
      </c>
      <c r="G101" s="7">
        <v>101.52</v>
      </c>
      <c r="H101" s="7">
        <v>97.11</v>
      </c>
      <c r="I101" s="10"/>
      <c r="J101" s="7">
        <f t="shared" si="4"/>
        <v>97.11</v>
      </c>
      <c r="K101" s="11"/>
    </row>
    <row r="102" spans="1:11" s="1" customFormat="1" ht="15" customHeight="1">
      <c r="A102" s="3">
        <v>99</v>
      </c>
      <c r="B102" s="9" t="str">
        <f>"杨娜娜"</f>
        <v>杨娜娜</v>
      </c>
      <c r="C102" s="9" t="str">
        <f t="shared" si="6"/>
        <v>1623010120305</v>
      </c>
      <c r="D102" s="9" t="s">
        <v>16</v>
      </c>
      <c r="E102" s="9" t="str">
        <f>"16230041530"</f>
        <v>16230041530</v>
      </c>
      <c r="F102" s="7">
        <v>91.54</v>
      </c>
      <c r="G102" s="7">
        <v>99.96</v>
      </c>
      <c r="H102" s="7">
        <v>96.59</v>
      </c>
      <c r="I102" s="10"/>
      <c r="J102" s="7">
        <f t="shared" si="4"/>
        <v>96.59</v>
      </c>
      <c r="K102" s="11"/>
    </row>
    <row r="103" spans="1:11" s="1" customFormat="1" ht="15" customHeight="1">
      <c r="A103" s="3">
        <v>100</v>
      </c>
      <c r="B103" s="9" t="str">
        <f>"董青云 "</f>
        <v>董青云 </v>
      </c>
      <c r="C103" s="9" t="str">
        <f t="shared" si="6"/>
        <v>1623010120305</v>
      </c>
      <c r="D103" s="9" t="s">
        <v>16</v>
      </c>
      <c r="E103" s="9" t="str">
        <f>"16230041517"</f>
        <v>16230041517</v>
      </c>
      <c r="F103" s="7">
        <v>96.76</v>
      </c>
      <c r="G103" s="7">
        <v>95.8</v>
      </c>
      <c r="H103" s="7">
        <v>96.18</v>
      </c>
      <c r="I103" s="10"/>
      <c r="J103" s="7">
        <f t="shared" si="4"/>
        <v>96.18</v>
      </c>
      <c r="K103" s="11"/>
    </row>
    <row r="104" spans="1:11" s="1" customFormat="1" ht="15" customHeight="1">
      <c r="A104" s="3">
        <v>101</v>
      </c>
      <c r="B104" s="9" t="str">
        <f>"李亭亭"</f>
        <v>李亭亭</v>
      </c>
      <c r="C104" s="9" t="str">
        <f t="shared" si="6"/>
        <v>1623010120305</v>
      </c>
      <c r="D104" s="9" t="s">
        <v>16</v>
      </c>
      <c r="E104" s="9" t="str">
        <f>"16230041505"</f>
        <v>16230041505</v>
      </c>
      <c r="F104" s="7">
        <v>94.76</v>
      </c>
      <c r="G104" s="7">
        <v>96.38</v>
      </c>
      <c r="H104" s="7">
        <v>95.73</v>
      </c>
      <c r="I104" s="10"/>
      <c r="J104" s="7">
        <f t="shared" si="4"/>
        <v>95.73</v>
      </c>
      <c r="K104" s="11"/>
    </row>
    <row r="105" spans="1:11" s="1" customFormat="1" ht="15" customHeight="1">
      <c r="A105" s="3">
        <v>102</v>
      </c>
      <c r="B105" s="9" t="str">
        <f>"程改改"</f>
        <v>程改改</v>
      </c>
      <c r="C105" s="9" t="str">
        <f t="shared" si="6"/>
        <v>1623010120305</v>
      </c>
      <c r="D105" s="9" t="s">
        <v>16</v>
      </c>
      <c r="E105" s="9" t="str">
        <f>"16230041520"</f>
        <v>16230041520</v>
      </c>
      <c r="F105" s="7">
        <v>91.3</v>
      </c>
      <c r="G105" s="7">
        <v>98.6</v>
      </c>
      <c r="H105" s="7">
        <v>95.68</v>
      </c>
      <c r="I105" s="10"/>
      <c r="J105" s="7">
        <f t="shared" si="4"/>
        <v>95.68</v>
      </c>
      <c r="K105" s="11"/>
    </row>
    <row r="106" spans="1:11" s="1" customFormat="1" ht="15" customHeight="1">
      <c r="A106" s="3">
        <v>103</v>
      </c>
      <c r="B106" s="9" t="str">
        <f>"谢松松"</f>
        <v>谢松松</v>
      </c>
      <c r="C106" s="9" t="str">
        <f t="shared" si="6"/>
        <v>1623010120305</v>
      </c>
      <c r="D106" s="9" t="s">
        <v>16</v>
      </c>
      <c r="E106" s="9" t="str">
        <f>"16230041605"</f>
        <v>16230041605</v>
      </c>
      <c r="F106" s="7">
        <v>92.04</v>
      </c>
      <c r="G106" s="7">
        <v>97.78</v>
      </c>
      <c r="H106" s="7">
        <v>95.48</v>
      </c>
      <c r="I106" s="10"/>
      <c r="J106" s="7">
        <f t="shared" si="4"/>
        <v>95.48</v>
      </c>
      <c r="K106" s="11"/>
    </row>
    <row r="107" spans="1:11" s="1" customFormat="1" ht="15" customHeight="1">
      <c r="A107" s="3">
        <v>104</v>
      </c>
      <c r="B107" s="9" t="str">
        <f>"李珂"</f>
        <v>李珂</v>
      </c>
      <c r="C107" s="9" t="str">
        <f t="shared" si="6"/>
        <v>1623010120305</v>
      </c>
      <c r="D107" s="9" t="s">
        <v>16</v>
      </c>
      <c r="E107" s="9" t="str">
        <f>"16230041622"</f>
        <v>16230041622</v>
      </c>
      <c r="F107" s="7">
        <v>90.02</v>
      </c>
      <c r="G107" s="7">
        <v>99.1</v>
      </c>
      <c r="H107" s="7">
        <v>95.47</v>
      </c>
      <c r="I107" s="10"/>
      <c r="J107" s="7">
        <f t="shared" si="4"/>
        <v>95.47</v>
      </c>
      <c r="K107" s="11"/>
    </row>
    <row r="108" spans="1:11" s="1" customFormat="1" ht="15" customHeight="1">
      <c r="A108" s="3">
        <v>105</v>
      </c>
      <c r="B108" s="9" t="str">
        <f>"吴兰"</f>
        <v>吴兰</v>
      </c>
      <c r="C108" s="9" t="str">
        <f t="shared" si="6"/>
        <v>1623010120305</v>
      </c>
      <c r="D108" s="9" t="s">
        <v>16</v>
      </c>
      <c r="E108" s="9" t="str">
        <f>"16230041602"</f>
        <v>16230041602</v>
      </c>
      <c r="F108" s="7">
        <v>94.66</v>
      </c>
      <c r="G108" s="7">
        <v>94.74</v>
      </c>
      <c r="H108" s="7">
        <v>94.71</v>
      </c>
      <c r="I108" s="10"/>
      <c r="J108" s="7">
        <f t="shared" si="4"/>
        <v>94.71</v>
      </c>
      <c r="K108" s="11"/>
    </row>
    <row r="109" spans="1:11" s="1" customFormat="1" ht="15" customHeight="1">
      <c r="A109" s="3">
        <v>106</v>
      </c>
      <c r="B109" s="9" t="str">
        <f>"唐雯"</f>
        <v>唐雯</v>
      </c>
      <c r="C109" s="9" t="str">
        <f t="shared" si="6"/>
        <v>1623010120305</v>
      </c>
      <c r="D109" s="9" t="s">
        <v>16</v>
      </c>
      <c r="E109" s="9" t="str">
        <f>"16230041608"</f>
        <v>16230041608</v>
      </c>
      <c r="F109" s="7">
        <v>85.22</v>
      </c>
      <c r="G109" s="7">
        <v>100.52</v>
      </c>
      <c r="H109" s="7">
        <v>94.4</v>
      </c>
      <c r="I109" s="10"/>
      <c r="J109" s="7">
        <f t="shared" si="4"/>
        <v>94.4</v>
      </c>
      <c r="K109" s="11"/>
    </row>
    <row r="110" spans="1:11" s="1" customFormat="1" ht="15" customHeight="1">
      <c r="A110" s="3">
        <v>107</v>
      </c>
      <c r="B110" s="9" t="str">
        <f>"李静"</f>
        <v>李静</v>
      </c>
      <c r="C110" s="9" t="str">
        <f t="shared" si="6"/>
        <v>1623010120305</v>
      </c>
      <c r="D110" s="9" t="s">
        <v>16</v>
      </c>
      <c r="E110" s="9" t="str">
        <f>"16230041617"</f>
        <v>16230041617</v>
      </c>
      <c r="F110" s="7">
        <v>84.96</v>
      </c>
      <c r="G110" s="7">
        <v>100.26</v>
      </c>
      <c r="H110" s="7">
        <v>94.14</v>
      </c>
      <c r="I110" s="10"/>
      <c r="J110" s="7">
        <f t="shared" si="4"/>
        <v>94.14</v>
      </c>
      <c r="K110" s="11"/>
    </row>
    <row r="111" spans="1:11" s="1" customFormat="1" ht="15" customHeight="1">
      <c r="A111" s="3">
        <v>108</v>
      </c>
      <c r="B111" s="9" t="str">
        <f>"时忍忍"</f>
        <v>时忍忍</v>
      </c>
      <c r="C111" s="9" t="str">
        <f t="shared" si="6"/>
        <v>1623010120305</v>
      </c>
      <c r="D111" s="9" t="s">
        <v>16</v>
      </c>
      <c r="E111" s="9" t="str">
        <f>"16230041522"</f>
        <v>16230041522</v>
      </c>
      <c r="F111" s="7">
        <v>89.8</v>
      </c>
      <c r="G111" s="7">
        <v>96.12</v>
      </c>
      <c r="H111" s="7">
        <v>93.59</v>
      </c>
      <c r="I111" s="10"/>
      <c r="J111" s="7">
        <f t="shared" si="4"/>
        <v>93.59</v>
      </c>
      <c r="K111" s="11"/>
    </row>
    <row r="112" spans="1:11" s="1" customFormat="1" ht="15" customHeight="1">
      <c r="A112" s="3">
        <v>109</v>
      </c>
      <c r="B112" s="9" t="str">
        <f>"刘美荣"</f>
        <v>刘美荣</v>
      </c>
      <c r="C112" s="9" t="str">
        <f t="shared" si="6"/>
        <v>1623010120305</v>
      </c>
      <c r="D112" s="9" t="s">
        <v>16</v>
      </c>
      <c r="E112" s="9" t="str">
        <f>"16230041626"</f>
        <v>16230041626</v>
      </c>
      <c r="F112" s="7">
        <v>92.44</v>
      </c>
      <c r="G112" s="7">
        <v>94.3</v>
      </c>
      <c r="H112" s="7">
        <v>93.56</v>
      </c>
      <c r="I112" s="10"/>
      <c r="J112" s="7">
        <f t="shared" si="4"/>
        <v>93.56</v>
      </c>
      <c r="K112" s="11"/>
    </row>
    <row r="113" spans="1:11" s="1" customFormat="1" ht="15" customHeight="1">
      <c r="A113" s="3">
        <v>110</v>
      </c>
      <c r="B113" s="9" t="str">
        <f>"牛亚萍"</f>
        <v>牛亚萍</v>
      </c>
      <c r="C113" s="9" t="str">
        <f t="shared" si="6"/>
        <v>1623010120305</v>
      </c>
      <c r="D113" s="9" t="s">
        <v>16</v>
      </c>
      <c r="E113" s="9" t="str">
        <f>"16230041504"</f>
        <v>16230041504</v>
      </c>
      <c r="F113" s="7">
        <v>95.98</v>
      </c>
      <c r="G113" s="7">
        <v>91.9</v>
      </c>
      <c r="H113" s="7">
        <v>93.53</v>
      </c>
      <c r="I113" s="10"/>
      <c r="J113" s="7">
        <f t="shared" si="4"/>
        <v>93.53</v>
      </c>
      <c r="K113" s="11"/>
    </row>
    <row r="114" spans="1:11" s="1" customFormat="1" ht="15" customHeight="1">
      <c r="A114" s="3">
        <v>111</v>
      </c>
      <c r="B114" s="9" t="str">
        <f>"葛丽"</f>
        <v>葛丽</v>
      </c>
      <c r="C114" s="9" t="str">
        <f t="shared" si="6"/>
        <v>1623010120305</v>
      </c>
      <c r="D114" s="9" t="s">
        <v>16</v>
      </c>
      <c r="E114" s="9" t="str">
        <f>"16230041524"</f>
        <v>16230041524</v>
      </c>
      <c r="F114" s="7">
        <v>94.04</v>
      </c>
      <c r="G114" s="7">
        <v>92.66</v>
      </c>
      <c r="H114" s="7">
        <v>93.21</v>
      </c>
      <c r="I114" s="10"/>
      <c r="J114" s="7">
        <f t="shared" si="4"/>
        <v>93.21</v>
      </c>
      <c r="K114" s="11"/>
    </row>
    <row r="115" spans="1:11" s="1" customFormat="1" ht="15" customHeight="1">
      <c r="A115" s="3">
        <v>112</v>
      </c>
      <c r="B115" s="9" t="str">
        <f>"张雅静"</f>
        <v>张雅静</v>
      </c>
      <c r="C115" s="9" t="str">
        <f t="shared" si="6"/>
        <v>1623010120305</v>
      </c>
      <c r="D115" s="9" t="s">
        <v>16</v>
      </c>
      <c r="E115" s="9" t="str">
        <f>"16230041528"</f>
        <v>16230041528</v>
      </c>
      <c r="F115" s="7">
        <v>88.98</v>
      </c>
      <c r="G115" s="7">
        <v>95.88</v>
      </c>
      <c r="H115" s="7">
        <v>93.12</v>
      </c>
      <c r="I115" s="10"/>
      <c r="J115" s="7">
        <f t="shared" si="4"/>
        <v>93.12</v>
      </c>
      <c r="K115" s="11"/>
    </row>
    <row r="116" spans="1:11" s="1" customFormat="1" ht="15" customHeight="1">
      <c r="A116" s="3">
        <v>113</v>
      </c>
      <c r="B116" s="9" t="str">
        <f>"马井璟"</f>
        <v>马井璟</v>
      </c>
      <c r="C116" s="9" t="str">
        <f t="shared" si="6"/>
        <v>1623010120305</v>
      </c>
      <c r="D116" s="9" t="s">
        <v>16</v>
      </c>
      <c r="E116" s="9" t="str">
        <f>"16230041603"</f>
        <v>16230041603</v>
      </c>
      <c r="F116" s="7">
        <v>83.12</v>
      </c>
      <c r="G116" s="7">
        <v>99.3</v>
      </c>
      <c r="H116" s="7">
        <v>92.83</v>
      </c>
      <c r="I116" s="10"/>
      <c r="J116" s="7">
        <f t="shared" si="4"/>
        <v>92.83</v>
      </c>
      <c r="K116" s="11"/>
    </row>
    <row r="117" spans="1:11" s="1" customFormat="1" ht="15" customHeight="1">
      <c r="A117" s="3">
        <v>114</v>
      </c>
      <c r="B117" s="9" t="str">
        <f>"江慧莹"</f>
        <v>江慧莹</v>
      </c>
      <c r="C117" s="9" t="str">
        <f t="shared" si="6"/>
        <v>1623010120305</v>
      </c>
      <c r="D117" s="9" t="s">
        <v>16</v>
      </c>
      <c r="E117" s="9" t="str">
        <f>"16230041519"</f>
        <v>16230041519</v>
      </c>
      <c r="F117" s="7">
        <v>91.52</v>
      </c>
      <c r="G117" s="7">
        <v>93.38</v>
      </c>
      <c r="H117" s="7">
        <v>92.64</v>
      </c>
      <c r="I117" s="10"/>
      <c r="J117" s="7">
        <f t="shared" si="4"/>
        <v>92.64</v>
      </c>
      <c r="K117" s="11" t="s">
        <v>84</v>
      </c>
    </row>
    <row r="118" spans="1:11" s="1" customFormat="1" ht="15" customHeight="1">
      <c r="A118" s="3">
        <v>115</v>
      </c>
      <c r="B118" s="9" t="str">
        <f>"葛玲玲"</f>
        <v>葛玲玲</v>
      </c>
      <c r="C118" s="9" t="str">
        <f aca="true" t="shared" si="7" ref="C118:C137">"1623010120306"</f>
        <v>1623010120306</v>
      </c>
      <c r="D118" s="9" t="s">
        <v>17</v>
      </c>
      <c r="E118" s="9" t="str">
        <f>"16230041929"</f>
        <v>16230041929</v>
      </c>
      <c r="F118" s="7">
        <v>99.6</v>
      </c>
      <c r="G118" s="7">
        <v>99.5</v>
      </c>
      <c r="H118" s="7">
        <v>99.54</v>
      </c>
      <c r="I118" s="12">
        <v>2</v>
      </c>
      <c r="J118" s="7">
        <f t="shared" si="4"/>
        <v>101.54</v>
      </c>
      <c r="K118" s="11"/>
    </row>
    <row r="119" spans="1:11" s="1" customFormat="1" ht="15" customHeight="1">
      <c r="A119" s="3">
        <v>116</v>
      </c>
      <c r="B119" s="9" t="str">
        <f>"王曼丽"</f>
        <v>王曼丽</v>
      </c>
      <c r="C119" s="9" t="str">
        <f t="shared" si="7"/>
        <v>1623010120306</v>
      </c>
      <c r="D119" s="9" t="s">
        <v>17</v>
      </c>
      <c r="E119" s="9" t="str">
        <f>"16230042006"</f>
        <v>16230042006</v>
      </c>
      <c r="F119" s="7">
        <v>89.12</v>
      </c>
      <c r="G119" s="7">
        <v>105.96</v>
      </c>
      <c r="H119" s="7">
        <v>99.22</v>
      </c>
      <c r="I119" s="12">
        <v>2</v>
      </c>
      <c r="J119" s="7">
        <f t="shared" si="4"/>
        <v>101.22</v>
      </c>
      <c r="K119" s="11"/>
    </row>
    <row r="120" spans="1:11" s="1" customFormat="1" ht="15" customHeight="1">
      <c r="A120" s="3">
        <v>117</v>
      </c>
      <c r="B120" s="9" t="s">
        <v>11</v>
      </c>
      <c r="C120" s="9" t="str">
        <f t="shared" si="7"/>
        <v>1623010120306</v>
      </c>
      <c r="D120" s="9" t="s">
        <v>17</v>
      </c>
      <c r="E120" s="9" t="str">
        <f>"16230041903"</f>
        <v>16230041903</v>
      </c>
      <c r="F120" s="7">
        <v>95.16</v>
      </c>
      <c r="G120" s="7">
        <v>104.38</v>
      </c>
      <c r="H120" s="7">
        <v>100.69</v>
      </c>
      <c r="I120" s="10"/>
      <c r="J120" s="7">
        <f t="shared" si="4"/>
        <v>100.69</v>
      </c>
      <c r="K120" s="11"/>
    </row>
    <row r="121" spans="1:11" s="1" customFormat="1" ht="15" customHeight="1">
      <c r="A121" s="3">
        <v>118</v>
      </c>
      <c r="B121" s="9" t="str">
        <f>"谢敏"</f>
        <v>谢敏</v>
      </c>
      <c r="C121" s="9" t="str">
        <f t="shared" si="7"/>
        <v>1623010120306</v>
      </c>
      <c r="D121" s="9" t="s">
        <v>17</v>
      </c>
      <c r="E121" s="9" t="str">
        <f>"16230041829"</f>
        <v>16230041829</v>
      </c>
      <c r="F121" s="7">
        <v>96.5</v>
      </c>
      <c r="G121" s="7">
        <v>103.1</v>
      </c>
      <c r="H121" s="7">
        <v>100.46</v>
      </c>
      <c r="I121" s="10"/>
      <c r="J121" s="7">
        <f t="shared" si="4"/>
        <v>100.46</v>
      </c>
      <c r="K121" s="11"/>
    </row>
    <row r="122" spans="1:11" s="1" customFormat="1" ht="15" customHeight="1">
      <c r="A122" s="3">
        <v>119</v>
      </c>
      <c r="B122" s="9" t="str">
        <f>"杨民杰"</f>
        <v>杨民杰</v>
      </c>
      <c r="C122" s="9" t="str">
        <f t="shared" si="7"/>
        <v>1623010120306</v>
      </c>
      <c r="D122" s="9" t="s">
        <v>17</v>
      </c>
      <c r="E122" s="9" t="str">
        <f>"16230041813"</f>
        <v>16230041813</v>
      </c>
      <c r="F122" s="7">
        <v>93.76</v>
      </c>
      <c r="G122" s="7">
        <v>104.56</v>
      </c>
      <c r="H122" s="7">
        <v>100.24</v>
      </c>
      <c r="I122" s="10"/>
      <c r="J122" s="7">
        <f t="shared" si="4"/>
        <v>100.24</v>
      </c>
      <c r="K122" s="11"/>
    </row>
    <row r="123" spans="1:11" s="1" customFormat="1" ht="15" customHeight="1">
      <c r="A123" s="3">
        <v>120</v>
      </c>
      <c r="B123" s="9" t="str">
        <f>"江慧慧"</f>
        <v>江慧慧</v>
      </c>
      <c r="C123" s="9" t="str">
        <f t="shared" si="7"/>
        <v>1623010120306</v>
      </c>
      <c r="D123" s="9" t="s">
        <v>17</v>
      </c>
      <c r="E123" s="9" t="str">
        <f>"16230041806"</f>
        <v>16230041806</v>
      </c>
      <c r="F123" s="7">
        <v>97.42</v>
      </c>
      <c r="G123" s="7">
        <v>100.92</v>
      </c>
      <c r="H123" s="7">
        <v>99.52</v>
      </c>
      <c r="I123" s="10"/>
      <c r="J123" s="7">
        <f t="shared" si="4"/>
        <v>99.52</v>
      </c>
      <c r="K123" s="11"/>
    </row>
    <row r="124" spans="1:11" s="1" customFormat="1" ht="15" customHeight="1">
      <c r="A124" s="3">
        <v>121</v>
      </c>
      <c r="B124" s="9" t="str">
        <f>"张运运"</f>
        <v>张运运</v>
      </c>
      <c r="C124" s="9" t="str">
        <f t="shared" si="7"/>
        <v>1623010120306</v>
      </c>
      <c r="D124" s="9" t="s">
        <v>17</v>
      </c>
      <c r="E124" s="9" t="str">
        <f>"16230041927"</f>
        <v>16230041927</v>
      </c>
      <c r="F124" s="7">
        <v>94.14</v>
      </c>
      <c r="G124" s="7">
        <v>98.86</v>
      </c>
      <c r="H124" s="7">
        <v>96.97</v>
      </c>
      <c r="I124" s="12">
        <v>2</v>
      </c>
      <c r="J124" s="7">
        <f t="shared" si="4"/>
        <v>98.97</v>
      </c>
      <c r="K124" s="11"/>
    </row>
    <row r="125" spans="1:11" s="1" customFormat="1" ht="15" customHeight="1">
      <c r="A125" s="3">
        <v>122</v>
      </c>
      <c r="B125" s="9" t="str">
        <f>"陈朋"</f>
        <v>陈朋</v>
      </c>
      <c r="C125" s="9" t="str">
        <f t="shared" si="7"/>
        <v>1623010120306</v>
      </c>
      <c r="D125" s="9" t="s">
        <v>17</v>
      </c>
      <c r="E125" s="9" t="str">
        <f>"16230041807"</f>
        <v>16230041807</v>
      </c>
      <c r="F125" s="7">
        <v>96.18</v>
      </c>
      <c r="G125" s="7">
        <v>100.68</v>
      </c>
      <c r="H125" s="7">
        <v>98.88</v>
      </c>
      <c r="I125" s="10"/>
      <c r="J125" s="7">
        <f t="shared" si="4"/>
        <v>98.88</v>
      </c>
      <c r="K125" s="11"/>
    </row>
    <row r="126" spans="1:11" s="1" customFormat="1" ht="15" customHeight="1">
      <c r="A126" s="3">
        <v>123</v>
      </c>
      <c r="B126" s="9" t="str">
        <f>"陈明明"</f>
        <v>陈明明</v>
      </c>
      <c r="C126" s="9" t="str">
        <f t="shared" si="7"/>
        <v>1623010120306</v>
      </c>
      <c r="D126" s="9" t="s">
        <v>17</v>
      </c>
      <c r="E126" s="9" t="str">
        <f>"16230041727"</f>
        <v>16230041727</v>
      </c>
      <c r="F126" s="7">
        <v>91.64</v>
      </c>
      <c r="G126" s="7">
        <v>102.6</v>
      </c>
      <c r="H126" s="7">
        <v>98.22</v>
      </c>
      <c r="I126" s="10"/>
      <c r="J126" s="7">
        <f t="shared" si="4"/>
        <v>98.22</v>
      </c>
      <c r="K126" s="11"/>
    </row>
    <row r="127" spans="1:11" s="1" customFormat="1" ht="15" customHeight="1">
      <c r="A127" s="3">
        <v>124</v>
      </c>
      <c r="B127" s="9" t="str">
        <f>"刘忆"</f>
        <v>刘忆</v>
      </c>
      <c r="C127" s="9" t="str">
        <f t="shared" si="7"/>
        <v>1623010120306</v>
      </c>
      <c r="D127" s="9" t="s">
        <v>17</v>
      </c>
      <c r="E127" s="9" t="str">
        <f>"16230041726"</f>
        <v>16230041726</v>
      </c>
      <c r="F127" s="7">
        <v>92.56</v>
      </c>
      <c r="G127" s="7">
        <v>101.78</v>
      </c>
      <c r="H127" s="7">
        <v>98.09</v>
      </c>
      <c r="I127" s="10"/>
      <c r="J127" s="7">
        <f t="shared" si="4"/>
        <v>98.09</v>
      </c>
      <c r="K127" s="11"/>
    </row>
    <row r="128" spans="1:11" s="1" customFormat="1" ht="15" customHeight="1">
      <c r="A128" s="3">
        <v>125</v>
      </c>
      <c r="B128" s="9" t="str">
        <f>"李雅文"</f>
        <v>李雅文</v>
      </c>
      <c r="C128" s="9" t="str">
        <f t="shared" si="7"/>
        <v>1623010120306</v>
      </c>
      <c r="D128" s="9" t="s">
        <v>17</v>
      </c>
      <c r="E128" s="9" t="str">
        <f>"16230041713"</f>
        <v>16230041713</v>
      </c>
      <c r="F128" s="7">
        <v>97.6</v>
      </c>
      <c r="G128" s="7">
        <v>98.06</v>
      </c>
      <c r="H128" s="7">
        <v>97.88</v>
      </c>
      <c r="I128" s="10"/>
      <c r="J128" s="7">
        <f t="shared" si="4"/>
        <v>97.88</v>
      </c>
      <c r="K128" s="11"/>
    </row>
    <row r="129" spans="1:11" s="1" customFormat="1" ht="15" customHeight="1">
      <c r="A129" s="3">
        <v>126</v>
      </c>
      <c r="B129" s="9" t="str">
        <f>"祝静"</f>
        <v>祝静</v>
      </c>
      <c r="C129" s="9" t="str">
        <f t="shared" si="7"/>
        <v>1623010120306</v>
      </c>
      <c r="D129" s="9" t="s">
        <v>17</v>
      </c>
      <c r="E129" s="9" t="str">
        <f>"16230041909"</f>
        <v>16230041909</v>
      </c>
      <c r="F129" s="7">
        <v>90.2</v>
      </c>
      <c r="G129" s="7">
        <v>102.96</v>
      </c>
      <c r="H129" s="7">
        <v>97.86</v>
      </c>
      <c r="I129" s="10"/>
      <c r="J129" s="7">
        <f t="shared" si="4"/>
        <v>97.86</v>
      </c>
      <c r="K129" s="11"/>
    </row>
    <row r="130" spans="1:11" s="1" customFormat="1" ht="15" customHeight="1">
      <c r="A130" s="3">
        <v>127</v>
      </c>
      <c r="B130" s="9" t="str">
        <f>"张净文"</f>
        <v>张净文</v>
      </c>
      <c r="C130" s="9" t="str">
        <f t="shared" si="7"/>
        <v>1623010120306</v>
      </c>
      <c r="D130" s="9" t="s">
        <v>17</v>
      </c>
      <c r="E130" s="9" t="str">
        <f>"16230041702"</f>
        <v>16230041702</v>
      </c>
      <c r="F130" s="7">
        <v>96.4</v>
      </c>
      <c r="G130" s="7">
        <v>98.72</v>
      </c>
      <c r="H130" s="7">
        <v>97.79</v>
      </c>
      <c r="I130" s="10"/>
      <c r="J130" s="7">
        <f t="shared" si="4"/>
        <v>97.79</v>
      </c>
      <c r="K130" s="11"/>
    </row>
    <row r="131" spans="1:11" s="1" customFormat="1" ht="15" customHeight="1">
      <c r="A131" s="3">
        <v>128</v>
      </c>
      <c r="B131" s="9" t="str">
        <f>"袁绪梅"</f>
        <v>袁绪梅</v>
      </c>
      <c r="C131" s="9" t="str">
        <f t="shared" si="7"/>
        <v>1623010120306</v>
      </c>
      <c r="D131" s="9" t="s">
        <v>17</v>
      </c>
      <c r="E131" s="9" t="str">
        <f>"16230041824"</f>
        <v>16230041824</v>
      </c>
      <c r="F131" s="7">
        <v>88.72</v>
      </c>
      <c r="G131" s="7">
        <v>103.62</v>
      </c>
      <c r="H131" s="7">
        <v>97.66</v>
      </c>
      <c r="I131" s="10"/>
      <c r="J131" s="7">
        <f t="shared" si="4"/>
        <v>97.66</v>
      </c>
      <c r="K131" s="11"/>
    </row>
    <row r="132" spans="1:11" s="1" customFormat="1" ht="15" customHeight="1">
      <c r="A132" s="3">
        <v>129</v>
      </c>
      <c r="B132" s="9" t="str">
        <f>"于洋"</f>
        <v>于洋</v>
      </c>
      <c r="C132" s="9" t="str">
        <f t="shared" si="7"/>
        <v>1623010120306</v>
      </c>
      <c r="D132" s="9" t="s">
        <v>17</v>
      </c>
      <c r="E132" s="9" t="str">
        <f>"16230041928"</f>
        <v>16230041928</v>
      </c>
      <c r="F132" s="7">
        <v>97.98</v>
      </c>
      <c r="G132" s="7">
        <v>97.18</v>
      </c>
      <c r="H132" s="7">
        <v>97.5</v>
      </c>
      <c r="I132" s="10"/>
      <c r="J132" s="7">
        <f aca="true" t="shared" si="8" ref="J132:J195">H132+I132</f>
        <v>97.5</v>
      </c>
      <c r="K132" s="11"/>
    </row>
    <row r="133" spans="1:11" s="1" customFormat="1" ht="15" customHeight="1">
      <c r="A133" s="3">
        <v>130</v>
      </c>
      <c r="B133" s="9" t="str">
        <f>"万萍萍"</f>
        <v>万萍萍</v>
      </c>
      <c r="C133" s="9" t="str">
        <f t="shared" si="7"/>
        <v>1623010120306</v>
      </c>
      <c r="D133" s="9" t="s">
        <v>17</v>
      </c>
      <c r="E133" s="9" t="str">
        <f>"16230042010"</f>
        <v>16230042010</v>
      </c>
      <c r="F133" s="7">
        <v>95.96</v>
      </c>
      <c r="G133" s="7">
        <v>98.06</v>
      </c>
      <c r="H133" s="7">
        <v>97.22</v>
      </c>
      <c r="I133" s="10"/>
      <c r="J133" s="7">
        <f t="shared" si="8"/>
        <v>97.22</v>
      </c>
      <c r="K133" s="11"/>
    </row>
    <row r="134" spans="1:11" s="1" customFormat="1" ht="15" customHeight="1">
      <c r="A134" s="3">
        <v>131</v>
      </c>
      <c r="B134" s="9" t="str">
        <f>"许幸子"</f>
        <v>许幸子</v>
      </c>
      <c r="C134" s="9" t="str">
        <f t="shared" si="7"/>
        <v>1623010120306</v>
      </c>
      <c r="D134" s="9" t="s">
        <v>17</v>
      </c>
      <c r="E134" s="9" t="str">
        <f>"16230042023"</f>
        <v>16230042023</v>
      </c>
      <c r="F134" s="7">
        <v>88.68</v>
      </c>
      <c r="G134" s="7">
        <v>102.62</v>
      </c>
      <c r="H134" s="7">
        <v>97.04</v>
      </c>
      <c r="I134" s="10"/>
      <c r="J134" s="7">
        <f t="shared" si="8"/>
        <v>97.04</v>
      </c>
      <c r="K134" s="11"/>
    </row>
    <row r="135" spans="1:11" s="1" customFormat="1" ht="15" customHeight="1">
      <c r="A135" s="3">
        <v>132</v>
      </c>
      <c r="B135" s="9" t="str">
        <f>"童薇"</f>
        <v>童薇</v>
      </c>
      <c r="C135" s="9" t="str">
        <f t="shared" si="7"/>
        <v>1623010120306</v>
      </c>
      <c r="D135" s="9" t="s">
        <v>17</v>
      </c>
      <c r="E135" s="9" t="str">
        <f>"16230042001"</f>
        <v>16230042001</v>
      </c>
      <c r="F135" s="7">
        <v>92.14</v>
      </c>
      <c r="G135" s="7">
        <v>99.94</v>
      </c>
      <c r="H135" s="7">
        <v>96.82</v>
      </c>
      <c r="I135" s="10"/>
      <c r="J135" s="7">
        <f t="shared" si="8"/>
        <v>96.82</v>
      </c>
      <c r="K135" s="11"/>
    </row>
    <row r="136" spans="1:11" s="1" customFormat="1" ht="15" customHeight="1">
      <c r="A136" s="3">
        <v>133</v>
      </c>
      <c r="B136" s="9" t="str">
        <f>"刘军"</f>
        <v>刘军</v>
      </c>
      <c r="C136" s="9" t="str">
        <f t="shared" si="7"/>
        <v>1623010120306</v>
      </c>
      <c r="D136" s="9" t="s">
        <v>17</v>
      </c>
      <c r="E136" s="9" t="str">
        <f>"16230041704"</f>
        <v>16230041704</v>
      </c>
      <c r="F136" s="7">
        <v>91.04</v>
      </c>
      <c r="G136" s="7">
        <v>100.22</v>
      </c>
      <c r="H136" s="7">
        <v>96.55</v>
      </c>
      <c r="I136" s="10"/>
      <c r="J136" s="7">
        <f t="shared" si="8"/>
        <v>96.55</v>
      </c>
      <c r="K136" s="11"/>
    </row>
    <row r="137" spans="1:11" s="1" customFormat="1" ht="15" customHeight="1">
      <c r="A137" s="3">
        <v>134</v>
      </c>
      <c r="B137" s="9" t="str">
        <f>"吴艺娜"</f>
        <v>吴艺娜</v>
      </c>
      <c r="C137" s="9" t="str">
        <f t="shared" si="7"/>
        <v>1623010120306</v>
      </c>
      <c r="D137" s="9" t="s">
        <v>17</v>
      </c>
      <c r="E137" s="9" t="str">
        <f>"16230041715"</f>
        <v>16230041715</v>
      </c>
      <c r="F137" s="7">
        <v>89.4</v>
      </c>
      <c r="G137" s="7">
        <v>101.2</v>
      </c>
      <c r="H137" s="7">
        <v>96.48</v>
      </c>
      <c r="I137" s="10"/>
      <c r="J137" s="7">
        <f t="shared" si="8"/>
        <v>96.48</v>
      </c>
      <c r="K137" s="11" t="s">
        <v>84</v>
      </c>
    </row>
    <row r="138" spans="1:11" s="1" customFormat="1" ht="15" customHeight="1">
      <c r="A138" s="3">
        <v>135</v>
      </c>
      <c r="B138" s="9" t="str">
        <f>"李好好"</f>
        <v>李好好</v>
      </c>
      <c r="C138" s="9" t="str">
        <f aca="true" t="shared" si="9" ref="C138:C144">"1623010121108"</f>
        <v>1623010121108</v>
      </c>
      <c r="D138" s="9" t="s">
        <v>18</v>
      </c>
      <c r="E138" s="9" t="str">
        <f>"16230042622"</f>
        <v>16230042622</v>
      </c>
      <c r="F138" s="7">
        <v>97.9</v>
      </c>
      <c r="G138" s="7">
        <v>82.4</v>
      </c>
      <c r="H138" s="7">
        <v>88.6</v>
      </c>
      <c r="I138" s="10"/>
      <c r="J138" s="7">
        <f t="shared" si="8"/>
        <v>88.6</v>
      </c>
      <c r="K138" s="11"/>
    </row>
    <row r="139" spans="1:11" s="1" customFormat="1" ht="15" customHeight="1">
      <c r="A139" s="3">
        <v>136</v>
      </c>
      <c r="B139" s="9" t="str">
        <f>"杜尚宇"</f>
        <v>杜尚宇</v>
      </c>
      <c r="C139" s="9" t="str">
        <f t="shared" si="9"/>
        <v>1623010121108</v>
      </c>
      <c r="D139" s="9" t="s">
        <v>18</v>
      </c>
      <c r="E139" s="9" t="str">
        <f>"16230042630"</f>
        <v>16230042630</v>
      </c>
      <c r="F139" s="7">
        <v>78.88</v>
      </c>
      <c r="G139" s="7">
        <v>76.5</v>
      </c>
      <c r="H139" s="7">
        <v>77.45</v>
      </c>
      <c r="I139" s="10"/>
      <c r="J139" s="7">
        <f t="shared" si="8"/>
        <v>77.45</v>
      </c>
      <c r="K139" s="11"/>
    </row>
    <row r="140" spans="1:11" s="1" customFormat="1" ht="15" customHeight="1">
      <c r="A140" s="3">
        <v>137</v>
      </c>
      <c r="B140" s="9" t="str">
        <f>"黄虎"</f>
        <v>黄虎</v>
      </c>
      <c r="C140" s="9" t="str">
        <f t="shared" si="9"/>
        <v>1623010121108</v>
      </c>
      <c r="D140" s="9" t="s">
        <v>18</v>
      </c>
      <c r="E140" s="9" t="str">
        <f>"16230042623"</f>
        <v>16230042623</v>
      </c>
      <c r="F140" s="7">
        <v>78.4</v>
      </c>
      <c r="G140" s="7">
        <v>72.8</v>
      </c>
      <c r="H140" s="7">
        <v>75.04</v>
      </c>
      <c r="I140" s="10"/>
      <c r="J140" s="7">
        <f t="shared" si="8"/>
        <v>75.04</v>
      </c>
      <c r="K140" s="11"/>
    </row>
    <row r="141" spans="1:11" s="1" customFormat="1" ht="15" customHeight="1">
      <c r="A141" s="3">
        <v>138</v>
      </c>
      <c r="B141" s="9" t="str">
        <f>"乔玉春"</f>
        <v>乔玉春</v>
      </c>
      <c r="C141" s="9" t="str">
        <f t="shared" si="9"/>
        <v>1623010121108</v>
      </c>
      <c r="D141" s="9" t="s">
        <v>18</v>
      </c>
      <c r="E141" s="9" t="str">
        <f>"16230042701"</f>
        <v>16230042701</v>
      </c>
      <c r="F141" s="7">
        <v>85.46</v>
      </c>
      <c r="G141" s="7">
        <v>62.1</v>
      </c>
      <c r="H141" s="7">
        <v>71.44</v>
      </c>
      <c r="I141" s="10"/>
      <c r="J141" s="7">
        <f t="shared" si="8"/>
        <v>71.44</v>
      </c>
      <c r="K141" s="11"/>
    </row>
    <row r="142" spans="1:11" s="1" customFormat="1" ht="15" customHeight="1">
      <c r="A142" s="3">
        <v>139</v>
      </c>
      <c r="B142" s="9" t="str">
        <f>"陈亮"</f>
        <v>陈亮</v>
      </c>
      <c r="C142" s="9" t="str">
        <f t="shared" si="9"/>
        <v>1623010121108</v>
      </c>
      <c r="D142" s="9" t="s">
        <v>18</v>
      </c>
      <c r="E142" s="9" t="str">
        <f>"16230042705"</f>
        <v>16230042705</v>
      </c>
      <c r="F142" s="7">
        <v>88.04</v>
      </c>
      <c r="G142" s="7">
        <v>54.9</v>
      </c>
      <c r="H142" s="7">
        <v>68.16</v>
      </c>
      <c r="I142" s="10"/>
      <c r="J142" s="7">
        <f t="shared" si="8"/>
        <v>68.16</v>
      </c>
      <c r="K142" s="11"/>
    </row>
    <row r="143" spans="1:11" s="1" customFormat="1" ht="15" customHeight="1">
      <c r="A143" s="3">
        <v>140</v>
      </c>
      <c r="B143" s="9" t="str">
        <f>"高东魁"</f>
        <v>高东魁</v>
      </c>
      <c r="C143" s="9" t="str">
        <f t="shared" si="9"/>
        <v>1623010121108</v>
      </c>
      <c r="D143" s="9" t="s">
        <v>18</v>
      </c>
      <c r="E143" s="9" t="str">
        <f>"16230042628"</f>
        <v>16230042628</v>
      </c>
      <c r="F143" s="7">
        <v>81.5</v>
      </c>
      <c r="G143" s="7">
        <v>58.6</v>
      </c>
      <c r="H143" s="7">
        <v>67.76</v>
      </c>
      <c r="I143" s="10"/>
      <c r="J143" s="7">
        <f t="shared" si="8"/>
        <v>67.76</v>
      </c>
      <c r="K143" s="11"/>
    </row>
    <row r="144" spans="1:11" s="1" customFormat="1" ht="15" customHeight="1">
      <c r="A144" s="3">
        <v>141</v>
      </c>
      <c r="B144" s="9" t="str">
        <f>"李多多"</f>
        <v>李多多</v>
      </c>
      <c r="C144" s="9" t="str">
        <f t="shared" si="9"/>
        <v>1623010121108</v>
      </c>
      <c r="D144" s="9" t="s">
        <v>18</v>
      </c>
      <c r="E144" s="9" t="str">
        <f>"16230042706"</f>
        <v>16230042706</v>
      </c>
      <c r="F144" s="7">
        <v>79.08</v>
      </c>
      <c r="G144" s="7">
        <v>51.9</v>
      </c>
      <c r="H144" s="7">
        <v>62.77</v>
      </c>
      <c r="I144" s="10"/>
      <c r="J144" s="7">
        <f t="shared" si="8"/>
        <v>62.77</v>
      </c>
      <c r="K144" s="11"/>
    </row>
    <row r="145" spans="1:11" s="1" customFormat="1" ht="15" customHeight="1">
      <c r="A145" s="3">
        <v>142</v>
      </c>
      <c r="B145" s="9" t="str">
        <f>"李键"</f>
        <v>李键</v>
      </c>
      <c r="C145" s="9" t="str">
        <f aca="true" t="shared" si="10" ref="C145:C156">"1623010121209"</f>
        <v>1623010121209</v>
      </c>
      <c r="D145" s="9" t="s">
        <v>19</v>
      </c>
      <c r="E145" s="9" t="str">
        <f>"16230043704"</f>
        <v>16230043704</v>
      </c>
      <c r="F145" s="7">
        <v>87.38</v>
      </c>
      <c r="G145" s="7">
        <v>95.4</v>
      </c>
      <c r="H145" s="7">
        <v>92.19</v>
      </c>
      <c r="I145" s="10"/>
      <c r="J145" s="7">
        <f t="shared" si="8"/>
        <v>92.19</v>
      </c>
      <c r="K145" s="11"/>
    </row>
    <row r="146" spans="1:11" s="1" customFormat="1" ht="15" customHeight="1">
      <c r="A146" s="3">
        <v>143</v>
      </c>
      <c r="B146" s="9" t="str">
        <f>"侯方燕"</f>
        <v>侯方燕</v>
      </c>
      <c r="C146" s="9" t="str">
        <f t="shared" si="10"/>
        <v>1623010121209</v>
      </c>
      <c r="D146" s="9" t="s">
        <v>19</v>
      </c>
      <c r="E146" s="9" t="str">
        <f>"16230043718"</f>
        <v>16230043718</v>
      </c>
      <c r="F146" s="7">
        <v>86.96</v>
      </c>
      <c r="G146" s="7">
        <v>95.3</v>
      </c>
      <c r="H146" s="7">
        <v>91.96</v>
      </c>
      <c r="I146" s="10"/>
      <c r="J146" s="7">
        <f t="shared" si="8"/>
        <v>91.96</v>
      </c>
      <c r="K146" s="11"/>
    </row>
    <row r="147" spans="1:11" s="1" customFormat="1" ht="15" customHeight="1">
      <c r="A147" s="3">
        <v>144</v>
      </c>
      <c r="B147" s="9" t="str">
        <f>"武子燕"</f>
        <v>武子燕</v>
      </c>
      <c r="C147" s="9" t="str">
        <f t="shared" si="10"/>
        <v>1623010121209</v>
      </c>
      <c r="D147" s="9" t="s">
        <v>19</v>
      </c>
      <c r="E147" s="9" t="str">
        <f>"16230043726"</f>
        <v>16230043726</v>
      </c>
      <c r="F147" s="7">
        <v>88.54</v>
      </c>
      <c r="G147" s="7">
        <v>93</v>
      </c>
      <c r="H147" s="7">
        <v>91.22</v>
      </c>
      <c r="I147" s="10"/>
      <c r="J147" s="7">
        <f t="shared" si="8"/>
        <v>91.22</v>
      </c>
      <c r="K147" s="11"/>
    </row>
    <row r="148" spans="1:11" s="1" customFormat="1" ht="15" customHeight="1">
      <c r="A148" s="3">
        <v>145</v>
      </c>
      <c r="B148" s="9" t="str">
        <f>"刘婷婷"</f>
        <v>刘婷婷</v>
      </c>
      <c r="C148" s="9" t="str">
        <f t="shared" si="10"/>
        <v>1623010121209</v>
      </c>
      <c r="D148" s="9" t="s">
        <v>19</v>
      </c>
      <c r="E148" s="9" t="str">
        <f>"16230043721"</f>
        <v>16230043721</v>
      </c>
      <c r="F148" s="7">
        <v>86.66</v>
      </c>
      <c r="G148" s="7">
        <v>91.8</v>
      </c>
      <c r="H148" s="7">
        <v>89.74</v>
      </c>
      <c r="I148" s="10"/>
      <c r="J148" s="7">
        <f t="shared" si="8"/>
        <v>89.74</v>
      </c>
      <c r="K148" s="11"/>
    </row>
    <row r="149" spans="1:11" s="1" customFormat="1" ht="15" customHeight="1">
      <c r="A149" s="3">
        <v>146</v>
      </c>
      <c r="B149" s="9" t="str">
        <f>"高祥杰"</f>
        <v>高祥杰</v>
      </c>
      <c r="C149" s="9" t="str">
        <f t="shared" si="10"/>
        <v>1623010121209</v>
      </c>
      <c r="D149" s="9" t="s">
        <v>19</v>
      </c>
      <c r="E149" s="9" t="str">
        <f>"16230043713"</f>
        <v>16230043713</v>
      </c>
      <c r="F149" s="7">
        <v>88.4</v>
      </c>
      <c r="G149" s="7">
        <v>90.1</v>
      </c>
      <c r="H149" s="7">
        <v>89.42</v>
      </c>
      <c r="I149" s="10"/>
      <c r="J149" s="7">
        <f t="shared" si="8"/>
        <v>89.42</v>
      </c>
      <c r="K149" s="11"/>
    </row>
    <row r="150" spans="1:11" s="1" customFormat="1" ht="15" customHeight="1">
      <c r="A150" s="3">
        <v>147</v>
      </c>
      <c r="B150" s="9" t="str">
        <f>"周慧"</f>
        <v>周慧</v>
      </c>
      <c r="C150" s="9" t="str">
        <f t="shared" si="10"/>
        <v>1623010121209</v>
      </c>
      <c r="D150" s="9" t="s">
        <v>19</v>
      </c>
      <c r="E150" s="9" t="str">
        <f>"16230043625"</f>
        <v>16230043625</v>
      </c>
      <c r="F150" s="7">
        <v>95.68</v>
      </c>
      <c r="G150" s="7">
        <v>84.2</v>
      </c>
      <c r="H150" s="7">
        <v>88.79</v>
      </c>
      <c r="I150" s="10"/>
      <c r="J150" s="7">
        <f t="shared" si="8"/>
        <v>88.79</v>
      </c>
      <c r="K150" s="11"/>
    </row>
    <row r="151" spans="1:11" s="1" customFormat="1" ht="15" customHeight="1">
      <c r="A151" s="3">
        <v>148</v>
      </c>
      <c r="B151" s="9" t="str">
        <f>"王安蒙"</f>
        <v>王安蒙</v>
      </c>
      <c r="C151" s="9" t="str">
        <f t="shared" si="10"/>
        <v>1623010121209</v>
      </c>
      <c r="D151" s="9" t="s">
        <v>19</v>
      </c>
      <c r="E151" s="9" t="str">
        <f>"16230043709"</f>
        <v>16230043709</v>
      </c>
      <c r="F151" s="7">
        <v>86.68</v>
      </c>
      <c r="G151" s="7">
        <v>86</v>
      </c>
      <c r="H151" s="7">
        <v>86.27</v>
      </c>
      <c r="I151" s="10"/>
      <c r="J151" s="7">
        <f t="shared" si="8"/>
        <v>86.27</v>
      </c>
      <c r="K151" s="11"/>
    </row>
    <row r="152" spans="1:11" s="1" customFormat="1" ht="15" customHeight="1">
      <c r="A152" s="3">
        <v>149</v>
      </c>
      <c r="B152" s="9" t="str">
        <f>"栗迎"</f>
        <v>栗迎</v>
      </c>
      <c r="C152" s="9" t="str">
        <f t="shared" si="10"/>
        <v>1623010121209</v>
      </c>
      <c r="D152" s="9" t="s">
        <v>19</v>
      </c>
      <c r="E152" s="9" t="str">
        <f>"16230043622"</f>
        <v>16230043622</v>
      </c>
      <c r="F152" s="7">
        <v>92.72</v>
      </c>
      <c r="G152" s="7">
        <v>81.2</v>
      </c>
      <c r="H152" s="7">
        <v>85.81</v>
      </c>
      <c r="I152" s="10"/>
      <c r="J152" s="7">
        <f t="shared" si="8"/>
        <v>85.81</v>
      </c>
      <c r="K152" s="11"/>
    </row>
    <row r="153" spans="1:11" s="1" customFormat="1" ht="15" customHeight="1">
      <c r="A153" s="3">
        <v>150</v>
      </c>
      <c r="B153" s="9" t="str">
        <f>"朱广利"</f>
        <v>朱广利</v>
      </c>
      <c r="C153" s="9" t="str">
        <f t="shared" si="10"/>
        <v>1623010121209</v>
      </c>
      <c r="D153" s="9" t="s">
        <v>19</v>
      </c>
      <c r="E153" s="9" t="str">
        <f>"16230043715"</f>
        <v>16230043715</v>
      </c>
      <c r="F153" s="7">
        <v>88.8</v>
      </c>
      <c r="G153" s="7">
        <v>83</v>
      </c>
      <c r="H153" s="7">
        <v>85.32</v>
      </c>
      <c r="I153" s="10"/>
      <c r="J153" s="7">
        <f t="shared" si="8"/>
        <v>85.32</v>
      </c>
      <c r="K153" s="11"/>
    </row>
    <row r="154" spans="1:11" s="1" customFormat="1" ht="15" customHeight="1">
      <c r="A154" s="3">
        <v>151</v>
      </c>
      <c r="B154" s="9" t="str">
        <f>"张宣宣"</f>
        <v>张宣宣</v>
      </c>
      <c r="C154" s="9" t="str">
        <f t="shared" si="10"/>
        <v>1623010121209</v>
      </c>
      <c r="D154" s="9" t="s">
        <v>19</v>
      </c>
      <c r="E154" s="9" t="str">
        <f>"16230043710"</f>
        <v>16230043710</v>
      </c>
      <c r="F154" s="7">
        <v>89.2</v>
      </c>
      <c r="G154" s="7">
        <v>81.7</v>
      </c>
      <c r="H154" s="7">
        <v>84.7</v>
      </c>
      <c r="I154" s="10"/>
      <c r="J154" s="7">
        <f t="shared" si="8"/>
        <v>84.7</v>
      </c>
      <c r="K154" s="11"/>
    </row>
    <row r="155" spans="1:11" s="1" customFormat="1" ht="15" customHeight="1">
      <c r="A155" s="3">
        <v>152</v>
      </c>
      <c r="B155" s="9" t="str">
        <f>"任苏文"</f>
        <v>任苏文</v>
      </c>
      <c r="C155" s="9" t="str">
        <f t="shared" si="10"/>
        <v>1623010121209</v>
      </c>
      <c r="D155" s="9" t="s">
        <v>19</v>
      </c>
      <c r="E155" s="9" t="str">
        <f>"16230043624"</f>
        <v>16230043624</v>
      </c>
      <c r="F155" s="7">
        <v>93.46</v>
      </c>
      <c r="G155" s="7">
        <v>78.8</v>
      </c>
      <c r="H155" s="7">
        <v>84.66</v>
      </c>
      <c r="I155" s="10"/>
      <c r="J155" s="7">
        <f t="shared" si="8"/>
        <v>84.66</v>
      </c>
      <c r="K155" s="11"/>
    </row>
    <row r="156" spans="1:11" s="1" customFormat="1" ht="15" customHeight="1">
      <c r="A156" s="3">
        <v>153</v>
      </c>
      <c r="B156" s="9" t="str">
        <f>"王宇澄"</f>
        <v>王宇澄</v>
      </c>
      <c r="C156" s="9" t="str">
        <f t="shared" si="10"/>
        <v>1623010121209</v>
      </c>
      <c r="D156" s="9" t="s">
        <v>19</v>
      </c>
      <c r="E156" s="9" t="str">
        <f>"16230043707"</f>
        <v>16230043707</v>
      </c>
      <c r="F156" s="7">
        <v>91.04</v>
      </c>
      <c r="G156" s="7">
        <v>80.1</v>
      </c>
      <c r="H156" s="7">
        <v>84.48</v>
      </c>
      <c r="I156" s="10"/>
      <c r="J156" s="7">
        <f t="shared" si="8"/>
        <v>84.48</v>
      </c>
      <c r="K156" s="11"/>
    </row>
    <row r="157" spans="1:11" s="1" customFormat="1" ht="15" customHeight="1">
      <c r="A157" s="3">
        <v>154</v>
      </c>
      <c r="B157" s="9" t="str">
        <f>"汪皖豫"</f>
        <v>汪皖豫</v>
      </c>
      <c r="C157" s="9" t="str">
        <f aca="true" t="shared" si="11" ref="C157:C168">"1623010121210"</f>
        <v>1623010121210</v>
      </c>
      <c r="D157" s="9" t="s">
        <v>20</v>
      </c>
      <c r="E157" s="9" t="str">
        <f>"16230043807"</f>
        <v>16230043807</v>
      </c>
      <c r="F157" s="7">
        <v>87.6</v>
      </c>
      <c r="G157" s="7">
        <v>95.6</v>
      </c>
      <c r="H157" s="7">
        <v>92.4</v>
      </c>
      <c r="I157" s="12">
        <v>2</v>
      </c>
      <c r="J157" s="7">
        <f t="shared" si="8"/>
        <v>94.4</v>
      </c>
      <c r="K157" s="11"/>
    </row>
    <row r="158" spans="1:11" s="1" customFormat="1" ht="15" customHeight="1">
      <c r="A158" s="3">
        <v>155</v>
      </c>
      <c r="B158" s="9" t="str">
        <f>"张亚"</f>
        <v>张亚</v>
      </c>
      <c r="C158" s="9" t="str">
        <f t="shared" si="11"/>
        <v>1623010121210</v>
      </c>
      <c r="D158" s="9" t="s">
        <v>20</v>
      </c>
      <c r="E158" s="9" t="str">
        <f>"16230043806"</f>
        <v>16230043806</v>
      </c>
      <c r="F158" s="7">
        <v>90.9</v>
      </c>
      <c r="G158" s="7">
        <v>94.1</v>
      </c>
      <c r="H158" s="7">
        <v>92.82</v>
      </c>
      <c r="I158" s="10"/>
      <c r="J158" s="7">
        <f t="shared" si="8"/>
        <v>92.82</v>
      </c>
      <c r="K158" s="11"/>
    </row>
    <row r="159" spans="1:11" s="1" customFormat="1" ht="15" customHeight="1">
      <c r="A159" s="3">
        <v>156</v>
      </c>
      <c r="B159" s="9" t="str">
        <f>"李佳佳"</f>
        <v>李佳佳</v>
      </c>
      <c r="C159" s="9" t="str">
        <f t="shared" si="11"/>
        <v>1623010121210</v>
      </c>
      <c r="D159" s="9" t="s">
        <v>20</v>
      </c>
      <c r="E159" s="9" t="str">
        <f>"16230043918"</f>
        <v>16230043918</v>
      </c>
      <c r="F159" s="7">
        <v>90.92</v>
      </c>
      <c r="G159" s="7">
        <v>93.4</v>
      </c>
      <c r="H159" s="7">
        <v>92.41</v>
      </c>
      <c r="I159" s="10"/>
      <c r="J159" s="7">
        <f t="shared" si="8"/>
        <v>92.41</v>
      </c>
      <c r="K159" s="11"/>
    </row>
    <row r="160" spans="1:11" s="1" customFormat="1" ht="15" customHeight="1">
      <c r="A160" s="3">
        <v>157</v>
      </c>
      <c r="B160" s="9" t="str">
        <f>"孙小龙"</f>
        <v>孙小龙</v>
      </c>
      <c r="C160" s="9" t="str">
        <f t="shared" si="11"/>
        <v>1623010121210</v>
      </c>
      <c r="D160" s="9" t="s">
        <v>20</v>
      </c>
      <c r="E160" s="9" t="str">
        <f>"16230043826"</f>
        <v>16230043826</v>
      </c>
      <c r="F160" s="7">
        <v>81.62</v>
      </c>
      <c r="G160" s="7">
        <v>99.4</v>
      </c>
      <c r="H160" s="7">
        <v>92.29</v>
      </c>
      <c r="I160" s="10"/>
      <c r="J160" s="7">
        <f t="shared" si="8"/>
        <v>92.29</v>
      </c>
      <c r="K160" s="11"/>
    </row>
    <row r="161" spans="1:11" s="1" customFormat="1" ht="15" customHeight="1">
      <c r="A161" s="3">
        <v>158</v>
      </c>
      <c r="B161" s="9" t="str">
        <f>"张靛"</f>
        <v>张靛</v>
      </c>
      <c r="C161" s="9" t="str">
        <f t="shared" si="11"/>
        <v>1623010121210</v>
      </c>
      <c r="D161" s="9" t="s">
        <v>20</v>
      </c>
      <c r="E161" s="9" t="str">
        <f>"16230044003"</f>
        <v>16230044003</v>
      </c>
      <c r="F161" s="7">
        <v>91.34</v>
      </c>
      <c r="G161" s="7">
        <v>91.2</v>
      </c>
      <c r="H161" s="7">
        <v>91.26</v>
      </c>
      <c r="I161" s="10"/>
      <c r="J161" s="7">
        <f t="shared" si="8"/>
        <v>91.26</v>
      </c>
      <c r="K161" s="11"/>
    </row>
    <row r="162" spans="1:11" s="1" customFormat="1" ht="15" customHeight="1">
      <c r="A162" s="3">
        <v>159</v>
      </c>
      <c r="B162" s="9" t="str">
        <f>"程筱慧"</f>
        <v>程筱慧</v>
      </c>
      <c r="C162" s="9" t="str">
        <f t="shared" si="11"/>
        <v>1623010121210</v>
      </c>
      <c r="D162" s="9" t="s">
        <v>20</v>
      </c>
      <c r="E162" s="9" t="str">
        <f>"16230044001"</f>
        <v>16230044001</v>
      </c>
      <c r="F162" s="7">
        <v>84.94</v>
      </c>
      <c r="G162" s="7">
        <v>95.2</v>
      </c>
      <c r="H162" s="7">
        <v>91.1</v>
      </c>
      <c r="I162" s="10"/>
      <c r="J162" s="7">
        <f t="shared" si="8"/>
        <v>91.1</v>
      </c>
      <c r="K162" s="11"/>
    </row>
    <row r="163" spans="1:11" s="1" customFormat="1" ht="15" customHeight="1">
      <c r="A163" s="3">
        <v>160</v>
      </c>
      <c r="B163" s="9" t="str">
        <f>"吴松"</f>
        <v>吴松</v>
      </c>
      <c r="C163" s="9" t="str">
        <f t="shared" si="11"/>
        <v>1623010121210</v>
      </c>
      <c r="D163" s="9" t="s">
        <v>20</v>
      </c>
      <c r="E163" s="9" t="str">
        <f>"16230043819"</f>
        <v>16230043819</v>
      </c>
      <c r="F163" s="7">
        <v>84.64</v>
      </c>
      <c r="G163" s="7">
        <v>95</v>
      </c>
      <c r="H163" s="7">
        <v>90.86</v>
      </c>
      <c r="I163" s="10"/>
      <c r="J163" s="7">
        <f t="shared" si="8"/>
        <v>90.86</v>
      </c>
      <c r="K163" s="11"/>
    </row>
    <row r="164" spans="1:11" s="1" customFormat="1" ht="15" customHeight="1">
      <c r="A164" s="3">
        <v>161</v>
      </c>
      <c r="B164" s="9" t="str">
        <f>"李中亚"</f>
        <v>李中亚</v>
      </c>
      <c r="C164" s="9" t="str">
        <f t="shared" si="11"/>
        <v>1623010121210</v>
      </c>
      <c r="D164" s="9" t="s">
        <v>20</v>
      </c>
      <c r="E164" s="9" t="str">
        <f>"16230044005"</f>
        <v>16230044005</v>
      </c>
      <c r="F164" s="7">
        <v>89.2</v>
      </c>
      <c r="G164" s="7">
        <v>91.1</v>
      </c>
      <c r="H164" s="7">
        <v>90.34</v>
      </c>
      <c r="I164" s="10"/>
      <c r="J164" s="7">
        <f t="shared" si="8"/>
        <v>90.34</v>
      </c>
      <c r="K164" s="11"/>
    </row>
    <row r="165" spans="1:11" s="1" customFormat="1" ht="15" customHeight="1">
      <c r="A165" s="3">
        <v>162</v>
      </c>
      <c r="B165" s="9" t="str">
        <f>"梁梦梦"</f>
        <v>梁梦梦</v>
      </c>
      <c r="C165" s="9" t="str">
        <f t="shared" si="11"/>
        <v>1623010121210</v>
      </c>
      <c r="D165" s="9" t="s">
        <v>20</v>
      </c>
      <c r="E165" s="9" t="str">
        <f>"16230043821"</f>
        <v>16230043821</v>
      </c>
      <c r="F165" s="7">
        <v>95.16</v>
      </c>
      <c r="G165" s="7">
        <v>87</v>
      </c>
      <c r="H165" s="7">
        <v>90.26</v>
      </c>
      <c r="I165" s="10"/>
      <c r="J165" s="7">
        <f t="shared" si="8"/>
        <v>90.26</v>
      </c>
      <c r="K165" s="11"/>
    </row>
    <row r="166" spans="1:11" s="1" customFormat="1" ht="15" customHeight="1">
      <c r="A166" s="3">
        <v>163</v>
      </c>
      <c r="B166" s="9" t="str">
        <f>"栗茹"</f>
        <v>栗茹</v>
      </c>
      <c r="C166" s="9" t="str">
        <f t="shared" si="11"/>
        <v>1623010121210</v>
      </c>
      <c r="D166" s="9" t="s">
        <v>20</v>
      </c>
      <c r="E166" s="9" t="str">
        <f>"16230043907"</f>
        <v>16230043907</v>
      </c>
      <c r="F166" s="7">
        <v>88.18</v>
      </c>
      <c r="G166" s="7">
        <v>91.6</v>
      </c>
      <c r="H166" s="7">
        <v>90.23</v>
      </c>
      <c r="I166" s="10"/>
      <c r="J166" s="7">
        <f t="shared" si="8"/>
        <v>90.23</v>
      </c>
      <c r="K166" s="11"/>
    </row>
    <row r="167" spans="1:11" s="1" customFormat="1" ht="15" customHeight="1">
      <c r="A167" s="3">
        <v>164</v>
      </c>
      <c r="B167" s="9" t="str">
        <f>"纪宗勤"</f>
        <v>纪宗勤</v>
      </c>
      <c r="C167" s="9" t="str">
        <f t="shared" si="11"/>
        <v>1623010121210</v>
      </c>
      <c r="D167" s="9" t="s">
        <v>20</v>
      </c>
      <c r="E167" s="9" t="str">
        <f>"16230043730"</f>
        <v>16230043730</v>
      </c>
      <c r="F167" s="7">
        <v>94.46</v>
      </c>
      <c r="G167" s="7">
        <v>86.3</v>
      </c>
      <c r="H167" s="7">
        <v>89.56</v>
      </c>
      <c r="I167" s="10"/>
      <c r="J167" s="7">
        <f t="shared" si="8"/>
        <v>89.56</v>
      </c>
      <c r="K167" s="11" t="s">
        <v>84</v>
      </c>
    </row>
    <row r="168" spans="1:11" s="1" customFormat="1" ht="15" customHeight="1">
      <c r="A168" s="3">
        <v>165</v>
      </c>
      <c r="B168" s="9" t="str">
        <f>"任大显"</f>
        <v>任大显</v>
      </c>
      <c r="C168" s="9" t="str">
        <f t="shared" si="11"/>
        <v>1623010121210</v>
      </c>
      <c r="D168" s="9" t="s">
        <v>20</v>
      </c>
      <c r="E168" s="9" t="str">
        <f>"16230043817"</f>
        <v>16230043817</v>
      </c>
      <c r="F168" s="7">
        <v>84.16</v>
      </c>
      <c r="G168" s="7">
        <v>92.3</v>
      </c>
      <c r="H168" s="7">
        <v>89.04</v>
      </c>
      <c r="I168" s="10"/>
      <c r="J168" s="7">
        <f t="shared" si="8"/>
        <v>89.04</v>
      </c>
      <c r="K168" s="11" t="s">
        <v>84</v>
      </c>
    </row>
    <row r="169" spans="1:11" s="1" customFormat="1" ht="15" customHeight="1">
      <c r="A169" s="3">
        <v>166</v>
      </c>
      <c r="B169" s="9" t="str">
        <f>"李笑兰"</f>
        <v>李笑兰</v>
      </c>
      <c r="C169" s="9" t="str">
        <f aca="true" t="shared" si="12" ref="C169:C179">"1623010121611"</f>
        <v>1623010121611</v>
      </c>
      <c r="D169" s="9" t="s">
        <v>21</v>
      </c>
      <c r="E169" s="9" t="str">
        <f>"16230045102"</f>
        <v>16230045102</v>
      </c>
      <c r="F169" s="7">
        <v>98.9</v>
      </c>
      <c r="G169" s="7">
        <v>77</v>
      </c>
      <c r="H169" s="7">
        <v>85.76</v>
      </c>
      <c r="I169" s="10"/>
      <c r="J169" s="7">
        <f t="shared" si="8"/>
        <v>85.76</v>
      </c>
      <c r="K169" s="11"/>
    </row>
    <row r="170" spans="1:11" s="1" customFormat="1" ht="15" customHeight="1">
      <c r="A170" s="3">
        <v>167</v>
      </c>
      <c r="B170" s="9" t="str">
        <f>"李敏"</f>
        <v>李敏</v>
      </c>
      <c r="C170" s="9" t="str">
        <f t="shared" si="12"/>
        <v>1623010121611</v>
      </c>
      <c r="D170" s="9" t="s">
        <v>21</v>
      </c>
      <c r="E170" s="9" t="str">
        <f>"16230045116"</f>
        <v>16230045116</v>
      </c>
      <c r="F170" s="7">
        <v>83.94</v>
      </c>
      <c r="G170" s="7">
        <v>82.8</v>
      </c>
      <c r="H170" s="7">
        <v>83.26</v>
      </c>
      <c r="I170" s="10"/>
      <c r="J170" s="7">
        <f t="shared" si="8"/>
        <v>83.26</v>
      </c>
      <c r="K170" s="11"/>
    </row>
    <row r="171" spans="1:11" s="1" customFormat="1" ht="15" customHeight="1">
      <c r="A171" s="3">
        <v>168</v>
      </c>
      <c r="B171" s="9" t="str">
        <f>"刘惠菊"</f>
        <v>刘惠菊</v>
      </c>
      <c r="C171" s="9" t="str">
        <f t="shared" si="12"/>
        <v>1623010121611</v>
      </c>
      <c r="D171" s="9" t="s">
        <v>21</v>
      </c>
      <c r="E171" s="9" t="str">
        <f>"16230045103"</f>
        <v>16230045103</v>
      </c>
      <c r="F171" s="7">
        <v>85.84</v>
      </c>
      <c r="G171" s="7">
        <v>76.3</v>
      </c>
      <c r="H171" s="7">
        <v>80.12</v>
      </c>
      <c r="I171" s="10"/>
      <c r="J171" s="7">
        <f t="shared" si="8"/>
        <v>80.12</v>
      </c>
      <c r="K171" s="11"/>
    </row>
    <row r="172" spans="1:11" s="1" customFormat="1" ht="15" customHeight="1">
      <c r="A172" s="3">
        <v>169</v>
      </c>
      <c r="B172" s="9" t="str">
        <f>"谭书婷"</f>
        <v>谭书婷</v>
      </c>
      <c r="C172" s="9" t="str">
        <f t="shared" si="12"/>
        <v>1623010121611</v>
      </c>
      <c r="D172" s="9" t="s">
        <v>21</v>
      </c>
      <c r="E172" s="9" t="str">
        <f>"16230045113"</f>
        <v>16230045113</v>
      </c>
      <c r="F172" s="7">
        <v>81.3</v>
      </c>
      <c r="G172" s="7">
        <v>77.6</v>
      </c>
      <c r="H172" s="7">
        <v>79.08</v>
      </c>
      <c r="I172" s="10"/>
      <c r="J172" s="7">
        <f t="shared" si="8"/>
        <v>79.08</v>
      </c>
      <c r="K172" s="11"/>
    </row>
    <row r="173" spans="1:11" s="1" customFormat="1" ht="15" customHeight="1">
      <c r="A173" s="3">
        <v>170</v>
      </c>
      <c r="B173" s="9" t="str">
        <f>"王心语"</f>
        <v>王心语</v>
      </c>
      <c r="C173" s="9" t="str">
        <f t="shared" si="12"/>
        <v>1623010121611</v>
      </c>
      <c r="D173" s="9" t="s">
        <v>21</v>
      </c>
      <c r="E173" s="9" t="str">
        <f>"16230045105"</f>
        <v>16230045105</v>
      </c>
      <c r="F173" s="7">
        <v>90.32</v>
      </c>
      <c r="G173" s="7">
        <v>71.1</v>
      </c>
      <c r="H173" s="7">
        <v>78.79</v>
      </c>
      <c r="I173" s="10"/>
      <c r="J173" s="7">
        <f t="shared" si="8"/>
        <v>78.79</v>
      </c>
      <c r="K173" s="11"/>
    </row>
    <row r="174" spans="1:11" s="1" customFormat="1" ht="15" customHeight="1">
      <c r="A174" s="3">
        <v>171</v>
      </c>
      <c r="B174" s="9" t="str">
        <f>"王雪雪"</f>
        <v>王雪雪</v>
      </c>
      <c r="C174" s="9" t="str">
        <f t="shared" si="12"/>
        <v>1623010121611</v>
      </c>
      <c r="D174" s="9" t="s">
        <v>21</v>
      </c>
      <c r="E174" s="9" t="str">
        <f>"16230045117"</f>
        <v>16230045117</v>
      </c>
      <c r="F174" s="7">
        <v>89.6</v>
      </c>
      <c r="G174" s="7">
        <v>71.4</v>
      </c>
      <c r="H174" s="7">
        <v>78.68</v>
      </c>
      <c r="I174" s="10"/>
      <c r="J174" s="7">
        <f t="shared" si="8"/>
        <v>78.68</v>
      </c>
      <c r="K174" s="11"/>
    </row>
    <row r="175" spans="1:11" s="1" customFormat="1" ht="15" customHeight="1">
      <c r="A175" s="3">
        <v>172</v>
      </c>
      <c r="B175" s="9" t="str">
        <f>"邓慧慧"</f>
        <v>邓慧慧</v>
      </c>
      <c r="C175" s="9" t="str">
        <f t="shared" si="12"/>
        <v>1623010121611</v>
      </c>
      <c r="D175" s="9" t="s">
        <v>21</v>
      </c>
      <c r="E175" s="9" t="str">
        <f>"16230045109"</f>
        <v>16230045109</v>
      </c>
      <c r="F175" s="7">
        <v>78.36</v>
      </c>
      <c r="G175" s="7">
        <v>73</v>
      </c>
      <c r="H175" s="7">
        <v>75.14</v>
      </c>
      <c r="I175" s="10"/>
      <c r="J175" s="7">
        <f t="shared" si="8"/>
        <v>75.14</v>
      </c>
      <c r="K175" s="11"/>
    </row>
    <row r="176" spans="1:11" s="1" customFormat="1" ht="15" customHeight="1">
      <c r="A176" s="3">
        <v>173</v>
      </c>
      <c r="B176" s="9" t="str">
        <f>"李杨蕊"</f>
        <v>李杨蕊</v>
      </c>
      <c r="C176" s="9" t="str">
        <f t="shared" si="12"/>
        <v>1623010121611</v>
      </c>
      <c r="D176" s="9" t="s">
        <v>21</v>
      </c>
      <c r="E176" s="9" t="str">
        <f>"16230045111"</f>
        <v>16230045111</v>
      </c>
      <c r="F176" s="7">
        <v>91.32</v>
      </c>
      <c r="G176" s="7">
        <v>63.2</v>
      </c>
      <c r="H176" s="7">
        <v>74.45</v>
      </c>
      <c r="I176" s="10"/>
      <c r="J176" s="7">
        <f t="shared" si="8"/>
        <v>74.45</v>
      </c>
      <c r="K176" s="11"/>
    </row>
    <row r="177" spans="1:11" s="1" customFormat="1" ht="15" customHeight="1">
      <c r="A177" s="3">
        <v>174</v>
      </c>
      <c r="B177" s="9" t="str">
        <f>"冉雷"</f>
        <v>冉雷</v>
      </c>
      <c r="C177" s="9" t="str">
        <f t="shared" si="12"/>
        <v>1623010121611</v>
      </c>
      <c r="D177" s="9" t="s">
        <v>21</v>
      </c>
      <c r="E177" s="9" t="str">
        <f>"16230045108"</f>
        <v>16230045108</v>
      </c>
      <c r="F177" s="7">
        <v>88.18</v>
      </c>
      <c r="G177" s="7">
        <v>64.9</v>
      </c>
      <c r="H177" s="7">
        <v>74.21</v>
      </c>
      <c r="I177" s="10"/>
      <c r="J177" s="7">
        <f t="shared" si="8"/>
        <v>74.21</v>
      </c>
      <c r="K177" s="11"/>
    </row>
    <row r="178" spans="1:11" s="1" customFormat="1" ht="15" customHeight="1">
      <c r="A178" s="3">
        <v>175</v>
      </c>
      <c r="B178" s="9" t="str">
        <f>"袁鑫"</f>
        <v>袁鑫</v>
      </c>
      <c r="C178" s="9" t="str">
        <f t="shared" si="12"/>
        <v>1623010121611</v>
      </c>
      <c r="D178" s="9" t="s">
        <v>21</v>
      </c>
      <c r="E178" s="9" t="str">
        <f>"16230045107"</f>
        <v>16230045107</v>
      </c>
      <c r="F178" s="7">
        <v>82.82</v>
      </c>
      <c r="G178" s="7">
        <v>66.3</v>
      </c>
      <c r="H178" s="7">
        <v>72.91</v>
      </c>
      <c r="I178" s="10"/>
      <c r="J178" s="7">
        <f t="shared" si="8"/>
        <v>72.91</v>
      </c>
      <c r="K178" s="11"/>
    </row>
    <row r="179" spans="1:11" s="1" customFormat="1" ht="15" customHeight="1">
      <c r="A179" s="3">
        <v>176</v>
      </c>
      <c r="B179" s="9" t="str">
        <f>"李晔"</f>
        <v>李晔</v>
      </c>
      <c r="C179" s="9" t="str">
        <f t="shared" si="12"/>
        <v>1623010121611</v>
      </c>
      <c r="D179" s="9" t="s">
        <v>21</v>
      </c>
      <c r="E179" s="9" t="str">
        <f>"16230045101"</f>
        <v>16230045101</v>
      </c>
      <c r="F179" s="7">
        <v>66.8</v>
      </c>
      <c r="G179" s="7">
        <v>63.3</v>
      </c>
      <c r="H179" s="7">
        <v>64.7</v>
      </c>
      <c r="I179" s="10"/>
      <c r="J179" s="7">
        <f t="shared" si="8"/>
        <v>64.7</v>
      </c>
      <c r="K179" s="11" t="s">
        <v>84</v>
      </c>
    </row>
    <row r="180" spans="1:11" s="1" customFormat="1" ht="15" customHeight="1">
      <c r="A180" s="3">
        <v>177</v>
      </c>
      <c r="B180" s="9" t="str">
        <f>"张晴晴"</f>
        <v>张晴晴</v>
      </c>
      <c r="C180" s="9" t="str">
        <f aca="true" t="shared" si="13" ref="C180:C191">"1623010121612"</f>
        <v>1623010121612</v>
      </c>
      <c r="D180" s="9" t="s">
        <v>22</v>
      </c>
      <c r="E180" s="9" t="str">
        <f>"16230045208"</f>
        <v>16230045208</v>
      </c>
      <c r="F180" s="7">
        <v>90.42</v>
      </c>
      <c r="G180" s="7">
        <v>84.3</v>
      </c>
      <c r="H180" s="7">
        <v>86.75</v>
      </c>
      <c r="I180" s="10"/>
      <c r="J180" s="7">
        <f t="shared" si="8"/>
        <v>86.75</v>
      </c>
      <c r="K180" s="11"/>
    </row>
    <row r="181" spans="1:11" s="1" customFormat="1" ht="15" customHeight="1">
      <c r="A181" s="3">
        <v>178</v>
      </c>
      <c r="B181" s="9" t="str">
        <f>"毛万群"</f>
        <v>毛万群</v>
      </c>
      <c r="C181" s="9" t="str">
        <f t="shared" si="13"/>
        <v>1623010121612</v>
      </c>
      <c r="D181" s="9" t="s">
        <v>22</v>
      </c>
      <c r="E181" s="9" t="str">
        <f>"16230045220"</f>
        <v>16230045220</v>
      </c>
      <c r="F181" s="7">
        <v>82.12</v>
      </c>
      <c r="G181" s="7">
        <v>87.6</v>
      </c>
      <c r="H181" s="7">
        <v>85.41</v>
      </c>
      <c r="I181" s="10"/>
      <c r="J181" s="7">
        <f t="shared" si="8"/>
        <v>85.41</v>
      </c>
      <c r="K181" s="11"/>
    </row>
    <row r="182" spans="1:11" s="1" customFormat="1" ht="15" customHeight="1">
      <c r="A182" s="3">
        <v>179</v>
      </c>
      <c r="B182" s="9" t="str">
        <f>"陈梦雨"</f>
        <v>陈梦雨</v>
      </c>
      <c r="C182" s="9" t="str">
        <f t="shared" si="13"/>
        <v>1623010121612</v>
      </c>
      <c r="D182" s="9" t="s">
        <v>22</v>
      </c>
      <c r="E182" s="9" t="str">
        <f>"16230045129"</f>
        <v>16230045129</v>
      </c>
      <c r="F182" s="7">
        <v>89.5</v>
      </c>
      <c r="G182" s="7">
        <v>82.6</v>
      </c>
      <c r="H182" s="7">
        <v>85.36</v>
      </c>
      <c r="I182" s="10"/>
      <c r="J182" s="7">
        <f t="shared" si="8"/>
        <v>85.36</v>
      </c>
      <c r="K182" s="11"/>
    </row>
    <row r="183" spans="1:11" s="1" customFormat="1" ht="15" customHeight="1">
      <c r="A183" s="3">
        <v>180</v>
      </c>
      <c r="B183" s="9" t="str">
        <f>"葛小劝"</f>
        <v>葛小劝</v>
      </c>
      <c r="C183" s="9" t="str">
        <f t="shared" si="13"/>
        <v>1623010121612</v>
      </c>
      <c r="D183" s="9" t="s">
        <v>22</v>
      </c>
      <c r="E183" s="9" t="str">
        <f>"16230045125"</f>
        <v>16230045125</v>
      </c>
      <c r="F183" s="7">
        <v>94.44</v>
      </c>
      <c r="G183" s="7">
        <v>76.7</v>
      </c>
      <c r="H183" s="7">
        <v>83.8</v>
      </c>
      <c r="I183" s="10"/>
      <c r="J183" s="7">
        <f t="shared" si="8"/>
        <v>83.8</v>
      </c>
      <c r="K183" s="11"/>
    </row>
    <row r="184" spans="1:11" s="1" customFormat="1" ht="15" customHeight="1">
      <c r="A184" s="3">
        <v>181</v>
      </c>
      <c r="B184" s="9" t="str">
        <f>"王玉娇"</f>
        <v>王玉娇</v>
      </c>
      <c r="C184" s="9" t="str">
        <f t="shared" si="13"/>
        <v>1623010121612</v>
      </c>
      <c r="D184" s="9" t="s">
        <v>22</v>
      </c>
      <c r="E184" s="9" t="str">
        <f>"16230045127"</f>
        <v>16230045127</v>
      </c>
      <c r="F184" s="7">
        <v>95.58</v>
      </c>
      <c r="G184" s="7">
        <v>72.5</v>
      </c>
      <c r="H184" s="7">
        <v>81.73</v>
      </c>
      <c r="I184" s="10"/>
      <c r="J184" s="7">
        <f t="shared" si="8"/>
        <v>81.73</v>
      </c>
      <c r="K184" s="11"/>
    </row>
    <row r="185" spans="1:11" s="1" customFormat="1" ht="15" customHeight="1">
      <c r="A185" s="3">
        <v>182</v>
      </c>
      <c r="B185" s="9" t="str">
        <f>"郑焜"</f>
        <v>郑焜</v>
      </c>
      <c r="C185" s="9" t="str">
        <f t="shared" si="13"/>
        <v>1623010121612</v>
      </c>
      <c r="D185" s="9" t="s">
        <v>22</v>
      </c>
      <c r="E185" s="9" t="str">
        <f>"16230045203"</f>
        <v>16230045203</v>
      </c>
      <c r="F185" s="7">
        <v>85.76</v>
      </c>
      <c r="G185" s="7">
        <v>78.5</v>
      </c>
      <c r="H185" s="7">
        <v>81.4</v>
      </c>
      <c r="I185" s="10"/>
      <c r="J185" s="7">
        <f t="shared" si="8"/>
        <v>81.4</v>
      </c>
      <c r="K185" s="11"/>
    </row>
    <row r="186" spans="1:11" s="1" customFormat="1" ht="15" customHeight="1">
      <c r="A186" s="3">
        <v>183</v>
      </c>
      <c r="B186" s="9" t="str">
        <f>"汪大记"</f>
        <v>汪大记</v>
      </c>
      <c r="C186" s="9" t="str">
        <f t="shared" si="13"/>
        <v>1623010121612</v>
      </c>
      <c r="D186" s="9" t="s">
        <v>22</v>
      </c>
      <c r="E186" s="9" t="str">
        <f>"16230045212"</f>
        <v>16230045212</v>
      </c>
      <c r="F186" s="7">
        <v>84.74</v>
      </c>
      <c r="G186" s="7">
        <v>77.4</v>
      </c>
      <c r="H186" s="7">
        <v>80.34</v>
      </c>
      <c r="I186" s="10"/>
      <c r="J186" s="7">
        <f t="shared" si="8"/>
        <v>80.34</v>
      </c>
      <c r="K186" s="11"/>
    </row>
    <row r="187" spans="1:11" s="1" customFormat="1" ht="15" customHeight="1">
      <c r="A187" s="3">
        <v>184</v>
      </c>
      <c r="B187" s="9" t="str">
        <f>"沐涛"</f>
        <v>沐涛</v>
      </c>
      <c r="C187" s="9" t="str">
        <f t="shared" si="13"/>
        <v>1623010121612</v>
      </c>
      <c r="D187" s="9" t="s">
        <v>22</v>
      </c>
      <c r="E187" s="9" t="str">
        <f>"16230045121"</f>
        <v>16230045121</v>
      </c>
      <c r="F187" s="7">
        <v>92.74</v>
      </c>
      <c r="G187" s="7">
        <v>71</v>
      </c>
      <c r="H187" s="7">
        <v>79.7</v>
      </c>
      <c r="I187" s="10"/>
      <c r="J187" s="7">
        <f t="shared" si="8"/>
        <v>79.7</v>
      </c>
      <c r="K187" s="11"/>
    </row>
    <row r="188" spans="1:11" s="1" customFormat="1" ht="15" customHeight="1">
      <c r="A188" s="3">
        <v>185</v>
      </c>
      <c r="B188" s="9" t="str">
        <f>"牛群"</f>
        <v>牛群</v>
      </c>
      <c r="C188" s="9" t="str">
        <f t="shared" si="13"/>
        <v>1623010121612</v>
      </c>
      <c r="D188" s="9" t="s">
        <v>22</v>
      </c>
      <c r="E188" s="9" t="str">
        <f>"16230045122"</f>
        <v>16230045122</v>
      </c>
      <c r="F188" s="7">
        <v>91.42</v>
      </c>
      <c r="G188" s="7">
        <v>71.4</v>
      </c>
      <c r="H188" s="7">
        <v>79.41</v>
      </c>
      <c r="I188" s="10"/>
      <c r="J188" s="7">
        <f t="shared" si="8"/>
        <v>79.41</v>
      </c>
      <c r="K188" s="11"/>
    </row>
    <row r="189" spans="1:11" s="1" customFormat="1" ht="15" customHeight="1">
      <c r="A189" s="3">
        <v>186</v>
      </c>
      <c r="B189" s="9" t="str">
        <f>"丁晓嫚"</f>
        <v>丁晓嫚</v>
      </c>
      <c r="C189" s="9" t="str">
        <f t="shared" si="13"/>
        <v>1623010121612</v>
      </c>
      <c r="D189" s="9" t="s">
        <v>22</v>
      </c>
      <c r="E189" s="9" t="str">
        <f>"16230045202"</f>
        <v>16230045202</v>
      </c>
      <c r="F189" s="7">
        <v>90.42</v>
      </c>
      <c r="G189" s="7">
        <v>69.5</v>
      </c>
      <c r="H189" s="7">
        <v>77.87</v>
      </c>
      <c r="I189" s="10"/>
      <c r="J189" s="7">
        <f t="shared" si="8"/>
        <v>77.87</v>
      </c>
      <c r="K189" s="11"/>
    </row>
    <row r="190" spans="1:11" s="1" customFormat="1" ht="15" customHeight="1">
      <c r="A190" s="3">
        <v>187</v>
      </c>
      <c r="B190" s="9" t="str">
        <f>"王盼盼"</f>
        <v>王盼盼</v>
      </c>
      <c r="C190" s="9" t="str">
        <f t="shared" si="13"/>
        <v>1623010121612</v>
      </c>
      <c r="D190" s="9" t="s">
        <v>22</v>
      </c>
      <c r="E190" s="9" t="str">
        <f>"16230045206"</f>
        <v>16230045206</v>
      </c>
      <c r="F190" s="7">
        <v>94.16</v>
      </c>
      <c r="G190" s="7">
        <v>64.5</v>
      </c>
      <c r="H190" s="7">
        <v>76.36</v>
      </c>
      <c r="I190" s="10"/>
      <c r="J190" s="7">
        <f t="shared" si="8"/>
        <v>76.36</v>
      </c>
      <c r="K190" s="11"/>
    </row>
    <row r="191" spans="1:11" s="1" customFormat="1" ht="15" customHeight="1">
      <c r="A191" s="3">
        <v>188</v>
      </c>
      <c r="B191" s="9" t="str">
        <f>"冯利利"</f>
        <v>冯利利</v>
      </c>
      <c r="C191" s="9" t="str">
        <f t="shared" si="13"/>
        <v>1623010121612</v>
      </c>
      <c r="D191" s="9" t="s">
        <v>22</v>
      </c>
      <c r="E191" s="9" t="str">
        <f>"16230045215"</f>
        <v>16230045215</v>
      </c>
      <c r="F191" s="7">
        <v>83.72</v>
      </c>
      <c r="G191" s="7">
        <v>67.9</v>
      </c>
      <c r="H191" s="7">
        <v>74.23</v>
      </c>
      <c r="I191" s="10"/>
      <c r="J191" s="7">
        <f t="shared" si="8"/>
        <v>74.23</v>
      </c>
      <c r="K191" s="11" t="s">
        <v>84</v>
      </c>
    </row>
    <row r="192" spans="1:11" s="1" customFormat="1" ht="15" customHeight="1">
      <c r="A192" s="3">
        <v>189</v>
      </c>
      <c r="B192" s="9" t="str">
        <f>"邓梦玉"</f>
        <v>邓梦玉</v>
      </c>
      <c r="C192" s="9" t="str">
        <f>"1623010121513"</f>
        <v>1623010121513</v>
      </c>
      <c r="D192" s="9" t="s">
        <v>23</v>
      </c>
      <c r="E192" s="9" t="str">
        <f>"16230041312"</f>
        <v>16230041312</v>
      </c>
      <c r="F192" s="7">
        <v>84.84</v>
      </c>
      <c r="G192" s="7">
        <v>97.7</v>
      </c>
      <c r="H192" s="7">
        <v>92.56</v>
      </c>
      <c r="I192" s="10"/>
      <c r="J192" s="7">
        <f t="shared" si="8"/>
        <v>92.56</v>
      </c>
      <c r="K192" s="11"/>
    </row>
    <row r="193" spans="1:11" s="1" customFormat="1" ht="15" customHeight="1">
      <c r="A193" s="3">
        <v>190</v>
      </c>
      <c r="B193" s="9" t="str">
        <f>"谢静"</f>
        <v>谢静</v>
      </c>
      <c r="C193" s="9" t="str">
        <f>"1623010121513"</f>
        <v>1623010121513</v>
      </c>
      <c r="D193" s="9" t="s">
        <v>23</v>
      </c>
      <c r="E193" s="9" t="str">
        <f>"16230041316"</f>
        <v>16230041316</v>
      </c>
      <c r="F193" s="7">
        <v>84.06</v>
      </c>
      <c r="G193" s="7">
        <v>93.4</v>
      </c>
      <c r="H193" s="7">
        <v>89.66</v>
      </c>
      <c r="I193" s="10"/>
      <c r="J193" s="7">
        <f t="shared" si="8"/>
        <v>89.66</v>
      </c>
      <c r="K193" s="11"/>
    </row>
    <row r="194" spans="1:11" s="1" customFormat="1" ht="15" customHeight="1">
      <c r="A194" s="3">
        <v>191</v>
      </c>
      <c r="B194" s="9" t="str">
        <f>"李娜"</f>
        <v>李娜</v>
      </c>
      <c r="C194" s="9" t="str">
        <f>"1623010121513"</f>
        <v>1623010121513</v>
      </c>
      <c r="D194" s="9" t="s">
        <v>23</v>
      </c>
      <c r="E194" s="9" t="str">
        <f>"16230041320"</f>
        <v>16230041320</v>
      </c>
      <c r="F194" s="7">
        <v>92.42</v>
      </c>
      <c r="G194" s="7">
        <v>87.8</v>
      </c>
      <c r="H194" s="7">
        <v>89.65</v>
      </c>
      <c r="I194" s="10"/>
      <c r="J194" s="7">
        <f t="shared" si="8"/>
        <v>89.65</v>
      </c>
      <c r="K194" s="11"/>
    </row>
    <row r="195" spans="1:11" s="1" customFormat="1" ht="15" customHeight="1">
      <c r="A195" s="3">
        <v>192</v>
      </c>
      <c r="B195" s="9" t="str">
        <f>"范焕焕"</f>
        <v>范焕焕</v>
      </c>
      <c r="C195" s="9" t="str">
        <f>"1623010121513"</f>
        <v>1623010121513</v>
      </c>
      <c r="D195" s="9" t="s">
        <v>23</v>
      </c>
      <c r="E195" s="9" t="str">
        <f>"16230041321"</f>
        <v>16230041321</v>
      </c>
      <c r="F195" s="7">
        <v>80.5</v>
      </c>
      <c r="G195" s="7">
        <v>94.8</v>
      </c>
      <c r="H195" s="7">
        <v>89.08</v>
      </c>
      <c r="I195" s="10"/>
      <c r="J195" s="7">
        <f t="shared" si="8"/>
        <v>89.08</v>
      </c>
      <c r="K195" s="11"/>
    </row>
    <row r="196" spans="1:11" s="1" customFormat="1" ht="15" customHeight="1">
      <c r="A196" s="3">
        <v>193</v>
      </c>
      <c r="B196" s="9" t="str">
        <f>"赵雅雯"</f>
        <v>赵雅雯</v>
      </c>
      <c r="C196" s="9" t="str">
        <f>"1623010121513"</f>
        <v>1623010121513</v>
      </c>
      <c r="D196" s="9" t="s">
        <v>23</v>
      </c>
      <c r="E196" s="9" t="str">
        <f>"16230041311"</f>
        <v>16230041311</v>
      </c>
      <c r="F196" s="7">
        <v>78.64</v>
      </c>
      <c r="G196" s="7">
        <v>91.2</v>
      </c>
      <c r="H196" s="7">
        <v>86.18</v>
      </c>
      <c r="I196" s="10"/>
      <c r="J196" s="7">
        <f aca="true" t="shared" si="14" ref="J196:J259">H196+I196</f>
        <v>86.18</v>
      </c>
      <c r="K196" s="11"/>
    </row>
    <row r="197" spans="1:11" s="1" customFormat="1" ht="15" customHeight="1">
      <c r="A197" s="3">
        <v>194</v>
      </c>
      <c r="B197" s="9" t="str">
        <f>"高周"</f>
        <v>高周</v>
      </c>
      <c r="C197" s="9" t="str">
        <f aca="true" t="shared" si="15" ref="C197:C204">"1623010121514"</f>
        <v>1623010121514</v>
      </c>
      <c r="D197" s="9" t="s">
        <v>24</v>
      </c>
      <c r="E197" s="9" t="str">
        <f>"16230041327"</f>
        <v>16230041327</v>
      </c>
      <c r="F197" s="7">
        <v>89.08</v>
      </c>
      <c r="G197" s="7">
        <v>105</v>
      </c>
      <c r="H197" s="7">
        <v>98.63</v>
      </c>
      <c r="I197" s="10"/>
      <c r="J197" s="7">
        <f t="shared" si="14"/>
        <v>98.63</v>
      </c>
      <c r="K197" s="11"/>
    </row>
    <row r="198" spans="1:11" s="1" customFormat="1" ht="15" customHeight="1">
      <c r="A198" s="3">
        <v>195</v>
      </c>
      <c r="B198" s="9" t="str">
        <f>"姚安琴"</f>
        <v>姚安琴</v>
      </c>
      <c r="C198" s="9" t="str">
        <f t="shared" si="15"/>
        <v>1623010121514</v>
      </c>
      <c r="D198" s="9" t="s">
        <v>24</v>
      </c>
      <c r="E198" s="9" t="str">
        <f>"16230041322"</f>
        <v>16230041322</v>
      </c>
      <c r="F198" s="7">
        <v>90.62</v>
      </c>
      <c r="G198" s="7">
        <v>99.4</v>
      </c>
      <c r="H198" s="7">
        <v>95.89</v>
      </c>
      <c r="I198" s="10"/>
      <c r="J198" s="7">
        <f t="shared" si="14"/>
        <v>95.89</v>
      </c>
      <c r="K198" s="11"/>
    </row>
    <row r="199" spans="1:11" s="1" customFormat="1" ht="15" customHeight="1">
      <c r="A199" s="3">
        <v>196</v>
      </c>
      <c r="B199" s="9" t="str">
        <f>"展素丽"</f>
        <v>展素丽</v>
      </c>
      <c r="C199" s="9" t="str">
        <f t="shared" si="15"/>
        <v>1623010121514</v>
      </c>
      <c r="D199" s="9" t="s">
        <v>24</v>
      </c>
      <c r="E199" s="9" t="str">
        <f>"16230041323"</f>
        <v>16230041323</v>
      </c>
      <c r="F199" s="7">
        <v>91.54</v>
      </c>
      <c r="G199" s="7">
        <v>96.1</v>
      </c>
      <c r="H199" s="7">
        <v>94.28</v>
      </c>
      <c r="I199" s="10"/>
      <c r="J199" s="7">
        <f t="shared" si="14"/>
        <v>94.28</v>
      </c>
      <c r="K199" s="11"/>
    </row>
    <row r="200" spans="1:11" s="1" customFormat="1" ht="15" customHeight="1">
      <c r="A200" s="3">
        <v>197</v>
      </c>
      <c r="B200" s="9" t="str">
        <f>"陈成成"</f>
        <v>陈成成</v>
      </c>
      <c r="C200" s="9" t="str">
        <f t="shared" si="15"/>
        <v>1623010121514</v>
      </c>
      <c r="D200" s="9" t="s">
        <v>24</v>
      </c>
      <c r="E200" s="9" t="str">
        <f>"16230041330"</f>
        <v>16230041330</v>
      </c>
      <c r="F200" s="7">
        <v>86.68</v>
      </c>
      <c r="G200" s="7">
        <v>96.8</v>
      </c>
      <c r="H200" s="7">
        <v>92.75</v>
      </c>
      <c r="I200" s="10"/>
      <c r="J200" s="7">
        <f t="shared" si="14"/>
        <v>92.75</v>
      </c>
      <c r="K200" s="11"/>
    </row>
    <row r="201" spans="1:11" s="1" customFormat="1" ht="15" customHeight="1">
      <c r="A201" s="3">
        <v>198</v>
      </c>
      <c r="B201" s="9" t="str">
        <f>"巩亮亮"</f>
        <v>巩亮亮</v>
      </c>
      <c r="C201" s="9" t="str">
        <f t="shared" si="15"/>
        <v>1623010121514</v>
      </c>
      <c r="D201" s="9" t="s">
        <v>24</v>
      </c>
      <c r="E201" s="9" t="str">
        <f>"16230041329"</f>
        <v>16230041329</v>
      </c>
      <c r="F201" s="7">
        <v>81.44</v>
      </c>
      <c r="G201" s="7">
        <v>96.9</v>
      </c>
      <c r="H201" s="7">
        <v>90.72</v>
      </c>
      <c r="I201" s="10"/>
      <c r="J201" s="7">
        <f t="shared" si="14"/>
        <v>90.72</v>
      </c>
      <c r="K201" s="11"/>
    </row>
    <row r="202" spans="1:11" s="1" customFormat="1" ht="15" customHeight="1">
      <c r="A202" s="3">
        <v>199</v>
      </c>
      <c r="B202" s="9" t="str">
        <f>"周涛"</f>
        <v>周涛</v>
      </c>
      <c r="C202" s="9" t="str">
        <f t="shared" si="15"/>
        <v>1623010121514</v>
      </c>
      <c r="D202" s="9" t="s">
        <v>24</v>
      </c>
      <c r="E202" s="9" t="str">
        <f>"16230041324"</f>
        <v>16230041324</v>
      </c>
      <c r="F202" s="7">
        <v>88.5</v>
      </c>
      <c r="G202" s="7">
        <v>92</v>
      </c>
      <c r="H202" s="7">
        <v>90.6</v>
      </c>
      <c r="I202" s="10"/>
      <c r="J202" s="7">
        <f t="shared" si="14"/>
        <v>90.6</v>
      </c>
      <c r="K202" s="11"/>
    </row>
    <row r="203" spans="1:11" s="1" customFormat="1" ht="15" customHeight="1">
      <c r="A203" s="3">
        <v>200</v>
      </c>
      <c r="B203" s="9" t="str">
        <f>"钱姗姗"</f>
        <v>钱姗姗</v>
      </c>
      <c r="C203" s="9" t="str">
        <f t="shared" si="15"/>
        <v>1623010121514</v>
      </c>
      <c r="D203" s="9" t="s">
        <v>24</v>
      </c>
      <c r="E203" s="9" t="str">
        <f>"16230041404"</f>
        <v>16230041404</v>
      </c>
      <c r="F203" s="7">
        <v>80.58</v>
      </c>
      <c r="G203" s="7">
        <v>94.5</v>
      </c>
      <c r="H203" s="7">
        <v>88.93</v>
      </c>
      <c r="I203" s="10"/>
      <c r="J203" s="7">
        <f t="shared" si="14"/>
        <v>88.93</v>
      </c>
      <c r="K203" s="11"/>
    </row>
    <row r="204" spans="1:11" s="1" customFormat="1" ht="15" customHeight="1">
      <c r="A204" s="3">
        <v>201</v>
      </c>
      <c r="B204" s="9" t="str">
        <f>"刘咏梅"</f>
        <v>刘咏梅</v>
      </c>
      <c r="C204" s="9" t="str">
        <f t="shared" si="15"/>
        <v>1623010121514</v>
      </c>
      <c r="D204" s="9" t="s">
        <v>24</v>
      </c>
      <c r="E204" s="9" t="str">
        <f>"16230041405"</f>
        <v>16230041405</v>
      </c>
      <c r="F204" s="7">
        <v>78.04</v>
      </c>
      <c r="G204" s="7">
        <v>82.9</v>
      </c>
      <c r="H204" s="7">
        <v>80.96</v>
      </c>
      <c r="I204" s="10"/>
      <c r="J204" s="7">
        <f t="shared" si="14"/>
        <v>80.96</v>
      </c>
      <c r="K204" s="11"/>
    </row>
    <row r="205" spans="1:11" s="1" customFormat="1" ht="15" customHeight="1">
      <c r="A205" s="3">
        <v>202</v>
      </c>
      <c r="B205" s="9" t="str">
        <f>"高睛睛"</f>
        <v>高睛睛</v>
      </c>
      <c r="C205" s="9" t="str">
        <f aca="true" t="shared" si="16" ref="C205:C213">"1623010121315"</f>
        <v>1623010121315</v>
      </c>
      <c r="D205" s="9" t="s">
        <v>25</v>
      </c>
      <c r="E205" s="9" t="str">
        <f>"16230045410"</f>
        <v>16230045410</v>
      </c>
      <c r="F205" s="7">
        <v>85.56</v>
      </c>
      <c r="G205" s="7">
        <v>95.2</v>
      </c>
      <c r="H205" s="7">
        <v>91.34</v>
      </c>
      <c r="I205" s="10"/>
      <c r="J205" s="7">
        <f t="shared" si="14"/>
        <v>91.34</v>
      </c>
      <c r="K205" s="11"/>
    </row>
    <row r="206" spans="1:11" s="1" customFormat="1" ht="15" customHeight="1">
      <c r="A206" s="3">
        <v>203</v>
      </c>
      <c r="B206" s="9" t="str">
        <f>"房丹丹"</f>
        <v>房丹丹</v>
      </c>
      <c r="C206" s="9" t="str">
        <f t="shared" si="16"/>
        <v>1623010121315</v>
      </c>
      <c r="D206" s="9" t="s">
        <v>25</v>
      </c>
      <c r="E206" s="9" t="str">
        <f>"16230045413"</f>
        <v>16230045413</v>
      </c>
      <c r="F206" s="7">
        <v>87.88</v>
      </c>
      <c r="G206" s="7">
        <v>93.1</v>
      </c>
      <c r="H206" s="7">
        <v>91.01</v>
      </c>
      <c r="I206" s="10"/>
      <c r="J206" s="7">
        <f t="shared" si="14"/>
        <v>91.01</v>
      </c>
      <c r="K206" s="11"/>
    </row>
    <row r="207" spans="1:11" s="1" customFormat="1" ht="15" customHeight="1">
      <c r="A207" s="3">
        <v>204</v>
      </c>
      <c r="B207" s="9" t="str">
        <f>"吴志红"</f>
        <v>吴志红</v>
      </c>
      <c r="C207" s="9" t="str">
        <f t="shared" si="16"/>
        <v>1623010121315</v>
      </c>
      <c r="D207" s="9" t="s">
        <v>25</v>
      </c>
      <c r="E207" s="9" t="str">
        <f>"16230045409"</f>
        <v>16230045409</v>
      </c>
      <c r="F207" s="7">
        <v>85.26</v>
      </c>
      <c r="G207" s="7">
        <v>94</v>
      </c>
      <c r="H207" s="7">
        <v>90.5</v>
      </c>
      <c r="I207" s="10"/>
      <c r="J207" s="7">
        <f t="shared" si="14"/>
        <v>90.5</v>
      </c>
      <c r="K207" s="11"/>
    </row>
    <row r="208" spans="1:11" s="1" customFormat="1" ht="15" customHeight="1">
      <c r="A208" s="3">
        <v>205</v>
      </c>
      <c r="B208" s="9" t="str">
        <f>"刘梦园"</f>
        <v>刘梦园</v>
      </c>
      <c r="C208" s="9" t="str">
        <f t="shared" si="16"/>
        <v>1623010121315</v>
      </c>
      <c r="D208" s="9" t="s">
        <v>25</v>
      </c>
      <c r="E208" s="9" t="str">
        <f>"16230045411"</f>
        <v>16230045411</v>
      </c>
      <c r="F208" s="7">
        <v>88.16</v>
      </c>
      <c r="G208" s="7">
        <v>91.4</v>
      </c>
      <c r="H208" s="7">
        <v>90.1</v>
      </c>
      <c r="I208" s="10"/>
      <c r="J208" s="7">
        <f t="shared" si="14"/>
        <v>90.1</v>
      </c>
      <c r="K208" s="11"/>
    </row>
    <row r="209" spans="1:11" s="1" customFormat="1" ht="15" customHeight="1">
      <c r="A209" s="3">
        <v>206</v>
      </c>
      <c r="B209" s="9" t="str">
        <f>"王焕晴"</f>
        <v>王焕晴</v>
      </c>
      <c r="C209" s="9" t="str">
        <f t="shared" si="16"/>
        <v>1623010121315</v>
      </c>
      <c r="D209" s="9" t="s">
        <v>25</v>
      </c>
      <c r="E209" s="9" t="str">
        <f>"16230045402"</f>
        <v>16230045402</v>
      </c>
      <c r="F209" s="7">
        <v>82.92</v>
      </c>
      <c r="G209" s="7">
        <v>94.5</v>
      </c>
      <c r="H209" s="7">
        <v>89.87</v>
      </c>
      <c r="I209" s="10"/>
      <c r="J209" s="7">
        <f t="shared" si="14"/>
        <v>89.87</v>
      </c>
      <c r="K209" s="11"/>
    </row>
    <row r="210" spans="1:11" s="1" customFormat="1" ht="15" customHeight="1">
      <c r="A210" s="3">
        <v>207</v>
      </c>
      <c r="B210" s="9" t="str">
        <f>"倪修枝"</f>
        <v>倪修枝</v>
      </c>
      <c r="C210" s="9" t="str">
        <f t="shared" si="16"/>
        <v>1623010121315</v>
      </c>
      <c r="D210" s="9" t="s">
        <v>25</v>
      </c>
      <c r="E210" s="9" t="str">
        <f>"16230045404"</f>
        <v>16230045404</v>
      </c>
      <c r="F210" s="7">
        <v>86.98</v>
      </c>
      <c r="G210" s="7">
        <v>91.6</v>
      </c>
      <c r="H210" s="7">
        <v>89.75</v>
      </c>
      <c r="I210" s="10"/>
      <c r="J210" s="7">
        <f t="shared" si="14"/>
        <v>89.75</v>
      </c>
      <c r="K210" s="11"/>
    </row>
    <row r="211" spans="1:11" s="1" customFormat="1" ht="15" customHeight="1">
      <c r="A211" s="3">
        <v>208</v>
      </c>
      <c r="B211" s="9" t="str">
        <f>"田傲"</f>
        <v>田傲</v>
      </c>
      <c r="C211" s="9" t="str">
        <f t="shared" si="16"/>
        <v>1623010121315</v>
      </c>
      <c r="D211" s="9" t="s">
        <v>25</v>
      </c>
      <c r="E211" s="9" t="str">
        <f>"16230045405"</f>
        <v>16230045405</v>
      </c>
      <c r="F211" s="7">
        <v>83.14</v>
      </c>
      <c r="G211" s="7">
        <v>91.3</v>
      </c>
      <c r="H211" s="7">
        <v>88.04</v>
      </c>
      <c r="I211" s="10"/>
      <c r="J211" s="7">
        <f t="shared" si="14"/>
        <v>88.04</v>
      </c>
      <c r="K211" s="11"/>
    </row>
    <row r="212" spans="1:11" s="1" customFormat="1" ht="15" customHeight="1">
      <c r="A212" s="3">
        <v>209</v>
      </c>
      <c r="B212" s="9" t="str">
        <f>"李梦丽"</f>
        <v>李梦丽</v>
      </c>
      <c r="C212" s="9" t="str">
        <f t="shared" si="16"/>
        <v>1623010121315</v>
      </c>
      <c r="D212" s="9" t="s">
        <v>25</v>
      </c>
      <c r="E212" s="9" t="str">
        <f>"16230045406"</f>
        <v>16230045406</v>
      </c>
      <c r="F212" s="7">
        <v>78.04</v>
      </c>
      <c r="G212" s="7">
        <v>92</v>
      </c>
      <c r="H212" s="7">
        <v>86.42</v>
      </c>
      <c r="I212" s="10"/>
      <c r="J212" s="7">
        <f t="shared" si="14"/>
        <v>86.42</v>
      </c>
      <c r="K212" s="11"/>
    </row>
    <row r="213" spans="1:11" s="1" customFormat="1" ht="15" customHeight="1">
      <c r="A213" s="3">
        <v>210</v>
      </c>
      <c r="B213" s="9" t="str">
        <f>"武梦如"</f>
        <v>武梦如</v>
      </c>
      <c r="C213" s="9" t="str">
        <f t="shared" si="16"/>
        <v>1623010121315</v>
      </c>
      <c r="D213" s="9" t="s">
        <v>25</v>
      </c>
      <c r="E213" s="9" t="str">
        <f>"16230045408"</f>
        <v>16230045408</v>
      </c>
      <c r="F213" s="7">
        <v>86.08</v>
      </c>
      <c r="G213" s="7">
        <v>82.4</v>
      </c>
      <c r="H213" s="7">
        <v>83.87</v>
      </c>
      <c r="I213" s="10"/>
      <c r="J213" s="7">
        <f t="shared" si="14"/>
        <v>83.87</v>
      </c>
      <c r="K213" s="11"/>
    </row>
    <row r="214" spans="1:11" s="1" customFormat="1" ht="15" customHeight="1">
      <c r="A214" s="3">
        <v>211</v>
      </c>
      <c r="B214" s="9" t="str">
        <f>"王闪闪"</f>
        <v>王闪闪</v>
      </c>
      <c r="C214" s="9" t="str">
        <f aca="true" t="shared" si="17" ref="C214:C221">"1623010121316"</f>
        <v>1623010121316</v>
      </c>
      <c r="D214" s="9" t="s">
        <v>26</v>
      </c>
      <c r="E214" s="9" t="str">
        <f>"16230045424"</f>
        <v>16230045424</v>
      </c>
      <c r="F214" s="7">
        <v>99.52</v>
      </c>
      <c r="G214" s="7">
        <v>97.4</v>
      </c>
      <c r="H214" s="7">
        <v>98.25</v>
      </c>
      <c r="I214" s="10"/>
      <c r="J214" s="7">
        <f t="shared" si="14"/>
        <v>98.25</v>
      </c>
      <c r="K214" s="11"/>
    </row>
    <row r="215" spans="1:11" s="1" customFormat="1" ht="15" customHeight="1">
      <c r="A215" s="3">
        <v>212</v>
      </c>
      <c r="B215" s="9" t="str">
        <f>"宫能生"</f>
        <v>宫能生</v>
      </c>
      <c r="C215" s="9" t="str">
        <f t="shared" si="17"/>
        <v>1623010121316</v>
      </c>
      <c r="D215" s="9" t="s">
        <v>26</v>
      </c>
      <c r="E215" s="9" t="str">
        <f>"16230045416"</f>
        <v>16230045416</v>
      </c>
      <c r="F215" s="7">
        <v>93.84</v>
      </c>
      <c r="G215" s="7">
        <v>96.5</v>
      </c>
      <c r="H215" s="7">
        <v>95.44</v>
      </c>
      <c r="I215" s="10"/>
      <c r="J215" s="7">
        <f t="shared" si="14"/>
        <v>95.44</v>
      </c>
      <c r="K215" s="11"/>
    </row>
    <row r="216" spans="1:11" s="1" customFormat="1" ht="15" customHeight="1">
      <c r="A216" s="3">
        <v>213</v>
      </c>
      <c r="B216" s="9" t="str">
        <f>"周灿灿"</f>
        <v>周灿灿</v>
      </c>
      <c r="C216" s="9" t="str">
        <f t="shared" si="17"/>
        <v>1623010121316</v>
      </c>
      <c r="D216" s="9" t="s">
        <v>26</v>
      </c>
      <c r="E216" s="9" t="str">
        <f>"16230045415"</f>
        <v>16230045415</v>
      </c>
      <c r="F216" s="7">
        <v>92.56</v>
      </c>
      <c r="G216" s="7">
        <v>97</v>
      </c>
      <c r="H216" s="7">
        <v>95.22</v>
      </c>
      <c r="I216" s="10"/>
      <c r="J216" s="7">
        <f t="shared" si="14"/>
        <v>95.22</v>
      </c>
      <c r="K216" s="11"/>
    </row>
    <row r="217" spans="1:11" s="1" customFormat="1" ht="15" customHeight="1">
      <c r="A217" s="3">
        <v>214</v>
      </c>
      <c r="B217" s="9" t="str">
        <f>"周雷"</f>
        <v>周雷</v>
      </c>
      <c r="C217" s="9" t="str">
        <f t="shared" si="17"/>
        <v>1623010121316</v>
      </c>
      <c r="D217" s="9" t="s">
        <v>26</v>
      </c>
      <c r="E217" s="9" t="str">
        <f>"16230045420"</f>
        <v>16230045420</v>
      </c>
      <c r="F217" s="7">
        <v>90.74</v>
      </c>
      <c r="G217" s="7">
        <v>93.5</v>
      </c>
      <c r="H217" s="7">
        <v>92.4</v>
      </c>
      <c r="I217" s="12">
        <v>2</v>
      </c>
      <c r="J217" s="7">
        <f t="shared" si="14"/>
        <v>94.4</v>
      </c>
      <c r="K217" s="11"/>
    </row>
    <row r="218" spans="1:11" s="1" customFormat="1" ht="15" customHeight="1">
      <c r="A218" s="3">
        <v>215</v>
      </c>
      <c r="B218" s="9" t="str">
        <f>"孙兰兰"</f>
        <v>孙兰兰</v>
      </c>
      <c r="C218" s="9" t="str">
        <f t="shared" si="17"/>
        <v>1623010121316</v>
      </c>
      <c r="D218" s="9" t="s">
        <v>26</v>
      </c>
      <c r="E218" s="9" t="str">
        <f>"16230045423"</f>
        <v>16230045423</v>
      </c>
      <c r="F218" s="7">
        <v>93.04</v>
      </c>
      <c r="G218" s="7">
        <v>91.5</v>
      </c>
      <c r="H218" s="7">
        <v>92.12</v>
      </c>
      <c r="I218" s="10"/>
      <c r="J218" s="7">
        <f t="shared" si="14"/>
        <v>92.12</v>
      </c>
      <c r="K218" s="11"/>
    </row>
    <row r="219" spans="1:11" s="1" customFormat="1" ht="15" customHeight="1">
      <c r="A219" s="3">
        <v>216</v>
      </c>
      <c r="B219" s="9" t="str">
        <f>"彭丹丹"</f>
        <v>彭丹丹</v>
      </c>
      <c r="C219" s="9" t="str">
        <f t="shared" si="17"/>
        <v>1623010121316</v>
      </c>
      <c r="D219" s="9" t="s">
        <v>26</v>
      </c>
      <c r="E219" s="9" t="str">
        <f>"16230045414"</f>
        <v>16230045414</v>
      </c>
      <c r="F219" s="7">
        <v>81.86</v>
      </c>
      <c r="G219" s="7">
        <v>92.1</v>
      </c>
      <c r="H219" s="7">
        <v>88</v>
      </c>
      <c r="I219" s="10"/>
      <c r="J219" s="7">
        <f t="shared" si="14"/>
        <v>88</v>
      </c>
      <c r="K219" s="11"/>
    </row>
    <row r="220" spans="1:11" s="1" customFormat="1" ht="15" customHeight="1">
      <c r="A220" s="3">
        <v>217</v>
      </c>
      <c r="B220" s="9" t="str">
        <f>"李哲民"</f>
        <v>李哲民</v>
      </c>
      <c r="C220" s="9" t="str">
        <f t="shared" si="17"/>
        <v>1623010121316</v>
      </c>
      <c r="D220" s="9" t="s">
        <v>26</v>
      </c>
      <c r="E220" s="9" t="str">
        <f>"16230045426"</f>
        <v>16230045426</v>
      </c>
      <c r="F220" s="7">
        <v>82</v>
      </c>
      <c r="G220" s="7">
        <v>78</v>
      </c>
      <c r="H220" s="7">
        <v>79.6</v>
      </c>
      <c r="I220" s="10"/>
      <c r="J220" s="7">
        <f t="shared" si="14"/>
        <v>79.6</v>
      </c>
      <c r="K220" s="11"/>
    </row>
    <row r="221" spans="1:11" s="1" customFormat="1" ht="15" customHeight="1">
      <c r="A221" s="3">
        <v>218</v>
      </c>
      <c r="B221" s="9" t="str">
        <f>"王帅"</f>
        <v>王帅</v>
      </c>
      <c r="C221" s="9" t="str">
        <f t="shared" si="17"/>
        <v>1623010121316</v>
      </c>
      <c r="D221" s="9" t="s">
        <v>26</v>
      </c>
      <c r="E221" s="9" t="str">
        <f>"16230045427"</f>
        <v>16230045427</v>
      </c>
      <c r="F221" s="7">
        <v>83.78</v>
      </c>
      <c r="G221" s="7">
        <v>76.2</v>
      </c>
      <c r="H221" s="7">
        <v>79.23</v>
      </c>
      <c r="I221" s="10"/>
      <c r="J221" s="7">
        <f t="shared" si="14"/>
        <v>79.23</v>
      </c>
      <c r="K221" s="11"/>
    </row>
    <row r="222" spans="1:11" s="1" customFormat="1" ht="15" customHeight="1">
      <c r="A222" s="3">
        <v>219</v>
      </c>
      <c r="B222" s="9" t="str">
        <f>"于雪儿"</f>
        <v>于雪儿</v>
      </c>
      <c r="C222" s="9" t="str">
        <f aca="true" t="shared" si="18" ref="C222:C229">"1623010121417"</f>
        <v>1623010121417</v>
      </c>
      <c r="D222" s="9" t="s">
        <v>27</v>
      </c>
      <c r="E222" s="9" t="str">
        <f>"16230035904"</f>
        <v>16230035904</v>
      </c>
      <c r="F222" s="7">
        <v>91.72</v>
      </c>
      <c r="G222" s="7">
        <v>88.9</v>
      </c>
      <c r="H222" s="7">
        <v>90.03</v>
      </c>
      <c r="I222" s="10"/>
      <c r="J222" s="7">
        <f t="shared" si="14"/>
        <v>90.03</v>
      </c>
      <c r="K222" s="11"/>
    </row>
    <row r="223" spans="1:11" s="1" customFormat="1" ht="15" customHeight="1">
      <c r="A223" s="3">
        <v>220</v>
      </c>
      <c r="B223" s="9" t="str">
        <f>"周珊珊"</f>
        <v>周珊珊</v>
      </c>
      <c r="C223" s="9" t="str">
        <f t="shared" si="18"/>
        <v>1623010121417</v>
      </c>
      <c r="D223" s="9" t="s">
        <v>27</v>
      </c>
      <c r="E223" s="9" t="str">
        <f>"16230035907"</f>
        <v>16230035907</v>
      </c>
      <c r="F223" s="7">
        <v>89.8</v>
      </c>
      <c r="G223" s="7">
        <v>88.7</v>
      </c>
      <c r="H223" s="7">
        <v>89.14</v>
      </c>
      <c r="I223" s="10"/>
      <c r="J223" s="7">
        <f t="shared" si="14"/>
        <v>89.14</v>
      </c>
      <c r="K223" s="11"/>
    </row>
    <row r="224" spans="1:11" s="1" customFormat="1" ht="15" customHeight="1">
      <c r="A224" s="3">
        <v>221</v>
      </c>
      <c r="B224" s="9" t="str">
        <f>"郭东升"</f>
        <v>郭东升</v>
      </c>
      <c r="C224" s="9" t="str">
        <f t="shared" si="18"/>
        <v>1623010121417</v>
      </c>
      <c r="D224" s="9" t="s">
        <v>27</v>
      </c>
      <c r="E224" s="9" t="str">
        <f>"16230035905"</f>
        <v>16230035905</v>
      </c>
      <c r="F224" s="7">
        <v>89.8</v>
      </c>
      <c r="G224" s="7">
        <v>87.4</v>
      </c>
      <c r="H224" s="7">
        <v>88.36</v>
      </c>
      <c r="I224" s="10"/>
      <c r="J224" s="7">
        <f t="shared" si="14"/>
        <v>88.36</v>
      </c>
      <c r="K224" s="11"/>
    </row>
    <row r="225" spans="1:11" s="1" customFormat="1" ht="15" customHeight="1">
      <c r="A225" s="3">
        <v>222</v>
      </c>
      <c r="B225" s="9" t="str">
        <f>"陈瑞娟"</f>
        <v>陈瑞娟</v>
      </c>
      <c r="C225" s="9" t="str">
        <f t="shared" si="18"/>
        <v>1623010121417</v>
      </c>
      <c r="D225" s="9" t="s">
        <v>27</v>
      </c>
      <c r="E225" s="9" t="str">
        <f>"16230035911"</f>
        <v>16230035911</v>
      </c>
      <c r="F225" s="7">
        <v>89.1</v>
      </c>
      <c r="G225" s="7">
        <v>87</v>
      </c>
      <c r="H225" s="7">
        <v>87.84</v>
      </c>
      <c r="I225" s="10"/>
      <c r="J225" s="7">
        <f t="shared" si="14"/>
        <v>87.84</v>
      </c>
      <c r="K225" s="11"/>
    </row>
    <row r="226" spans="1:11" s="1" customFormat="1" ht="15" customHeight="1">
      <c r="A226" s="3">
        <v>223</v>
      </c>
      <c r="B226" s="9" t="str">
        <f>"徐欣欣"</f>
        <v>徐欣欣</v>
      </c>
      <c r="C226" s="9" t="str">
        <f t="shared" si="18"/>
        <v>1623010121417</v>
      </c>
      <c r="D226" s="9" t="s">
        <v>27</v>
      </c>
      <c r="E226" s="9" t="str">
        <f>"16230035908"</f>
        <v>16230035908</v>
      </c>
      <c r="F226" s="7">
        <v>84.76</v>
      </c>
      <c r="G226" s="7">
        <v>89.4</v>
      </c>
      <c r="H226" s="7">
        <v>87.54</v>
      </c>
      <c r="I226" s="10"/>
      <c r="J226" s="7">
        <f t="shared" si="14"/>
        <v>87.54</v>
      </c>
      <c r="K226" s="11"/>
    </row>
    <row r="227" spans="1:11" s="1" customFormat="1" ht="15" customHeight="1">
      <c r="A227" s="3">
        <v>224</v>
      </c>
      <c r="B227" s="9" t="str">
        <f>"姜文龙"</f>
        <v>姜文龙</v>
      </c>
      <c r="C227" s="9" t="str">
        <f t="shared" si="18"/>
        <v>1623010121417</v>
      </c>
      <c r="D227" s="9" t="s">
        <v>27</v>
      </c>
      <c r="E227" s="9" t="str">
        <f>"16230035912"</f>
        <v>16230035912</v>
      </c>
      <c r="F227" s="7">
        <v>88.7</v>
      </c>
      <c r="G227" s="7">
        <v>86.5</v>
      </c>
      <c r="H227" s="7">
        <v>87.38</v>
      </c>
      <c r="I227" s="10"/>
      <c r="J227" s="7">
        <f t="shared" si="14"/>
        <v>87.38</v>
      </c>
      <c r="K227" s="11"/>
    </row>
    <row r="228" spans="1:11" s="1" customFormat="1" ht="15" customHeight="1">
      <c r="A228" s="3">
        <v>225</v>
      </c>
      <c r="B228" s="9" t="str">
        <f>"张琴"</f>
        <v>张琴</v>
      </c>
      <c r="C228" s="9" t="str">
        <f t="shared" si="18"/>
        <v>1623010121417</v>
      </c>
      <c r="D228" s="9" t="s">
        <v>27</v>
      </c>
      <c r="E228" s="9" t="str">
        <f>"16230035903"</f>
        <v>16230035903</v>
      </c>
      <c r="F228" s="7">
        <v>86.46</v>
      </c>
      <c r="G228" s="7">
        <v>84.7</v>
      </c>
      <c r="H228" s="7">
        <v>85.4</v>
      </c>
      <c r="I228" s="10"/>
      <c r="J228" s="7">
        <f t="shared" si="14"/>
        <v>85.4</v>
      </c>
      <c r="K228" s="11"/>
    </row>
    <row r="229" spans="1:11" s="1" customFormat="1" ht="15" customHeight="1">
      <c r="A229" s="3">
        <v>226</v>
      </c>
      <c r="B229" s="9" t="str">
        <f>"王倩"</f>
        <v>王倩</v>
      </c>
      <c r="C229" s="9" t="str">
        <f t="shared" si="18"/>
        <v>1623010121417</v>
      </c>
      <c r="D229" s="9" t="s">
        <v>27</v>
      </c>
      <c r="E229" s="9" t="str">
        <f>"16230035901"</f>
        <v>16230035901</v>
      </c>
      <c r="F229" s="7">
        <v>86.88</v>
      </c>
      <c r="G229" s="7">
        <v>81.9</v>
      </c>
      <c r="H229" s="7">
        <v>83.89</v>
      </c>
      <c r="I229" s="10"/>
      <c r="J229" s="7">
        <f t="shared" si="14"/>
        <v>83.89</v>
      </c>
      <c r="K229" s="11"/>
    </row>
    <row r="230" spans="1:11" s="1" customFormat="1" ht="15" customHeight="1">
      <c r="A230" s="3">
        <v>227</v>
      </c>
      <c r="B230" s="9" t="str">
        <f>"薛鹏"</f>
        <v>薛鹏</v>
      </c>
      <c r="C230" s="9" t="str">
        <f aca="true" t="shared" si="19" ref="C230:C238">"1623010121418"</f>
        <v>1623010121418</v>
      </c>
      <c r="D230" s="9" t="s">
        <v>28</v>
      </c>
      <c r="E230" s="9" t="str">
        <f>"16230035913"</f>
        <v>16230035913</v>
      </c>
      <c r="F230" s="7">
        <v>93.44</v>
      </c>
      <c r="G230" s="7">
        <v>88.6</v>
      </c>
      <c r="H230" s="7">
        <v>90.54</v>
      </c>
      <c r="I230" s="10"/>
      <c r="J230" s="7">
        <f t="shared" si="14"/>
        <v>90.54</v>
      </c>
      <c r="K230" s="11"/>
    </row>
    <row r="231" spans="1:11" s="1" customFormat="1" ht="15" customHeight="1">
      <c r="A231" s="3">
        <v>228</v>
      </c>
      <c r="B231" s="9" t="str">
        <f>"张烨"</f>
        <v>张烨</v>
      </c>
      <c r="C231" s="9" t="str">
        <f t="shared" si="19"/>
        <v>1623010121418</v>
      </c>
      <c r="D231" s="9" t="s">
        <v>28</v>
      </c>
      <c r="E231" s="9" t="str">
        <f>"16230035920"</f>
        <v>16230035920</v>
      </c>
      <c r="F231" s="7">
        <v>83.8</v>
      </c>
      <c r="G231" s="7">
        <v>93.9</v>
      </c>
      <c r="H231" s="7">
        <v>89.86</v>
      </c>
      <c r="I231" s="10"/>
      <c r="J231" s="7">
        <f t="shared" si="14"/>
        <v>89.86</v>
      </c>
      <c r="K231" s="11"/>
    </row>
    <row r="232" spans="1:11" s="1" customFormat="1" ht="15" customHeight="1">
      <c r="A232" s="3">
        <v>229</v>
      </c>
      <c r="B232" s="9" t="str">
        <f>"赵慧侠"</f>
        <v>赵慧侠</v>
      </c>
      <c r="C232" s="9" t="str">
        <f t="shared" si="19"/>
        <v>1623010121418</v>
      </c>
      <c r="D232" s="9" t="s">
        <v>28</v>
      </c>
      <c r="E232" s="9" t="str">
        <f>"16230035925"</f>
        <v>16230035925</v>
      </c>
      <c r="F232" s="7">
        <v>94.14</v>
      </c>
      <c r="G232" s="7">
        <v>83</v>
      </c>
      <c r="H232" s="7">
        <v>87.46</v>
      </c>
      <c r="I232" s="10"/>
      <c r="J232" s="7">
        <f t="shared" si="14"/>
        <v>87.46</v>
      </c>
      <c r="K232" s="11"/>
    </row>
    <row r="233" spans="1:11" s="1" customFormat="1" ht="15" customHeight="1">
      <c r="A233" s="3">
        <v>230</v>
      </c>
      <c r="B233" s="9" t="str">
        <f>"陈晓晓"</f>
        <v>陈晓晓</v>
      </c>
      <c r="C233" s="9" t="str">
        <f t="shared" si="19"/>
        <v>1623010121418</v>
      </c>
      <c r="D233" s="9" t="s">
        <v>28</v>
      </c>
      <c r="E233" s="9" t="str">
        <f>"16230035921"</f>
        <v>16230035921</v>
      </c>
      <c r="F233" s="7">
        <v>76.38</v>
      </c>
      <c r="G233" s="7">
        <v>89.8</v>
      </c>
      <c r="H233" s="7">
        <v>84.43</v>
      </c>
      <c r="I233" s="10"/>
      <c r="J233" s="7">
        <f t="shared" si="14"/>
        <v>84.43</v>
      </c>
      <c r="K233" s="11"/>
    </row>
    <row r="234" spans="1:11" s="1" customFormat="1" ht="15" customHeight="1">
      <c r="A234" s="3">
        <v>231</v>
      </c>
      <c r="B234" s="9" t="str">
        <f>"张鑫"</f>
        <v>张鑫</v>
      </c>
      <c r="C234" s="9" t="str">
        <f t="shared" si="19"/>
        <v>1623010121418</v>
      </c>
      <c r="D234" s="9" t="s">
        <v>28</v>
      </c>
      <c r="E234" s="9" t="str">
        <f>"16230035914"</f>
        <v>16230035914</v>
      </c>
      <c r="F234" s="7">
        <v>86.4</v>
      </c>
      <c r="G234" s="7">
        <v>80.9</v>
      </c>
      <c r="H234" s="7">
        <v>83.1</v>
      </c>
      <c r="I234" s="10"/>
      <c r="J234" s="7">
        <f t="shared" si="14"/>
        <v>83.1</v>
      </c>
      <c r="K234" s="11"/>
    </row>
    <row r="235" spans="1:11" s="1" customFormat="1" ht="15" customHeight="1">
      <c r="A235" s="3">
        <v>232</v>
      </c>
      <c r="B235" s="9" t="str">
        <f>"耿宝宝"</f>
        <v>耿宝宝</v>
      </c>
      <c r="C235" s="9" t="str">
        <f t="shared" si="19"/>
        <v>1623010121418</v>
      </c>
      <c r="D235" s="9" t="s">
        <v>28</v>
      </c>
      <c r="E235" s="9" t="str">
        <f>"16230035917"</f>
        <v>16230035917</v>
      </c>
      <c r="F235" s="7">
        <v>79.6</v>
      </c>
      <c r="G235" s="7">
        <v>84.6</v>
      </c>
      <c r="H235" s="7">
        <v>82.6</v>
      </c>
      <c r="I235" s="10"/>
      <c r="J235" s="7">
        <f t="shared" si="14"/>
        <v>82.6</v>
      </c>
      <c r="K235" s="11"/>
    </row>
    <row r="236" spans="1:11" s="1" customFormat="1" ht="15" customHeight="1">
      <c r="A236" s="3">
        <v>233</v>
      </c>
      <c r="B236" s="9" t="str">
        <f>"于博"</f>
        <v>于博</v>
      </c>
      <c r="C236" s="9" t="str">
        <f t="shared" si="19"/>
        <v>1623010121418</v>
      </c>
      <c r="D236" s="9" t="s">
        <v>28</v>
      </c>
      <c r="E236" s="9" t="str">
        <f>"16230035924"</f>
        <v>16230035924</v>
      </c>
      <c r="F236" s="7">
        <v>73.52</v>
      </c>
      <c r="G236" s="7">
        <v>88.4</v>
      </c>
      <c r="H236" s="7">
        <v>82.45</v>
      </c>
      <c r="I236" s="10"/>
      <c r="J236" s="7">
        <f t="shared" si="14"/>
        <v>82.45</v>
      </c>
      <c r="K236" s="11"/>
    </row>
    <row r="237" spans="1:11" s="1" customFormat="1" ht="15" customHeight="1">
      <c r="A237" s="3">
        <v>234</v>
      </c>
      <c r="B237" s="9" t="str">
        <f>"普和丽"</f>
        <v>普和丽</v>
      </c>
      <c r="C237" s="9" t="str">
        <f t="shared" si="19"/>
        <v>1623010121418</v>
      </c>
      <c r="D237" s="9" t="s">
        <v>28</v>
      </c>
      <c r="E237" s="9" t="str">
        <f>"16230035919"</f>
        <v>16230035919</v>
      </c>
      <c r="F237" s="7">
        <v>73.78</v>
      </c>
      <c r="G237" s="7">
        <v>84.1</v>
      </c>
      <c r="H237" s="7">
        <v>79.97</v>
      </c>
      <c r="I237" s="10"/>
      <c r="J237" s="7">
        <f t="shared" si="14"/>
        <v>79.97</v>
      </c>
      <c r="K237" s="11"/>
    </row>
    <row r="238" spans="1:11" s="1" customFormat="1" ht="15" customHeight="1">
      <c r="A238" s="3">
        <v>235</v>
      </c>
      <c r="B238" s="9" t="str">
        <f>"郜培侠"</f>
        <v>郜培侠</v>
      </c>
      <c r="C238" s="9" t="str">
        <f t="shared" si="19"/>
        <v>1623010121418</v>
      </c>
      <c r="D238" s="9" t="s">
        <v>28</v>
      </c>
      <c r="E238" s="9" t="str">
        <f>"16230035928"</f>
        <v>16230035928</v>
      </c>
      <c r="F238" s="7">
        <v>59.56</v>
      </c>
      <c r="G238" s="7">
        <v>91.1</v>
      </c>
      <c r="H238" s="7">
        <v>78.48</v>
      </c>
      <c r="I238" s="10"/>
      <c r="J238" s="7">
        <f t="shared" si="14"/>
        <v>78.48</v>
      </c>
      <c r="K238" s="11"/>
    </row>
    <row r="239" spans="1:11" s="1" customFormat="1" ht="15" customHeight="1">
      <c r="A239" s="3">
        <v>236</v>
      </c>
      <c r="B239" s="9" t="str">
        <f>"唐晓慧"</f>
        <v>唐晓慧</v>
      </c>
      <c r="C239" s="9" t="str">
        <f aca="true" t="shared" si="20" ref="C239:C247">"1623010120623"</f>
        <v>1623010120623</v>
      </c>
      <c r="D239" s="9" t="s">
        <v>29</v>
      </c>
      <c r="E239" s="9" t="str">
        <f>"16230040309"</f>
        <v>16230040309</v>
      </c>
      <c r="F239" s="7">
        <v>96.98</v>
      </c>
      <c r="G239" s="7">
        <v>100.73</v>
      </c>
      <c r="H239" s="7">
        <v>99.23</v>
      </c>
      <c r="I239" s="10"/>
      <c r="J239" s="7">
        <f t="shared" si="14"/>
        <v>99.23</v>
      </c>
      <c r="K239" s="11"/>
    </row>
    <row r="240" spans="1:11" s="1" customFormat="1" ht="15" customHeight="1">
      <c r="A240" s="3">
        <v>237</v>
      </c>
      <c r="B240" s="9" t="str">
        <f>"曹倩"</f>
        <v>曹倩</v>
      </c>
      <c r="C240" s="9" t="str">
        <f t="shared" si="20"/>
        <v>1623010120623</v>
      </c>
      <c r="D240" s="9" t="s">
        <v>29</v>
      </c>
      <c r="E240" s="9" t="str">
        <f>"16230040227"</f>
        <v>16230040227</v>
      </c>
      <c r="F240" s="7">
        <v>91.2</v>
      </c>
      <c r="G240" s="7">
        <v>104.14</v>
      </c>
      <c r="H240" s="7">
        <v>98.96</v>
      </c>
      <c r="I240" s="10"/>
      <c r="J240" s="7">
        <f t="shared" si="14"/>
        <v>98.96</v>
      </c>
      <c r="K240" s="11"/>
    </row>
    <row r="241" spans="1:11" s="1" customFormat="1" ht="15" customHeight="1">
      <c r="A241" s="3">
        <v>238</v>
      </c>
      <c r="B241" s="9" t="str">
        <f>"汪月月"</f>
        <v>汪月月</v>
      </c>
      <c r="C241" s="9" t="str">
        <f t="shared" si="20"/>
        <v>1623010120623</v>
      </c>
      <c r="D241" s="9" t="s">
        <v>29</v>
      </c>
      <c r="E241" s="9" t="str">
        <f>"16230040216"</f>
        <v>16230040216</v>
      </c>
      <c r="F241" s="7">
        <v>95.98</v>
      </c>
      <c r="G241" s="7">
        <v>99.47</v>
      </c>
      <c r="H241" s="7">
        <v>98.07</v>
      </c>
      <c r="I241" s="10"/>
      <c r="J241" s="7">
        <f t="shared" si="14"/>
        <v>98.07</v>
      </c>
      <c r="K241" s="11"/>
    </row>
    <row r="242" spans="1:11" s="1" customFormat="1" ht="15" customHeight="1">
      <c r="A242" s="3">
        <v>239</v>
      </c>
      <c r="B242" s="9" t="str">
        <f>"苏楠"</f>
        <v>苏楠</v>
      </c>
      <c r="C242" s="9" t="str">
        <f t="shared" si="20"/>
        <v>1623010120623</v>
      </c>
      <c r="D242" s="9" t="s">
        <v>29</v>
      </c>
      <c r="E242" s="9" t="str">
        <f>"16230040102"</f>
        <v>16230040102</v>
      </c>
      <c r="F242" s="7">
        <v>91.98</v>
      </c>
      <c r="G242" s="7">
        <v>101.85</v>
      </c>
      <c r="H242" s="7">
        <v>97.9</v>
      </c>
      <c r="I242" s="10"/>
      <c r="J242" s="7">
        <f t="shared" si="14"/>
        <v>97.9</v>
      </c>
      <c r="K242" s="11"/>
    </row>
    <row r="243" spans="1:11" s="1" customFormat="1" ht="15" customHeight="1">
      <c r="A243" s="3">
        <v>240</v>
      </c>
      <c r="B243" s="9" t="str">
        <f>"苗蕊"</f>
        <v>苗蕊</v>
      </c>
      <c r="C243" s="9" t="str">
        <f t="shared" si="20"/>
        <v>1623010120623</v>
      </c>
      <c r="D243" s="9" t="s">
        <v>29</v>
      </c>
      <c r="E243" s="9" t="str">
        <f>"16230040110"</f>
        <v>16230040110</v>
      </c>
      <c r="F243" s="7">
        <v>92.62</v>
      </c>
      <c r="G243" s="7">
        <v>101.33</v>
      </c>
      <c r="H243" s="7">
        <v>97.85</v>
      </c>
      <c r="I243" s="10"/>
      <c r="J243" s="7">
        <f t="shared" si="14"/>
        <v>97.85</v>
      </c>
      <c r="K243" s="11"/>
    </row>
    <row r="244" spans="1:11" s="1" customFormat="1" ht="15" customHeight="1">
      <c r="A244" s="3">
        <v>241</v>
      </c>
      <c r="B244" s="9" t="str">
        <f>"霍邻临"</f>
        <v>霍邻临</v>
      </c>
      <c r="C244" s="9" t="str">
        <f t="shared" si="20"/>
        <v>1623010120623</v>
      </c>
      <c r="D244" s="9" t="s">
        <v>29</v>
      </c>
      <c r="E244" s="9" t="str">
        <f>"16230040111"</f>
        <v>16230040111</v>
      </c>
      <c r="F244" s="7">
        <v>96.56</v>
      </c>
      <c r="G244" s="7">
        <v>97.9</v>
      </c>
      <c r="H244" s="7">
        <v>97.36</v>
      </c>
      <c r="I244" s="10"/>
      <c r="J244" s="7">
        <f t="shared" si="14"/>
        <v>97.36</v>
      </c>
      <c r="K244" s="11"/>
    </row>
    <row r="245" spans="1:11" s="1" customFormat="1" ht="15" customHeight="1">
      <c r="A245" s="3">
        <v>242</v>
      </c>
      <c r="B245" s="9" t="str">
        <f>"毛若文"</f>
        <v>毛若文</v>
      </c>
      <c r="C245" s="9" t="str">
        <f t="shared" si="20"/>
        <v>1623010120623</v>
      </c>
      <c r="D245" s="9" t="s">
        <v>29</v>
      </c>
      <c r="E245" s="9" t="str">
        <f>"16230040206"</f>
        <v>16230040206</v>
      </c>
      <c r="F245" s="7">
        <v>91.42</v>
      </c>
      <c r="G245" s="7">
        <v>100.98</v>
      </c>
      <c r="H245" s="7">
        <v>97.16</v>
      </c>
      <c r="I245" s="10"/>
      <c r="J245" s="7">
        <f t="shared" si="14"/>
        <v>97.16</v>
      </c>
      <c r="K245" s="11"/>
    </row>
    <row r="246" spans="1:11" s="1" customFormat="1" ht="15" customHeight="1">
      <c r="A246" s="3">
        <v>243</v>
      </c>
      <c r="B246" s="9" t="str">
        <f>"张景娟"</f>
        <v>张景娟</v>
      </c>
      <c r="C246" s="9" t="str">
        <f t="shared" si="20"/>
        <v>1623010120623</v>
      </c>
      <c r="D246" s="9" t="s">
        <v>29</v>
      </c>
      <c r="E246" s="9" t="str">
        <f>"16230040128"</f>
        <v>16230040128</v>
      </c>
      <c r="F246" s="7">
        <v>88.98</v>
      </c>
      <c r="G246" s="7">
        <v>101.66</v>
      </c>
      <c r="H246" s="7">
        <v>96.59</v>
      </c>
      <c r="I246" s="10"/>
      <c r="J246" s="7">
        <f t="shared" si="14"/>
        <v>96.59</v>
      </c>
      <c r="K246" s="11"/>
    </row>
    <row r="247" spans="1:11" s="1" customFormat="1" ht="15" customHeight="1">
      <c r="A247" s="3">
        <v>244</v>
      </c>
      <c r="B247" s="9" t="str">
        <f>"王雪怡"</f>
        <v>王雪怡</v>
      </c>
      <c r="C247" s="9" t="str">
        <f t="shared" si="20"/>
        <v>1623010120623</v>
      </c>
      <c r="D247" s="9" t="s">
        <v>29</v>
      </c>
      <c r="E247" s="9" t="str">
        <f>"16230040103"</f>
        <v>16230040103</v>
      </c>
      <c r="F247" s="7">
        <v>90.92</v>
      </c>
      <c r="G247" s="7">
        <v>100.05</v>
      </c>
      <c r="H247" s="7">
        <v>96.4</v>
      </c>
      <c r="I247" s="10"/>
      <c r="J247" s="7">
        <f t="shared" si="14"/>
        <v>96.4</v>
      </c>
      <c r="K247" s="11"/>
    </row>
    <row r="248" spans="1:11" s="1" customFormat="1" ht="15" customHeight="1">
      <c r="A248" s="3">
        <v>245</v>
      </c>
      <c r="B248" s="9" t="str">
        <f>"魏宇"</f>
        <v>魏宇</v>
      </c>
      <c r="C248" s="9" t="str">
        <f aca="true" t="shared" si="21" ref="C248:C256">"1623010120624"</f>
        <v>1623010120624</v>
      </c>
      <c r="D248" s="9" t="s">
        <v>30</v>
      </c>
      <c r="E248" s="9" t="str">
        <f>"16230040507"</f>
        <v>16230040507</v>
      </c>
      <c r="F248" s="7">
        <v>94.56</v>
      </c>
      <c r="G248" s="7">
        <v>105.51</v>
      </c>
      <c r="H248" s="7">
        <v>101.13</v>
      </c>
      <c r="I248" s="10"/>
      <c r="J248" s="7">
        <f t="shared" si="14"/>
        <v>101.13</v>
      </c>
      <c r="K248" s="11"/>
    </row>
    <row r="249" spans="1:11" s="1" customFormat="1" ht="15" customHeight="1">
      <c r="A249" s="3">
        <v>246</v>
      </c>
      <c r="B249" s="9" t="str">
        <f>"王思浩"</f>
        <v>王思浩</v>
      </c>
      <c r="C249" s="9" t="str">
        <f t="shared" si="21"/>
        <v>1623010120624</v>
      </c>
      <c r="D249" s="9" t="s">
        <v>30</v>
      </c>
      <c r="E249" s="9" t="str">
        <f>"16230040606"</f>
        <v>16230040606</v>
      </c>
      <c r="F249" s="7">
        <v>94.18</v>
      </c>
      <c r="G249" s="7">
        <v>102.12</v>
      </c>
      <c r="H249" s="7">
        <v>98.94</v>
      </c>
      <c r="I249" s="10"/>
      <c r="J249" s="7">
        <f t="shared" si="14"/>
        <v>98.94</v>
      </c>
      <c r="K249" s="11"/>
    </row>
    <row r="250" spans="1:11" s="1" customFormat="1" ht="15" customHeight="1">
      <c r="A250" s="3">
        <v>247</v>
      </c>
      <c r="B250" s="9" t="str">
        <f>"房洁"</f>
        <v>房洁</v>
      </c>
      <c r="C250" s="9" t="str">
        <f t="shared" si="21"/>
        <v>1623010120624</v>
      </c>
      <c r="D250" s="9" t="s">
        <v>30</v>
      </c>
      <c r="E250" s="9" t="str">
        <f>"16230040617"</f>
        <v>16230040617</v>
      </c>
      <c r="F250" s="7">
        <v>95.36</v>
      </c>
      <c r="G250" s="7">
        <v>100.55</v>
      </c>
      <c r="H250" s="7">
        <v>98.47</v>
      </c>
      <c r="I250" s="10"/>
      <c r="J250" s="7">
        <f t="shared" si="14"/>
        <v>98.47</v>
      </c>
      <c r="K250" s="11"/>
    </row>
    <row r="251" spans="1:11" s="1" customFormat="1" ht="15" customHeight="1">
      <c r="A251" s="3">
        <v>248</v>
      </c>
      <c r="B251" s="9" t="str">
        <f>"张顺宝"</f>
        <v>张顺宝</v>
      </c>
      <c r="C251" s="9" t="str">
        <f t="shared" si="21"/>
        <v>1623010120624</v>
      </c>
      <c r="D251" s="9" t="s">
        <v>30</v>
      </c>
      <c r="E251" s="9" t="str">
        <f>"16230040410"</f>
        <v>16230040410</v>
      </c>
      <c r="F251" s="7">
        <v>92.74</v>
      </c>
      <c r="G251" s="7">
        <v>101.67</v>
      </c>
      <c r="H251" s="7">
        <v>98.1</v>
      </c>
      <c r="I251" s="10"/>
      <c r="J251" s="7">
        <f t="shared" si="14"/>
        <v>98.1</v>
      </c>
      <c r="K251" s="11"/>
    </row>
    <row r="252" spans="1:11" s="1" customFormat="1" ht="15" customHeight="1">
      <c r="A252" s="3">
        <v>249</v>
      </c>
      <c r="B252" s="9" t="str">
        <f>"杨龙云"</f>
        <v>杨龙云</v>
      </c>
      <c r="C252" s="9" t="str">
        <f t="shared" si="21"/>
        <v>1623010120624</v>
      </c>
      <c r="D252" s="9" t="s">
        <v>30</v>
      </c>
      <c r="E252" s="9" t="str">
        <f>"16230040608"</f>
        <v>16230040608</v>
      </c>
      <c r="F252" s="7">
        <v>93.74</v>
      </c>
      <c r="G252" s="7">
        <v>100.93</v>
      </c>
      <c r="H252" s="7">
        <v>98.05</v>
      </c>
      <c r="I252" s="10"/>
      <c r="J252" s="7">
        <f t="shared" si="14"/>
        <v>98.05</v>
      </c>
      <c r="K252" s="11"/>
    </row>
    <row r="253" spans="1:11" s="1" customFormat="1" ht="15" customHeight="1">
      <c r="A253" s="3">
        <v>250</v>
      </c>
      <c r="B253" s="9" t="str">
        <f>"康啊敏"</f>
        <v>康啊敏</v>
      </c>
      <c r="C253" s="9" t="str">
        <f t="shared" si="21"/>
        <v>1623010120624</v>
      </c>
      <c r="D253" s="9" t="s">
        <v>30</v>
      </c>
      <c r="E253" s="9" t="str">
        <f>"16230040427"</f>
        <v>16230040427</v>
      </c>
      <c r="F253" s="7">
        <v>94.12</v>
      </c>
      <c r="G253" s="7">
        <v>99.44</v>
      </c>
      <c r="H253" s="7">
        <v>97.31</v>
      </c>
      <c r="I253" s="10"/>
      <c r="J253" s="7">
        <f t="shared" si="14"/>
        <v>97.31</v>
      </c>
      <c r="K253" s="11"/>
    </row>
    <row r="254" spans="1:11" s="1" customFormat="1" ht="15" customHeight="1">
      <c r="A254" s="3">
        <v>251</v>
      </c>
      <c r="B254" s="9" t="str">
        <f>"袁欢"</f>
        <v>袁欢</v>
      </c>
      <c r="C254" s="9" t="str">
        <f t="shared" si="21"/>
        <v>1623010120624</v>
      </c>
      <c r="D254" s="9" t="s">
        <v>30</v>
      </c>
      <c r="E254" s="9" t="str">
        <f>"16230040416"</f>
        <v>16230040416</v>
      </c>
      <c r="F254" s="7">
        <v>90.82</v>
      </c>
      <c r="G254" s="7">
        <v>100.56</v>
      </c>
      <c r="H254" s="7">
        <v>96.66</v>
      </c>
      <c r="I254" s="10"/>
      <c r="J254" s="7">
        <f t="shared" si="14"/>
        <v>96.66</v>
      </c>
      <c r="K254" s="11"/>
    </row>
    <row r="255" spans="1:11" s="1" customFormat="1" ht="15" customHeight="1">
      <c r="A255" s="3">
        <v>252</v>
      </c>
      <c r="B255" s="9" t="str">
        <f>"周瑾"</f>
        <v>周瑾</v>
      </c>
      <c r="C255" s="9" t="str">
        <f t="shared" si="21"/>
        <v>1623010120624</v>
      </c>
      <c r="D255" s="9" t="s">
        <v>30</v>
      </c>
      <c r="E255" s="9" t="str">
        <f>"16230040418"</f>
        <v>16230040418</v>
      </c>
      <c r="F255" s="7">
        <v>90.3</v>
      </c>
      <c r="G255" s="7">
        <v>99.86</v>
      </c>
      <c r="H255" s="7">
        <v>96.04</v>
      </c>
      <c r="I255" s="10"/>
      <c r="J255" s="7">
        <f t="shared" si="14"/>
        <v>96.04</v>
      </c>
      <c r="K255" s="11"/>
    </row>
    <row r="256" spans="1:11" s="1" customFormat="1" ht="15" customHeight="1">
      <c r="A256" s="3">
        <v>253</v>
      </c>
      <c r="B256" s="9" t="str">
        <f>"张宗青"</f>
        <v>张宗青</v>
      </c>
      <c r="C256" s="9" t="str">
        <f t="shared" si="21"/>
        <v>1623010120624</v>
      </c>
      <c r="D256" s="9" t="s">
        <v>30</v>
      </c>
      <c r="E256" s="9" t="str">
        <f>"16230040614"</f>
        <v>16230040614</v>
      </c>
      <c r="F256" s="7">
        <v>93.12</v>
      </c>
      <c r="G256" s="7">
        <v>97.76</v>
      </c>
      <c r="H256" s="7">
        <v>95.9</v>
      </c>
      <c r="I256" s="10"/>
      <c r="J256" s="7">
        <f t="shared" si="14"/>
        <v>95.9</v>
      </c>
      <c r="K256" s="11" t="s">
        <v>84</v>
      </c>
    </row>
    <row r="257" spans="1:11" s="1" customFormat="1" ht="15" customHeight="1">
      <c r="A257" s="3">
        <v>254</v>
      </c>
      <c r="B257" s="9" t="str">
        <f>"刘慧"</f>
        <v>刘慧</v>
      </c>
      <c r="C257" s="9" t="str">
        <f aca="true" t="shared" si="22" ref="C257:C268">"1623010120719"</f>
        <v>1623010120719</v>
      </c>
      <c r="D257" s="9" t="s">
        <v>31</v>
      </c>
      <c r="E257" s="9" t="str">
        <f>"16230044821"</f>
        <v>16230044821</v>
      </c>
      <c r="F257" s="7">
        <v>94.48</v>
      </c>
      <c r="G257" s="7">
        <v>103.77</v>
      </c>
      <c r="H257" s="7">
        <v>100.05</v>
      </c>
      <c r="I257" s="10"/>
      <c r="J257" s="7">
        <f t="shared" si="14"/>
        <v>100.05</v>
      </c>
      <c r="K257" s="11"/>
    </row>
    <row r="258" spans="1:11" s="1" customFormat="1" ht="15" customHeight="1">
      <c r="A258" s="3">
        <v>255</v>
      </c>
      <c r="B258" s="9" t="str">
        <f>"李梦晨"</f>
        <v>李梦晨</v>
      </c>
      <c r="C258" s="9" t="str">
        <f t="shared" si="22"/>
        <v>1623010120719</v>
      </c>
      <c r="D258" s="9" t="s">
        <v>31</v>
      </c>
      <c r="E258" s="9" t="str">
        <f>"16230044826"</f>
        <v>16230044826</v>
      </c>
      <c r="F258" s="7">
        <v>97.18</v>
      </c>
      <c r="G258" s="7">
        <v>99.87</v>
      </c>
      <c r="H258" s="7">
        <v>98.79</v>
      </c>
      <c r="I258" s="10"/>
      <c r="J258" s="7">
        <f t="shared" si="14"/>
        <v>98.79</v>
      </c>
      <c r="K258" s="11"/>
    </row>
    <row r="259" spans="1:11" s="1" customFormat="1" ht="15" customHeight="1">
      <c r="A259" s="3">
        <v>256</v>
      </c>
      <c r="B259" s="9" t="str">
        <f>"马奇娜"</f>
        <v>马奇娜</v>
      </c>
      <c r="C259" s="9" t="str">
        <f t="shared" si="22"/>
        <v>1623010120719</v>
      </c>
      <c r="D259" s="9" t="s">
        <v>31</v>
      </c>
      <c r="E259" s="9" t="str">
        <f>"16230044822"</f>
        <v>16230044822</v>
      </c>
      <c r="F259" s="7">
        <v>91.72</v>
      </c>
      <c r="G259" s="7">
        <v>95.69</v>
      </c>
      <c r="H259" s="7">
        <v>94.1</v>
      </c>
      <c r="I259" s="10"/>
      <c r="J259" s="7">
        <f t="shared" si="14"/>
        <v>94.1</v>
      </c>
      <c r="K259" s="11"/>
    </row>
    <row r="260" spans="1:11" s="1" customFormat="1" ht="15" customHeight="1">
      <c r="A260" s="3">
        <v>257</v>
      </c>
      <c r="B260" s="9" t="str">
        <f>"顾一欣"</f>
        <v>顾一欣</v>
      </c>
      <c r="C260" s="9" t="str">
        <f t="shared" si="22"/>
        <v>1623010120719</v>
      </c>
      <c r="D260" s="9" t="s">
        <v>31</v>
      </c>
      <c r="E260" s="9" t="str">
        <f>"16230044720"</f>
        <v>16230044720</v>
      </c>
      <c r="F260" s="7">
        <v>85.04</v>
      </c>
      <c r="G260" s="7">
        <v>96.25</v>
      </c>
      <c r="H260" s="7">
        <v>91.77</v>
      </c>
      <c r="I260" s="10"/>
      <c r="J260" s="7">
        <f aca="true" t="shared" si="23" ref="J260:J323">H260+I260</f>
        <v>91.77</v>
      </c>
      <c r="K260" s="11"/>
    </row>
    <row r="261" spans="1:11" s="1" customFormat="1" ht="15" customHeight="1">
      <c r="A261" s="3">
        <v>258</v>
      </c>
      <c r="B261" s="9" t="str">
        <f>"柳雨晴"</f>
        <v>柳雨晴</v>
      </c>
      <c r="C261" s="9" t="str">
        <f t="shared" si="22"/>
        <v>1623010120719</v>
      </c>
      <c r="D261" s="9" t="s">
        <v>31</v>
      </c>
      <c r="E261" s="9" t="str">
        <f>"16230044829"</f>
        <v>16230044829</v>
      </c>
      <c r="F261" s="7">
        <v>81.14</v>
      </c>
      <c r="G261" s="7">
        <v>96.92</v>
      </c>
      <c r="H261" s="7">
        <v>90.61</v>
      </c>
      <c r="I261" s="10"/>
      <c r="J261" s="7">
        <f t="shared" si="23"/>
        <v>90.61</v>
      </c>
      <c r="K261" s="11"/>
    </row>
    <row r="262" spans="1:11" s="1" customFormat="1" ht="15" customHeight="1">
      <c r="A262" s="3">
        <v>259</v>
      </c>
      <c r="B262" s="9" t="str">
        <f>"李新悦"</f>
        <v>李新悦</v>
      </c>
      <c r="C262" s="9" t="str">
        <f t="shared" si="22"/>
        <v>1623010120719</v>
      </c>
      <c r="D262" s="9" t="s">
        <v>31</v>
      </c>
      <c r="E262" s="9" t="str">
        <f>"16230044819"</f>
        <v>16230044819</v>
      </c>
      <c r="F262" s="7">
        <v>87.78</v>
      </c>
      <c r="G262" s="7">
        <v>91.26</v>
      </c>
      <c r="H262" s="7">
        <v>89.87</v>
      </c>
      <c r="I262" s="10"/>
      <c r="J262" s="7">
        <f t="shared" si="23"/>
        <v>89.87</v>
      </c>
      <c r="K262" s="11"/>
    </row>
    <row r="263" spans="1:11" s="1" customFormat="1" ht="15" customHeight="1">
      <c r="A263" s="3">
        <v>260</v>
      </c>
      <c r="B263" s="9" t="str">
        <f>"王原驰"</f>
        <v>王原驰</v>
      </c>
      <c r="C263" s="9" t="str">
        <f t="shared" si="22"/>
        <v>1623010120719</v>
      </c>
      <c r="D263" s="9" t="s">
        <v>31</v>
      </c>
      <c r="E263" s="9" t="str">
        <f>"16230044719"</f>
        <v>16230044719</v>
      </c>
      <c r="F263" s="7">
        <v>82.42</v>
      </c>
      <c r="G263" s="7">
        <v>94.28</v>
      </c>
      <c r="H263" s="7">
        <v>89.54</v>
      </c>
      <c r="I263" s="10"/>
      <c r="J263" s="7">
        <f t="shared" si="23"/>
        <v>89.54</v>
      </c>
      <c r="K263" s="11"/>
    </row>
    <row r="264" spans="1:11" s="1" customFormat="1" ht="15" customHeight="1">
      <c r="A264" s="3">
        <v>261</v>
      </c>
      <c r="B264" s="9" t="str">
        <f>"张米雪"</f>
        <v>张米雪</v>
      </c>
      <c r="C264" s="9" t="str">
        <f t="shared" si="22"/>
        <v>1623010120719</v>
      </c>
      <c r="D264" s="9" t="s">
        <v>31</v>
      </c>
      <c r="E264" s="9" t="str">
        <f>"16230044816"</f>
        <v>16230044816</v>
      </c>
      <c r="F264" s="7">
        <v>86.12</v>
      </c>
      <c r="G264" s="7">
        <v>91.59</v>
      </c>
      <c r="H264" s="7">
        <v>89.4</v>
      </c>
      <c r="I264" s="10"/>
      <c r="J264" s="7">
        <f t="shared" si="23"/>
        <v>89.4</v>
      </c>
      <c r="K264" s="11"/>
    </row>
    <row r="265" spans="1:11" s="1" customFormat="1" ht="15" customHeight="1">
      <c r="A265" s="3">
        <v>262</v>
      </c>
      <c r="B265" s="9" t="str">
        <f>"李晓雪"</f>
        <v>李晓雪</v>
      </c>
      <c r="C265" s="9" t="str">
        <f t="shared" si="22"/>
        <v>1623010120719</v>
      </c>
      <c r="D265" s="9" t="s">
        <v>31</v>
      </c>
      <c r="E265" s="9" t="str">
        <f>"16230044718"</f>
        <v>16230044718</v>
      </c>
      <c r="F265" s="7">
        <v>81.2</v>
      </c>
      <c r="G265" s="7">
        <v>94.16</v>
      </c>
      <c r="H265" s="7">
        <v>88.98</v>
      </c>
      <c r="I265" s="10"/>
      <c r="J265" s="7">
        <f t="shared" si="23"/>
        <v>88.98</v>
      </c>
      <c r="K265" s="11"/>
    </row>
    <row r="266" spans="1:11" s="1" customFormat="1" ht="15" customHeight="1">
      <c r="A266" s="3">
        <v>263</v>
      </c>
      <c r="B266" s="9" t="str">
        <f>"周郁达"</f>
        <v>周郁达</v>
      </c>
      <c r="C266" s="9" t="str">
        <f t="shared" si="22"/>
        <v>1623010120719</v>
      </c>
      <c r="D266" s="9" t="s">
        <v>31</v>
      </c>
      <c r="E266" s="9" t="str">
        <f>"16230044811"</f>
        <v>16230044811</v>
      </c>
      <c r="F266" s="7">
        <v>85.56</v>
      </c>
      <c r="G266" s="7">
        <v>91.24</v>
      </c>
      <c r="H266" s="7">
        <v>88.97</v>
      </c>
      <c r="I266" s="10"/>
      <c r="J266" s="7">
        <f t="shared" si="23"/>
        <v>88.97</v>
      </c>
      <c r="K266" s="11"/>
    </row>
    <row r="267" spans="1:11" s="1" customFormat="1" ht="15" customHeight="1">
      <c r="A267" s="3">
        <v>264</v>
      </c>
      <c r="B267" s="9" t="str">
        <f>"曹钰青"</f>
        <v>曹钰青</v>
      </c>
      <c r="C267" s="9" t="str">
        <f t="shared" si="22"/>
        <v>1623010120719</v>
      </c>
      <c r="D267" s="9" t="s">
        <v>31</v>
      </c>
      <c r="E267" s="9" t="str">
        <f>"16230044813"</f>
        <v>16230044813</v>
      </c>
      <c r="F267" s="7">
        <v>85.86</v>
      </c>
      <c r="G267" s="7">
        <v>90.98</v>
      </c>
      <c r="H267" s="7">
        <v>88.93</v>
      </c>
      <c r="I267" s="10"/>
      <c r="J267" s="7">
        <f t="shared" si="23"/>
        <v>88.93</v>
      </c>
      <c r="K267" s="11"/>
    </row>
    <row r="268" spans="1:11" s="1" customFormat="1" ht="15" customHeight="1">
      <c r="A268" s="3">
        <v>265</v>
      </c>
      <c r="B268" s="9" t="str">
        <f>"罗梦琰"</f>
        <v>罗梦琰</v>
      </c>
      <c r="C268" s="9" t="str">
        <f t="shared" si="22"/>
        <v>1623010120719</v>
      </c>
      <c r="D268" s="9" t="s">
        <v>31</v>
      </c>
      <c r="E268" s="9" t="str">
        <f>"16230044815"</f>
        <v>16230044815</v>
      </c>
      <c r="F268" s="7">
        <v>88.44</v>
      </c>
      <c r="G268" s="7">
        <v>88.54</v>
      </c>
      <c r="H268" s="7">
        <v>88.5</v>
      </c>
      <c r="I268" s="10"/>
      <c r="J268" s="7">
        <f t="shared" si="23"/>
        <v>88.5</v>
      </c>
      <c r="K268" s="11"/>
    </row>
    <row r="269" spans="1:11" s="1" customFormat="1" ht="15" customHeight="1">
      <c r="A269" s="3">
        <v>266</v>
      </c>
      <c r="B269" s="9" t="str">
        <f>"陈然"</f>
        <v>陈然</v>
      </c>
      <c r="C269" s="9" t="str">
        <f aca="true" t="shared" si="24" ref="C269:C277">"1623010120720"</f>
        <v>1623010120720</v>
      </c>
      <c r="D269" s="9" t="s">
        <v>32</v>
      </c>
      <c r="E269" s="9" t="str">
        <f>"16230044901"</f>
        <v>16230044901</v>
      </c>
      <c r="F269" s="7">
        <v>97.5</v>
      </c>
      <c r="G269" s="7">
        <v>96.07</v>
      </c>
      <c r="H269" s="7">
        <v>96.64</v>
      </c>
      <c r="I269" s="10"/>
      <c r="J269" s="7">
        <f t="shared" si="23"/>
        <v>96.64</v>
      </c>
      <c r="K269" s="11"/>
    </row>
    <row r="270" spans="1:11" s="1" customFormat="1" ht="15" customHeight="1">
      <c r="A270" s="3">
        <v>267</v>
      </c>
      <c r="B270" s="9" t="str">
        <f>"刘文珠"</f>
        <v>刘文珠</v>
      </c>
      <c r="C270" s="9" t="str">
        <f t="shared" si="24"/>
        <v>1623010120720</v>
      </c>
      <c r="D270" s="9" t="s">
        <v>32</v>
      </c>
      <c r="E270" s="9" t="str">
        <f>"16230044902"</f>
        <v>16230044902</v>
      </c>
      <c r="F270" s="7">
        <v>91.76</v>
      </c>
      <c r="G270" s="7">
        <v>94.74</v>
      </c>
      <c r="H270" s="7">
        <v>93.55</v>
      </c>
      <c r="I270" s="10"/>
      <c r="J270" s="7">
        <f t="shared" si="23"/>
        <v>93.55</v>
      </c>
      <c r="K270" s="11"/>
    </row>
    <row r="271" spans="1:11" s="1" customFormat="1" ht="15" customHeight="1">
      <c r="A271" s="3">
        <v>268</v>
      </c>
      <c r="B271" s="9" t="str">
        <f>"李思其"</f>
        <v>李思其</v>
      </c>
      <c r="C271" s="9" t="str">
        <f t="shared" si="24"/>
        <v>1623010120720</v>
      </c>
      <c r="D271" s="9" t="s">
        <v>32</v>
      </c>
      <c r="E271" s="9" t="str">
        <f>"16230044917"</f>
        <v>16230044917</v>
      </c>
      <c r="F271" s="7">
        <v>90.42</v>
      </c>
      <c r="G271" s="7">
        <v>84.83</v>
      </c>
      <c r="H271" s="7">
        <v>87.07</v>
      </c>
      <c r="I271" s="10"/>
      <c r="J271" s="7">
        <f t="shared" si="23"/>
        <v>87.07</v>
      </c>
      <c r="K271" s="11"/>
    </row>
    <row r="272" spans="1:11" s="1" customFormat="1" ht="15" customHeight="1">
      <c r="A272" s="3">
        <v>269</v>
      </c>
      <c r="B272" s="9" t="str">
        <f>"祁满萍"</f>
        <v>祁满萍</v>
      </c>
      <c r="C272" s="9" t="str">
        <f t="shared" si="24"/>
        <v>1623010120720</v>
      </c>
      <c r="D272" s="9" t="s">
        <v>32</v>
      </c>
      <c r="E272" s="9" t="str">
        <f>"16230044918"</f>
        <v>16230044918</v>
      </c>
      <c r="F272" s="7">
        <v>87.6</v>
      </c>
      <c r="G272" s="7">
        <v>85.53</v>
      </c>
      <c r="H272" s="7">
        <v>86.36</v>
      </c>
      <c r="I272" s="10"/>
      <c r="J272" s="7">
        <f t="shared" si="23"/>
        <v>86.36</v>
      </c>
      <c r="K272" s="11"/>
    </row>
    <row r="273" spans="1:11" s="1" customFormat="1" ht="15" customHeight="1">
      <c r="A273" s="3">
        <v>270</v>
      </c>
      <c r="B273" s="9" t="str">
        <f>"陈双方"</f>
        <v>陈双方</v>
      </c>
      <c r="C273" s="9" t="str">
        <f t="shared" si="24"/>
        <v>1623010120720</v>
      </c>
      <c r="D273" s="9" t="s">
        <v>32</v>
      </c>
      <c r="E273" s="9" t="str">
        <f>"16230044919"</f>
        <v>16230044919</v>
      </c>
      <c r="F273" s="7">
        <v>80.6</v>
      </c>
      <c r="G273" s="7">
        <v>87.06</v>
      </c>
      <c r="H273" s="7">
        <v>84.48</v>
      </c>
      <c r="I273" s="10"/>
      <c r="J273" s="7">
        <f t="shared" si="23"/>
        <v>84.48</v>
      </c>
      <c r="K273" s="11"/>
    </row>
    <row r="274" spans="1:11" s="1" customFormat="1" ht="15" customHeight="1">
      <c r="A274" s="3">
        <v>271</v>
      </c>
      <c r="B274" s="9" t="str">
        <f>"王敬"</f>
        <v>王敬</v>
      </c>
      <c r="C274" s="9" t="str">
        <f t="shared" si="24"/>
        <v>1623010120720</v>
      </c>
      <c r="D274" s="9" t="s">
        <v>32</v>
      </c>
      <c r="E274" s="9" t="str">
        <f>"16230044913"</f>
        <v>16230044913</v>
      </c>
      <c r="F274" s="7">
        <v>82.3</v>
      </c>
      <c r="G274" s="7">
        <v>85.82</v>
      </c>
      <c r="H274" s="7">
        <v>84.41</v>
      </c>
      <c r="I274" s="10"/>
      <c r="J274" s="7">
        <f t="shared" si="23"/>
        <v>84.41</v>
      </c>
      <c r="K274" s="11"/>
    </row>
    <row r="275" spans="1:11" s="1" customFormat="1" ht="15" customHeight="1">
      <c r="A275" s="3">
        <v>272</v>
      </c>
      <c r="B275" s="9" t="str">
        <f>"刘嘉诚"</f>
        <v>刘嘉诚</v>
      </c>
      <c r="C275" s="9" t="str">
        <f t="shared" si="24"/>
        <v>1623010120720</v>
      </c>
      <c r="D275" s="9" t="s">
        <v>32</v>
      </c>
      <c r="E275" s="9" t="str">
        <f>"16230044909"</f>
        <v>16230044909</v>
      </c>
      <c r="F275" s="7">
        <v>84.76</v>
      </c>
      <c r="G275" s="7">
        <v>83.84</v>
      </c>
      <c r="H275" s="7">
        <v>84.21</v>
      </c>
      <c r="I275" s="10"/>
      <c r="J275" s="7">
        <f t="shared" si="23"/>
        <v>84.21</v>
      </c>
      <c r="K275" s="11"/>
    </row>
    <row r="276" spans="1:11" s="1" customFormat="1" ht="15" customHeight="1">
      <c r="A276" s="3">
        <v>273</v>
      </c>
      <c r="B276" s="9" t="str">
        <f>"毛远洁"</f>
        <v>毛远洁</v>
      </c>
      <c r="C276" s="9" t="str">
        <f t="shared" si="24"/>
        <v>1623010120720</v>
      </c>
      <c r="D276" s="9" t="s">
        <v>32</v>
      </c>
      <c r="E276" s="9" t="str">
        <f>"16230044910"</f>
        <v>16230044910</v>
      </c>
      <c r="F276" s="7">
        <v>87.78</v>
      </c>
      <c r="G276" s="7">
        <v>80.6</v>
      </c>
      <c r="H276" s="7">
        <v>83.47</v>
      </c>
      <c r="I276" s="10"/>
      <c r="J276" s="7">
        <f t="shared" si="23"/>
        <v>83.47</v>
      </c>
      <c r="K276" s="11"/>
    </row>
    <row r="277" spans="1:11" s="1" customFormat="1" ht="15" customHeight="1">
      <c r="A277" s="3">
        <v>274</v>
      </c>
      <c r="B277" s="9" t="str">
        <f>"陆蒙蒙"</f>
        <v>陆蒙蒙</v>
      </c>
      <c r="C277" s="9" t="str">
        <f t="shared" si="24"/>
        <v>1623010120720</v>
      </c>
      <c r="D277" s="9" t="s">
        <v>32</v>
      </c>
      <c r="E277" s="9" t="str">
        <f>"16230044923"</f>
        <v>16230044923</v>
      </c>
      <c r="F277" s="7">
        <v>72.1</v>
      </c>
      <c r="G277" s="7">
        <v>89.05</v>
      </c>
      <c r="H277" s="7">
        <v>82.27</v>
      </c>
      <c r="I277" s="10"/>
      <c r="J277" s="7">
        <f t="shared" si="23"/>
        <v>82.27</v>
      </c>
      <c r="K277" s="11"/>
    </row>
    <row r="278" spans="1:11" s="1" customFormat="1" ht="15" customHeight="1">
      <c r="A278" s="3">
        <v>275</v>
      </c>
      <c r="B278" s="9" t="str">
        <f>"刘文莲"</f>
        <v>刘文莲</v>
      </c>
      <c r="C278" s="9" t="str">
        <f aca="true" t="shared" si="25" ref="C278:C292">"1623010120821"</f>
        <v>1623010120821</v>
      </c>
      <c r="D278" s="9" t="s">
        <v>33</v>
      </c>
      <c r="E278" s="9" t="str">
        <f>"16230044314"</f>
        <v>16230044314</v>
      </c>
      <c r="F278" s="7">
        <v>90.34</v>
      </c>
      <c r="G278" s="7">
        <v>95.91</v>
      </c>
      <c r="H278" s="7">
        <v>93.68</v>
      </c>
      <c r="I278" s="10"/>
      <c r="J278" s="7">
        <f t="shared" si="23"/>
        <v>93.68</v>
      </c>
      <c r="K278" s="11"/>
    </row>
    <row r="279" spans="1:11" s="1" customFormat="1" ht="15" customHeight="1">
      <c r="A279" s="3">
        <v>276</v>
      </c>
      <c r="B279" s="9" t="str">
        <f>"陶玉恒"</f>
        <v>陶玉恒</v>
      </c>
      <c r="C279" s="9" t="str">
        <f t="shared" si="25"/>
        <v>1623010120821</v>
      </c>
      <c r="D279" s="9" t="s">
        <v>33</v>
      </c>
      <c r="E279" s="9" t="str">
        <f>"16230044211"</f>
        <v>16230044211</v>
      </c>
      <c r="F279" s="7">
        <v>89.98</v>
      </c>
      <c r="G279" s="7">
        <v>93.17</v>
      </c>
      <c r="H279" s="7">
        <v>91.89</v>
      </c>
      <c r="I279" s="10"/>
      <c r="J279" s="7">
        <f t="shared" si="23"/>
        <v>91.89</v>
      </c>
      <c r="K279" s="11"/>
    </row>
    <row r="280" spans="1:11" s="1" customFormat="1" ht="15" customHeight="1">
      <c r="A280" s="3">
        <v>277</v>
      </c>
      <c r="B280" s="9" t="str">
        <f>"周然"</f>
        <v>周然</v>
      </c>
      <c r="C280" s="9" t="str">
        <f t="shared" si="25"/>
        <v>1623010120821</v>
      </c>
      <c r="D280" s="9" t="s">
        <v>33</v>
      </c>
      <c r="E280" s="9" t="str">
        <f>"16230044209"</f>
        <v>16230044209</v>
      </c>
      <c r="F280" s="7">
        <v>95.18</v>
      </c>
      <c r="G280" s="7">
        <v>89.01</v>
      </c>
      <c r="H280" s="7">
        <v>91.48</v>
      </c>
      <c r="I280" s="10"/>
      <c r="J280" s="7">
        <f t="shared" si="23"/>
        <v>91.48</v>
      </c>
      <c r="K280" s="11"/>
    </row>
    <row r="281" spans="1:11" s="1" customFormat="1" ht="15" customHeight="1">
      <c r="A281" s="3">
        <v>278</v>
      </c>
      <c r="B281" s="9" t="str">
        <f>"冯泓钧"</f>
        <v>冯泓钧</v>
      </c>
      <c r="C281" s="9" t="str">
        <f t="shared" si="25"/>
        <v>1623010120821</v>
      </c>
      <c r="D281" s="9" t="s">
        <v>33</v>
      </c>
      <c r="E281" s="9" t="str">
        <f>"16230044303"</f>
        <v>16230044303</v>
      </c>
      <c r="F281" s="7">
        <v>80.98</v>
      </c>
      <c r="G281" s="7">
        <v>97.99</v>
      </c>
      <c r="H281" s="7">
        <v>91.19</v>
      </c>
      <c r="I281" s="10"/>
      <c r="J281" s="7">
        <f t="shared" si="23"/>
        <v>91.19</v>
      </c>
      <c r="K281" s="11"/>
    </row>
    <row r="282" spans="1:11" s="1" customFormat="1" ht="15" customHeight="1">
      <c r="A282" s="3">
        <v>279</v>
      </c>
      <c r="B282" s="9" t="str">
        <f>"刘礼"</f>
        <v>刘礼</v>
      </c>
      <c r="C282" s="9" t="str">
        <f t="shared" si="25"/>
        <v>1623010120821</v>
      </c>
      <c r="D282" s="9" t="s">
        <v>33</v>
      </c>
      <c r="E282" s="9" t="str">
        <f>"16230044230"</f>
        <v>16230044230</v>
      </c>
      <c r="F282" s="7">
        <v>91.42</v>
      </c>
      <c r="G282" s="7">
        <v>88.53</v>
      </c>
      <c r="H282" s="7">
        <v>89.69</v>
      </c>
      <c r="I282" s="10"/>
      <c r="J282" s="7">
        <f t="shared" si="23"/>
        <v>89.69</v>
      </c>
      <c r="K282" s="11"/>
    </row>
    <row r="283" spans="1:11" s="1" customFormat="1" ht="15" customHeight="1">
      <c r="A283" s="3">
        <v>280</v>
      </c>
      <c r="B283" s="9" t="str">
        <f>"李猛"</f>
        <v>李猛</v>
      </c>
      <c r="C283" s="9" t="str">
        <f t="shared" si="25"/>
        <v>1623010120821</v>
      </c>
      <c r="D283" s="9" t="s">
        <v>33</v>
      </c>
      <c r="E283" s="9" t="str">
        <f>"16230044221"</f>
        <v>16230044221</v>
      </c>
      <c r="F283" s="7">
        <v>87.8</v>
      </c>
      <c r="G283" s="7">
        <v>90.13</v>
      </c>
      <c r="H283" s="7">
        <v>89.2</v>
      </c>
      <c r="I283" s="10"/>
      <c r="J283" s="7">
        <f t="shared" si="23"/>
        <v>89.2</v>
      </c>
      <c r="K283" s="11"/>
    </row>
    <row r="284" spans="1:11" s="1" customFormat="1" ht="15" customHeight="1">
      <c r="A284" s="3">
        <v>281</v>
      </c>
      <c r="B284" s="9" t="str">
        <f>"毛建升"</f>
        <v>毛建升</v>
      </c>
      <c r="C284" s="9" t="str">
        <f t="shared" si="25"/>
        <v>1623010120821</v>
      </c>
      <c r="D284" s="9" t="s">
        <v>33</v>
      </c>
      <c r="E284" s="9" t="str">
        <f>"16230044208"</f>
        <v>16230044208</v>
      </c>
      <c r="F284" s="7">
        <v>89.32</v>
      </c>
      <c r="G284" s="7">
        <v>88.49</v>
      </c>
      <c r="H284" s="7">
        <v>88.82</v>
      </c>
      <c r="I284" s="10"/>
      <c r="J284" s="7">
        <f t="shared" si="23"/>
        <v>88.82</v>
      </c>
      <c r="K284" s="11"/>
    </row>
    <row r="285" spans="1:11" s="1" customFormat="1" ht="15" customHeight="1">
      <c r="A285" s="3">
        <v>282</v>
      </c>
      <c r="B285" s="9" t="str">
        <f>"付守坤"</f>
        <v>付守坤</v>
      </c>
      <c r="C285" s="9" t="str">
        <f t="shared" si="25"/>
        <v>1623010120821</v>
      </c>
      <c r="D285" s="9" t="s">
        <v>33</v>
      </c>
      <c r="E285" s="9" t="str">
        <f>"16230044215"</f>
        <v>16230044215</v>
      </c>
      <c r="F285" s="7">
        <v>85.36</v>
      </c>
      <c r="G285" s="7">
        <v>90.73</v>
      </c>
      <c r="H285" s="7">
        <v>88.58</v>
      </c>
      <c r="I285" s="10"/>
      <c r="J285" s="7">
        <f t="shared" si="23"/>
        <v>88.58</v>
      </c>
      <c r="K285" s="11"/>
    </row>
    <row r="286" spans="1:11" s="1" customFormat="1" ht="15" customHeight="1">
      <c r="A286" s="3">
        <v>283</v>
      </c>
      <c r="B286" s="9" t="str">
        <f>"高雷"</f>
        <v>高雷</v>
      </c>
      <c r="C286" s="9" t="str">
        <f t="shared" si="25"/>
        <v>1623010120821</v>
      </c>
      <c r="D286" s="9" t="s">
        <v>33</v>
      </c>
      <c r="E286" s="9" t="str">
        <f>"16230044304"</f>
        <v>16230044304</v>
      </c>
      <c r="F286" s="7">
        <v>94.98</v>
      </c>
      <c r="G286" s="7">
        <v>84.32</v>
      </c>
      <c r="H286" s="7">
        <v>88.58</v>
      </c>
      <c r="I286" s="10"/>
      <c r="J286" s="7">
        <f t="shared" si="23"/>
        <v>88.58</v>
      </c>
      <c r="K286" s="11"/>
    </row>
    <row r="287" spans="1:11" s="1" customFormat="1" ht="15" customHeight="1">
      <c r="A287" s="3">
        <v>284</v>
      </c>
      <c r="B287" s="9" t="str">
        <f>"桑妮妮"</f>
        <v>桑妮妮</v>
      </c>
      <c r="C287" s="9" t="str">
        <f t="shared" si="25"/>
        <v>1623010120821</v>
      </c>
      <c r="D287" s="9" t="s">
        <v>33</v>
      </c>
      <c r="E287" s="9" t="str">
        <f>"16230044229"</f>
        <v>16230044229</v>
      </c>
      <c r="F287" s="7">
        <v>86.56</v>
      </c>
      <c r="G287" s="7">
        <v>89.77</v>
      </c>
      <c r="H287" s="7">
        <v>88.49</v>
      </c>
      <c r="I287" s="10"/>
      <c r="J287" s="7">
        <f t="shared" si="23"/>
        <v>88.49</v>
      </c>
      <c r="K287" s="11"/>
    </row>
    <row r="288" spans="1:11" s="1" customFormat="1" ht="15" customHeight="1">
      <c r="A288" s="3">
        <v>285</v>
      </c>
      <c r="B288" s="9" t="str">
        <f>"马强强"</f>
        <v>马强强</v>
      </c>
      <c r="C288" s="9" t="str">
        <f t="shared" si="25"/>
        <v>1623010120821</v>
      </c>
      <c r="D288" s="9" t="s">
        <v>33</v>
      </c>
      <c r="E288" s="9" t="str">
        <f>"16230044218"</f>
        <v>16230044218</v>
      </c>
      <c r="F288" s="7">
        <v>88.2</v>
      </c>
      <c r="G288" s="7">
        <v>88.18</v>
      </c>
      <c r="H288" s="7">
        <v>88.19</v>
      </c>
      <c r="I288" s="10"/>
      <c r="J288" s="7">
        <f t="shared" si="23"/>
        <v>88.19</v>
      </c>
      <c r="K288" s="11"/>
    </row>
    <row r="289" spans="1:11" s="1" customFormat="1" ht="15" customHeight="1">
      <c r="A289" s="3">
        <v>286</v>
      </c>
      <c r="B289" s="9" t="str">
        <f>"李义男"</f>
        <v>李义男</v>
      </c>
      <c r="C289" s="9" t="str">
        <f t="shared" si="25"/>
        <v>1623010120821</v>
      </c>
      <c r="D289" s="9" t="s">
        <v>33</v>
      </c>
      <c r="E289" s="9" t="str">
        <f>"16230044222"</f>
        <v>16230044222</v>
      </c>
      <c r="F289" s="7">
        <v>86.06</v>
      </c>
      <c r="G289" s="7">
        <v>88.85</v>
      </c>
      <c r="H289" s="7">
        <v>87.73</v>
      </c>
      <c r="I289" s="10"/>
      <c r="J289" s="7">
        <f t="shared" si="23"/>
        <v>87.73</v>
      </c>
      <c r="K289" s="11"/>
    </row>
    <row r="290" spans="1:11" s="1" customFormat="1" ht="15" customHeight="1">
      <c r="A290" s="3">
        <v>287</v>
      </c>
      <c r="B290" s="9" t="str">
        <f>"胡明明"</f>
        <v>胡明明</v>
      </c>
      <c r="C290" s="9" t="str">
        <f t="shared" si="25"/>
        <v>1623010120821</v>
      </c>
      <c r="D290" s="9" t="s">
        <v>33</v>
      </c>
      <c r="E290" s="9" t="str">
        <f>"16230044305"</f>
        <v>16230044305</v>
      </c>
      <c r="F290" s="7">
        <v>88.88</v>
      </c>
      <c r="G290" s="7">
        <v>86.04</v>
      </c>
      <c r="H290" s="7">
        <v>87.18</v>
      </c>
      <c r="I290" s="10"/>
      <c r="J290" s="7">
        <f t="shared" si="23"/>
        <v>87.18</v>
      </c>
      <c r="K290" s="11"/>
    </row>
    <row r="291" spans="1:11" s="1" customFormat="1" ht="15" customHeight="1">
      <c r="A291" s="3">
        <v>288</v>
      </c>
      <c r="B291" s="9" t="str">
        <f>"张志强"</f>
        <v>张志强</v>
      </c>
      <c r="C291" s="9" t="str">
        <f t="shared" si="25"/>
        <v>1623010120821</v>
      </c>
      <c r="D291" s="9" t="s">
        <v>33</v>
      </c>
      <c r="E291" s="9" t="str">
        <f>"16230044213"</f>
        <v>16230044213</v>
      </c>
      <c r="F291" s="7">
        <v>80.92</v>
      </c>
      <c r="G291" s="7">
        <v>91.12</v>
      </c>
      <c r="H291" s="7">
        <v>87.04</v>
      </c>
      <c r="I291" s="10"/>
      <c r="J291" s="7">
        <f t="shared" si="23"/>
        <v>87.04</v>
      </c>
      <c r="K291" s="11"/>
    </row>
    <row r="292" spans="1:11" s="1" customFormat="1" ht="15" customHeight="1">
      <c r="A292" s="3">
        <v>289</v>
      </c>
      <c r="B292" s="9" t="str">
        <f>"武志明"</f>
        <v>武志明</v>
      </c>
      <c r="C292" s="9" t="str">
        <f t="shared" si="25"/>
        <v>1623010120821</v>
      </c>
      <c r="D292" s="9" t="s">
        <v>33</v>
      </c>
      <c r="E292" s="9" t="str">
        <f>"16230044312"</f>
        <v>16230044312</v>
      </c>
      <c r="F292" s="7">
        <v>88.06</v>
      </c>
      <c r="G292" s="7">
        <v>86.18</v>
      </c>
      <c r="H292" s="7">
        <v>86.93</v>
      </c>
      <c r="I292" s="10"/>
      <c r="J292" s="7">
        <f t="shared" si="23"/>
        <v>86.93</v>
      </c>
      <c r="K292" s="11"/>
    </row>
    <row r="293" spans="1:11" s="1" customFormat="1" ht="15" customHeight="1">
      <c r="A293" s="3">
        <v>290</v>
      </c>
      <c r="B293" s="9" t="str">
        <f>"许云志"</f>
        <v>许云志</v>
      </c>
      <c r="C293" s="9" t="str">
        <f aca="true" t="shared" si="26" ref="C293:C304">"1623010120822"</f>
        <v>1623010120822</v>
      </c>
      <c r="D293" s="9" t="s">
        <v>34</v>
      </c>
      <c r="E293" s="9" t="str">
        <f>"16230044420"</f>
        <v>16230044420</v>
      </c>
      <c r="F293" s="7">
        <v>92.26</v>
      </c>
      <c r="G293" s="7">
        <v>93.25</v>
      </c>
      <c r="H293" s="7">
        <v>92.85</v>
      </c>
      <c r="I293" s="10"/>
      <c r="J293" s="7">
        <f t="shared" si="23"/>
        <v>92.85</v>
      </c>
      <c r="K293" s="11"/>
    </row>
    <row r="294" spans="1:11" s="1" customFormat="1" ht="15" customHeight="1">
      <c r="A294" s="3">
        <v>291</v>
      </c>
      <c r="B294" s="9" t="str">
        <f>"段伟韬"</f>
        <v>段伟韬</v>
      </c>
      <c r="C294" s="9" t="str">
        <f t="shared" si="26"/>
        <v>1623010120822</v>
      </c>
      <c r="D294" s="9" t="s">
        <v>34</v>
      </c>
      <c r="E294" s="9" t="str">
        <f>"16230044503"</f>
        <v>16230044503</v>
      </c>
      <c r="F294" s="7">
        <v>87.78</v>
      </c>
      <c r="G294" s="7">
        <v>95.72</v>
      </c>
      <c r="H294" s="7">
        <v>92.54</v>
      </c>
      <c r="I294" s="10"/>
      <c r="J294" s="7">
        <f t="shared" si="23"/>
        <v>92.54</v>
      </c>
      <c r="K294" s="11"/>
    </row>
    <row r="295" spans="1:11" s="1" customFormat="1" ht="15" customHeight="1">
      <c r="A295" s="3">
        <v>292</v>
      </c>
      <c r="B295" s="9" t="str">
        <f>"陈聪"</f>
        <v>陈聪</v>
      </c>
      <c r="C295" s="9" t="str">
        <f t="shared" si="26"/>
        <v>1623010120822</v>
      </c>
      <c r="D295" s="9" t="s">
        <v>34</v>
      </c>
      <c r="E295" s="9" t="str">
        <f>"16230044404"</f>
        <v>16230044404</v>
      </c>
      <c r="F295" s="7">
        <v>96.48</v>
      </c>
      <c r="G295" s="7">
        <v>84.95</v>
      </c>
      <c r="H295" s="7">
        <v>89.56</v>
      </c>
      <c r="I295" s="10"/>
      <c r="J295" s="7">
        <f t="shared" si="23"/>
        <v>89.56</v>
      </c>
      <c r="K295" s="11"/>
    </row>
    <row r="296" spans="1:11" s="1" customFormat="1" ht="15" customHeight="1">
      <c r="A296" s="3">
        <v>293</v>
      </c>
      <c r="B296" s="9" t="str">
        <f>"李潇"</f>
        <v>李潇</v>
      </c>
      <c r="C296" s="9" t="str">
        <f t="shared" si="26"/>
        <v>1623010120822</v>
      </c>
      <c r="D296" s="9" t="s">
        <v>34</v>
      </c>
      <c r="E296" s="9" t="str">
        <f>"16230044412"</f>
        <v>16230044412</v>
      </c>
      <c r="F296" s="7">
        <v>80.06</v>
      </c>
      <c r="G296" s="7">
        <v>95.65</v>
      </c>
      <c r="H296" s="7">
        <v>89.41</v>
      </c>
      <c r="I296" s="10"/>
      <c r="J296" s="7">
        <f t="shared" si="23"/>
        <v>89.41</v>
      </c>
      <c r="K296" s="11"/>
    </row>
    <row r="297" spans="1:11" s="1" customFormat="1" ht="15" customHeight="1">
      <c r="A297" s="3">
        <v>294</v>
      </c>
      <c r="B297" s="9" t="str">
        <f>"刘伟男"</f>
        <v>刘伟男</v>
      </c>
      <c r="C297" s="9" t="str">
        <f t="shared" si="26"/>
        <v>1623010120822</v>
      </c>
      <c r="D297" s="9" t="s">
        <v>34</v>
      </c>
      <c r="E297" s="9" t="str">
        <f>"16230044417"</f>
        <v>16230044417</v>
      </c>
      <c r="F297" s="7">
        <v>90.64</v>
      </c>
      <c r="G297" s="7">
        <v>85.9</v>
      </c>
      <c r="H297" s="7">
        <v>87.8</v>
      </c>
      <c r="I297" s="10"/>
      <c r="J297" s="7">
        <f t="shared" si="23"/>
        <v>87.8</v>
      </c>
      <c r="K297" s="11"/>
    </row>
    <row r="298" spans="1:11" s="1" customFormat="1" ht="15" customHeight="1">
      <c r="A298" s="3">
        <v>295</v>
      </c>
      <c r="B298" s="9" t="str">
        <f>"许子豪"</f>
        <v>许子豪</v>
      </c>
      <c r="C298" s="9" t="str">
        <f t="shared" si="26"/>
        <v>1623010120822</v>
      </c>
      <c r="D298" s="9" t="s">
        <v>34</v>
      </c>
      <c r="E298" s="9" t="str">
        <f>"16230044320"</f>
        <v>16230044320</v>
      </c>
      <c r="F298" s="7">
        <v>80.18</v>
      </c>
      <c r="G298" s="7">
        <v>92.12</v>
      </c>
      <c r="H298" s="7">
        <v>87.34</v>
      </c>
      <c r="I298" s="10"/>
      <c r="J298" s="7">
        <f t="shared" si="23"/>
        <v>87.34</v>
      </c>
      <c r="K298" s="11"/>
    </row>
    <row r="299" spans="1:11" s="1" customFormat="1" ht="15" customHeight="1">
      <c r="A299" s="3">
        <v>296</v>
      </c>
      <c r="B299" s="9" t="str">
        <f>"潘亮"</f>
        <v>潘亮</v>
      </c>
      <c r="C299" s="9" t="str">
        <f t="shared" si="26"/>
        <v>1623010120822</v>
      </c>
      <c r="D299" s="9" t="s">
        <v>34</v>
      </c>
      <c r="E299" s="9" t="str">
        <f>"16230044401"</f>
        <v>16230044401</v>
      </c>
      <c r="F299" s="7">
        <v>87.5</v>
      </c>
      <c r="G299" s="7">
        <v>85.17</v>
      </c>
      <c r="H299" s="7">
        <v>86.1</v>
      </c>
      <c r="I299" s="10"/>
      <c r="J299" s="7">
        <f t="shared" si="23"/>
        <v>86.1</v>
      </c>
      <c r="K299" s="11"/>
    </row>
    <row r="300" spans="1:11" s="1" customFormat="1" ht="15" customHeight="1">
      <c r="A300" s="3">
        <v>297</v>
      </c>
      <c r="B300" s="9" t="str">
        <f>"朱浩强"</f>
        <v>朱浩强</v>
      </c>
      <c r="C300" s="9" t="str">
        <f t="shared" si="26"/>
        <v>1623010120822</v>
      </c>
      <c r="D300" s="9" t="s">
        <v>34</v>
      </c>
      <c r="E300" s="9" t="str">
        <f>"16230044321"</f>
        <v>16230044321</v>
      </c>
      <c r="F300" s="7">
        <v>83.62</v>
      </c>
      <c r="G300" s="7">
        <v>87.56</v>
      </c>
      <c r="H300" s="7">
        <v>85.98</v>
      </c>
      <c r="I300" s="10"/>
      <c r="J300" s="7">
        <f t="shared" si="23"/>
        <v>85.98</v>
      </c>
      <c r="K300" s="11"/>
    </row>
    <row r="301" spans="1:11" s="1" customFormat="1" ht="15" customHeight="1">
      <c r="A301" s="3">
        <v>298</v>
      </c>
      <c r="B301" s="9" t="str">
        <f>"韩秋"</f>
        <v>韩秋</v>
      </c>
      <c r="C301" s="9" t="str">
        <f t="shared" si="26"/>
        <v>1623010120822</v>
      </c>
      <c r="D301" s="9" t="s">
        <v>34</v>
      </c>
      <c r="E301" s="9" t="str">
        <f>"16230044330"</f>
        <v>16230044330</v>
      </c>
      <c r="F301" s="7">
        <v>84.42</v>
      </c>
      <c r="G301" s="7">
        <v>86</v>
      </c>
      <c r="H301" s="7">
        <v>85.37</v>
      </c>
      <c r="I301" s="10"/>
      <c r="J301" s="7">
        <f t="shared" si="23"/>
        <v>85.37</v>
      </c>
      <c r="K301" s="11"/>
    </row>
    <row r="302" spans="1:11" s="1" customFormat="1" ht="15" customHeight="1">
      <c r="A302" s="3">
        <v>299</v>
      </c>
      <c r="B302" s="9" t="str">
        <f>"赖寒"</f>
        <v>赖寒</v>
      </c>
      <c r="C302" s="9" t="str">
        <f t="shared" si="26"/>
        <v>1623010120822</v>
      </c>
      <c r="D302" s="9" t="s">
        <v>34</v>
      </c>
      <c r="E302" s="9" t="str">
        <f>"16230044422"</f>
        <v>16230044422</v>
      </c>
      <c r="F302" s="7">
        <v>85.1</v>
      </c>
      <c r="G302" s="7">
        <v>85.26</v>
      </c>
      <c r="H302" s="7">
        <v>85.2</v>
      </c>
      <c r="I302" s="10"/>
      <c r="J302" s="7">
        <f t="shared" si="23"/>
        <v>85.2</v>
      </c>
      <c r="K302" s="11"/>
    </row>
    <row r="303" spans="1:11" s="1" customFormat="1" ht="15" customHeight="1">
      <c r="A303" s="3">
        <v>300</v>
      </c>
      <c r="B303" s="9" t="str">
        <f>"李先永"</f>
        <v>李先永</v>
      </c>
      <c r="C303" s="9" t="str">
        <f t="shared" si="26"/>
        <v>1623010120822</v>
      </c>
      <c r="D303" s="9" t="s">
        <v>34</v>
      </c>
      <c r="E303" s="9" t="str">
        <f>"16230044501"</f>
        <v>16230044501</v>
      </c>
      <c r="F303" s="7">
        <v>82.82</v>
      </c>
      <c r="G303" s="7">
        <v>85.97</v>
      </c>
      <c r="H303" s="7">
        <v>84.71</v>
      </c>
      <c r="I303" s="10"/>
      <c r="J303" s="7">
        <f t="shared" si="23"/>
        <v>84.71</v>
      </c>
      <c r="K303" s="11"/>
    </row>
    <row r="304" spans="1:11" s="1" customFormat="1" ht="15" customHeight="1">
      <c r="A304" s="3">
        <v>301</v>
      </c>
      <c r="B304" s="9" t="str">
        <f>"马海"</f>
        <v>马海</v>
      </c>
      <c r="C304" s="9" t="str">
        <f t="shared" si="26"/>
        <v>1623010120822</v>
      </c>
      <c r="D304" s="9" t="s">
        <v>34</v>
      </c>
      <c r="E304" s="9" t="str">
        <f>"16230044409"</f>
        <v>16230044409</v>
      </c>
      <c r="F304" s="7">
        <v>86.74</v>
      </c>
      <c r="G304" s="7">
        <v>83.33</v>
      </c>
      <c r="H304" s="7">
        <v>84.69</v>
      </c>
      <c r="I304" s="10"/>
      <c r="J304" s="7">
        <f t="shared" si="23"/>
        <v>84.69</v>
      </c>
      <c r="K304" s="11" t="s">
        <v>84</v>
      </c>
    </row>
    <row r="305" spans="1:11" s="1" customFormat="1" ht="15" customHeight="1">
      <c r="A305" s="3">
        <v>302</v>
      </c>
      <c r="B305" s="9" t="str">
        <f>"倪雪梅"</f>
        <v>倪雪梅</v>
      </c>
      <c r="C305" s="9" t="str">
        <f>"1623010120925"</f>
        <v>1623010120925</v>
      </c>
      <c r="D305" s="9" t="s">
        <v>35</v>
      </c>
      <c r="E305" s="9" t="str">
        <f>"16230045602"</f>
        <v>16230045602</v>
      </c>
      <c r="F305" s="7">
        <v>84.94</v>
      </c>
      <c r="G305" s="7">
        <v>84.96</v>
      </c>
      <c r="H305" s="7">
        <v>84.95</v>
      </c>
      <c r="I305" s="10"/>
      <c r="J305" s="7">
        <f t="shared" si="23"/>
        <v>84.95</v>
      </c>
      <c r="K305" s="11"/>
    </row>
    <row r="306" spans="1:11" s="1" customFormat="1" ht="15" customHeight="1">
      <c r="A306" s="3">
        <v>303</v>
      </c>
      <c r="B306" s="9" t="str">
        <f>"吴文腾"</f>
        <v>吴文腾</v>
      </c>
      <c r="C306" s="9" t="str">
        <f>"1623010120926"</f>
        <v>1623010120926</v>
      </c>
      <c r="D306" s="9" t="s">
        <v>36</v>
      </c>
      <c r="E306" s="9" t="str">
        <f>"16230045609"</f>
        <v>16230045609</v>
      </c>
      <c r="F306" s="7">
        <v>91.22</v>
      </c>
      <c r="G306" s="7">
        <v>92.62</v>
      </c>
      <c r="H306" s="7">
        <v>92.06</v>
      </c>
      <c r="I306" s="10"/>
      <c r="J306" s="7">
        <f t="shared" si="23"/>
        <v>92.06</v>
      </c>
      <c r="K306" s="11"/>
    </row>
    <row r="307" spans="1:11" s="1" customFormat="1" ht="15" customHeight="1">
      <c r="A307" s="3">
        <v>304</v>
      </c>
      <c r="B307" s="9" t="str">
        <f>"李素勤"</f>
        <v>李素勤</v>
      </c>
      <c r="C307" s="9" t="str">
        <f>"1623010120926"</f>
        <v>1623010120926</v>
      </c>
      <c r="D307" s="9" t="s">
        <v>36</v>
      </c>
      <c r="E307" s="9" t="str">
        <f>"16230045613"</f>
        <v>16230045613</v>
      </c>
      <c r="F307" s="7">
        <v>91.4</v>
      </c>
      <c r="G307" s="7">
        <v>90.3</v>
      </c>
      <c r="H307" s="7">
        <v>90.74</v>
      </c>
      <c r="I307" s="10"/>
      <c r="J307" s="7">
        <f t="shared" si="23"/>
        <v>90.74</v>
      </c>
      <c r="K307" s="11"/>
    </row>
    <row r="308" spans="1:11" s="1" customFormat="1" ht="15" customHeight="1">
      <c r="A308" s="3">
        <v>305</v>
      </c>
      <c r="B308" s="9" t="str">
        <f>"郭敬"</f>
        <v>郭敬</v>
      </c>
      <c r="C308" s="9" t="str">
        <f>"1623010120926"</f>
        <v>1623010120926</v>
      </c>
      <c r="D308" s="9" t="s">
        <v>36</v>
      </c>
      <c r="E308" s="9" t="str">
        <f>"16230045612"</f>
        <v>16230045612</v>
      </c>
      <c r="F308" s="7">
        <v>85.7</v>
      </c>
      <c r="G308" s="7">
        <v>88.06</v>
      </c>
      <c r="H308" s="7">
        <v>87.12</v>
      </c>
      <c r="I308" s="10"/>
      <c r="J308" s="7">
        <f t="shared" si="23"/>
        <v>87.12</v>
      </c>
      <c r="K308" s="11"/>
    </row>
    <row r="309" spans="1:11" s="1" customFormat="1" ht="15" customHeight="1">
      <c r="A309" s="3">
        <v>306</v>
      </c>
      <c r="B309" s="9" t="str">
        <f>"杨磊"</f>
        <v>杨磊</v>
      </c>
      <c r="C309" s="9" t="str">
        <f>"1623010120926"</f>
        <v>1623010120926</v>
      </c>
      <c r="D309" s="9" t="s">
        <v>36</v>
      </c>
      <c r="E309" s="9" t="str">
        <f>"16230045606"</f>
        <v>16230045606</v>
      </c>
      <c r="F309" s="7">
        <v>79.96</v>
      </c>
      <c r="G309" s="7">
        <v>88.52</v>
      </c>
      <c r="H309" s="7">
        <v>85.1</v>
      </c>
      <c r="I309" s="10"/>
      <c r="J309" s="7">
        <f t="shared" si="23"/>
        <v>85.1</v>
      </c>
      <c r="K309" s="11"/>
    </row>
    <row r="310" spans="1:11" s="1" customFormat="1" ht="15" customHeight="1">
      <c r="A310" s="3">
        <v>307</v>
      </c>
      <c r="B310" s="9" t="str">
        <f>"郑雪琪"</f>
        <v>郑雪琪</v>
      </c>
      <c r="C310" s="9" t="str">
        <f>"1623010120926"</f>
        <v>1623010120926</v>
      </c>
      <c r="D310" s="9" t="s">
        <v>36</v>
      </c>
      <c r="E310" s="9" t="str">
        <f>"16230045604"</f>
        <v>16230045604</v>
      </c>
      <c r="F310" s="7">
        <v>75.42</v>
      </c>
      <c r="G310" s="7">
        <v>74.3</v>
      </c>
      <c r="H310" s="7">
        <v>74.75</v>
      </c>
      <c r="I310" s="10"/>
      <c r="J310" s="7">
        <f t="shared" si="23"/>
        <v>74.75</v>
      </c>
      <c r="K310" s="11" t="s">
        <v>84</v>
      </c>
    </row>
    <row r="311" spans="1:11" s="1" customFormat="1" ht="15" customHeight="1">
      <c r="A311" s="3">
        <v>308</v>
      </c>
      <c r="B311" s="9" t="str">
        <f>"马梦亚"</f>
        <v>马梦亚</v>
      </c>
      <c r="C311" s="9" t="str">
        <f aca="true" t="shared" si="27" ref="C311:C316">"1623010121027"</f>
        <v>1623010121027</v>
      </c>
      <c r="D311" s="9" t="s">
        <v>37</v>
      </c>
      <c r="E311" s="9" t="str">
        <f>"16230045710"</f>
        <v>16230045710</v>
      </c>
      <c r="F311" s="7">
        <v>89.12</v>
      </c>
      <c r="G311" s="7">
        <v>89.95</v>
      </c>
      <c r="H311" s="7">
        <v>89.62</v>
      </c>
      <c r="I311" s="10"/>
      <c r="J311" s="7">
        <f t="shared" si="23"/>
        <v>89.62</v>
      </c>
      <c r="K311" s="11"/>
    </row>
    <row r="312" spans="1:11" s="1" customFormat="1" ht="15" customHeight="1">
      <c r="A312" s="3">
        <v>309</v>
      </c>
      <c r="B312" s="9" t="str">
        <f>"张心芳"</f>
        <v>张心芳</v>
      </c>
      <c r="C312" s="9" t="str">
        <f t="shared" si="27"/>
        <v>1623010121027</v>
      </c>
      <c r="D312" s="9" t="s">
        <v>37</v>
      </c>
      <c r="E312" s="9" t="str">
        <f>"16230045716"</f>
        <v>16230045716</v>
      </c>
      <c r="F312" s="7">
        <v>88.86</v>
      </c>
      <c r="G312" s="7">
        <v>89.5</v>
      </c>
      <c r="H312" s="7">
        <v>89.24</v>
      </c>
      <c r="I312" s="10"/>
      <c r="J312" s="7">
        <f t="shared" si="23"/>
        <v>89.24</v>
      </c>
      <c r="K312" s="11"/>
    </row>
    <row r="313" spans="1:11" s="1" customFormat="1" ht="15" customHeight="1">
      <c r="A313" s="3">
        <v>310</v>
      </c>
      <c r="B313" s="9" t="str">
        <f>"马婧茹"</f>
        <v>马婧茹</v>
      </c>
      <c r="C313" s="9" t="str">
        <f t="shared" si="27"/>
        <v>1623010121027</v>
      </c>
      <c r="D313" s="9" t="s">
        <v>37</v>
      </c>
      <c r="E313" s="9" t="str">
        <f>"16230045720"</f>
        <v>16230045720</v>
      </c>
      <c r="F313" s="7">
        <v>91.42</v>
      </c>
      <c r="G313" s="7">
        <v>87.5</v>
      </c>
      <c r="H313" s="7">
        <v>89.07</v>
      </c>
      <c r="I313" s="10"/>
      <c r="J313" s="7">
        <f t="shared" si="23"/>
        <v>89.07</v>
      </c>
      <c r="K313" s="11"/>
    </row>
    <row r="314" spans="1:11" s="1" customFormat="1" ht="15" customHeight="1">
      <c r="A314" s="3">
        <v>311</v>
      </c>
      <c r="B314" s="9" t="str">
        <f>"范露雯"</f>
        <v>范露雯</v>
      </c>
      <c r="C314" s="9" t="str">
        <f t="shared" si="27"/>
        <v>1623010121027</v>
      </c>
      <c r="D314" s="9" t="s">
        <v>37</v>
      </c>
      <c r="E314" s="9" t="str">
        <f>"16230045702"</f>
        <v>16230045702</v>
      </c>
      <c r="F314" s="7">
        <v>97.28</v>
      </c>
      <c r="G314" s="7">
        <v>82.85</v>
      </c>
      <c r="H314" s="7">
        <v>88.62</v>
      </c>
      <c r="I314" s="10"/>
      <c r="J314" s="7">
        <f t="shared" si="23"/>
        <v>88.62</v>
      </c>
      <c r="K314" s="11"/>
    </row>
    <row r="315" spans="1:11" s="1" customFormat="1" ht="15" customHeight="1">
      <c r="A315" s="3">
        <v>312</v>
      </c>
      <c r="B315" s="9" t="str">
        <f>"刘蕊蕊"</f>
        <v>刘蕊蕊</v>
      </c>
      <c r="C315" s="9" t="str">
        <f t="shared" si="27"/>
        <v>1623010121027</v>
      </c>
      <c r="D315" s="9" t="s">
        <v>37</v>
      </c>
      <c r="E315" s="9" t="str">
        <f>"16230045722"</f>
        <v>16230045722</v>
      </c>
      <c r="F315" s="7">
        <v>93.24</v>
      </c>
      <c r="G315" s="7">
        <v>84.65</v>
      </c>
      <c r="H315" s="7">
        <v>88.09</v>
      </c>
      <c r="I315" s="10"/>
      <c r="J315" s="7">
        <f t="shared" si="23"/>
        <v>88.09</v>
      </c>
      <c r="K315" s="11"/>
    </row>
    <row r="316" spans="1:11" s="1" customFormat="1" ht="15" customHeight="1">
      <c r="A316" s="3">
        <v>313</v>
      </c>
      <c r="B316" s="9" t="str">
        <f>"段瑞霞"</f>
        <v>段瑞霞</v>
      </c>
      <c r="C316" s="9" t="str">
        <f t="shared" si="27"/>
        <v>1623010121027</v>
      </c>
      <c r="D316" s="9" t="s">
        <v>37</v>
      </c>
      <c r="E316" s="9" t="str">
        <f>"16230045714"</f>
        <v>16230045714</v>
      </c>
      <c r="F316" s="7">
        <v>86.88</v>
      </c>
      <c r="G316" s="7">
        <v>86.65</v>
      </c>
      <c r="H316" s="7">
        <v>86.74</v>
      </c>
      <c r="I316" s="10"/>
      <c r="J316" s="7">
        <f t="shared" si="23"/>
        <v>86.74</v>
      </c>
      <c r="K316" s="11" t="s">
        <v>84</v>
      </c>
    </row>
    <row r="317" spans="1:11" s="1" customFormat="1" ht="15" customHeight="1">
      <c r="A317" s="3">
        <v>314</v>
      </c>
      <c r="B317" s="9" t="str">
        <f>"刘丽萍"</f>
        <v>刘丽萍</v>
      </c>
      <c r="C317" s="9" t="str">
        <f aca="true" t="shared" si="28" ref="C317:C332">"1623020220101"</f>
        <v>1623020220101</v>
      </c>
      <c r="D317" s="9" t="s">
        <v>38</v>
      </c>
      <c r="E317" s="9" t="str">
        <f>"16230035527"</f>
        <v>16230035527</v>
      </c>
      <c r="F317" s="7">
        <v>96.78</v>
      </c>
      <c r="G317" s="7">
        <v>89.8</v>
      </c>
      <c r="H317" s="7">
        <v>92.59</v>
      </c>
      <c r="I317" s="10"/>
      <c r="J317" s="7">
        <f t="shared" si="23"/>
        <v>92.59</v>
      </c>
      <c r="K317" s="11"/>
    </row>
    <row r="318" spans="1:11" s="1" customFormat="1" ht="15" customHeight="1">
      <c r="A318" s="3">
        <v>315</v>
      </c>
      <c r="B318" s="9" t="str">
        <f>"梁雨"</f>
        <v>梁雨</v>
      </c>
      <c r="C318" s="9" t="str">
        <f t="shared" si="28"/>
        <v>1623020220101</v>
      </c>
      <c r="D318" s="9" t="s">
        <v>38</v>
      </c>
      <c r="E318" s="9" t="str">
        <f>"16230035523"</f>
        <v>16230035523</v>
      </c>
      <c r="F318" s="7">
        <v>94.76</v>
      </c>
      <c r="G318" s="7">
        <v>87.3</v>
      </c>
      <c r="H318" s="7">
        <v>90.28</v>
      </c>
      <c r="I318" s="10"/>
      <c r="J318" s="7">
        <f t="shared" si="23"/>
        <v>90.28</v>
      </c>
      <c r="K318" s="11"/>
    </row>
    <row r="319" spans="1:11" s="1" customFormat="1" ht="15" customHeight="1">
      <c r="A319" s="3">
        <v>316</v>
      </c>
      <c r="B319" s="9" t="str">
        <f>"孙清晨"</f>
        <v>孙清晨</v>
      </c>
      <c r="C319" s="9" t="str">
        <f t="shared" si="28"/>
        <v>1623020220101</v>
      </c>
      <c r="D319" s="9" t="s">
        <v>38</v>
      </c>
      <c r="E319" s="9" t="str">
        <f>"16230035430"</f>
        <v>16230035430</v>
      </c>
      <c r="F319" s="7">
        <v>89.78</v>
      </c>
      <c r="G319" s="7">
        <v>90.5</v>
      </c>
      <c r="H319" s="7">
        <v>90.21</v>
      </c>
      <c r="I319" s="10"/>
      <c r="J319" s="7">
        <f t="shared" si="23"/>
        <v>90.21</v>
      </c>
      <c r="K319" s="11"/>
    </row>
    <row r="320" spans="1:11" s="1" customFormat="1" ht="15" customHeight="1">
      <c r="A320" s="3">
        <v>317</v>
      </c>
      <c r="B320" s="9" t="str">
        <f>"侯雪珍"</f>
        <v>侯雪珍</v>
      </c>
      <c r="C320" s="9" t="str">
        <f t="shared" si="28"/>
        <v>1623020220101</v>
      </c>
      <c r="D320" s="9" t="s">
        <v>38</v>
      </c>
      <c r="E320" s="9" t="str">
        <f>"16230035417"</f>
        <v>16230035417</v>
      </c>
      <c r="F320" s="7">
        <v>92.1</v>
      </c>
      <c r="G320" s="7">
        <v>86.7</v>
      </c>
      <c r="H320" s="7">
        <v>88.86</v>
      </c>
      <c r="I320" s="10"/>
      <c r="J320" s="7">
        <f t="shared" si="23"/>
        <v>88.86</v>
      </c>
      <c r="K320" s="11"/>
    </row>
    <row r="321" spans="1:11" s="1" customFormat="1" ht="15" customHeight="1">
      <c r="A321" s="3">
        <v>318</v>
      </c>
      <c r="B321" s="9" t="str">
        <f>"林梅雪"</f>
        <v>林梅雪</v>
      </c>
      <c r="C321" s="9" t="str">
        <f t="shared" si="28"/>
        <v>1623020220101</v>
      </c>
      <c r="D321" s="9" t="s">
        <v>38</v>
      </c>
      <c r="E321" s="9" t="str">
        <f>"16230035529"</f>
        <v>16230035529</v>
      </c>
      <c r="F321" s="7">
        <v>91.92</v>
      </c>
      <c r="G321" s="7">
        <v>84.7</v>
      </c>
      <c r="H321" s="7">
        <v>87.59</v>
      </c>
      <c r="I321" s="10"/>
      <c r="J321" s="7">
        <f t="shared" si="23"/>
        <v>87.59</v>
      </c>
      <c r="K321" s="11"/>
    </row>
    <row r="322" spans="1:11" s="1" customFormat="1" ht="15" customHeight="1">
      <c r="A322" s="3">
        <v>319</v>
      </c>
      <c r="B322" s="9" t="str">
        <f>"夏敏"</f>
        <v>夏敏</v>
      </c>
      <c r="C322" s="9" t="str">
        <f t="shared" si="28"/>
        <v>1623020220101</v>
      </c>
      <c r="D322" s="9" t="s">
        <v>38</v>
      </c>
      <c r="E322" s="9" t="str">
        <f>"16230035501"</f>
        <v>16230035501</v>
      </c>
      <c r="F322" s="7">
        <v>90.42</v>
      </c>
      <c r="G322" s="7">
        <v>84.1</v>
      </c>
      <c r="H322" s="7">
        <v>86.63</v>
      </c>
      <c r="I322" s="10"/>
      <c r="J322" s="7">
        <f t="shared" si="23"/>
        <v>86.63</v>
      </c>
      <c r="K322" s="11"/>
    </row>
    <row r="323" spans="1:11" s="1" customFormat="1" ht="15" customHeight="1">
      <c r="A323" s="3">
        <v>320</v>
      </c>
      <c r="B323" s="9" t="str">
        <f>"盛博宇"</f>
        <v>盛博宇</v>
      </c>
      <c r="C323" s="9" t="str">
        <f t="shared" si="28"/>
        <v>1623020220101</v>
      </c>
      <c r="D323" s="9" t="s">
        <v>38</v>
      </c>
      <c r="E323" s="9" t="str">
        <f>"16230035520"</f>
        <v>16230035520</v>
      </c>
      <c r="F323" s="7">
        <v>96.1</v>
      </c>
      <c r="G323" s="7">
        <v>80.2</v>
      </c>
      <c r="H323" s="7">
        <v>86.56</v>
      </c>
      <c r="I323" s="10"/>
      <c r="J323" s="7">
        <f t="shared" si="23"/>
        <v>86.56</v>
      </c>
      <c r="K323" s="11"/>
    </row>
    <row r="324" spans="1:11" s="1" customFormat="1" ht="15" customHeight="1">
      <c r="A324" s="3">
        <v>321</v>
      </c>
      <c r="B324" s="9" t="str">
        <f>"卢思航"</f>
        <v>卢思航</v>
      </c>
      <c r="C324" s="9" t="str">
        <f t="shared" si="28"/>
        <v>1623020220101</v>
      </c>
      <c r="D324" s="9" t="s">
        <v>38</v>
      </c>
      <c r="E324" s="9" t="str">
        <f>"16230035506"</f>
        <v>16230035506</v>
      </c>
      <c r="F324" s="7">
        <v>82.7</v>
      </c>
      <c r="G324" s="7">
        <v>88.7</v>
      </c>
      <c r="H324" s="7">
        <v>86.3</v>
      </c>
      <c r="I324" s="10"/>
      <c r="J324" s="7">
        <f aca="true" t="shared" si="29" ref="J324:J387">H324+I324</f>
        <v>86.3</v>
      </c>
      <c r="K324" s="11"/>
    </row>
    <row r="325" spans="1:11" s="1" customFormat="1" ht="15" customHeight="1">
      <c r="A325" s="3">
        <v>322</v>
      </c>
      <c r="B325" s="9" t="str">
        <f>"石铮"</f>
        <v>石铮</v>
      </c>
      <c r="C325" s="9" t="str">
        <f t="shared" si="28"/>
        <v>1623020220101</v>
      </c>
      <c r="D325" s="9" t="s">
        <v>38</v>
      </c>
      <c r="E325" s="9" t="str">
        <f>"16230035526"</f>
        <v>16230035526</v>
      </c>
      <c r="F325" s="7">
        <v>90.8</v>
      </c>
      <c r="G325" s="7">
        <v>82.2</v>
      </c>
      <c r="H325" s="7">
        <v>85.64</v>
      </c>
      <c r="I325" s="10"/>
      <c r="J325" s="7">
        <f t="shared" si="29"/>
        <v>85.64</v>
      </c>
      <c r="K325" s="11"/>
    </row>
    <row r="326" spans="1:11" s="1" customFormat="1" ht="15" customHeight="1">
      <c r="A326" s="3">
        <v>323</v>
      </c>
      <c r="B326" s="9" t="str">
        <f>"解雨欣"</f>
        <v>解雨欣</v>
      </c>
      <c r="C326" s="9" t="str">
        <f t="shared" si="28"/>
        <v>1623020220101</v>
      </c>
      <c r="D326" s="9" t="s">
        <v>38</v>
      </c>
      <c r="E326" s="9" t="str">
        <f>"16230035528"</f>
        <v>16230035528</v>
      </c>
      <c r="F326" s="7">
        <v>91.3</v>
      </c>
      <c r="G326" s="7">
        <v>81.3</v>
      </c>
      <c r="H326" s="7">
        <v>85.3</v>
      </c>
      <c r="I326" s="10"/>
      <c r="J326" s="7">
        <f t="shared" si="29"/>
        <v>85.3</v>
      </c>
      <c r="K326" s="11"/>
    </row>
    <row r="327" spans="1:11" s="1" customFormat="1" ht="15" customHeight="1">
      <c r="A327" s="3">
        <v>324</v>
      </c>
      <c r="B327" s="9" t="str">
        <f>"刘倩倩"</f>
        <v>刘倩倩</v>
      </c>
      <c r="C327" s="9" t="str">
        <f t="shared" si="28"/>
        <v>1623020220101</v>
      </c>
      <c r="D327" s="9" t="s">
        <v>38</v>
      </c>
      <c r="E327" s="9" t="str">
        <f>"16230035515"</f>
        <v>16230035515</v>
      </c>
      <c r="F327" s="7">
        <v>83.82</v>
      </c>
      <c r="G327" s="7">
        <v>86</v>
      </c>
      <c r="H327" s="7">
        <v>85.13</v>
      </c>
      <c r="I327" s="10"/>
      <c r="J327" s="7">
        <f t="shared" si="29"/>
        <v>85.13</v>
      </c>
      <c r="K327" s="11"/>
    </row>
    <row r="328" spans="1:11" s="1" customFormat="1" ht="15" customHeight="1">
      <c r="A328" s="3">
        <v>325</v>
      </c>
      <c r="B328" s="9" t="str">
        <f>"王玥"</f>
        <v>王玥</v>
      </c>
      <c r="C328" s="9" t="str">
        <f t="shared" si="28"/>
        <v>1623020220101</v>
      </c>
      <c r="D328" s="9" t="s">
        <v>38</v>
      </c>
      <c r="E328" s="9" t="str">
        <f>"16230035429"</f>
        <v>16230035429</v>
      </c>
      <c r="F328" s="7">
        <v>94.24</v>
      </c>
      <c r="G328" s="7">
        <v>77.4</v>
      </c>
      <c r="H328" s="7">
        <v>84.14</v>
      </c>
      <c r="I328" s="10"/>
      <c r="J328" s="7">
        <f t="shared" si="29"/>
        <v>84.14</v>
      </c>
      <c r="K328" s="11"/>
    </row>
    <row r="329" spans="1:11" s="1" customFormat="1" ht="15" customHeight="1">
      <c r="A329" s="3">
        <v>326</v>
      </c>
      <c r="B329" s="9" t="str">
        <f>"魏洁"</f>
        <v>魏洁</v>
      </c>
      <c r="C329" s="9" t="str">
        <f t="shared" si="28"/>
        <v>1623020220101</v>
      </c>
      <c r="D329" s="9" t="s">
        <v>38</v>
      </c>
      <c r="E329" s="9" t="str">
        <f>"16230035419"</f>
        <v>16230035419</v>
      </c>
      <c r="F329" s="7">
        <v>93.74</v>
      </c>
      <c r="G329" s="7">
        <v>77.1</v>
      </c>
      <c r="H329" s="7">
        <v>83.76</v>
      </c>
      <c r="I329" s="10"/>
      <c r="J329" s="7">
        <f t="shared" si="29"/>
        <v>83.76</v>
      </c>
      <c r="K329" s="11"/>
    </row>
    <row r="330" spans="1:11" s="1" customFormat="1" ht="15" customHeight="1">
      <c r="A330" s="3">
        <v>327</v>
      </c>
      <c r="B330" s="9" t="str">
        <f>"吕晓娜"</f>
        <v>吕晓娜</v>
      </c>
      <c r="C330" s="9" t="str">
        <f t="shared" si="28"/>
        <v>1623020220101</v>
      </c>
      <c r="D330" s="9" t="s">
        <v>38</v>
      </c>
      <c r="E330" s="9" t="str">
        <f>"16230035418"</f>
        <v>16230035418</v>
      </c>
      <c r="F330" s="7">
        <v>88.68</v>
      </c>
      <c r="G330" s="7">
        <v>80.3</v>
      </c>
      <c r="H330" s="7">
        <v>83.65</v>
      </c>
      <c r="I330" s="10"/>
      <c r="J330" s="7">
        <f t="shared" si="29"/>
        <v>83.65</v>
      </c>
      <c r="K330" s="11" t="s">
        <v>84</v>
      </c>
    </row>
    <row r="331" spans="1:11" s="1" customFormat="1" ht="15" customHeight="1">
      <c r="A331" s="3">
        <v>328</v>
      </c>
      <c r="B331" s="9" t="str">
        <f>"刘雪慧"</f>
        <v>刘雪慧</v>
      </c>
      <c r="C331" s="9" t="str">
        <f t="shared" si="28"/>
        <v>1623020220101</v>
      </c>
      <c r="D331" s="9" t="s">
        <v>38</v>
      </c>
      <c r="E331" s="9" t="str">
        <f>"16230035513"</f>
        <v>16230035513</v>
      </c>
      <c r="F331" s="7">
        <v>84.12</v>
      </c>
      <c r="G331" s="7">
        <v>82.8</v>
      </c>
      <c r="H331" s="7">
        <v>83.33</v>
      </c>
      <c r="I331" s="10"/>
      <c r="J331" s="7">
        <f t="shared" si="29"/>
        <v>83.33</v>
      </c>
      <c r="K331" s="11" t="s">
        <v>84</v>
      </c>
    </row>
    <row r="332" spans="1:11" s="1" customFormat="1" ht="15" customHeight="1">
      <c r="A332" s="3">
        <v>329</v>
      </c>
      <c r="B332" s="9" t="str">
        <f>"刘洁雅"</f>
        <v>刘洁雅</v>
      </c>
      <c r="C332" s="9" t="str">
        <f t="shared" si="28"/>
        <v>1623020220101</v>
      </c>
      <c r="D332" s="9" t="s">
        <v>38</v>
      </c>
      <c r="E332" s="9" t="str">
        <f>"16230035422"</f>
        <v>16230035422</v>
      </c>
      <c r="F332" s="7">
        <v>87.66</v>
      </c>
      <c r="G332" s="7">
        <v>80.2</v>
      </c>
      <c r="H332" s="7">
        <v>83.18</v>
      </c>
      <c r="I332" s="10"/>
      <c r="J332" s="7">
        <f t="shared" si="29"/>
        <v>83.18</v>
      </c>
      <c r="K332" s="11" t="s">
        <v>84</v>
      </c>
    </row>
    <row r="333" spans="1:11" s="1" customFormat="1" ht="15" customHeight="1">
      <c r="A333" s="3">
        <v>330</v>
      </c>
      <c r="B333" s="9" t="str">
        <f>"刘艳"</f>
        <v>刘艳</v>
      </c>
      <c r="C333" s="9" t="str">
        <f aca="true" t="shared" si="30" ref="C333:C348">"1623020220102"</f>
        <v>1623020220102</v>
      </c>
      <c r="D333" s="9" t="s">
        <v>39</v>
      </c>
      <c r="E333" s="9" t="str">
        <f>"16230035824"</f>
        <v>16230035824</v>
      </c>
      <c r="F333" s="7">
        <v>97.48</v>
      </c>
      <c r="G333" s="7">
        <v>90</v>
      </c>
      <c r="H333" s="7">
        <v>92.99</v>
      </c>
      <c r="I333" s="10"/>
      <c r="J333" s="7">
        <f t="shared" si="29"/>
        <v>92.99</v>
      </c>
      <c r="K333" s="11"/>
    </row>
    <row r="334" spans="1:11" s="1" customFormat="1" ht="15" customHeight="1">
      <c r="A334" s="3">
        <v>331</v>
      </c>
      <c r="B334" s="9" t="str">
        <f>"王芳芳"</f>
        <v>王芳芳</v>
      </c>
      <c r="C334" s="9" t="str">
        <f t="shared" si="30"/>
        <v>1623020220102</v>
      </c>
      <c r="D334" s="9" t="s">
        <v>39</v>
      </c>
      <c r="E334" s="9" t="str">
        <f>"16230035708"</f>
        <v>16230035708</v>
      </c>
      <c r="F334" s="7">
        <v>95.66</v>
      </c>
      <c r="G334" s="7">
        <v>88.6</v>
      </c>
      <c r="H334" s="7">
        <v>91.42</v>
      </c>
      <c r="I334" s="10"/>
      <c r="J334" s="7">
        <f t="shared" si="29"/>
        <v>91.42</v>
      </c>
      <c r="K334" s="11"/>
    </row>
    <row r="335" spans="1:11" s="1" customFormat="1" ht="15" customHeight="1">
      <c r="A335" s="3">
        <v>332</v>
      </c>
      <c r="B335" s="9" t="str">
        <f>"张烁"</f>
        <v>张烁</v>
      </c>
      <c r="C335" s="9" t="str">
        <f t="shared" si="30"/>
        <v>1623020220102</v>
      </c>
      <c r="D335" s="9" t="s">
        <v>39</v>
      </c>
      <c r="E335" s="9" t="str">
        <f>"16230035621"</f>
        <v>16230035621</v>
      </c>
      <c r="F335" s="7">
        <v>96.48</v>
      </c>
      <c r="G335" s="7">
        <v>86.9</v>
      </c>
      <c r="H335" s="7">
        <v>90.73</v>
      </c>
      <c r="I335" s="10"/>
      <c r="J335" s="7">
        <f t="shared" si="29"/>
        <v>90.73</v>
      </c>
      <c r="K335" s="11"/>
    </row>
    <row r="336" spans="1:11" s="1" customFormat="1" ht="15" customHeight="1">
      <c r="A336" s="3">
        <v>333</v>
      </c>
      <c r="B336" s="9" t="str">
        <f>"张梦雅"</f>
        <v>张梦雅</v>
      </c>
      <c r="C336" s="9" t="str">
        <f t="shared" si="30"/>
        <v>1623020220102</v>
      </c>
      <c r="D336" s="9" t="s">
        <v>39</v>
      </c>
      <c r="E336" s="9" t="str">
        <f>"16230035815"</f>
        <v>16230035815</v>
      </c>
      <c r="F336" s="7">
        <v>97.98</v>
      </c>
      <c r="G336" s="7">
        <v>84.8</v>
      </c>
      <c r="H336" s="7">
        <v>90.07</v>
      </c>
      <c r="I336" s="10"/>
      <c r="J336" s="7">
        <f t="shared" si="29"/>
        <v>90.07</v>
      </c>
      <c r="K336" s="11"/>
    </row>
    <row r="337" spans="1:11" s="1" customFormat="1" ht="15" customHeight="1">
      <c r="A337" s="3">
        <v>334</v>
      </c>
      <c r="B337" s="9" t="str">
        <f>"刘冰雪"</f>
        <v>刘冰雪</v>
      </c>
      <c r="C337" s="9" t="str">
        <f t="shared" si="30"/>
        <v>1623020220102</v>
      </c>
      <c r="D337" s="9" t="s">
        <v>39</v>
      </c>
      <c r="E337" s="9" t="str">
        <f>"16230035624"</f>
        <v>16230035624</v>
      </c>
      <c r="F337" s="7">
        <v>92.62</v>
      </c>
      <c r="G337" s="7">
        <v>87.2</v>
      </c>
      <c r="H337" s="7">
        <v>89.37</v>
      </c>
      <c r="I337" s="10"/>
      <c r="J337" s="7">
        <f t="shared" si="29"/>
        <v>89.37</v>
      </c>
      <c r="K337" s="11"/>
    </row>
    <row r="338" spans="1:11" s="1" customFormat="1" ht="15" customHeight="1">
      <c r="A338" s="3">
        <v>335</v>
      </c>
      <c r="B338" s="9" t="str">
        <f>"张岩"</f>
        <v>张岩</v>
      </c>
      <c r="C338" s="9" t="str">
        <f t="shared" si="30"/>
        <v>1623020220102</v>
      </c>
      <c r="D338" s="9" t="s">
        <v>39</v>
      </c>
      <c r="E338" s="9" t="str">
        <f>"16230035820"</f>
        <v>16230035820</v>
      </c>
      <c r="F338" s="7">
        <v>96.88</v>
      </c>
      <c r="G338" s="7">
        <v>83.6</v>
      </c>
      <c r="H338" s="7">
        <v>88.91</v>
      </c>
      <c r="I338" s="10"/>
      <c r="J338" s="7">
        <f t="shared" si="29"/>
        <v>88.91</v>
      </c>
      <c r="K338" s="11"/>
    </row>
    <row r="339" spans="1:11" s="1" customFormat="1" ht="15" customHeight="1">
      <c r="A339" s="3">
        <v>336</v>
      </c>
      <c r="B339" s="9" t="str">
        <f>"刘文丽"</f>
        <v>刘文丽</v>
      </c>
      <c r="C339" s="9" t="str">
        <f t="shared" si="30"/>
        <v>1623020220102</v>
      </c>
      <c r="D339" s="9" t="s">
        <v>39</v>
      </c>
      <c r="E339" s="9" t="str">
        <f>"16230035810"</f>
        <v>16230035810</v>
      </c>
      <c r="F339" s="7">
        <v>96.48</v>
      </c>
      <c r="G339" s="7">
        <v>83.7</v>
      </c>
      <c r="H339" s="7">
        <v>88.81</v>
      </c>
      <c r="I339" s="10"/>
      <c r="J339" s="7">
        <f t="shared" si="29"/>
        <v>88.81</v>
      </c>
      <c r="K339" s="11"/>
    </row>
    <row r="340" spans="1:11" s="1" customFormat="1" ht="15" customHeight="1">
      <c r="A340" s="3">
        <v>337</v>
      </c>
      <c r="B340" s="9" t="str">
        <f>"秦明珍"</f>
        <v>秦明珍</v>
      </c>
      <c r="C340" s="9" t="str">
        <f t="shared" si="30"/>
        <v>1623020220102</v>
      </c>
      <c r="D340" s="9" t="s">
        <v>39</v>
      </c>
      <c r="E340" s="9" t="str">
        <f>"16230035712"</f>
        <v>16230035712</v>
      </c>
      <c r="F340" s="7">
        <v>88.48</v>
      </c>
      <c r="G340" s="7">
        <v>87.9</v>
      </c>
      <c r="H340" s="7">
        <v>88.13</v>
      </c>
      <c r="I340" s="10"/>
      <c r="J340" s="7">
        <f t="shared" si="29"/>
        <v>88.13</v>
      </c>
      <c r="K340" s="11"/>
    </row>
    <row r="341" spans="1:11" s="1" customFormat="1" ht="15" customHeight="1">
      <c r="A341" s="3">
        <v>338</v>
      </c>
      <c r="B341" s="9" t="str">
        <f>"赵晓丽"</f>
        <v>赵晓丽</v>
      </c>
      <c r="C341" s="9" t="str">
        <f t="shared" si="30"/>
        <v>1623020220102</v>
      </c>
      <c r="D341" s="9" t="s">
        <v>39</v>
      </c>
      <c r="E341" s="9" t="str">
        <f>"16230035706"</f>
        <v>16230035706</v>
      </c>
      <c r="F341" s="7">
        <v>90.72</v>
      </c>
      <c r="G341" s="7">
        <v>85.7</v>
      </c>
      <c r="H341" s="7">
        <v>87.71</v>
      </c>
      <c r="I341" s="10"/>
      <c r="J341" s="7">
        <f t="shared" si="29"/>
        <v>87.71</v>
      </c>
      <c r="K341" s="11"/>
    </row>
    <row r="342" spans="1:11" s="1" customFormat="1" ht="15" customHeight="1">
      <c r="A342" s="3">
        <v>339</v>
      </c>
      <c r="B342" s="9" t="str">
        <f>"蒋梦雨"</f>
        <v>蒋梦雨</v>
      </c>
      <c r="C342" s="9" t="str">
        <f t="shared" si="30"/>
        <v>1623020220102</v>
      </c>
      <c r="D342" s="9" t="s">
        <v>39</v>
      </c>
      <c r="E342" s="9" t="str">
        <f>"16230035717"</f>
        <v>16230035717</v>
      </c>
      <c r="F342" s="7">
        <v>90.02</v>
      </c>
      <c r="G342" s="7">
        <v>84.3</v>
      </c>
      <c r="H342" s="7">
        <v>86.59</v>
      </c>
      <c r="I342" s="10"/>
      <c r="J342" s="7">
        <f t="shared" si="29"/>
        <v>86.59</v>
      </c>
      <c r="K342" s="11"/>
    </row>
    <row r="343" spans="1:11" s="1" customFormat="1" ht="15" customHeight="1">
      <c r="A343" s="3">
        <v>340</v>
      </c>
      <c r="B343" s="9" t="str">
        <f>"郭玲"</f>
        <v>郭玲</v>
      </c>
      <c r="C343" s="9" t="str">
        <f t="shared" si="30"/>
        <v>1623020220102</v>
      </c>
      <c r="D343" s="9" t="s">
        <v>39</v>
      </c>
      <c r="E343" s="9" t="str">
        <f>"16230035608"</f>
        <v>16230035608</v>
      </c>
      <c r="F343" s="7">
        <v>93.14</v>
      </c>
      <c r="G343" s="7">
        <v>81.9</v>
      </c>
      <c r="H343" s="7">
        <v>86.4</v>
      </c>
      <c r="I343" s="10"/>
      <c r="J343" s="7">
        <f t="shared" si="29"/>
        <v>86.4</v>
      </c>
      <c r="K343" s="11"/>
    </row>
    <row r="344" spans="1:11" s="1" customFormat="1" ht="15" customHeight="1">
      <c r="A344" s="3">
        <v>341</v>
      </c>
      <c r="B344" s="9" t="str">
        <f>"陈雪云"</f>
        <v>陈雪云</v>
      </c>
      <c r="C344" s="9" t="str">
        <f t="shared" si="30"/>
        <v>1623020220102</v>
      </c>
      <c r="D344" s="9" t="s">
        <v>39</v>
      </c>
      <c r="E344" s="9" t="str">
        <f>"16230035811"</f>
        <v>16230035811</v>
      </c>
      <c r="F344" s="7">
        <v>83.02</v>
      </c>
      <c r="G344" s="7">
        <v>87.6</v>
      </c>
      <c r="H344" s="7">
        <v>85.77</v>
      </c>
      <c r="I344" s="10"/>
      <c r="J344" s="7">
        <f t="shared" si="29"/>
        <v>85.77</v>
      </c>
      <c r="K344" s="11"/>
    </row>
    <row r="345" spans="1:11" s="1" customFormat="1" ht="15" customHeight="1">
      <c r="A345" s="3">
        <v>342</v>
      </c>
      <c r="B345" s="9" t="str">
        <f>"庞雪雷"</f>
        <v>庞雪雷</v>
      </c>
      <c r="C345" s="9" t="str">
        <f t="shared" si="30"/>
        <v>1623020220102</v>
      </c>
      <c r="D345" s="9" t="s">
        <v>39</v>
      </c>
      <c r="E345" s="9" t="str">
        <f>"16230035801"</f>
        <v>16230035801</v>
      </c>
      <c r="F345" s="7">
        <v>92.74</v>
      </c>
      <c r="G345" s="7">
        <v>80.9</v>
      </c>
      <c r="H345" s="7">
        <v>85.64</v>
      </c>
      <c r="I345" s="10"/>
      <c r="J345" s="7">
        <f t="shared" si="29"/>
        <v>85.64</v>
      </c>
      <c r="K345" s="11"/>
    </row>
    <row r="346" spans="1:11" s="1" customFormat="1" ht="15" customHeight="1">
      <c r="A346" s="3">
        <v>343</v>
      </c>
      <c r="B346" s="9" t="str">
        <f>"姜艳荣"</f>
        <v>姜艳荣</v>
      </c>
      <c r="C346" s="9" t="str">
        <f t="shared" si="30"/>
        <v>1623020220102</v>
      </c>
      <c r="D346" s="9" t="s">
        <v>39</v>
      </c>
      <c r="E346" s="9" t="str">
        <f>"16230035629"</f>
        <v>16230035629</v>
      </c>
      <c r="F346" s="7">
        <v>94.16</v>
      </c>
      <c r="G346" s="7">
        <v>79.7</v>
      </c>
      <c r="H346" s="7">
        <v>85.48</v>
      </c>
      <c r="I346" s="10"/>
      <c r="J346" s="7">
        <f t="shared" si="29"/>
        <v>85.48</v>
      </c>
      <c r="K346" s="11"/>
    </row>
    <row r="347" spans="1:11" s="1" customFormat="1" ht="15" customHeight="1">
      <c r="A347" s="3">
        <v>344</v>
      </c>
      <c r="B347" s="9" t="str">
        <f>"王雨静"</f>
        <v>王雨静</v>
      </c>
      <c r="C347" s="9" t="str">
        <f t="shared" si="30"/>
        <v>1623020220102</v>
      </c>
      <c r="D347" s="9" t="s">
        <v>39</v>
      </c>
      <c r="E347" s="9" t="str">
        <f>"16230035721"</f>
        <v>16230035721</v>
      </c>
      <c r="F347" s="7">
        <v>89.3</v>
      </c>
      <c r="G347" s="7">
        <v>82.6</v>
      </c>
      <c r="H347" s="7">
        <v>85.28</v>
      </c>
      <c r="I347" s="10"/>
      <c r="J347" s="7">
        <f t="shared" si="29"/>
        <v>85.28</v>
      </c>
      <c r="K347" s="11" t="s">
        <v>84</v>
      </c>
    </row>
    <row r="348" spans="1:11" s="1" customFormat="1" ht="15" customHeight="1">
      <c r="A348" s="3">
        <v>345</v>
      </c>
      <c r="B348" s="9" t="str">
        <f>"谢侠影"</f>
        <v>谢侠影</v>
      </c>
      <c r="C348" s="9" t="str">
        <f t="shared" si="30"/>
        <v>1623020220102</v>
      </c>
      <c r="D348" s="9" t="s">
        <v>39</v>
      </c>
      <c r="E348" s="9" t="str">
        <f>"16230035620"</f>
        <v>16230035620</v>
      </c>
      <c r="F348" s="7">
        <v>85.74</v>
      </c>
      <c r="G348" s="7">
        <v>84.7</v>
      </c>
      <c r="H348" s="7">
        <v>85.12</v>
      </c>
      <c r="I348" s="10"/>
      <c r="J348" s="7">
        <f t="shared" si="29"/>
        <v>85.12</v>
      </c>
      <c r="K348" s="11" t="s">
        <v>84</v>
      </c>
    </row>
    <row r="349" spans="1:11" s="1" customFormat="1" ht="15" customHeight="1">
      <c r="A349" s="3">
        <v>346</v>
      </c>
      <c r="B349" s="9" t="str">
        <f>"储荣荣"</f>
        <v>储荣荣</v>
      </c>
      <c r="C349" s="9" t="str">
        <f aca="true" t="shared" si="31" ref="C349:C364">"1623020220203"</f>
        <v>1623020220203</v>
      </c>
      <c r="D349" s="9" t="s">
        <v>40</v>
      </c>
      <c r="E349" s="9" t="str">
        <f>"16230043302"</f>
        <v>16230043302</v>
      </c>
      <c r="F349" s="7">
        <v>85.84</v>
      </c>
      <c r="G349" s="7">
        <v>95.8</v>
      </c>
      <c r="H349" s="7">
        <v>91.82</v>
      </c>
      <c r="I349" s="10"/>
      <c r="J349" s="7">
        <f t="shared" si="29"/>
        <v>91.82</v>
      </c>
      <c r="K349" s="11"/>
    </row>
    <row r="350" spans="1:11" s="1" customFormat="1" ht="15" customHeight="1">
      <c r="A350" s="3">
        <v>347</v>
      </c>
      <c r="B350" s="9" t="str">
        <f>"孙伟艳"</f>
        <v>孙伟艳</v>
      </c>
      <c r="C350" s="9" t="str">
        <f t="shared" si="31"/>
        <v>1623020220203</v>
      </c>
      <c r="D350" s="9" t="s">
        <v>40</v>
      </c>
      <c r="E350" s="9" t="str">
        <f>"16230043314"</f>
        <v>16230043314</v>
      </c>
      <c r="F350" s="7">
        <v>95.88</v>
      </c>
      <c r="G350" s="7">
        <v>88.05</v>
      </c>
      <c r="H350" s="7">
        <v>91.18</v>
      </c>
      <c r="I350" s="10"/>
      <c r="J350" s="7">
        <f t="shared" si="29"/>
        <v>91.18</v>
      </c>
      <c r="K350" s="11"/>
    </row>
    <row r="351" spans="1:11" s="1" customFormat="1" ht="15" customHeight="1">
      <c r="A351" s="3">
        <v>348</v>
      </c>
      <c r="B351" s="9" t="str">
        <f>"王琼"</f>
        <v>王琼</v>
      </c>
      <c r="C351" s="9" t="str">
        <f t="shared" si="31"/>
        <v>1623020220203</v>
      </c>
      <c r="D351" s="9" t="s">
        <v>40</v>
      </c>
      <c r="E351" s="9" t="str">
        <f>"16230043310"</f>
        <v>16230043310</v>
      </c>
      <c r="F351" s="7">
        <v>97.58</v>
      </c>
      <c r="G351" s="7">
        <v>84.85</v>
      </c>
      <c r="H351" s="7">
        <v>89.94</v>
      </c>
      <c r="I351" s="10"/>
      <c r="J351" s="7">
        <f t="shared" si="29"/>
        <v>89.94</v>
      </c>
      <c r="K351" s="11"/>
    </row>
    <row r="352" spans="1:11" s="1" customFormat="1" ht="15" customHeight="1">
      <c r="A352" s="3">
        <v>349</v>
      </c>
      <c r="B352" s="9" t="str">
        <f>"李艳"</f>
        <v>李艳</v>
      </c>
      <c r="C352" s="9" t="str">
        <f t="shared" si="31"/>
        <v>1623020220203</v>
      </c>
      <c r="D352" s="9" t="s">
        <v>40</v>
      </c>
      <c r="E352" s="9" t="str">
        <f>"16230043222"</f>
        <v>16230043222</v>
      </c>
      <c r="F352" s="7">
        <v>96.4</v>
      </c>
      <c r="G352" s="7">
        <v>83.4</v>
      </c>
      <c r="H352" s="7">
        <v>88.6</v>
      </c>
      <c r="I352" s="10"/>
      <c r="J352" s="7">
        <f t="shared" si="29"/>
        <v>88.6</v>
      </c>
      <c r="K352" s="11"/>
    </row>
    <row r="353" spans="1:11" s="1" customFormat="1" ht="15" customHeight="1">
      <c r="A353" s="3">
        <v>350</v>
      </c>
      <c r="B353" s="9" t="str">
        <f>"李德英"</f>
        <v>李德英</v>
      </c>
      <c r="C353" s="9" t="str">
        <f t="shared" si="31"/>
        <v>1623020220203</v>
      </c>
      <c r="D353" s="9" t="s">
        <v>40</v>
      </c>
      <c r="E353" s="9" t="str">
        <f>"16230043208"</f>
        <v>16230043208</v>
      </c>
      <c r="F353" s="7">
        <v>86.46</v>
      </c>
      <c r="G353" s="7">
        <v>84.2</v>
      </c>
      <c r="H353" s="7">
        <v>85.1</v>
      </c>
      <c r="I353" s="10"/>
      <c r="J353" s="7">
        <f t="shared" si="29"/>
        <v>85.1</v>
      </c>
      <c r="K353" s="11"/>
    </row>
    <row r="354" spans="1:11" s="1" customFormat="1" ht="15" customHeight="1">
      <c r="A354" s="3">
        <v>351</v>
      </c>
      <c r="B354" s="9" t="str">
        <f>"杨金文"</f>
        <v>杨金文</v>
      </c>
      <c r="C354" s="9" t="str">
        <f t="shared" si="31"/>
        <v>1623020220203</v>
      </c>
      <c r="D354" s="9" t="s">
        <v>40</v>
      </c>
      <c r="E354" s="9" t="str">
        <f>"16230043301"</f>
        <v>16230043301</v>
      </c>
      <c r="F354" s="7">
        <v>90.4</v>
      </c>
      <c r="G354" s="7">
        <v>81.55</v>
      </c>
      <c r="H354" s="7">
        <v>85.09</v>
      </c>
      <c r="I354" s="10"/>
      <c r="J354" s="7">
        <f t="shared" si="29"/>
        <v>85.09</v>
      </c>
      <c r="K354" s="11"/>
    </row>
    <row r="355" spans="1:11" s="1" customFormat="1" ht="15" customHeight="1">
      <c r="A355" s="3">
        <v>352</v>
      </c>
      <c r="B355" s="9" t="str">
        <f>"王瑞"</f>
        <v>王瑞</v>
      </c>
      <c r="C355" s="9" t="str">
        <f t="shared" si="31"/>
        <v>1623020220203</v>
      </c>
      <c r="D355" s="9" t="s">
        <v>40</v>
      </c>
      <c r="E355" s="9" t="str">
        <f>"16230043226"</f>
        <v>16230043226</v>
      </c>
      <c r="F355" s="7">
        <v>91.58</v>
      </c>
      <c r="G355" s="7">
        <v>80.05</v>
      </c>
      <c r="H355" s="7">
        <v>84.66</v>
      </c>
      <c r="I355" s="10"/>
      <c r="J355" s="7">
        <f t="shared" si="29"/>
        <v>84.66</v>
      </c>
      <c r="K355" s="11"/>
    </row>
    <row r="356" spans="1:11" s="1" customFormat="1" ht="15" customHeight="1">
      <c r="A356" s="3">
        <v>353</v>
      </c>
      <c r="B356" s="9" t="str">
        <f>"付晴晴"</f>
        <v>付晴晴</v>
      </c>
      <c r="C356" s="9" t="str">
        <f t="shared" si="31"/>
        <v>1623020220203</v>
      </c>
      <c r="D356" s="9" t="s">
        <v>40</v>
      </c>
      <c r="E356" s="9" t="str">
        <f>"16230043229"</f>
        <v>16230043229</v>
      </c>
      <c r="F356" s="7">
        <v>91.12</v>
      </c>
      <c r="G356" s="7">
        <v>79.9</v>
      </c>
      <c r="H356" s="7">
        <v>84.39</v>
      </c>
      <c r="I356" s="10"/>
      <c r="J356" s="7">
        <f t="shared" si="29"/>
        <v>84.39</v>
      </c>
      <c r="K356" s="11"/>
    </row>
    <row r="357" spans="1:11" s="1" customFormat="1" ht="15" customHeight="1">
      <c r="A357" s="3">
        <v>354</v>
      </c>
      <c r="B357" s="9" t="str">
        <f>"刘悦"</f>
        <v>刘悦</v>
      </c>
      <c r="C357" s="9" t="str">
        <f t="shared" si="31"/>
        <v>1623020220203</v>
      </c>
      <c r="D357" s="9" t="s">
        <v>40</v>
      </c>
      <c r="E357" s="9" t="str">
        <f>"16230043303"</f>
        <v>16230043303</v>
      </c>
      <c r="F357" s="7">
        <v>85.26</v>
      </c>
      <c r="G357" s="7">
        <v>83.4</v>
      </c>
      <c r="H357" s="7">
        <v>84.14</v>
      </c>
      <c r="I357" s="10"/>
      <c r="J357" s="7">
        <f t="shared" si="29"/>
        <v>84.14</v>
      </c>
      <c r="K357" s="11"/>
    </row>
    <row r="358" spans="1:11" s="1" customFormat="1" ht="15" customHeight="1">
      <c r="A358" s="3">
        <v>355</v>
      </c>
      <c r="B358" s="9" t="str">
        <f>"崔圆圆"</f>
        <v>崔圆圆</v>
      </c>
      <c r="C358" s="9" t="str">
        <f t="shared" si="31"/>
        <v>1623020220203</v>
      </c>
      <c r="D358" s="9" t="s">
        <v>40</v>
      </c>
      <c r="E358" s="9" t="str">
        <f>"16230043209"</f>
        <v>16230043209</v>
      </c>
      <c r="F358" s="7">
        <v>82.4</v>
      </c>
      <c r="G358" s="7">
        <v>85.2</v>
      </c>
      <c r="H358" s="7">
        <v>84.08</v>
      </c>
      <c r="I358" s="10"/>
      <c r="J358" s="7">
        <f t="shared" si="29"/>
        <v>84.08</v>
      </c>
      <c r="K358" s="11"/>
    </row>
    <row r="359" spans="1:11" s="1" customFormat="1" ht="15" customHeight="1">
      <c r="A359" s="3">
        <v>356</v>
      </c>
      <c r="B359" s="9" t="str">
        <f>"顾利利"</f>
        <v>顾利利</v>
      </c>
      <c r="C359" s="9" t="str">
        <f t="shared" si="31"/>
        <v>1623020220203</v>
      </c>
      <c r="D359" s="9" t="s">
        <v>40</v>
      </c>
      <c r="E359" s="9" t="str">
        <f>"16230043311"</f>
        <v>16230043311</v>
      </c>
      <c r="F359" s="7">
        <v>86.16</v>
      </c>
      <c r="G359" s="7">
        <v>82.65</v>
      </c>
      <c r="H359" s="7">
        <v>84.05</v>
      </c>
      <c r="I359" s="10"/>
      <c r="J359" s="7">
        <f t="shared" si="29"/>
        <v>84.05</v>
      </c>
      <c r="K359" s="11"/>
    </row>
    <row r="360" spans="1:11" s="1" customFormat="1" ht="15" customHeight="1">
      <c r="A360" s="3">
        <v>357</v>
      </c>
      <c r="B360" s="9" t="str">
        <f>"宋艳梅"</f>
        <v>宋艳梅</v>
      </c>
      <c r="C360" s="9" t="str">
        <f t="shared" si="31"/>
        <v>1623020220203</v>
      </c>
      <c r="D360" s="9" t="s">
        <v>40</v>
      </c>
      <c r="E360" s="9" t="str">
        <f>"16230043230"</f>
        <v>16230043230</v>
      </c>
      <c r="F360" s="7">
        <v>89.8</v>
      </c>
      <c r="G360" s="7">
        <v>77.3</v>
      </c>
      <c r="H360" s="7">
        <v>82.3</v>
      </c>
      <c r="I360" s="10"/>
      <c r="J360" s="7">
        <f t="shared" si="29"/>
        <v>82.3</v>
      </c>
      <c r="K360" s="11"/>
    </row>
    <row r="361" spans="1:11" s="1" customFormat="1" ht="15" customHeight="1">
      <c r="A361" s="3">
        <v>358</v>
      </c>
      <c r="B361" s="9" t="str">
        <f>"梁小鹏"</f>
        <v>梁小鹏</v>
      </c>
      <c r="C361" s="9" t="str">
        <f t="shared" si="31"/>
        <v>1623020220203</v>
      </c>
      <c r="D361" s="9" t="s">
        <v>40</v>
      </c>
      <c r="E361" s="9" t="str">
        <f>"16230043210"</f>
        <v>16230043210</v>
      </c>
      <c r="F361" s="7">
        <v>84.36</v>
      </c>
      <c r="G361" s="7">
        <v>80.9</v>
      </c>
      <c r="H361" s="7">
        <v>82.28</v>
      </c>
      <c r="I361" s="10"/>
      <c r="J361" s="7">
        <f t="shared" si="29"/>
        <v>82.28</v>
      </c>
      <c r="K361" s="11"/>
    </row>
    <row r="362" spans="1:11" s="1" customFormat="1" ht="15" customHeight="1">
      <c r="A362" s="3">
        <v>359</v>
      </c>
      <c r="B362" s="9" t="str">
        <f>"张佳慧"</f>
        <v>张佳慧</v>
      </c>
      <c r="C362" s="9" t="str">
        <f t="shared" si="31"/>
        <v>1623020220203</v>
      </c>
      <c r="D362" s="9" t="s">
        <v>40</v>
      </c>
      <c r="E362" s="9" t="str">
        <f>"16230043207"</f>
        <v>16230043207</v>
      </c>
      <c r="F362" s="7">
        <v>89.36</v>
      </c>
      <c r="G362" s="7">
        <v>77.25</v>
      </c>
      <c r="H362" s="7">
        <v>82.09</v>
      </c>
      <c r="I362" s="10"/>
      <c r="J362" s="7">
        <f t="shared" si="29"/>
        <v>82.09</v>
      </c>
      <c r="K362" s="11"/>
    </row>
    <row r="363" spans="1:11" s="1" customFormat="1" ht="15" customHeight="1">
      <c r="A363" s="3">
        <v>360</v>
      </c>
      <c r="B363" s="9" t="str">
        <f>"罗思琴"</f>
        <v>罗思琴</v>
      </c>
      <c r="C363" s="9" t="str">
        <f t="shared" si="31"/>
        <v>1623020220203</v>
      </c>
      <c r="D363" s="9" t="s">
        <v>40</v>
      </c>
      <c r="E363" s="9" t="str">
        <f>"16230043216"</f>
        <v>16230043216</v>
      </c>
      <c r="F363" s="7">
        <v>85.44</v>
      </c>
      <c r="G363" s="7">
        <v>78.45</v>
      </c>
      <c r="H363" s="7">
        <v>81.25</v>
      </c>
      <c r="I363" s="10"/>
      <c r="J363" s="7">
        <f t="shared" si="29"/>
        <v>81.25</v>
      </c>
      <c r="K363" s="11"/>
    </row>
    <row r="364" spans="1:11" s="1" customFormat="1" ht="15" customHeight="1">
      <c r="A364" s="3">
        <v>361</v>
      </c>
      <c r="B364" s="9" t="str">
        <f>"高静静"</f>
        <v>高静静</v>
      </c>
      <c r="C364" s="9" t="str">
        <f t="shared" si="31"/>
        <v>1623020220203</v>
      </c>
      <c r="D364" s="9" t="s">
        <v>40</v>
      </c>
      <c r="E364" s="9" t="str">
        <f>"16230043214"</f>
        <v>16230043214</v>
      </c>
      <c r="F364" s="7">
        <v>83.92</v>
      </c>
      <c r="G364" s="7">
        <v>78</v>
      </c>
      <c r="H364" s="7">
        <v>80.37</v>
      </c>
      <c r="I364" s="10"/>
      <c r="J364" s="7">
        <f t="shared" si="29"/>
        <v>80.37</v>
      </c>
      <c r="K364" s="11" t="s">
        <v>84</v>
      </c>
    </row>
    <row r="365" spans="1:11" s="1" customFormat="1" ht="15" customHeight="1">
      <c r="A365" s="3">
        <v>362</v>
      </c>
      <c r="B365" s="9" t="str">
        <f>"许琪琪"</f>
        <v>许琪琪</v>
      </c>
      <c r="C365" s="9" t="str">
        <f aca="true" t="shared" si="32" ref="C365:C378">"1623020220204"</f>
        <v>1623020220204</v>
      </c>
      <c r="D365" s="9" t="s">
        <v>41</v>
      </c>
      <c r="E365" s="9" t="str">
        <f>"16230043505"</f>
        <v>16230043505</v>
      </c>
      <c r="F365" s="7">
        <v>85.94</v>
      </c>
      <c r="G365" s="7">
        <v>93.55</v>
      </c>
      <c r="H365" s="7">
        <v>90.51</v>
      </c>
      <c r="I365" s="10"/>
      <c r="J365" s="7">
        <f t="shared" si="29"/>
        <v>90.51</v>
      </c>
      <c r="K365" s="11"/>
    </row>
    <row r="366" spans="1:11" s="1" customFormat="1" ht="15" customHeight="1">
      <c r="A366" s="3">
        <v>363</v>
      </c>
      <c r="B366" s="9" t="str">
        <f>"朱利"</f>
        <v>朱利</v>
      </c>
      <c r="C366" s="9" t="str">
        <f t="shared" si="32"/>
        <v>1623020220204</v>
      </c>
      <c r="D366" s="9" t="s">
        <v>41</v>
      </c>
      <c r="E366" s="9" t="str">
        <f>"16230043507"</f>
        <v>16230043507</v>
      </c>
      <c r="F366" s="7">
        <v>92.22</v>
      </c>
      <c r="G366" s="7">
        <v>89.15</v>
      </c>
      <c r="H366" s="7">
        <v>90.38</v>
      </c>
      <c r="I366" s="10"/>
      <c r="J366" s="7">
        <f t="shared" si="29"/>
        <v>90.38</v>
      </c>
      <c r="K366" s="11"/>
    </row>
    <row r="367" spans="1:11" s="1" customFormat="1" ht="15" customHeight="1">
      <c r="A367" s="3">
        <v>364</v>
      </c>
      <c r="B367" s="9" t="str">
        <f>"张大鹏"</f>
        <v>张大鹏</v>
      </c>
      <c r="C367" s="9" t="str">
        <f t="shared" si="32"/>
        <v>1623020220204</v>
      </c>
      <c r="D367" s="9" t="s">
        <v>41</v>
      </c>
      <c r="E367" s="9" t="str">
        <f>"16230043328"</f>
        <v>16230043328</v>
      </c>
      <c r="F367" s="7">
        <v>90.92</v>
      </c>
      <c r="G367" s="7">
        <v>89.95</v>
      </c>
      <c r="H367" s="7">
        <v>90.34</v>
      </c>
      <c r="I367" s="10"/>
      <c r="J367" s="7">
        <f t="shared" si="29"/>
        <v>90.34</v>
      </c>
      <c r="K367" s="11"/>
    </row>
    <row r="368" spans="1:11" s="1" customFormat="1" ht="15" customHeight="1">
      <c r="A368" s="3">
        <v>365</v>
      </c>
      <c r="B368" s="9" t="str">
        <f>"武玲玲"</f>
        <v>武玲玲</v>
      </c>
      <c r="C368" s="9" t="str">
        <f t="shared" si="32"/>
        <v>1623020220204</v>
      </c>
      <c r="D368" s="9" t="s">
        <v>41</v>
      </c>
      <c r="E368" s="9" t="str">
        <f>"16230043403"</f>
        <v>16230043403</v>
      </c>
      <c r="F368" s="7">
        <v>97.18</v>
      </c>
      <c r="G368" s="7">
        <v>84.7</v>
      </c>
      <c r="H368" s="7">
        <v>89.69</v>
      </c>
      <c r="I368" s="10"/>
      <c r="J368" s="7">
        <f t="shared" si="29"/>
        <v>89.69</v>
      </c>
      <c r="K368" s="11"/>
    </row>
    <row r="369" spans="1:11" s="1" customFormat="1" ht="15" customHeight="1">
      <c r="A369" s="3">
        <v>366</v>
      </c>
      <c r="B369" s="9" t="str">
        <f>"李峰"</f>
        <v>李峰</v>
      </c>
      <c r="C369" s="9" t="str">
        <f t="shared" si="32"/>
        <v>1623020220204</v>
      </c>
      <c r="D369" s="9" t="s">
        <v>41</v>
      </c>
      <c r="E369" s="9" t="str">
        <f>"16230043408"</f>
        <v>16230043408</v>
      </c>
      <c r="F369" s="7">
        <v>89.94</v>
      </c>
      <c r="G369" s="7">
        <v>88.4</v>
      </c>
      <c r="H369" s="7">
        <v>89.02</v>
      </c>
      <c r="I369" s="10"/>
      <c r="J369" s="7">
        <f t="shared" si="29"/>
        <v>89.02</v>
      </c>
      <c r="K369" s="11"/>
    </row>
    <row r="370" spans="1:11" s="1" customFormat="1" ht="15" customHeight="1">
      <c r="A370" s="3">
        <v>367</v>
      </c>
      <c r="B370" s="9" t="str">
        <f>"李慧慧"</f>
        <v>李慧慧</v>
      </c>
      <c r="C370" s="9" t="str">
        <f t="shared" si="32"/>
        <v>1623020220204</v>
      </c>
      <c r="D370" s="9" t="s">
        <v>41</v>
      </c>
      <c r="E370" s="9" t="str">
        <f>"16230043602"</f>
        <v>16230043602</v>
      </c>
      <c r="F370" s="7">
        <v>90.9</v>
      </c>
      <c r="G370" s="7">
        <v>86</v>
      </c>
      <c r="H370" s="7">
        <v>87.96</v>
      </c>
      <c r="I370" s="10"/>
      <c r="J370" s="7">
        <f t="shared" si="29"/>
        <v>87.96</v>
      </c>
      <c r="K370" s="11"/>
    </row>
    <row r="371" spans="1:11" s="1" customFormat="1" ht="15" customHeight="1">
      <c r="A371" s="3">
        <v>368</v>
      </c>
      <c r="B371" s="9" t="str">
        <f>"储昭师"</f>
        <v>储昭师</v>
      </c>
      <c r="C371" s="9" t="str">
        <f t="shared" si="32"/>
        <v>1623020220204</v>
      </c>
      <c r="D371" s="9" t="s">
        <v>41</v>
      </c>
      <c r="E371" s="9" t="str">
        <f>"16230043528"</f>
        <v>16230043528</v>
      </c>
      <c r="F371" s="7">
        <v>88.7</v>
      </c>
      <c r="G371" s="7">
        <v>86.75</v>
      </c>
      <c r="H371" s="7">
        <v>87.53</v>
      </c>
      <c r="I371" s="10"/>
      <c r="J371" s="7">
        <f t="shared" si="29"/>
        <v>87.53</v>
      </c>
      <c r="K371" s="11"/>
    </row>
    <row r="372" spans="1:11" s="1" customFormat="1" ht="15" customHeight="1">
      <c r="A372" s="3">
        <v>369</v>
      </c>
      <c r="B372" s="9" t="str">
        <f>"武云峰"</f>
        <v>武云峰</v>
      </c>
      <c r="C372" s="9" t="str">
        <f t="shared" si="32"/>
        <v>1623020220204</v>
      </c>
      <c r="D372" s="9" t="s">
        <v>41</v>
      </c>
      <c r="E372" s="9" t="str">
        <f>"16230043424"</f>
        <v>16230043424</v>
      </c>
      <c r="F372" s="7">
        <v>83.06</v>
      </c>
      <c r="G372" s="7">
        <v>90.35</v>
      </c>
      <c r="H372" s="7">
        <v>87.43</v>
      </c>
      <c r="I372" s="10"/>
      <c r="J372" s="7">
        <f t="shared" si="29"/>
        <v>87.43</v>
      </c>
      <c r="K372" s="11"/>
    </row>
    <row r="373" spans="1:11" s="1" customFormat="1" ht="15" customHeight="1">
      <c r="A373" s="3">
        <v>370</v>
      </c>
      <c r="B373" s="9" t="str">
        <f>"高永标"</f>
        <v>高永标</v>
      </c>
      <c r="C373" s="9" t="str">
        <f t="shared" si="32"/>
        <v>1623020220204</v>
      </c>
      <c r="D373" s="9" t="s">
        <v>41</v>
      </c>
      <c r="E373" s="9" t="str">
        <f>"16230043428"</f>
        <v>16230043428</v>
      </c>
      <c r="F373" s="7">
        <v>84.46</v>
      </c>
      <c r="G373" s="7">
        <v>89.1</v>
      </c>
      <c r="H373" s="7">
        <v>87.24</v>
      </c>
      <c r="I373" s="10"/>
      <c r="J373" s="7">
        <f t="shared" si="29"/>
        <v>87.24</v>
      </c>
      <c r="K373" s="11"/>
    </row>
    <row r="374" spans="1:11" s="1" customFormat="1" ht="15" customHeight="1">
      <c r="A374" s="3">
        <v>371</v>
      </c>
      <c r="B374" s="9" t="str">
        <f>"刘小嫚"</f>
        <v>刘小嫚</v>
      </c>
      <c r="C374" s="9" t="str">
        <f t="shared" si="32"/>
        <v>1623020220204</v>
      </c>
      <c r="D374" s="9" t="s">
        <v>41</v>
      </c>
      <c r="E374" s="9" t="str">
        <f>"16230043503"</f>
        <v>16230043503</v>
      </c>
      <c r="F374" s="7">
        <v>93.24</v>
      </c>
      <c r="G374" s="7">
        <v>82.4</v>
      </c>
      <c r="H374" s="7">
        <v>86.74</v>
      </c>
      <c r="I374" s="10"/>
      <c r="J374" s="7">
        <f t="shared" si="29"/>
        <v>86.74</v>
      </c>
      <c r="K374" s="11"/>
    </row>
    <row r="375" spans="1:11" s="1" customFormat="1" ht="15" customHeight="1">
      <c r="A375" s="3">
        <v>372</v>
      </c>
      <c r="B375" s="9" t="str">
        <f>"丁明义"</f>
        <v>丁明义</v>
      </c>
      <c r="C375" s="9" t="str">
        <f t="shared" si="32"/>
        <v>1623020220204</v>
      </c>
      <c r="D375" s="9" t="s">
        <v>41</v>
      </c>
      <c r="E375" s="9" t="str">
        <f>"16230043405"</f>
        <v>16230043405</v>
      </c>
      <c r="F375" s="7">
        <v>78.9</v>
      </c>
      <c r="G375" s="7">
        <v>91.85</v>
      </c>
      <c r="H375" s="7">
        <v>86.67</v>
      </c>
      <c r="I375" s="10"/>
      <c r="J375" s="7">
        <f t="shared" si="29"/>
        <v>86.67</v>
      </c>
      <c r="K375" s="11"/>
    </row>
    <row r="376" spans="1:11" s="1" customFormat="1" ht="15" customHeight="1">
      <c r="A376" s="3">
        <v>373</v>
      </c>
      <c r="B376" s="9" t="str">
        <f>"纪绍丽"</f>
        <v>纪绍丽</v>
      </c>
      <c r="C376" s="9" t="str">
        <f t="shared" si="32"/>
        <v>1623020220204</v>
      </c>
      <c r="D376" s="9" t="s">
        <v>41</v>
      </c>
      <c r="E376" s="9" t="str">
        <f>"16230043401"</f>
        <v>16230043401</v>
      </c>
      <c r="F376" s="7">
        <v>85.52</v>
      </c>
      <c r="G376" s="7">
        <v>87.35</v>
      </c>
      <c r="H376" s="7">
        <v>86.62</v>
      </c>
      <c r="I376" s="10"/>
      <c r="J376" s="7">
        <f t="shared" si="29"/>
        <v>86.62</v>
      </c>
      <c r="K376" s="11"/>
    </row>
    <row r="377" spans="1:11" s="1" customFormat="1" ht="15" customHeight="1">
      <c r="A377" s="3">
        <v>374</v>
      </c>
      <c r="B377" s="9" t="str">
        <f>"刘恒"</f>
        <v>刘恒</v>
      </c>
      <c r="C377" s="9" t="str">
        <f t="shared" si="32"/>
        <v>1623020220204</v>
      </c>
      <c r="D377" s="9" t="s">
        <v>41</v>
      </c>
      <c r="E377" s="9" t="str">
        <f>"16230043402"</f>
        <v>16230043402</v>
      </c>
      <c r="F377" s="7">
        <v>94.28</v>
      </c>
      <c r="G377" s="7">
        <v>81.25</v>
      </c>
      <c r="H377" s="7">
        <v>86.46</v>
      </c>
      <c r="I377" s="10"/>
      <c r="J377" s="7">
        <f t="shared" si="29"/>
        <v>86.46</v>
      </c>
      <c r="K377" s="11"/>
    </row>
    <row r="378" spans="1:11" s="1" customFormat="1" ht="15" customHeight="1">
      <c r="A378" s="3">
        <v>375</v>
      </c>
      <c r="B378" s="9" t="str">
        <f>"李逸"</f>
        <v>李逸</v>
      </c>
      <c r="C378" s="9" t="str">
        <f t="shared" si="32"/>
        <v>1623020220204</v>
      </c>
      <c r="D378" s="9" t="s">
        <v>41</v>
      </c>
      <c r="E378" s="9" t="str">
        <f>"16230043325"</f>
        <v>16230043325</v>
      </c>
      <c r="F378" s="7">
        <v>89.9</v>
      </c>
      <c r="G378" s="7">
        <v>83.9</v>
      </c>
      <c r="H378" s="7">
        <v>86.3</v>
      </c>
      <c r="I378" s="10"/>
      <c r="J378" s="7">
        <f t="shared" si="29"/>
        <v>86.3</v>
      </c>
      <c r="K378" s="11" t="s">
        <v>84</v>
      </c>
    </row>
    <row r="379" spans="1:11" s="1" customFormat="1" ht="15" customHeight="1">
      <c r="A379" s="3">
        <v>376</v>
      </c>
      <c r="B379" s="9" t="str">
        <f>"王丽华"</f>
        <v>王丽华</v>
      </c>
      <c r="C379" s="9" t="str">
        <f aca="true" t="shared" si="33" ref="C379:C394">"1623020220305"</f>
        <v>1623020220305</v>
      </c>
      <c r="D379" s="9" t="s">
        <v>42</v>
      </c>
      <c r="E379" s="9" t="str">
        <f>"16230042203"</f>
        <v>16230042203</v>
      </c>
      <c r="F379" s="7">
        <v>96.36</v>
      </c>
      <c r="G379" s="7">
        <v>99.02</v>
      </c>
      <c r="H379" s="7">
        <v>97.96</v>
      </c>
      <c r="I379" s="10"/>
      <c r="J379" s="7">
        <f t="shared" si="29"/>
        <v>97.96</v>
      </c>
      <c r="K379" s="11"/>
    </row>
    <row r="380" spans="1:11" s="1" customFormat="1" ht="15" customHeight="1">
      <c r="A380" s="3">
        <v>377</v>
      </c>
      <c r="B380" s="9" t="str">
        <f>"张苗苗"</f>
        <v>张苗苗</v>
      </c>
      <c r="C380" s="9" t="str">
        <f t="shared" si="33"/>
        <v>1623020220305</v>
      </c>
      <c r="D380" s="9" t="s">
        <v>42</v>
      </c>
      <c r="E380" s="9" t="str">
        <f>"16230042211"</f>
        <v>16230042211</v>
      </c>
      <c r="F380" s="7">
        <v>93.94</v>
      </c>
      <c r="G380" s="7">
        <v>99.96</v>
      </c>
      <c r="H380" s="7">
        <v>97.55</v>
      </c>
      <c r="I380" s="10"/>
      <c r="J380" s="7">
        <f t="shared" si="29"/>
        <v>97.55</v>
      </c>
      <c r="K380" s="11"/>
    </row>
    <row r="381" spans="1:11" s="1" customFormat="1" ht="15" customHeight="1">
      <c r="A381" s="3">
        <v>378</v>
      </c>
      <c r="B381" s="9" t="str">
        <f>"张淼"</f>
        <v>张淼</v>
      </c>
      <c r="C381" s="9" t="str">
        <f t="shared" si="33"/>
        <v>1623020220305</v>
      </c>
      <c r="D381" s="9" t="s">
        <v>42</v>
      </c>
      <c r="E381" s="9" t="str">
        <f>"16230042129"</f>
        <v>16230042129</v>
      </c>
      <c r="F381" s="7">
        <v>96.58</v>
      </c>
      <c r="G381" s="7">
        <v>97.24</v>
      </c>
      <c r="H381" s="7">
        <v>96.98</v>
      </c>
      <c r="I381" s="10"/>
      <c r="J381" s="7">
        <f t="shared" si="29"/>
        <v>96.98</v>
      </c>
      <c r="K381" s="11"/>
    </row>
    <row r="382" spans="1:11" s="1" customFormat="1" ht="15" customHeight="1">
      <c r="A382" s="3">
        <v>379</v>
      </c>
      <c r="B382" s="9" t="str">
        <f>"陆瑶"</f>
        <v>陆瑶</v>
      </c>
      <c r="C382" s="9" t="str">
        <f t="shared" si="33"/>
        <v>1623020220305</v>
      </c>
      <c r="D382" s="9" t="s">
        <v>42</v>
      </c>
      <c r="E382" s="9" t="str">
        <f>"16230042113"</f>
        <v>16230042113</v>
      </c>
      <c r="F382" s="7">
        <v>92.84</v>
      </c>
      <c r="G382" s="7">
        <v>96.6</v>
      </c>
      <c r="H382" s="7">
        <v>95.1</v>
      </c>
      <c r="I382" s="10"/>
      <c r="J382" s="7">
        <f t="shared" si="29"/>
        <v>95.1</v>
      </c>
      <c r="K382" s="11"/>
    </row>
    <row r="383" spans="1:11" s="1" customFormat="1" ht="15" customHeight="1">
      <c r="A383" s="3">
        <v>380</v>
      </c>
      <c r="B383" s="9" t="str">
        <f>"孙妮妮"</f>
        <v>孙妮妮</v>
      </c>
      <c r="C383" s="9" t="str">
        <f t="shared" si="33"/>
        <v>1623020220305</v>
      </c>
      <c r="D383" s="9" t="s">
        <v>42</v>
      </c>
      <c r="E383" s="9" t="str">
        <f>"16230042215"</f>
        <v>16230042215</v>
      </c>
      <c r="F383" s="7">
        <v>95.46</v>
      </c>
      <c r="G383" s="7">
        <v>93.86</v>
      </c>
      <c r="H383" s="7">
        <v>94.5</v>
      </c>
      <c r="I383" s="10"/>
      <c r="J383" s="7">
        <f t="shared" si="29"/>
        <v>94.5</v>
      </c>
      <c r="K383" s="11"/>
    </row>
    <row r="384" spans="1:11" s="1" customFormat="1" ht="15" customHeight="1">
      <c r="A384" s="3">
        <v>381</v>
      </c>
      <c r="B384" s="9" t="str">
        <f>"赵崇云"</f>
        <v>赵崇云</v>
      </c>
      <c r="C384" s="9" t="str">
        <f t="shared" si="33"/>
        <v>1623020220305</v>
      </c>
      <c r="D384" s="9" t="s">
        <v>42</v>
      </c>
      <c r="E384" s="9" t="str">
        <f>"16230042217"</f>
        <v>16230042217</v>
      </c>
      <c r="F384" s="7">
        <v>90.62</v>
      </c>
      <c r="G384" s="7">
        <v>96.66</v>
      </c>
      <c r="H384" s="7">
        <v>94.24</v>
      </c>
      <c r="I384" s="10"/>
      <c r="J384" s="7">
        <f t="shared" si="29"/>
        <v>94.24</v>
      </c>
      <c r="K384" s="11"/>
    </row>
    <row r="385" spans="1:11" s="1" customFormat="1" ht="15" customHeight="1">
      <c r="A385" s="3">
        <v>382</v>
      </c>
      <c r="B385" s="9" t="str">
        <f>"丁娟"</f>
        <v>丁娟</v>
      </c>
      <c r="C385" s="9" t="str">
        <f t="shared" si="33"/>
        <v>1623020220305</v>
      </c>
      <c r="D385" s="9" t="s">
        <v>42</v>
      </c>
      <c r="E385" s="9" t="str">
        <f>"16230042102"</f>
        <v>16230042102</v>
      </c>
      <c r="F385" s="7">
        <v>95.08</v>
      </c>
      <c r="G385" s="7">
        <v>93.52</v>
      </c>
      <c r="H385" s="7">
        <v>94.14</v>
      </c>
      <c r="I385" s="10"/>
      <c r="J385" s="7">
        <f t="shared" si="29"/>
        <v>94.14</v>
      </c>
      <c r="K385" s="11"/>
    </row>
    <row r="386" spans="1:11" s="1" customFormat="1" ht="15" customHeight="1">
      <c r="A386" s="3">
        <v>383</v>
      </c>
      <c r="B386" s="9" t="str">
        <f>"谢玉娟"</f>
        <v>谢玉娟</v>
      </c>
      <c r="C386" s="9" t="str">
        <f t="shared" si="33"/>
        <v>1623020220305</v>
      </c>
      <c r="D386" s="9" t="s">
        <v>42</v>
      </c>
      <c r="E386" s="9" t="str">
        <f>"16230042130"</f>
        <v>16230042130</v>
      </c>
      <c r="F386" s="7">
        <v>96.58</v>
      </c>
      <c r="G386" s="7">
        <v>92.24</v>
      </c>
      <c r="H386" s="7">
        <v>93.98</v>
      </c>
      <c r="I386" s="10"/>
      <c r="J386" s="7">
        <f t="shared" si="29"/>
        <v>93.98</v>
      </c>
      <c r="K386" s="11"/>
    </row>
    <row r="387" spans="1:11" s="1" customFormat="1" ht="15" customHeight="1">
      <c r="A387" s="3">
        <v>384</v>
      </c>
      <c r="B387" s="9" t="str">
        <f>"武晓莹"</f>
        <v>武晓莹</v>
      </c>
      <c r="C387" s="9" t="str">
        <f t="shared" si="33"/>
        <v>1623020220305</v>
      </c>
      <c r="D387" s="9" t="s">
        <v>42</v>
      </c>
      <c r="E387" s="9" t="str">
        <f>"16230042206"</f>
        <v>16230042206</v>
      </c>
      <c r="F387" s="7">
        <v>88.62</v>
      </c>
      <c r="G387" s="7">
        <v>97.26</v>
      </c>
      <c r="H387" s="7">
        <v>93.8</v>
      </c>
      <c r="I387" s="10"/>
      <c r="J387" s="7">
        <f t="shared" si="29"/>
        <v>93.8</v>
      </c>
      <c r="K387" s="11"/>
    </row>
    <row r="388" spans="1:11" s="1" customFormat="1" ht="15" customHeight="1">
      <c r="A388" s="3">
        <v>385</v>
      </c>
      <c r="B388" s="9" t="str">
        <f>"常静"</f>
        <v>常静</v>
      </c>
      <c r="C388" s="9" t="str">
        <f t="shared" si="33"/>
        <v>1623020220305</v>
      </c>
      <c r="D388" s="9" t="s">
        <v>42</v>
      </c>
      <c r="E388" s="9" t="str">
        <f>"16230042121"</f>
        <v>16230042121</v>
      </c>
      <c r="F388" s="7">
        <v>86.66</v>
      </c>
      <c r="G388" s="7">
        <v>96.66</v>
      </c>
      <c r="H388" s="7">
        <v>92.66</v>
      </c>
      <c r="I388" s="10"/>
      <c r="J388" s="7">
        <f aca="true" t="shared" si="34" ref="J388:J451">H388+I388</f>
        <v>92.66</v>
      </c>
      <c r="K388" s="11"/>
    </row>
    <row r="389" spans="1:11" s="1" customFormat="1" ht="15" customHeight="1">
      <c r="A389" s="3">
        <v>386</v>
      </c>
      <c r="B389" s="9" t="str">
        <f>"李晓慧"</f>
        <v>李晓慧</v>
      </c>
      <c r="C389" s="9" t="str">
        <f t="shared" si="33"/>
        <v>1623020220305</v>
      </c>
      <c r="D389" s="9" t="s">
        <v>42</v>
      </c>
      <c r="E389" s="9" t="str">
        <f>"16230042127"</f>
        <v>16230042127</v>
      </c>
      <c r="F389" s="7">
        <v>80.38</v>
      </c>
      <c r="G389" s="7">
        <v>100.48</v>
      </c>
      <c r="H389" s="7">
        <v>92.44</v>
      </c>
      <c r="I389" s="10"/>
      <c r="J389" s="7">
        <f t="shared" si="34"/>
        <v>92.44</v>
      </c>
      <c r="K389" s="11"/>
    </row>
    <row r="390" spans="1:11" s="1" customFormat="1" ht="15" customHeight="1">
      <c r="A390" s="3">
        <v>387</v>
      </c>
      <c r="B390" s="9" t="str">
        <f>"彭李霞"</f>
        <v>彭李霞</v>
      </c>
      <c r="C390" s="9" t="str">
        <f t="shared" si="33"/>
        <v>1623020220305</v>
      </c>
      <c r="D390" s="9" t="s">
        <v>42</v>
      </c>
      <c r="E390" s="9" t="str">
        <f>"16230042108"</f>
        <v>16230042108</v>
      </c>
      <c r="F390" s="7">
        <v>80.2</v>
      </c>
      <c r="G390" s="7">
        <v>98.66</v>
      </c>
      <c r="H390" s="7">
        <v>91.28</v>
      </c>
      <c r="I390" s="10"/>
      <c r="J390" s="7">
        <f t="shared" si="34"/>
        <v>91.28</v>
      </c>
      <c r="K390" s="11"/>
    </row>
    <row r="391" spans="1:11" s="1" customFormat="1" ht="15" customHeight="1">
      <c r="A391" s="3">
        <v>388</v>
      </c>
      <c r="B391" s="9" t="str">
        <f>"周小芳"</f>
        <v>周小芳</v>
      </c>
      <c r="C391" s="9" t="str">
        <f t="shared" si="33"/>
        <v>1623020220305</v>
      </c>
      <c r="D391" s="9" t="s">
        <v>42</v>
      </c>
      <c r="E391" s="9" t="str">
        <f>"16230042213"</f>
        <v>16230042213</v>
      </c>
      <c r="F391" s="7">
        <v>87.9</v>
      </c>
      <c r="G391" s="7">
        <v>92.78</v>
      </c>
      <c r="H391" s="7">
        <v>90.83</v>
      </c>
      <c r="I391" s="10"/>
      <c r="J391" s="7">
        <f t="shared" si="34"/>
        <v>90.83</v>
      </c>
      <c r="K391" s="11"/>
    </row>
    <row r="392" spans="1:11" s="1" customFormat="1" ht="15" customHeight="1">
      <c r="A392" s="3">
        <v>389</v>
      </c>
      <c r="B392" s="9" t="str">
        <f>"缪家璐"</f>
        <v>缪家璐</v>
      </c>
      <c r="C392" s="9" t="str">
        <f t="shared" si="33"/>
        <v>1623020220305</v>
      </c>
      <c r="D392" s="9" t="s">
        <v>42</v>
      </c>
      <c r="E392" s="9" t="str">
        <f>"16230042106"</f>
        <v>16230042106</v>
      </c>
      <c r="F392" s="7">
        <v>91.74</v>
      </c>
      <c r="G392" s="7">
        <v>90</v>
      </c>
      <c r="H392" s="7">
        <v>90.7</v>
      </c>
      <c r="I392" s="10"/>
      <c r="J392" s="7">
        <f t="shared" si="34"/>
        <v>90.7</v>
      </c>
      <c r="K392" s="11"/>
    </row>
    <row r="393" spans="1:11" s="1" customFormat="1" ht="15" customHeight="1">
      <c r="A393" s="3">
        <v>390</v>
      </c>
      <c r="B393" s="9" t="str">
        <f>"武玉婷"</f>
        <v>武玉婷</v>
      </c>
      <c r="C393" s="9" t="str">
        <f t="shared" si="33"/>
        <v>1623020220305</v>
      </c>
      <c r="D393" s="9" t="s">
        <v>42</v>
      </c>
      <c r="E393" s="9" t="str">
        <f>"16230042221"</f>
        <v>16230042221</v>
      </c>
      <c r="F393" s="7">
        <v>91.52</v>
      </c>
      <c r="G393" s="7">
        <v>89.8</v>
      </c>
      <c r="H393" s="7">
        <v>90.49</v>
      </c>
      <c r="I393" s="10"/>
      <c r="J393" s="7">
        <f t="shared" si="34"/>
        <v>90.49</v>
      </c>
      <c r="K393" s="11"/>
    </row>
    <row r="394" spans="1:11" s="1" customFormat="1" ht="15" customHeight="1">
      <c r="A394" s="3">
        <v>391</v>
      </c>
      <c r="B394" s="9" t="str">
        <f>"李昕"</f>
        <v>李昕</v>
      </c>
      <c r="C394" s="9" t="str">
        <f t="shared" si="33"/>
        <v>1623020220305</v>
      </c>
      <c r="D394" s="9" t="s">
        <v>42</v>
      </c>
      <c r="E394" s="9" t="str">
        <f>"16230042110"</f>
        <v>16230042110</v>
      </c>
      <c r="F394" s="7">
        <v>88.06</v>
      </c>
      <c r="G394" s="7">
        <v>91.3</v>
      </c>
      <c r="H394" s="7">
        <v>90</v>
      </c>
      <c r="I394" s="10"/>
      <c r="J394" s="7">
        <f t="shared" si="34"/>
        <v>90</v>
      </c>
      <c r="K394" s="11"/>
    </row>
    <row r="395" spans="1:11" s="1" customFormat="1" ht="15" customHeight="1">
      <c r="A395" s="3">
        <v>392</v>
      </c>
      <c r="B395" s="9" t="str">
        <f>"刘亚楠"</f>
        <v>刘亚楠</v>
      </c>
      <c r="C395" s="9" t="str">
        <f aca="true" t="shared" si="35" ref="C395:C408">"1623020220306"</f>
        <v>1623020220306</v>
      </c>
      <c r="D395" s="9" t="s">
        <v>43</v>
      </c>
      <c r="E395" s="9" t="str">
        <f>"16230042615"</f>
        <v>16230042615</v>
      </c>
      <c r="F395" s="7">
        <v>93.52</v>
      </c>
      <c r="G395" s="7">
        <v>100.54</v>
      </c>
      <c r="H395" s="7">
        <v>97.73</v>
      </c>
      <c r="I395" s="10"/>
      <c r="J395" s="7">
        <f t="shared" si="34"/>
        <v>97.73</v>
      </c>
      <c r="K395" s="11"/>
    </row>
    <row r="396" spans="1:11" s="1" customFormat="1" ht="15" customHeight="1">
      <c r="A396" s="3">
        <v>393</v>
      </c>
      <c r="B396" s="9" t="str">
        <f>"刘思语"</f>
        <v>刘思语</v>
      </c>
      <c r="C396" s="9" t="str">
        <f t="shared" si="35"/>
        <v>1623020220306</v>
      </c>
      <c r="D396" s="9" t="s">
        <v>43</v>
      </c>
      <c r="E396" s="9" t="str">
        <f>"16230042321"</f>
        <v>16230042321</v>
      </c>
      <c r="F396" s="7">
        <v>95.68</v>
      </c>
      <c r="G396" s="7">
        <v>98.6</v>
      </c>
      <c r="H396" s="7">
        <v>97.43</v>
      </c>
      <c r="I396" s="10"/>
      <c r="J396" s="7">
        <f t="shared" si="34"/>
        <v>97.43</v>
      </c>
      <c r="K396" s="11"/>
    </row>
    <row r="397" spans="1:11" s="1" customFormat="1" ht="15" customHeight="1">
      <c r="A397" s="3">
        <v>394</v>
      </c>
      <c r="B397" s="9" t="str">
        <f>"邹梦杰"</f>
        <v>邹梦杰</v>
      </c>
      <c r="C397" s="9" t="str">
        <f t="shared" si="35"/>
        <v>1623020220306</v>
      </c>
      <c r="D397" s="9" t="s">
        <v>43</v>
      </c>
      <c r="E397" s="9" t="str">
        <f>"16230042608"</f>
        <v>16230042608</v>
      </c>
      <c r="F397" s="7">
        <v>95.58</v>
      </c>
      <c r="G397" s="7">
        <v>97.84</v>
      </c>
      <c r="H397" s="7">
        <v>96.94</v>
      </c>
      <c r="I397" s="10"/>
      <c r="J397" s="7">
        <f t="shared" si="34"/>
        <v>96.94</v>
      </c>
      <c r="K397" s="11"/>
    </row>
    <row r="398" spans="1:11" s="1" customFormat="1" ht="15" customHeight="1">
      <c r="A398" s="3">
        <v>395</v>
      </c>
      <c r="B398" s="9" t="str">
        <f>"杨洁"</f>
        <v>杨洁</v>
      </c>
      <c r="C398" s="9" t="str">
        <f t="shared" si="35"/>
        <v>1623020220306</v>
      </c>
      <c r="D398" s="9" t="s">
        <v>43</v>
      </c>
      <c r="E398" s="9" t="str">
        <f>"16230042520"</f>
        <v>16230042520</v>
      </c>
      <c r="F398" s="7">
        <v>93.24</v>
      </c>
      <c r="G398" s="7">
        <v>98.76</v>
      </c>
      <c r="H398" s="7">
        <v>96.55</v>
      </c>
      <c r="I398" s="10"/>
      <c r="J398" s="7">
        <f t="shared" si="34"/>
        <v>96.55</v>
      </c>
      <c r="K398" s="11"/>
    </row>
    <row r="399" spans="1:11" s="1" customFormat="1" ht="15" customHeight="1">
      <c r="A399" s="3">
        <v>396</v>
      </c>
      <c r="B399" s="9" t="str">
        <f>"张敏"</f>
        <v>张敏</v>
      </c>
      <c r="C399" s="9" t="str">
        <f t="shared" si="35"/>
        <v>1623020220306</v>
      </c>
      <c r="D399" s="9" t="s">
        <v>43</v>
      </c>
      <c r="E399" s="9" t="str">
        <f>"16230042505"</f>
        <v>16230042505</v>
      </c>
      <c r="F399" s="7">
        <v>95.66</v>
      </c>
      <c r="G399" s="7">
        <v>97.12</v>
      </c>
      <c r="H399" s="7">
        <v>96.54</v>
      </c>
      <c r="I399" s="10"/>
      <c r="J399" s="7">
        <f t="shared" si="34"/>
        <v>96.54</v>
      </c>
      <c r="K399" s="11"/>
    </row>
    <row r="400" spans="1:11" s="1" customFormat="1" ht="15" customHeight="1">
      <c r="A400" s="3">
        <v>397</v>
      </c>
      <c r="B400" s="9" t="str">
        <f>"刘莹"</f>
        <v>刘莹</v>
      </c>
      <c r="C400" s="9" t="str">
        <f t="shared" si="35"/>
        <v>1623020220306</v>
      </c>
      <c r="D400" s="9" t="s">
        <v>43</v>
      </c>
      <c r="E400" s="9" t="str">
        <f>"16230042504"</f>
        <v>16230042504</v>
      </c>
      <c r="F400" s="7">
        <v>88.72</v>
      </c>
      <c r="G400" s="7">
        <v>101.68</v>
      </c>
      <c r="H400" s="7">
        <v>96.5</v>
      </c>
      <c r="I400" s="10"/>
      <c r="J400" s="7">
        <f t="shared" si="34"/>
        <v>96.5</v>
      </c>
      <c r="K400" s="11"/>
    </row>
    <row r="401" spans="1:11" s="1" customFormat="1" ht="15" customHeight="1">
      <c r="A401" s="3">
        <v>398</v>
      </c>
      <c r="B401" s="9" t="str">
        <f>"王瑶"</f>
        <v>王瑶</v>
      </c>
      <c r="C401" s="9" t="str">
        <f t="shared" si="35"/>
        <v>1623020220306</v>
      </c>
      <c r="D401" s="9" t="s">
        <v>43</v>
      </c>
      <c r="E401" s="9" t="str">
        <f>"16230042614"</f>
        <v>16230042614</v>
      </c>
      <c r="F401" s="7">
        <v>90.5</v>
      </c>
      <c r="G401" s="7">
        <v>100.28</v>
      </c>
      <c r="H401" s="7">
        <v>96.37</v>
      </c>
      <c r="I401" s="10"/>
      <c r="J401" s="7">
        <f t="shared" si="34"/>
        <v>96.37</v>
      </c>
      <c r="K401" s="11"/>
    </row>
    <row r="402" spans="1:11" s="1" customFormat="1" ht="15" customHeight="1">
      <c r="A402" s="3">
        <v>399</v>
      </c>
      <c r="B402" s="9" t="str">
        <f>"孙胜男"</f>
        <v>孙胜男</v>
      </c>
      <c r="C402" s="9" t="str">
        <f t="shared" si="35"/>
        <v>1623020220306</v>
      </c>
      <c r="D402" s="9" t="s">
        <v>43</v>
      </c>
      <c r="E402" s="9" t="str">
        <f>"16230042530"</f>
        <v>16230042530</v>
      </c>
      <c r="F402" s="7">
        <v>92.74</v>
      </c>
      <c r="G402" s="7">
        <v>98.76</v>
      </c>
      <c r="H402" s="7">
        <v>96.35</v>
      </c>
      <c r="I402" s="10"/>
      <c r="J402" s="7">
        <f t="shared" si="34"/>
        <v>96.35</v>
      </c>
      <c r="K402" s="11"/>
    </row>
    <row r="403" spans="1:11" s="1" customFormat="1" ht="15" customHeight="1">
      <c r="A403" s="3">
        <v>400</v>
      </c>
      <c r="B403" s="9" t="str">
        <f>"周娟"</f>
        <v>周娟</v>
      </c>
      <c r="C403" s="9" t="str">
        <f t="shared" si="35"/>
        <v>1623020220306</v>
      </c>
      <c r="D403" s="9" t="s">
        <v>43</v>
      </c>
      <c r="E403" s="9" t="str">
        <f>"16230042406"</f>
        <v>16230042406</v>
      </c>
      <c r="F403" s="7">
        <v>92.34</v>
      </c>
      <c r="G403" s="7">
        <v>98.54</v>
      </c>
      <c r="H403" s="7">
        <v>96.06</v>
      </c>
      <c r="I403" s="10"/>
      <c r="J403" s="7">
        <f t="shared" si="34"/>
        <v>96.06</v>
      </c>
      <c r="K403" s="11"/>
    </row>
    <row r="404" spans="1:11" s="1" customFormat="1" ht="15" customHeight="1">
      <c r="A404" s="3">
        <v>401</v>
      </c>
      <c r="B404" s="9" t="str">
        <f>"夏雪艳"</f>
        <v>夏雪艳</v>
      </c>
      <c r="C404" s="9" t="str">
        <f t="shared" si="35"/>
        <v>1623020220306</v>
      </c>
      <c r="D404" s="9" t="s">
        <v>43</v>
      </c>
      <c r="E404" s="9" t="str">
        <f>"16230042409"</f>
        <v>16230042409</v>
      </c>
      <c r="F404" s="7">
        <v>92.54</v>
      </c>
      <c r="G404" s="7">
        <v>98.4</v>
      </c>
      <c r="H404" s="7">
        <v>96.06</v>
      </c>
      <c r="I404" s="10"/>
      <c r="J404" s="7">
        <f t="shared" si="34"/>
        <v>96.06</v>
      </c>
      <c r="K404" s="11"/>
    </row>
    <row r="405" spans="1:11" s="1" customFormat="1" ht="15" customHeight="1">
      <c r="A405" s="3">
        <v>402</v>
      </c>
      <c r="B405" s="9" t="str">
        <f>"李亚群"</f>
        <v>李亚群</v>
      </c>
      <c r="C405" s="9" t="str">
        <f t="shared" si="35"/>
        <v>1623020220306</v>
      </c>
      <c r="D405" s="9" t="s">
        <v>43</v>
      </c>
      <c r="E405" s="9" t="str">
        <f>"16230042525"</f>
        <v>16230042525</v>
      </c>
      <c r="F405" s="7">
        <v>90.4</v>
      </c>
      <c r="G405" s="7">
        <v>98.66</v>
      </c>
      <c r="H405" s="7">
        <v>95.36</v>
      </c>
      <c r="I405" s="10"/>
      <c r="J405" s="7">
        <f t="shared" si="34"/>
        <v>95.36</v>
      </c>
      <c r="K405" s="11"/>
    </row>
    <row r="406" spans="1:11" s="1" customFormat="1" ht="15" customHeight="1">
      <c r="A406" s="3">
        <v>403</v>
      </c>
      <c r="B406" s="9" t="str">
        <f>"李永梅"</f>
        <v>李永梅</v>
      </c>
      <c r="C406" s="9" t="str">
        <f t="shared" si="35"/>
        <v>1623020220306</v>
      </c>
      <c r="D406" s="9" t="s">
        <v>43</v>
      </c>
      <c r="E406" s="9" t="str">
        <f>"16230042510"</f>
        <v>16230042510</v>
      </c>
      <c r="F406" s="7">
        <v>88.06</v>
      </c>
      <c r="G406" s="7">
        <v>100.14</v>
      </c>
      <c r="H406" s="7">
        <v>95.31</v>
      </c>
      <c r="I406" s="10"/>
      <c r="J406" s="7">
        <f t="shared" si="34"/>
        <v>95.31</v>
      </c>
      <c r="K406" s="11"/>
    </row>
    <row r="407" spans="1:11" s="1" customFormat="1" ht="15" customHeight="1">
      <c r="A407" s="3">
        <v>404</v>
      </c>
      <c r="B407" s="9" t="str">
        <f>"张雨泽"</f>
        <v>张雨泽</v>
      </c>
      <c r="C407" s="9" t="str">
        <f t="shared" si="35"/>
        <v>1623020220306</v>
      </c>
      <c r="D407" s="9" t="s">
        <v>43</v>
      </c>
      <c r="E407" s="9" t="str">
        <f>"16230042413"</f>
        <v>16230042413</v>
      </c>
      <c r="F407" s="7">
        <v>90.1</v>
      </c>
      <c r="G407" s="7">
        <v>98.54</v>
      </c>
      <c r="H407" s="7">
        <v>95.16</v>
      </c>
      <c r="I407" s="10"/>
      <c r="J407" s="7">
        <f t="shared" si="34"/>
        <v>95.16</v>
      </c>
      <c r="K407" s="11"/>
    </row>
    <row r="408" spans="1:11" s="1" customFormat="1" ht="15" customHeight="1">
      <c r="A408" s="3">
        <v>405</v>
      </c>
      <c r="B408" s="9" t="str">
        <f>"何纪杰"</f>
        <v>何纪杰</v>
      </c>
      <c r="C408" s="9" t="str">
        <f t="shared" si="35"/>
        <v>1623020220306</v>
      </c>
      <c r="D408" s="9" t="s">
        <v>43</v>
      </c>
      <c r="E408" s="9" t="str">
        <f>"16230042311"</f>
        <v>16230042311</v>
      </c>
      <c r="F408" s="7">
        <v>95.78</v>
      </c>
      <c r="G408" s="7">
        <v>94.7</v>
      </c>
      <c r="H408" s="7">
        <v>95.13</v>
      </c>
      <c r="I408" s="10"/>
      <c r="J408" s="7">
        <f t="shared" si="34"/>
        <v>95.13</v>
      </c>
      <c r="K408" s="11"/>
    </row>
    <row r="409" spans="1:11" s="1" customFormat="1" ht="15" customHeight="1">
      <c r="A409" s="3">
        <v>406</v>
      </c>
      <c r="B409" s="9" t="str">
        <f>"徐起立"</f>
        <v>徐起立</v>
      </c>
      <c r="C409" s="9" t="str">
        <f>"1623020221107"</f>
        <v>1623020221107</v>
      </c>
      <c r="D409" s="9" t="s">
        <v>44</v>
      </c>
      <c r="E409" s="9" t="str">
        <f>"16230042708"</f>
        <v>16230042708</v>
      </c>
      <c r="F409" s="7">
        <v>83.22</v>
      </c>
      <c r="G409" s="7">
        <v>68.9</v>
      </c>
      <c r="H409" s="7">
        <v>74.63</v>
      </c>
      <c r="I409" s="10"/>
      <c r="J409" s="7">
        <f t="shared" si="34"/>
        <v>74.63</v>
      </c>
      <c r="K409" s="11"/>
    </row>
    <row r="410" spans="1:11" s="1" customFormat="1" ht="15" customHeight="1">
      <c r="A410" s="3">
        <v>407</v>
      </c>
      <c r="B410" s="9" t="str">
        <f>"赵祥祥"</f>
        <v>赵祥祥</v>
      </c>
      <c r="C410" s="9" t="str">
        <f>"1623020221107"</f>
        <v>1623020221107</v>
      </c>
      <c r="D410" s="9" t="s">
        <v>44</v>
      </c>
      <c r="E410" s="9" t="str">
        <f>"16230042712"</f>
        <v>16230042712</v>
      </c>
      <c r="F410" s="7">
        <v>71.26</v>
      </c>
      <c r="G410" s="7">
        <v>55.3</v>
      </c>
      <c r="H410" s="7">
        <v>61.68</v>
      </c>
      <c r="I410" s="10"/>
      <c r="J410" s="7">
        <f t="shared" si="34"/>
        <v>61.68</v>
      </c>
      <c r="K410" s="11"/>
    </row>
    <row r="411" spans="1:11" s="1" customFormat="1" ht="15" customHeight="1">
      <c r="A411" s="3">
        <v>408</v>
      </c>
      <c r="B411" s="9" t="str">
        <f>"居多瑞"</f>
        <v>居多瑞</v>
      </c>
      <c r="C411" s="9" t="str">
        <f aca="true" t="shared" si="36" ref="C411:C421">"1623020221108"</f>
        <v>1623020221108</v>
      </c>
      <c r="D411" s="9" t="s">
        <v>45</v>
      </c>
      <c r="E411" s="9" t="str">
        <f>"16230042714"</f>
        <v>16230042714</v>
      </c>
      <c r="F411" s="7">
        <v>83.44</v>
      </c>
      <c r="G411" s="7">
        <v>86.9</v>
      </c>
      <c r="H411" s="7">
        <v>85.52</v>
      </c>
      <c r="I411" s="10"/>
      <c r="J411" s="7">
        <f t="shared" si="34"/>
        <v>85.52</v>
      </c>
      <c r="K411" s="11"/>
    </row>
    <row r="412" spans="1:11" s="1" customFormat="1" ht="15" customHeight="1">
      <c r="A412" s="3">
        <v>409</v>
      </c>
      <c r="B412" s="9" t="str">
        <f>"代培培"</f>
        <v>代培培</v>
      </c>
      <c r="C412" s="9" t="str">
        <f t="shared" si="36"/>
        <v>1623020221108</v>
      </c>
      <c r="D412" s="9" t="s">
        <v>45</v>
      </c>
      <c r="E412" s="9" t="str">
        <f>"16230042729"</f>
        <v>16230042729</v>
      </c>
      <c r="F412" s="7">
        <v>85.86</v>
      </c>
      <c r="G412" s="7">
        <v>65.6</v>
      </c>
      <c r="H412" s="7">
        <v>73.7</v>
      </c>
      <c r="I412" s="10"/>
      <c r="J412" s="7">
        <f t="shared" si="34"/>
        <v>73.7</v>
      </c>
      <c r="K412" s="11"/>
    </row>
    <row r="413" spans="1:11" s="1" customFormat="1" ht="15" customHeight="1">
      <c r="A413" s="3">
        <v>410</v>
      </c>
      <c r="B413" s="9" t="str">
        <f>"潘毕强"</f>
        <v>潘毕强</v>
      </c>
      <c r="C413" s="9" t="str">
        <f t="shared" si="36"/>
        <v>1623020221108</v>
      </c>
      <c r="D413" s="9" t="s">
        <v>45</v>
      </c>
      <c r="E413" s="9" t="str">
        <f>"16230042720"</f>
        <v>16230042720</v>
      </c>
      <c r="F413" s="7">
        <v>76.24</v>
      </c>
      <c r="G413" s="7">
        <v>71.4</v>
      </c>
      <c r="H413" s="7">
        <v>73.34</v>
      </c>
      <c r="I413" s="10"/>
      <c r="J413" s="7">
        <f t="shared" si="34"/>
        <v>73.34</v>
      </c>
      <c r="K413" s="11"/>
    </row>
    <row r="414" spans="1:11" s="1" customFormat="1" ht="15" customHeight="1">
      <c r="A414" s="3">
        <v>411</v>
      </c>
      <c r="B414" s="9" t="str">
        <f>"李继祥"</f>
        <v>李继祥</v>
      </c>
      <c r="C414" s="9" t="str">
        <f t="shared" si="36"/>
        <v>1623020221108</v>
      </c>
      <c r="D414" s="9" t="s">
        <v>45</v>
      </c>
      <c r="E414" s="9" t="str">
        <f>"16230042725"</f>
        <v>16230042725</v>
      </c>
      <c r="F414" s="7">
        <v>86.06</v>
      </c>
      <c r="G414" s="7">
        <v>61.6</v>
      </c>
      <c r="H414" s="7">
        <v>71.38</v>
      </c>
      <c r="I414" s="10"/>
      <c r="J414" s="7">
        <f t="shared" si="34"/>
        <v>71.38</v>
      </c>
      <c r="K414" s="11"/>
    </row>
    <row r="415" spans="1:11" s="1" customFormat="1" ht="15" customHeight="1">
      <c r="A415" s="3">
        <v>412</v>
      </c>
      <c r="B415" s="9" t="str">
        <f>"郭运"</f>
        <v>郭运</v>
      </c>
      <c r="C415" s="9" t="str">
        <f t="shared" si="36"/>
        <v>1623020221108</v>
      </c>
      <c r="D415" s="9" t="s">
        <v>45</v>
      </c>
      <c r="E415" s="9" t="str">
        <f>"16230042723"</f>
        <v>16230042723</v>
      </c>
      <c r="F415" s="7">
        <v>95.06</v>
      </c>
      <c r="G415" s="7">
        <v>55</v>
      </c>
      <c r="H415" s="7">
        <v>71.02</v>
      </c>
      <c r="I415" s="10"/>
      <c r="J415" s="7">
        <f t="shared" si="34"/>
        <v>71.02</v>
      </c>
      <c r="K415" s="11"/>
    </row>
    <row r="416" spans="1:11" s="1" customFormat="1" ht="15" customHeight="1">
      <c r="A416" s="3">
        <v>413</v>
      </c>
      <c r="B416" s="9" t="str">
        <f>"李胜杰"</f>
        <v>李胜杰</v>
      </c>
      <c r="C416" s="9" t="str">
        <f t="shared" si="36"/>
        <v>1623020221108</v>
      </c>
      <c r="D416" s="9" t="s">
        <v>45</v>
      </c>
      <c r="E416" s="9" t="str">
        <f>"16230042718"</f>
        <v>16230042718</v>
      </c>
      <c r="F416" s="7">
        <v>82.36</v>
      </c>
      <c r="G416" s="7">
        <v>62.5</v>
      </c>
      <c r="H416" s="7">
        <v>70.44</v>
      </c>
      <c r="I416" s="10"/>
      <c r="J416" s="7">
        <f t="shared" si="34"/>
        <v>70.44</v>
      </c>
      <c r="K416" s="11"/>
    </row>
    <row r="417" spans="1:11" s="1" customFormat="1" ht="15" customHeight="1">
      <c r="A417" s="3">
        <v>414</v>
      </c>
      <c r="B417" s="9" t="str">
        <f>"昝娟"</f>
        <v>昝娟</v>
      </c>
      <c r="C417" s="9" t="str">
        <f t="shared" si="36"/>
        <v>1623020221108</v>
      </c>
      <c r="D417" s="9" t="s">
        <v>45</v>
      </c>
      <c r="E417" s="9" t="str">
        <f>"16230042715"</f>
        <v>16230042715</v>
      </c>
      <c r="F417" s="7">
        <v>86.98</v>
      </c>
      <c r="G417" s="7">
        <v>58.6</v>
      </c>
      <c r="H417" s="7">
        <v>69.95</v>
      </c>
      <c r="I417" s="10"/>
      <c r="J417" s="7">
        <f t="shared" si="34"/>
        <v>69.95</v>
      </c>
      <c r="K417" s="11"/>
    </row>
    <row r="418" spans="1:11" s="1" customFormat="1" ht="15" customHeight="1">
      <c r="A418" s="3">
        <v>415</v>
      </c>
      <c r="B418" s="9" t="str">
        <f>"王建强"</f>
        <v>王建强</v>
      </c>
      <c r="C418" s="9" t="str">
        <f t="shared" si="36"/>
        <v>1623020221108</v>
      </c>
      <c r="D418" s="9" t="s">
        <v>45</v>
      </c>
      <c r="E418" s="9" t="str">
        <f>"16230042713"</f>
        <v>16230042713</v>
      </c>
      <c r="F418" s="7">
        <v>85.98</v>
      </c>
      <c r="G418" s="7">
        <v>52.9</v>
      </c>
      <c r="H418" s="7">
        <v>66.13</v>
      </c>
      <c r="I418" s="10"/>
      <c r="J418" s="7">
        <f t="shared" si="34"/>
        <v>66.13</v>
      </c>
      <c r="K418" s="11"/>
    </row>
    <row r="419" spans="1:11" s="1" customFormat="1" ht="15" customHeight="1">
      <c r="A419" s="3">
        <v>416</v>
      </c>
      <c r="B419" s="9" t="str">
        <f>"李飞龙"</f>
        <v>李飞龙</v>
      </c>
      <c r="C419" s="9" t="str">
        <f t="shared" si="36"/>
        <v>1623020221108</v>
      </c>
      <c r="D419" s="9" t="s">
        <v>45</v>
      </c>
      <c r="E419" s="9" t="str">
        <f>"16230042728"</f>
        <v>16230042728</v>
      </c>
      <c r="F419" s="7">
        <v>77.92</v>
      </c>
      <c r="G419" s="7">
        <v>57.9</v>
      </c>
      <c r="H419" s="7">
        <v>65.91</v>
      </c>
      <c r="I419" s="10"/>
      <c r="J419" s="7">
        <f t="shared" si="34"/>
        <v>65.91</v>
      </c>
      <c r="K419" s="11"/>
    </row>
    <row r="420" spans="1:11" s="1" customFormat="1" ht="15" customHeight="1">
      <c r="A420" s="3">
        <v>417</v>
      </c>
      <c r="B420" s="9" t="str">
        <f>"马干杰"</f>
        <v>马干杰</v>
      </c>
      <c r="C420" s="9" t="str">
        <f t="shared" si="36"/>
        <v>1623020221108</v>
      </c>
      <c r="D420" s="9" t="s">
        <v>45</v>
      </c>
      <c r="E420" s="9" t="str">
        <f>"16230042722"</f>
        <v>16230042722</v>
      </c>
      <c r="F420" s="7">
        <v>73.18</v>
      </c>
      <c r="G420" s="7">
        <v>57.2</v>
      </c>
      <c r="H420" s="7">
        <v>63.59</v>
      </c>
      <c r="I420" s="10"/>
      <c r="J420" s="7">
        <f t="shared" si="34"/>
        <v>63.59</v>
      </c>
      <c r="K420" s="11"/>
    </row>
    <row r="421" spans="1:11" s="1" customFormat="1" ht="15" customHeight="1">
      <c r="A421" s="3">
        <v>418</v>
      </c>
      <c r="B421" s="9" t="str">
        <f>"王致远"</f>
        <v>王致远</v>
      </c>
      <c r="C421" s="9" t="str">
        <f t="shared" si="36"/>
        <v>1623020221108</v>
      </c>
      <c r="D421" s="9" t="s">
        <v>45</v>
      </c>
      <c r="E421" s="9" t="str">
        <f>"16230042717"</f>
        <v>16230042717</v>
      </c>
      <c r="F421" s="7">
        <v>84.22</v>
      </c>
      <c r="G421" s="7">
        <v>47.7</v>
      </c>
      <c r="H421" s="7">
        <v>62.31</v>
      </c>
      <c r="I421" s="10"/>
      <c r="J421" s="7">
        <f t="shared" si="34"/>
        <v>62.31</v>
      </c>
      <c r="K421" s="11"/>
    </row>
    <row r="422" spans="1:11" s="1" customFormat="1" ht="15" customHeight="1">
      <c r="A422" s="3">
        <v>419</v>
      </c>
      <c r="B422" s="9" t="str">
        <f>"刘亚南"</f>
        <v>刘亚南</v>
      </c>
      <c r="C422" s="9" t="str">
        <f aca="true" t="shared" si="37" ref="C422:C427">"1623020221209"</f>
        <v>1623020221209</v>
      </c>
      <c r="D422" s="9" t="s">
        <v>46</v>
      </c>
      <c r="E422" s="9" t="str">
        <f>"16230044023"</f>
        <v>16230044023</v>
      </c>
      <c r="F422" s="7">
        <v>89.3</v>
      </c>
      <c r="G422" s="7">
        <v>89.5</v>
      </c>
      <c r="H422" s="7">
        <v>89.42</v>
      </c>
      <c r="I422" s="10"/>
      <c r="J422" s="7">
        <f t="shared" si="34"/>
        <v>89.42</v>
      </c>
      <c r="K422" s="11"/>
    </row>
    <row r="423" spans="1:11" s="1" customFormat="1" ht="15" customHeight="1">
      <c r="A423" s="3">
        <v>420</v>
      </c>
      <c r="B423" s="9" t="str">
        <f>"刘桂红"</f>
        <v>刘桂红</v>
      </c>
      <c r="C423" s="9" t="str">
        <f t="shared" si="37"/>
        <v>1623020221209</v>
      </c>
      <c r="D423" s="9" t="s">
        <v>46</v>
      </c>
      <c r="E423" s="9" t="str">
        <f>"16230044021"</f>
        <v>16230044021</v>
      </c>
      <c r="F423" s="7">
        <v>91.94</v>
      </c>
      <c r="G423" s="7">
        <v>85.2</v>
      </c>
      <c r="H423" s="7">
        <v>87.9</v>
      </c>
      <c r="I423" s="10"/>
      <c r="J423" s="7">
        <f t="shared" si="34"/>
        <v>87.9</v>
      </c>
      <c r="K423" s="11"/>
    </row>
    <row r="424" spans="1:11" s="1" customFormat="1" ht="15" customHeight="1">
      <c r="A424" s="3">
        <v>421</v>
      </c>
      <c r="B424" s="9" t="str">
        <f>"李想"</f>
        <v>李想</v>
      </c>
      <c r="C424" s="9" t="str">
        <f t="shared" si="37"/>
        <v>1623020221209</v>
      </c>
      <c r="D424" s="9" t="s">
        <v>46</v>
      </c>
      <c r="E424" s="9" t="str">
        <f>"16230044011"</f>
        <v>16230044011</v>
      </c>
      <c r="F424" s="7">
        <v>91.04</v>
      </c>
      <c r="G424" s="7">
        <v>77.6</v>
      </c>
      <c r="H424" s="7">
        <v>82.98</v>
      </c>
      <c r="I424" s="10"/>
      <c r="J424" s="7">
        <f t="shared" si="34"/>
        <v>82.98</v>
      </c>
      <c r="K424" s="11"/>
    </row>
    <row r="425" spans="1:11" s="1" customFormat="1" ht="15" customHeight="1">
      <c r="A425" s="3">
        <v>422</v>
      </c>
      <c r="B425" s="9" t="str">
        <f>"张理想"</f>
        <v>张理想</v>
      </c>
      <c r="C425" s="9" t="str">
        <f t="shared" si="37"/>
        <v>1623020221209</v>
      </c>
      <c r="D425" s="9" t="s">
        <v>46</v>
      </c>
      <c r="E425" s="9" t="str">
        <f>"16230044017"</f>
        <v>16230044017</v>
      </c>
      <c r="F425" s="7">
        <v>91.12</v>
      </c>
      <c r="G425" s="7">
        <v>77.3</v>
      </c>
      <c r="H425" s="7">
        <v>82.83</v>
      </c>
      <c r="I425" s="10"/>
      <c r="J425" s="7">
        <f t="shared" si="34"/>
        <v>82.83</v>
      </c>
      <c r="K425" s="11"/>
    </row>
    <row r="426" spans="1:11" s="1" customFormat="1" ht="15" customHeight="1">
      <c r="A426" s="3">
        <v>423</v>
      </c>
      <c r="B426" s="9" t="str">
        <f>"许洋洋"</f>
        <v>许洋洋</v>
      </c>
      <c r="C426" s="9" t="str">
        <f t="shared" si="37"/>
        <v>1623020221209</v>
      </c>
      <c r="D426" s="9" t="s">
        <v>46</v>
      </c>
      <c r="E426" s="9" t="str">
        <f>"16230044022"</f>
        <v>16230044022</v>
      </c>
      <c r="F426" s="7">
        <v>95.26</v>
      </c>
      <c r="G426" s="7">
        <v>74.5</v>
      </c>
      <c r="H426" s="7">
        <v>82.8</v>
      </c>
      <c r="I426" s="10"/>
      <c r="J426" s="7">
        <f t="shared" si="34"/>
        <v>82.8</v>
      </c>
      <c r="K426" s="11"/>
    </row>
    <row r="427" spans="1:11" s="1" customFormat="1" ht="15" customHeight="1">
      <c r="A427" s="3">
        <v>424</v>
      </c>
      <c r="B427" s="9" t="str">
        <f>"蒋雪艳"</f>
        <v>蒋雪艳</v>
      </c>
      <c r="C427" s="9" t="str">
        <f t="shared" si="37"/>
        <v>1623020221209</v>
      </c>
      <c r="D427" s="9" t="s">
        <v>46</v>
      </c>
      <c r="E427" s="9" t="str">
        <f>"16230044020"</f>
        <v>16230044020</v>
      </c>
      <c r="F427" s="7">
        <v>80.7</v>
      </c>
      <c r="G427" s="7">
        <v>81.8</v>
      </c>
      <c r="H427" s="7">
        <v>81.36</v>
      </c>
      <c r="I427" s="10"/>
      <c r="J427" s="7">
        <f t="shared" si="34"/>
        <v>81.36</v>
      </c>
      <c r="K427" s="11"/>
    </row>
    <row r="428" spans="1:11" s="1" customFormat="1" ht="15" customHeight="1">
      <c r="A428" s="3">
        <v>425</v>
      </c>
      <c r="B428" s="9" t="str">
        <f>"安宗权"</f>
        <v>安宗权</v>
      </c>
      <c r="C428" s="9" t="str">
        <f aca="true" t="shared" si="38" ref="C428:C433">"1623020221210"</f>
        <v>1623020221210</v>
      </c>
      <c r="D428" s="9" t="s">
        <v>47</v>
      </c>
      <c r="E428" s="9" t="str">
        <f>"16230044105"</f>
        <v>16230044105</v>
      </c>
      <c r="F428" s="7">
        <v>80.88</v>
      </c>
      <c r="G428" s="7">
        <v>99.1</v>
      </c>
      <c r="H428" s="7">
        <v>91.81</v>
      </c>
      <c r="I428" s="10"/>
      <c r="J428" s="7">
        <f t="shared" si="34"/>
        <v>91.81</v>
      </c>
      <c r="K428" s="11"/>
    </row>
    <row r="429" spans="1:11" s="1" customFormat="1" ht="15" customHeight="1">
      <c r="A429" s="3">
        <v>426</v>
      </c>
      <c r="B429" s="9" t="str">
        <f>"刘志茹"</f>
        <v>刘志茹</v>
      </c>
      <c r="C429" s="9" t="str">
        <f t="shared" si="38"/>
        <v>1623020221210</v>
      </c>
      <c r="D429" s="9" t="s">
        <v>47</v>
      </c>
      <c r="E429" s="9" t="str">
        <f>"16230044112"</f>
        <v>16230044112</v>
      </c>
      <c r="F429" s="7">
        <v>83.04</v>
      </c>
      <c r="G429" s="7">
        <v>96.6</v>
      </c>
      <c r="H429" s="7">
        <v>91.18</v>
      </c>
      <c r="I429" s="10"/>
      <c r="J429" s="7">
        <f t="shared" si="34"/>
        <v>91.18</v>
      </c>
      <c r="K429" s="11"/>
    </row>
    <row r="430" spans="1:11" s="1" customFormat="1" ht="15" customHeight="1">
      <c r="A430" s="3">
        <v>427</v>
      </c>
      <c r="B430" s="9" t="str">
        <f>"曹娟"</f>
        <v>曹娟</v>
      </c>
      <c r="C430" s="9" t="str">
        <f t="shared" si="38"/>
        <v>1623020221210</v>
      </c>
      <c r="D430" s="9" t="s">
        <v>47</v>
      </c>
      <c r="E430" s="9" t="str">
        <f>"16230044117"</f>
        <v>16230044117</v>
      </c>
      <c r="F430" s="7">
        <v>85.14</v>
      </c>
      <c r="G430" s="7">
        <v>88.9</v>
      </c>
      <c r="H430" s="7">
        <v>87.4</v>
      </c>
      <c r="I430" s="10"/>
      <c r="J430" s="7">
        <f t="shared" si="34"/>
        <v>87.4</v>
      </c>
      <c r="K430" s="11"/>
    </row>
    <row r="431" spans="1:11" s="1" customFormat="1" ht="15" customHeight="1">
      <c r="A431" s="3">
        <v>428</v>
      </c>
      <c r="B431" s="9" t="str">
        <f>"姜婷婷"</f>
        <v>姜婷婷</v>
      </c>
      <c r="C431" s="9" t="str">
        <f t="shared" si="38"/>
        <v>1623020221210</v>
      </c>
      <c r="D431" s="9" t="s">
        <v>47</v>
      </c>
      <c r="E431" s="9" t="str">
        <f>"16230044109"</f>
        <v>16230044109</v>
      </c>
      <c r="F431" s="7">
        <v>92.14</v>
      </c>
      <c r="G431" s="7">
        <v>82.6</v>
      </c>
      <c r="H431" s="7">
        <v>86.42</v>
      </c>
      <c r="I431" s="10"/>
      <c r="J431" s="7">
        <f t="shared" si="34"/>
        <v>86.42</v>
      </c>
      <c r="K431" s="11"/>
    </row>
    <row r="432" spans="1:11" s="1" customFormat="1" ht="15" customHeight="1">
      <c r="A432" s="3">
        <v>429</v>
      </c>
      <c r="B432" s="9" t="str">
        <f>"高媛"</f>
        <v>高媛</v>
      </c>
      <c r="C432" s="9" t="str">
        <f t="shared" si="38"/>
        <v>1623020221210</v>
      </c>
      <c r="D432" s="9" t="s">
        <v>47</v>
      </c>
      <c r="E432" s="9" t="str">
        <f>"16230044122"</f>
        <v>16230044122</v>
      </c>
      <c r="F432" s="7">
        <v>85.68</v>
      </c>
      <c r="G432" s="7">
        <v>83.6</v>
      </c>
      <c r="H432" s="7">
        <v>84.43</v>
      </c>
      <c r="I432" s="10"/>
      <c r="J432" s="7">
        <f t="shared" si="34"/>
        <v>84.43</v>
      </c>
      <c r="K432" s="11"/>
    </row>
    <row r="433" spans="1:11" s="1" customFormat="1" ht="15" customHeight="1">
      <c r="A433" s="3">
        <v>430</v>
      </c>
      <c r="B433" s="9" t="str">
        <f>"张文轩"</f>
        <v>张文轩</v>
      </c>
      <c r="C433" s="9" t="str">
        <f t="shared" si="38"/>
        <v>1623020221210</v>
      </c>
      <c r="D433" s="9" t="s">
        <v>47</v>
      </c>
      <c r="E433" s="9" t="str">
        <f>"16230044125"</f>
        <v>16230044125</v>
      </c>
      <c r="F433" s="7">
        <v>86.16</v>
      </c>
      <c r="G433" s="7">
        <v>79.6</v>
      </c>
      <c r="H433" s="7">
        <v>82.22</v>
      </c>
      <c r="I433" s="10"/>
      <c r="J433" s="7">
        <f t="shared" si="34"/>
        <v>82.22</v>
      </c>
      <c r="K433" s="11"/>
    </row>
    <row r="434" spans="1:11" s="1" customFormat="1" ht="15" customHeight="1">
      <c r="A434" s="3">
        <v>431</v>
      </c>
      <c r="B434" s="9" t="str">
        <f>"芮国营"</f>
        <v>芮国营</v>
      </c>
      <c r="C434" s="9" t="str">
        <f aca="true" t="shared" si="39" ref="C434:C439">"1623020221611"</f>
        <v>1623020221611</v>
      </c>
      <c r="D434" s="9" t="s">
        <v>48</v>
      </c>
      <c r="E434" s="9" t="str">
        <f>"16230045301"</f>
        <v>16230045301</v>
      </c>
      <c r="F434" s="7">
        <v>93.76</v>
      </c>
      <c r="G434" s="7">
        <v>86.2</v>
      </c>
      <c r="H434" s="7">
        <v>89.22</v>
      </c>
      <c r="I434" s="10"/>
      <c r="J434" s="7">
        <f t="shared" si="34"/>
        <v>89.22</v>
      </c>
      <c r="K434" s="11"/>
    </row>
    <row r="435" spans="1:11" s="1" customFormat="1" ht="15" customHeight="1">
      <c r="A435" s="3">
        <v>432</v>
      </c>
      <c r="B435" s="9" t="str">
        <f>"王迪"</f>
        <v>王迪</v>
      </c>
      <c r="C435" s="9" t="str">
        <f t="shared" si="39"/>
        <v>1623020221611</v>
      </c>
      <c r="D435" s="9" t="s">
        <v>48</v>
      </c>
      <c r="E435" s="9" t="str">
        <f>"16230045309"</f>
        <v>16230045309</v>
      </c>
      <c r="F435" s="7">
        <v>93.56</v>
      </c>
      <c r="G435" s="7">
        <v>79.9</v>
      </c>
      <c r="H435" s="7">
        <v>85.36</v>
      </c>
      <c r="I435" s="10"/>
      <c r="J435" s="7">
        <f t="shared" si="34"/>
        <v>85.36</v>
      </c>
      <c r="K435" s="11"/>
    </row>
    <row r="436" spans="1:11" s="1" customFormat="1" ht="15" customHeight="1">
      <c r="A436" s="3">
        <v>433</v>
      </c>
      <c r="B436" s="9" t="str">
        <f>"李新春"</f>
        <v>李新春</v>
      </c>
      <c r="C436" s="9" t="str">
        <f t="shared" si="39"/>
        <v>1623020221611</v>
      </c>
      <c r="D436" s="9" t="s">
        <v>48</v>
      </c>
      <c r="E436" s="9" t="str">
        <f>"16230045225"</f>
        <v>16230045225</v>
      </c>
      <c r="F436" s="7">
        <v>91.84</v>
      </c>
      <c r="G436" s="7">
        <v>73.4</v>
      </c>
      <c r="H436" s="7">
        <v>80.78</v>
      </c>
      <c r="I436" s="10"/>
      <c r="J436" s="7">
        <f t="shared" si="34"/>
        <v>80.78</v>
      </c>
      <c r="K436" s="11"/>
    </row>
    <row r="437" spans="1:11" s="1" customFormat="1" ht="15" customHeight="1">
      <c r="A437" s="3">
        <v>434</v>
      </c>
      <c r="B437" s="9" t="str">
        <f>"魏思蒙"</f>
        <v>魏思蒙</v>
      </c>
      <c r="C437" s="9" t="str">
        <f t="shared" si="39"/>
        <v>1623020221611</v>
      </c>
      <c r="D437" s="9" t="s">
        <v>48</v>
      </c>
      <c r="E437" s="9" t="str">
        <f>"16230045315"</f>
        <v>16230045315</v>
      </c>
      <c r="F437" s="7">
        <v>84.44</v>
      </c>
      <c r="G437" s="7">
        <v>77.5</v>
      </c>
      <c r="H437" s="7">
        <v>80.28</v>
      </c>
      <c r="I437" s="10"/>
      <c r="J437" s="7">
        <f t="shared" si="34"/>
        <v>80.28</v>
      </c>
      <c r="K437" s="11"/>
    </row>
    <row r="438" spans="1:11" s="1" customFormat="1" ht="15" customHeight="1">
      <c r="A438" s="3">
        <v>435</v>
      </c>
      <c r="B438" s="9" t="str">
        <f>"李武臣"</f>
        <v>李武臣</v>
      </c>
      <c r="C438" s="9" t="str">
        <f t="shared" si="39"/>
        <v>1623020221611</v>
      </c>
      <c r="D438" s="9" t="s">
        <v>48</v>
      </c>
      <c r="E438" s="9" t="str">
        <f>"16230045312"</f>
        <v>16230045312</v>
      </c>
      <c r="F438" s="7">
        <v>86.98</v>
      </c>
      <c r="G438" s="7">
        <v>74.1</v>
      </c>
      <c r="H438" s="7">
        <v>79.25</v>
      </c>
      <c r="I438" s="10"/>
      <c r="J438" s="7">
        <f t="shared" si="34"/>
        <v>79.25</v>
      </c>
      <c r="K438" s="11"/>
    </row>
    <row r="439" spans="1:11" s="1" customFormat="1" ht="15" customHeight="1">
      <c r="A439" s="3">
        <v>436</v>
      </c>
      <c r="B439" s="9" t="str">
        <f>"陈丽丽"</f>
        <v>陈丽丽</v>
      </c>
      <c r="C439" s="9" t="str">
        <f t="shared" si="39"/>
        <v>1623020221611</v>
      </c>
      <c r="D439" s="9" t="s">
        <v>48</v>
      </c>
      <c r="E439" s="9" t="str">
        <f>"16230045305"</f>
        <v>16230045305</v>
      </c>
      <c r="F439" s="7">
        <v>89.78</v>
      </c>
      <c r="G439" s="7">
        <v>64.7</v>
      </c>
      <c r="H439" s="7">
        <v>74.73</v>
      </c>
      <c r="I439" s="10"/>
      <c r="J439" s="7">
        <f t="shared" si="34"/>
        <v>74.73</v>
      </c>
      <c r="K439" s="11" t="s">
        <v>84</v>
      </c>
    </row>
    <row r="440" spans="1:11" s="1" customFormat="1" ht="15" customHeight="1">
      <c r="A440" s="3">
        <v>437</v>
      </c>
      <c r="B440" s="9" t="str">
        <f>"沈娜"</f>
        <v>沈娜</v>
      </c>
      <c r="C440" s="9" t="str">
        <f aca="true" t="shared" si="40" ref="C440:C447">"1623020221512"</f>
        <v>1623020221512</v>
      </c>
      <c r="D440" s="9" t="s">
        <v>49</v>
      </c>
      <c r="E440" s="9" t="str">
        <f>"16230041412"</f>
        <v>16230041412</v>
      </c>
      <c r="F440" s="7">
        <v>95.96</v>
      </c>
      <c r="G440" s="7">
        <v>99.6</v>
      </c>
      <c r="H440" s="7">
        <v>98.14</v>
      </c>
      <c r="I440" s="10"/>
      <c r="J440" s="7">
        <f t="shared" si="34"/>
        <v>98.14</v>
      </c>
      <c r="K440" s="11"/>
    </row>
    <row r="441" spans="1:11" s="1" customFormat="1" ht="15" customHeight="1">
      <c r="A441" s="3">
        <v>438</v>
      </c>
      <c r="B441" s="9" t="str">
        <f>"黄婷"</f>
        <v>黄婷</v>
      </c>
      <c r="C441" s="9" t="str">
        <f t="shared" si="40"/>
        <v>1623020221512</v>
      </c>
      <c r="D441" s="9" t="s">
        <v>49</v>
      </c>
      <c r="E441" s="9" t="str">
        <f>"16230041411"</f>
        <v>16230041411</v>
      </c>
      <c r="F441" s="7">
        <v>91.82</v>
      </c>
      <c r="G441" s="7">
        <v>99.2</v>
      </c>
      <c r="H441" s="7">
        <v>96.25</v>
      </c>
      <c r="I441" s="10"/>
      <c r="J441" s="7">
        <f t="shared" si="34"/>
        <v>96.25</v>
      </c>
      <c r="K441" s="11"/>
    </row>
    <row r="442" spans="1:11" s="1" customFormat="1" ht="15" customHeight="1">
      <c r="A442" s="3">
        <v>439</v>
      </c>
      <c r="B442" s="9" t="str">
        <f>"王艳艳"</f>
        <v>王艳艳</v>
      </c>
      <c r="C442" s="9" t="str">
        <f t="shared" si="40"/>
        <v>1623020221512</v>
      </c>
      <c r="D442" s="9" t="s">
        <v>49</v>
      </c>
      <c r="E442" s="9" t="str">
        <f>"16230041407"</f>
        <v>16230041407</v>
      </c>
      <c r="F442" s="7">
        <v>86.28</v>
      </c>
      <c r="G442" s="7">
        <v>96.6</v>
      </c>
      <c r="H442" s="7">
        <v>92.47</v>
      </c>
      <c r="I442" s="10"/>
      <c r="J442" s="7">
        <f t="shared" si="34"/>
        <v>92.47</v>
      </c>
      <c r="K442" s="11"/>
    </row>
    <row r="443" spans="1:11" s="1" customFormat="1" ht="15" customHeight="1">
      <c r="A443" s="3">
        <v>440</v>
      </c>
      <c r="B443" s="9" t="str">
        <f>"沈海林"</f>
        <v>沈海林</v>
      </c>
      <c r="C443" s="9" t="str">
        <f t="shared" si="40"/>
        <v>1623020221512</v>
      </c>
      <c r="D443" s="9" t="s">
        <v>49</v>
      </c>
      <c r="E443" s="9" t="str">
        <f>"16230041416"</f>
        <v>16230041416</v>
      </c>
      <c r="F443" s="7">
        <v>87.64</v>
      </c>
      <c r="G443" s="7">
        <v>93.9</v>
      </c>
      <c r="H443" s="7">
        <v>91.4</v>
      </c>
      <c r="I443" s="10"/>
      <c r="J443" s="7">
        <f t="shared" si="34"/>
        <v>91.4</v>
      </c>
      <c r="K443" s="11"/>
    </row>
    <row r="444" spans="1:11" s="1" customFormat="1" ht="15" customHeight="1">
      <c r="A444" s="3">
        <v>441</v>
      </c>
      <c r="B444" s="9" t="str">
        <f>"王天一"</f>
        <v>王天一</v>
      </c>
      <c r="C444" s="9" t="str">
        <f t="shared" si="40"/>
        <v>1623020221512</v>
      </c>
      <c r="D444" s="9" t="s">
        <v>49</v>
      </c>
      <c r="E444" s="9" t="str">
        <f>"16230041414"</f>
        <v>16230041414</v>
      </c>
      <c r="F444" s="7">
        <v>81.1</v>
      </c>
      <c r="G444" s="7">
        <v>98</v>
      </c>
      <c r="H444" s="7">
        <v>91.24</v>
      </c>
      <c r="I444" s="10"/>
      <c r="J444" s="7">
        <f t="shared" si="34"/>
        <v>91.24</v>
      </c>
      <c r="K444" s="11"/>
    </row>
    <row r="445" spans="1:11" s="1" customFormat="1" ht="15" customHeight="1">
      <c r="A445" s="3">
        <v>442</v>
      </c>
      <c r="B445" s="9" t="str">
        <f>"苏晓琳"</f>
        <v>苏晓琳</v>
      </c>
      <c r="C445" s="9" t="str">
        <f t="shared" si="40"/>
        <v>1623020221512</v>
      </c>
      <c r="D445" s="9" t="s">
        <v>49</v>
      </c>
      <c r="E445" s="9" t="str">
        <f>"16230041415"</f>
        <v>16230041415</v>
      </c>
      <c r="F445" s="7">
        <v>89.62</v>
      </c>
      <c r="G445" s="7">
        <v>87.4</v>
      </c>
      <c r="H445" s="7">
        <v>88.29</v>
      </c>
      <c r="I445" s="10"/>
      <c r="J445" s="7">
        <f t="shared" si="34"/>
        <v>88.29</v>
      </c>
      <c r="K445" s="11"/>
    </row>
    <row r="446" spans="1:11" s="1" customFormat="1" ht="15" customHeight="1">
      <c r="A446" s="3">
        <v>443</v>
      </c>
      <c r="B446" s="9" t="str">
        <f>"高坤勤"</f>
        <v>高坤勤</v>
      </c>
      <c r="C446" s="9" t="str">
        <f t="shared" si="40"/>
        <v>1623020221512</v>
      </c>
      <c r="D446" s="9" t="s">
        <v>49</v>
      </c>
      <c r="E446" s="9" t="str">
        <f>"16230041409"</f>
        <v>16230041409</v>
      </c>
      <c r="F446" s="7">
        <v>87.28</v>
      </c>
      <c r="G446" s="7">
        <v>88.2</v>
      </c>
      <c r="H446" s="7">
        <v>87.83</v>
      </c>
      <c r="I446" s="10"/>
      <c r="J446" s="7">
        <f t="shared" si="34"/>
        <v>87.83</v>
      </c>
      <c r="K446" s="11"/>
    </row>
    <row r="447" spans="1:11" s="1" customFormat="1" ht="15" customHeight="1">
      <c r="A447" s="3">
        <v>444</v>
      </c>
      <c r="B447" s="9" t="str">
        <f>"高艳奇"</f>
        <v>高艳奇</v>
      </c>
      <c r="C447" s="9" t="str">
        <f t="shared" si="40"/>
        <v>1623020221512</v>
      </c>
      <c r="D447" s="9" t="s">
        <v>49</v>
      </c>
      <c r="E447" s="9" t="str">
        <f>"16230041406"</f>
        <v>16230041406</v>
      </c>
      <c r="F447" s="7">
        <v>80.82</v>
      </c>
      <c r="G447" s="7">
        <v>91.7</v>
      </c>
      <c r="H447" s="7">
        <v>87.35</v>
      </c>
      <c r="I447" s="10"/>
      <c r="J447" s="7">
        <f t="shared" si="34"/>
        <v>87.35</v>
      </c>
      <c r="K447" s="11"/>
    </row>
    <row r="448" spans="1:11" s="1" customFormat="1" ht="15" customHeight="1">
      <c r="A448" s="3">
        <v>445</v>
      </c>
      <c r="B448" s="9" t="str">
        <f>"杜兵"</f>
        <v>杜兵</v>
      </c>
      <c r="C448" s="9" t="str">
        <f aca="true" t="shared" si="41" ref="C448:C453">"1623020221513"</f>
        <v>1623020221513</v>
      </c>
      <c r="D448" s="9" t="s">
        <v>50</v>
      </c>
      <c r="E448" s="9" t="str">
        <f>"16230041422"</f>
        <v>16230041422</v>
      </c>
      <c r="F448" s="7">
        <v>87.28</v>
      </c>
      <c r="G448" s="7">
        <v>97.6</v>
      </c>
      <c r="H448" s="7">
        <v>93.47</v>
      </c>
      <c r="I448" s="10"/>
      <c r="J448" s="7">
        <f t="shared" si="34"/>
        <v>93.47</v>
      </c>
      <c r="K448" s="11"/>
    </row>
    <row r="449" spans="1:11" s="1" customFormat="1" ht="15" customHeight="1">
      <c r="A449" s="3">
        <v>446</v>
      </c>
      <c r="B449" s="9" t="str">
        <f>"郝珊珊"</f>
        <v>郝珊珊</v>
      </c>
      <c r="C449" s="9" t="str">
        <f t="shared" si="41"/>
        <v>1623020221513</v>
      </c>
      <c r="D449" s="9" t="s">
        <v>50</v>
      </c>
      <c r="E449" s="9" t="str">
        <f>"16230041426"</f>
        <v>16230041426</v>
      </c>
      <c r="F449" s="7">
        <v>85.04</v>
      </c>
      <c r="G449" s="7">
        <v>98.2</v>
      </c>
      <c r="H449" s="7">
        <v>92.94</v>
      </c>
      <c r="I449" s="10"/>
      <c r="J449" s="7">
        <f t="shared" si="34"/>
        <v>92.94</v>
      </c>
      <c r="K449" s="11"/>
    </row>
    <row r="450" spans="1:11" s="1" customFormat="1" ht="15" customHeight="1">
      <c r="A450" s="3">
        <v>447</v>
      </c>
      <c r="B450" s="9" t="str">
        <f>"石先其"</f>
        <v>石先其</v>
      </c>
      <c r="C450" s="9" t="str">
        <f t="shared" si="41"/>
        <v>1623020221513</v>
      </c>
      <c r="D450" s="9" t="s">
        <v>50</v>
      </c>
      <c r="E450" s="9" t="str">
        <f>"16230041423"</f>
        <v>16230041423</v>
      </c>
      <c r="F450" s="7">
        <v>82.62</v>
      </c>
      <c r="G450" s="7">
        <v>98.1</v>
      </c>
      <c r="H450" s="7">
        <v>91.91</v>
      </c>
      <c r="I450" s="10"/>
      <c r="J450" s="7">
        <f t="shared" si="34"/>
        <v>91.91</v>
      </c>
      <c r="K450" s="11"/>
    </row>
    <row r="451" spans="1:11" s="1" customFormat="1" ht="15" customHeight="1">
      <c r="A451" s="3">
        <v>448</v>
      </c>
      <c r="B451" s="9" t="str">
        <f>"张欣鑫"</f>
        <v>张欣鑫</v>
      </c>
      <c r="C451" s="9" t="str">
        <f t="shared" si="41"/>
        <v>1623020221513</v>
      </c>
      <c r="D451" s="9" t="s">
        <v>50</v>
      </c>
      <c r="E451" s="9" t="str">
        <f>"16230041419"</f>
        <v>16230041419</v>
      </c>
      <c r="F451" s="7">
        <v>85.22</v>
      </c>
      <c r="G451" s="7">
        <v>92.9</v>
      </c>
      <c r="H451" s="7">
        <v>89.83</v>
      </c>
      <c r="I451" s="10"/>
      <c r="J451" s="7">
        <f t="shared" si="34"/>
        <v>89.83</v>
      </c>
      <c r="K451" s="11"/>
    </row>
    <row r="452" spans="1:11" s="1" customFormat="1" ht="15" customHeight="1">
      <c r="A452" s="3">
        <v>449</v>
      </c>
      <c r="B452" s="9" t="str">
        <f>"冯传奇"</f>
        <v>冯传奇</v>
      </c>
      <c r="C452" s="9" t="str">
        <f t="shared" si="41"/>
        <v>1623020221513</v>
      </c>
      <c r="D452" s="9" t="s">
        <v>50</v>
      </c>
      <c r="E452" s="9" t="str">
        <f>"16230041421"</f>
        <v>16230041421</v>
      </c>
      <c r="F452" s="7">
        <v>85.88</v>
      </c>
      <c r="G452" s="7">
        <v>89.5</v>
      </c>
      <c r="H452" s="7">
        <v>88.05</v>
      </c>
      <c r="I452" s="10"/>
      <c r="J452" s="7">
        <f aca="true" t="shared" si="42" ref="J452:J515">H452+I452</f>
        <v>88.05</v>
      </c>
      <c r="K452" s="11"/>
    </row>
    <row r="453" spans="1:11" s="1" customFormat="1" ht="15" customHeight="1">
      <c r="A453" s="3">
        <v>450</v>
      </c>
      <c r="B453" s="9" t="str">
        <f>"付孟于"</f>
        <v>付孟于</v>
      </c>
      <c r="C453" s="9" t="str">
        <f t="shared" si="41"/>
        <v>1623020221513</v>
      </c>
      <c r="D453" s="9" t="s">
        <v>50</v>
      </c>
      <c r="E453" s="9" t="str">
        <f>"16230041429"</f>
        <v>16230041429</v>
      </c>
      <c r="F453" s="7">
        <v>80.02</v>
      </c>
      <c r="G453" s="7">
        <v>92.1</v>
      </c>
      <c r="H453" s="7">
        <v>87.27</v>
      </c>
      <c r="I453" s="10"/>
      <c r="J453" s="7">
        <f t="shared" si="42"/>
        <v>87.27</v>
      </c>
      <c r="K453" s="11"/>
    </row>
    <row r="454" spans="1:11" s="1" customFormat="1" ht="15" customHeight="1">
      <c r="A454" s="3">
        <v>451</v>
      </c>
      <c r="B454" s="9" t="str">
        <f>"范瑞玲"</f>
        <v>范瑞玲</v>
      </c>
      <c r="C454" s="9" t="str">
        <f aca="true" t="shared" si="43" ref="C454:C459">"1623020221314"</f>
        <v>1623020221314</v>
      </c>
      <c r="D454" s="9" t="s">
        <v>51</v>
      </c>
      <c r="E454" s="9" t="str">
        <f>"16230045501"</f>
        <v>16230045501</v>
      </c>
      <c r="F454" s="7">
        <v>92.14</v>
      </c>
      <c r="G454" s="7">
        <v>92</v>
      </c>
      <c r="H454" s="7">
        <v>92.06</v>
      </c>
      <c r="I454" s="10"/>
      <c r="J454" s="7">
        <f t="shared" si="42"/>
        <v>92.06</v>
      </c>
      <c r="K454" s="11"/>
    </row>
    <row r="455" spans="1:11" s="1" customFormat="1" ht="15" customHeight="1">
      <c r="A455" s="3">
        <v>452</v>
      </c>
      <c r="B455" s="9" t="str">
        <f>"马芬芬"</f>
        <v>马芬芬</v>
      </c>
      <c r="C455" s="9" t="str">
        <f t="shared" si="43"/>
        <v>1623020221314</v>
      </c>
      <c r="D455" s="9" t="s">
        <v>51</v>
      </c>
      <c r="E455" s="9" t="str">
        <f>"16230045503"</f>
        <v>16230045503</v>
      </c>
      <c r="F455" s="7">
        <v>91.42</v>
      </c>
      <c r="G455" s="7">
        <v>88.6</v>
      </c>
      <c r="H455" s="7">
        <v>89.73</v>
      </c>
      <c r="I455" s="10"/>
      <c r="J455" s="7">
        <f t="shared" si="42"/>
        <v>89.73</v>
      </c>
      <c r="K455" s="11"/>
    </row>
    <row r="456" spans="1:11" s="1" customFormat="1" ht="15" customHeight="1">
      <c r="A456" s="3">
        <v>453</v>
      </c>
      <c r="B456" s="9" t="str">
        <f>"李孟杰"</f>
        <v>李孟杰</v>
      </c>
      <c r="C456" s="9" t="str">
        <f t="shared" si="43"/>
        <v>1623020221314</v>
      </c>
      <c r="D456" s="9" t="s">
        <v>51</v>
      </c>
      <c r="E456" s="9" t="str">
        <f>"16230045430"</f>
        <v>16230045430</v>
      </c>
      <c r="F456" s="7">
        <v>77.46</v>
      </c>
      <c r="G456" s="7">
        <v>94.4</v>
      </c>
      <c r="H456" s="7">
        <v>87.62</v>
      </c>
      <c r="I456" s="10"/>
      <c r="J456" s="7">
        <f t="shared" si="42"/>
        <v>87.62</v>
      </c>
      <c r="K456" s="11"/>
    </row>
    <row r="457" spans="1:11" s="1" customFormat="1" ht="15" customHeight="1">
      <c r="A457" s="3">
        <v>454</v>
      </c>
      <c r="B457" s="9" t="str">
        <f>"贾海岛"</f>
        <v>贾海岛</v>
      </c>
      <c r="C457" s="9" t="str">
        <f t="shared" si="43"/>
        <v>1623020221314</v>
      </c>
      <c r="D457" s="9" t="s">
        <v>51</v>
      </c>
      <c r="E457" s="9" t="str">
        <f>"16230045505"</f>
        <v>16230045505</v>
      </c>
      <c r="F457" s="7">
        <v>79.08</v>
      </c>
      <c r="G457" s="7">
        <v>91.1</v>
      </c>
      <c r="H457" s="7">
        <v>86.29</v>
      </c>
      <c r="I457" s="10"/>
      <c r="J457" s="7">
        <f t="shared" si="42"/>
        <v>86.29</v>
      </c>
      <c r="K457" s="11"/>
    </row>
    <row r="458" spans="1:11" s="1" customFormat="1" ht="15" customHeight="1">
      <c r="A458" s="3">
        <v>455</v>
      </c>
      <c r="B458" s="9" t="str">
        <f>"陈博源"</f>
        <v>陈博源</v>
      </c>
      <c r="C458" s="9" t="str">
        <f t="shared" si="43"/>
        <v>1623020221314</v>
      </c>
      <c r="D458" s="9" t="s">
        <v>51</v>
      </c>
      <c r="E458" s="9" t="str">
        <f>"16230045504"</f>
        <v>16230045504</v>
      </c>
      <c r="F458" s="7">
        <v>84.02</v>
      </c>
      <c r="G458" s="7">
        <v>87.3</v>
      </c>
      <c r="H458" s="7">
        <v>85.99</v>
      </c>
      <c r="I458" s="10"/>
      <c r="J458" s="7">
        <f t="shared" si="42"/>
        <v>85.99</v>
      </c>
      <c r="K458" s="11"/>
    </row>
    <row r="459" spans="1:11" s="1" customFormat="1" ht="15" customHeight="1">
      <c r="A459" s="3">
        <v>456</v>
      </c>
      <c r="B459" s="9" t="str">
        <f>"刘翠芳"</f>
        <v>刘翠芳</v>
      </c>
      <c r="C459" s="9" t="str">
        <f t="shared" si="43"/>
        <v>1623020221314</v>
      </c>
      <c r="D459" s="9" t="s">
        <v>51</v>
      </c>
      <c r="E459" s="9" t="str">
        <f>"16230045502"</f>
        <v>16230045502</v>
      </c>
      <c r="F459" s="7">
        <v>81.28</v>
      </c>
      <c r="G459" s="7">
        <v>87.8</v>
      </c>
      <c r="H459" s="7">
        <v>85.19</v>
      </c>
      <c r="I459" s="10"/>
      <c r="J459" s="7">
        <f t="shared" si="42"/>
        <v>85.19</v>
      </c>
      <c r="K459" s="11"/>
    </row>
    <row r="460" spans="1:11" s="1" customFormat="1" ht="15" customHeight="1">
      <c r="A460" s="3">
        <v>457</v>
      </c>
      <c r="B460" s="9" t="str">
        <f>"杨旭"</f>
        <v>杨旭</v>
      </c>
      <c r="C460" s="9" t="str">
        <f aca="true" t="shared" si="44" ref="C460:C465">"1623020221315"</f>
        <v>1623020221315</v>
      </c>
      <c r="D460" s="9" t="s">
        <v>52</v>
      </c>
      <c r="E460" s="9" t="str">
        <f>"16230045507"</f>
        <v>16230045507</v>
      </c>
      <c r="F460" s="7">
        <v>81.48</v>
      </c>
      <c r="G460" s="7">
        <v>97.2</v>
      </c>
      <c r="H460" s="7">
        <v>90.91</v>
      </c>
      <c r="I460" s="10"/>
      <c r="J460" s="7">
        <f t="shared" si="42"/>
        <v>90.91</v>
      </c>
      <c r="K460" s="11"/>
    </row>
    <row r="461" spans="1:11" s="1" customFormat="1" ht="15" customHeight="1">
      <c r="A461" s="3">
        <v>458</v>
      </c>
      <c r="B461" s="9" t="str">
        <f>"杨朝阳"</f>
        <v>杨朝阳</v>
      </c>
      <c r="C461" s="9" t="str">
        <f t="shared" si="44"/>
        <v>1623020221315</v>
      </c>
      <c r="D461" s="9" t="s">
        <v>52</v>
      </c>
      <c r="E461" s="9" t="str">
        <f>"16230045513"</f>
        <v>16230045513</v>
      </c>
      <c r="F461" s="7">
        <v>83.54</v>
      </c>
      <c r="G461" s="7">
        <v>91.3</v>
      </c>
      <c r="H461" s="7">
        <v>88.2</v>
      </c>
      <c r="I461" s="10"/>
      <c r="J461" s="7">
        <f t="shared" si="42"/>
        <v>88.2</v>
      </c>
      <c r="K461" s="11"/>
    </row>
    <row r="462" spans="1:11" s="1" customFormat="1" ht="15" customHeight="1">
      <c r="A462" s="3">
        <v>459</v>
      </c>
      <c r="B462" s="9" t="str">
        <f>"蒋伟"</f>
        <v>蒋伟</v>
      </c>
      <c r="C462" s="9" t="str">
        <f t="shared" si="44"/>
        <v>1623020221315</v>
      </c>
      <c r="D462" s="9" t="s">
        <v>52</v>
      </c>
      <c r="E462" s="9" t="str">
        <f>"16230045514"</f>
        <v>16230045514</v>
      </c>
      <c r="F462" s="7">
        <v>79.74</v>
      </c>
      <c r="G462" s="7">
        <v>91.6</v>
      </c>
      <c r="H462" s="7">
        <v>86.86</v>
      </c>
      <c r="I462" s="10"/>
      <c r="J462" s="7">
        <f t="shared" si="42"/>
        <v>86.86</v>
      </c>
      <c r="K462" s="11"/>
    </row>
    <row r="463" spans="1:11" s="1" customFormat="1" ht="15" customHeight="1">
      <c r="A463" s="3">
        <v>460</v>
      </c>
      <c r="B463" s="9" t="str">
        <f>"张文豹"</f>
        <v>张文豹</v>
      </c>
      <c r="C463" s="9" t="str">
        <f t="shared" si="44"/>
        <v>1623020221315</v>
      </c>
      <c r="D463" s="9" t="s">
        <v>52</v>
      </c>
      <c r="E463" s="9" t="str">
        <f>"16230045516"</f>
        <v>16230045516</v>
      </c>
      <c r="F463" s="7">
        <v>88.88</v>
      </c>
      <c r="G463" s="7">
        <v>85.4</v>
      </c>
      <c r="H463" s="7">
        <v>86.79</v>
      </c>
      <c r="I463" s="10"/>
      <c r="J463" s="7">
        <f t="shared" si="42"/>
        <v>86.79</v>
      </c>
      <c r="K463" s="11"/>
    </row>
    <row r="464" spans="1:11" s="1" customFormat="1" ht="15" customHeight="1">
      <c r="A464" s="3">
        <v>461</v>
      </c>
      <c r="B464" s="9" t="str">
        <f>"尹伟"</f>
        <v>尹伟</v>
      </c>
      <c r="C464" s="9" t="str">
        <f t="shared" si="44"/>
        <v>1623020221315</v>
      </c>
      <c r="D464" s="9" t="s">
        <v>52</v>
      </c>
      <c r="E464" s="9" t="str">
        <f>"16230045524"</f>
        <v>16230045524</v>
      </c>
      <c r="F464" s="7">
        <v>87.56</v>
      </c>
      <c r="G464" s="7">
        <v>85.1</v>
      </c>
      <c r="H464" s="7">
        <v>86.08</v>
      </c>
      <c r="I464" s="10"/>
      <c r="J464" s="7">
        <f t="shared" si="42"/>
        <v>86.08</v>
      </c>
      <c r="K464" s="11"/>
    </row>
    <row r="465" spans="1:11" s="1" customFormat="1" ht="15" customHeight="1">
      <c r="A465" s="3">
        <v>462</v>
      </c>
      <c r="B465" s="9" t="str">
        <f>"程森"</f>
        <v>程森</v>
      </c>
      <c r="C465" s="9" t="str">
        <f t="shared" si="44"/>
        <v>1623020221315</v>
      </c>
      <c r="D465" s="9" t="s">
        <v>52</v>
      </c>
      <c r="E465" s="9" t="str">
        <f>"16230045522"</f>
        <v>16230045522</v>
      </c>
      <c r="F465" s="7">
        <v>83.24</v>
      </c>
      <c r="G465" s="7">
        <v>87.2</v>
      </c>
      <c r="H465" s="7">
        <v>85.62</v>
      </c>
      <c r="I465" s="10"/>
      <c r="J465" s="7">
        <f t="shared" si="42"/>
        <v>85.62</v>
      </c>
      <c r="K465" s="11"/>
    </row>
    <row r="466" spans="1:11" s="1" customFormat="1" ht="15" customHeight="1">
      <c r="A466" s="3">
        <v>463</v>
      </c>
      <c r="B466" s="9" t="str">
        <f>"王鹏飞"</f>
        <v>王鹏飞</v>
      </c>
      <c r="C466" s="9" t="str">
        <f>"1623020221416"</f>
        <v>1623020221416</v>
      </c>
      <c r="D466" s="9" t="s">
        <v>53</v>
      </c>
      <c r="E466" s="9" t="str">
        <f>"16230036011"</f>
        <v>16230036011</v>
      </c>
      <c r="F466" s="7">
        <v>77.74</v>
      </c>
      <c r="G466" s="7">
        <v>96.3</v>
      </c>
      <c r="H466" s="7">
        <v>88.88</v>
      </c>
      <c r="I466" s="10"/>
      <c r="J466" s="7">
        <f t="shared" si="42"/>
        <v>88.88</v>
      </c>
      <c r="K466" s="11"/>
    </row>
    <row r="467" spans="1:11" s="1" customFormat="1" ht="15" customHeight="1">
      <c r="A467" s="3">
        <v>464</v>
      </c>
      <c r="B467" s="9" t="str">
        <f>"安国良"</f>
        <v>安国良</v>
      </c>
      <c r="C467" s="9" t="str">
        <f>"1623020221416"</f>
        <v>1623020221416</v>
      </c>
      <c r="D467" s="9" t="s">
        <v>53</v>
      </c>
      <c r="E467" s="9" t="str">
        <f>"16230036010"</f>
        <v>16230036010</v>
      </c>
      <c r="F467" s="7">
        <v>88.6</v>
      </c>
      <c r="G467" s="7">
        <v>87.9</v>
      </c>
      <c r="H467" s="7">
        <v>88.18</v>
      </c>
      <c r="I467" s="10"/>
      <c r="J467" s="7">
        <f t="shared" si="42"/>
        <v>88.18</v>
      </c>
      <c r="K467" s="11"/>
    </row>
    <row r="468" spans="1:11" s="1" customFormat="1" ht="15" customHeight="1">
      <c r="A468" s="3">
        <v>465</v>
      </c>
      <c r="B468" s="9" t="str">
        <f>"孟噌噌"</f>
        <v>孟噌噌</v>
      </c>
      <c r="C468" s="9" t="str">
        <f>"1623020221416"</f>
        <v>1623020221416</v>
      </c>
      <c r="D468" s="9" t="s">
        <v>53</v>
      </c>
      <c r="E468" s="9" t="str">
        <f>"16230036006"</f>
        <v>16230036006</v>
      </c>
      <c r="F468" s="7">
        <v>76.66</v>
      </c>
      <c r="G468" s="7">
        <v>95.6</v>
      </c>
      <c r="H468" s="7">
        <v>88.02</v>
      </c>
      <c r="I468" s="10"/>
      <c r="J468" s="7">
        <f t="shared" si="42"/>
        <v>88.02</v>
      </c>
      <c r="K468" s="11"/>
    </row>
    <row r="469" spans="1:11" s="1" customFormat="1" ht="15" customHeight="1">
      <c r="A469" s="3">
        <v>466</v>
      </c>
      <c r="B469" s="9" t="str">
        <f>"孙强"</f>
        <v>孙强</v>
      </c>
      <c r="C469" s="9" t="str">
        <f>"1623020221416"</f>
        <v>1623020221416</v>
      </c>
      <c r="D469" s="9" t="s">
        <v>53</v>
      </c>
      <c r="E469" s="9" t="str">
        <f>"16230036004"</f>
        <v>16230036004</v>
      </c>
      <c r="F469" s="7">
        <v>75.06</v>
      </c>
      <c r="G469" s="7">
        <v>82.4</v>
      </c>
      <c r="H469" s="7">
        <v>79.46</v>
      </c>
      <c r="I469" s="10"/>
      <c r="J469" s="7">
        <f t="shared" si="42"/>
        <v>79.46</v>
      </c>
      <c r="K469" s="11"/>
    </row>
    <row r="470" spans="1:11" s="1" customFormat="1" ht="15" customHeight="1">
      <c r="A470" s="3">
        <v>467</v>
      </c>
      <c r="B470" s="9" t="str">
        <f>"刘浩宇"</f>
        <v>刘浩宇</v>
      </c>
      <c r="C470" s="9" t="str">
        <f>"1623020221416"</f>
        <v>1623020221416</v>
      </c>
      <c r="D470" s="9" t="s">
        <v>53</v>
      </c>
      <c r="E470" s="9" t="str">
        <f>"16230036009"</f>
        <v>16230036009</v>
      </c>
      <c r="F470" s="7">
        <v>78.26</v>
      </c>
      <c r="G470" s="7">
        <v>78.6</v>
      </c>
      <c r="H470" s="7">
        <v>78.46</v>
      </c>
      <c r="I470" s="10"/>
      <c r="J470" s="7">
        <f t="shared" si="42"/>
        <v>78.46</v>
      </c>
      <c r="K470" s="11"/>
    </row>
    <row r="471" spans="1:11" s="1" customFormat="1" ht="15" customHeight="1">
      <c r="A471" s="3">
        <v>468</v>
      </c>
      <c r="B471" s="9" t="str">
        <f>"赵雪静"</f>
        <v>赵雪静</v>
      </c>
      <c r="C471" s="9" t="str">
        <f aca="true" t="shared" si="45" ref="C471:C476">"1623020221417"</f>
        <v>1623020221417</v>
      </c>
      <c r="D471" s="9" t="s">
        <v>54</v>
      </c>
      <c r="E471" s="9" t="str">
        <f>"16230036023"</f>
        <v>16230036023</v>
      </c>
      <c r="F471" s="7">
        <v>96.16</v>
      </c>
      <c r="G471" s="7">
        <v>90.4</v>
      </c>
      <c r="H471" s="7">
        <v>92.7</v>
      </c>
      <c r="I471" s="10"/>
      <c r="J471" s="7">
        <f t="shared" si="42"/>
        <v>92.7</v>
      </c>
      <c r="K471" s="11"/>
    </row>
    <row r="472" spans="1:11" s="1" customFormat="1" ht="15" customHeight="1">
      <c r="A472" s="3">
        <v>469</v>
      </c>
      <c r="B472" s="9" t="str">
        <f>"李珍"</f>
        <v>李珍</v>
      </c>
      <c r="C472" s="9" t="str">
        <f t="shared" si="45"/>
        <v>1623020221417</v>
      </c>
      <c r="D472" s="9" t="s">
        <v>54</v>
      </c>
      <c r="E472" s="9" t="str">
        <f>"16230036024"</f>
        <v>16230036024</v>
      </c>
      <c r="F472" s="7">
        <v>91.32</v>
      </c>
      <c r="G472" s="7">
        <v>92.1</v>
      </c>
      <c r="H472" s="7">
        <v>91.79</v>
      </c>
      <c r="I472" s="10"/>
      <c r="J472" s="7">
        <f t="shared" si="42"/>
        <v>91.79</v>
      </c>
      <c r="K472" s="11"/>
    </row>
    <row r="473" spans="1:11" s="1" customFormat="1" ht="15" customHeight="1">
      <c r="A473" s="3">
        <v>470</v>
      </c>
      <c r="B473" s="9" t="str">
        <f>"王东莉"</f>
        <v>王东莉</v>
      </c>
      <c r="C473" s="9" t="str">
        <f t="shared" si="45"/>
        <v>1623020221417</v>
      </c>
      <c r="D473" s="9" t="s">
        <v>54</v>
      </c>
      <c r="E473" s="9" t="str">
        <f>"16230036014"</f>
        <v>16230036014</v>
      </c>
      <c r="F473" s="7">
        <v>88.92</v>
      </c>
      <c r="G473" s="7">
        <v>88</v>
      </c>
      <c r="H473" s="7">
        <v>88.37</v>
      </c>
      <c r="I473" s="10"/>
      <c r="J473" s="7">
        <f t="shared" si="42"/>
        <v>88.37</v>
      </c>
      <c r="K473" s="11"/>
    </row>
    <row r="474" spans="1:11" s="1" customFormat="1" ht="15" customHeight="1">
      <c r="A474" s="3">
        <v>471</v>
      </c>
      <c r="B474" s="9" t="str">
        <f>"陆向丽"</f>
        <v>陆向丽</v>
      </c>
      <c r="C474" s="9" t="str">
        <f t="shared" si="45"/>
        <v>1623020221417</v>
      </c>
      <c r="D474" s="9" t="s">
        <v>54</v>
      </c>
      <c r="E474" s="9" t="str">
        <f>"16230036021"</f>
        <v>16230036021</v>
      </c>
      <c r="F474" s="7">
        <v>91.1</v>
      </c>
      <c r="G474" s="7">
        <v>86.1</v>
      </c>
      <c r="H474" s="7">
        <v>88.1</v>
      </c>
      <c r="I474" s="10"/>
      <c r="J474" s="7">
        <f t="shared" si="42"/>
        <v>88.1</v>
      </c>
      <c r="K474" s="11"/>
    </row>
    <row r="475" spans="1:11" s="1" customFormat="1" ht="15" customHeight="1">
      <c r="A475" s="3">
        <v>472</v>
      </c>
      <c r="B475" s="9" t="str">
        <f>"朱广"</f>
        <v>朱广</v>
      </c>
      <c r="C475" s="9" t="str">
        <f t="shared" si="45"/>
        <v>1623020221417</v>
      </c>
      <c r="D475" s="9" t="s">
        <v>54</v>
      </c>
      <c r="E475" s="9" t="str">
        <f>"16230036017"</f>
        <v>16230036017</v>
      </c>
      <c r="F475" s="7">
        <v>90.02</v>
      </c>
      <c r="G475" s="7">
        <v>85.6</v>
      </c>
      <c r="H475" s="7">
        <v>87.37</v>
      </c>
      <c r="I475" s="10"/>
      <c r="J475" s="7">
        <f t="shared" si="42"/>
        <v>87.37</v>
      </c>
      <c r="K475" s="11"/>
    </row>
    <row r="476" spans="1:11" s="1" customFormat="1" ht="15" customHeight="1">
      <c r="A476" s="3">
        <v>473</v>
      </c>
      <c r="B476" s="9" t="str">
        <f>"刘艳"</f>
        <v>刘艳</v>
      </c>
      <c r="C476" s="9" t="str">
        <f t="shared" si="45"/>
        <v>1623020221417</v>
      </c>
      <c r="D476" s="9" t="s">
        <v>54</v>
      </c>
      <c r="E476" s="9" t="str">
        <f>"16230036013"</f>
        <v>16230036013</v>
      </c>
      <c r="F476" s="7">
        <v>83.66</v>
      </c>
      <c r="G476" s="7">
        <v>89.4</v>
      </c>
      <c r="H476" s="7">
        <v>87.1</v>
      </c>
      <c r="I476" s="10"/>
      <c r="J476" s="7">
        <f t="shared" si="42"/>
        <v>87.1</v>
      </c>
      <c r="K476" s="11"/>
    </row>
    <row r="477" spans="1:11" s="1" customFormat="1" ht="15" customHeight="1">
      <c r="A477" s="3">
        <v>474</v>
      </c>
      <c r="B477" s="9" t="str">
        <f>"储伟"</f>
        <v>储伟</v>
      </c>
      <c r="C477" s="9" t="str">
        <f aca="true" t="shared" si="46" ref="C477:C482">"1623020220622"</f>
        <v>1623020220622</v>
      </c>
      <c r="D477" s="9" t="s">
        <v>55</v>
      </c>
      <c r="E477" s="9" t="str">
        <f>"16230040803"</f>
        <v>16230040803</v>
      </c>
      <c r="F477" s="7">
        <v>97.38</v>
      </c>
      <c r="G477" s="7">
        <v>99.55</v>
      </c>
      <c r="H477" s="7">
        <v>98.68</v>
      </c>
      <c r="I477" s="10"/>
      <c r="J477" s="7">
        <f t="shared" si="42"/>
        <v>98.68</v>
      </c>
      <c r="K477" s="11"/>
    </row>
    <row r="478" spans="1:11" s="1" customFormat="1" ht="15" customHeight="1">
      <c r="A478" s="3">
        <v>475</v>
      </c>
      <c r="B478" s="9" t="str">
        <f>"孙佳慧"</f>
        <v>孙佳慧</v>
      </c>
      <c r="C478" s="9" t="str">
        <f t="shared" si="46"/>
        <v>1623020220622</v>
      </c>
      <c r="D478" s="9" t="s">
        <v>55</v>
      </c>
      <c r="E478" s="9" t="str">
        <f>"16230040911"</f>
        <v>16230040911</v>
      </c>
      <c r="F478" s="7">
        <v>91.62</v>
      </c>
      <c r="G478" s="7">
        <v>99.15</v>
      </c>
      <c r="H478" s="7">
        <v>96.14</v>
      </c>
      <c r="I478" s="10"/>
      <c r="J478" s="7">
        <f t="shared" si="42"/>
        <v>96.14</v>
      </c>
      <c r="K478" s="11"/>
    </row>
    <row r="479" spans="1:11" s="1" customFormat="1" ht="15" customHeight="1">
      <c r="A479" s="3">
        <v>476</v>
      </c>
      <c r="B479" s="9" t="str">
        <f>"程雨晴"</f>
        <v>程雨晴</v>
      </c>
      <c r="C479" s="9" t="str">
        <f t="shared" si="46"/>
        <v>1623020220622</v>
      </c>
      <c r="D479" s="9" t="s">
        <v>55</v>
      </c>
      <c r="E479" s="9" t="str">
        <f>"16230040910"</f>
        <v>16230040910</v>
      </c>
      <c r="F479" s="7">
        <v>92</v>
      </c>
      <c r="G479" s="7">
        <v>98.49</v>
      </c>
      <c r="H479" s="7">
        <v>95.89</v>
      </c>
      <c r="I479" s="10"/>
      <c r="J479" s="7">
        <f t="shared" si="42"/>
        <v>95.89</v>
      </c>
      <c r="K479" s="11"/>
    </row>
    <row r="480" spans="1:11" s="1" customFormat="1" ht="15" customHeight="1">
      <c r="A480" s="3">
        <v>477</v>
      </c>
      <c r="B480" s="9" t="str">
        <f>"庞缘"</f>
        <v>庞缘</v>
      </c>
      <c r="C480" s="9" t="str">
        <f t="shared" si="46"/>
        <v>1623020220622</v>
      </c>
      <c r="D480" s="9" t="s">
        <v>55</v>
      </c>
      <c r="E480" s="9" t="str">
        <f>"16230040716"</f>
        <v>16230040716</v>
      </c>
      <c r="F480" s="7">
        <v>88.64</v>
      </c>
      <c r="G480" s="7">
        <v>100.43</v>
      </c>
      <c r="H480" s="7">
        <v>95.71</v>
      </c>
      <c r="I480" s="10"/>
      <c r="J480" s="7">
        <f t="shared" si="42"/>
        <v>95.71</v>
      </c>
      <c r="K480" s="11"/>
    </row>
    <row r="481" spans="1:11" s="1" customFormat="1" ht="15" customHeight="1">
      <c r="A481" s="3">
        <v>478</v>
      </c>
      <c r="B481" s="9" t="str">
        <f>"陶丹丹"</f>
        <v>陶丹丹</v>
      </c>
      <c r="C481" s="9" t="str">
        <f t="shared" si="46"/>
        <v>1623020220622</v>
      </c>
      <c r="D481" s="9" t="s">
        <v>55</v>
      </c>
      <c r="E481" s="9" t="str">
        <f>"16230040825"</f>
        <v>16230040825</v>
      </c>
      <c r="F481" s="7">
        <v>90.62</v>
      </c>
      <c r="G481" s="7">
        <v>98.91</v>
      </c>
      <c r="H481" s="7">
        <v>95.59</v>
      </c>
      <c r="I481" s="10"/>
      <c r="J481" s="7">
        <f t="shared" si="42"/>
        <v>95.59</v>
      </c>
      <c r="K481" s="11"/>
    </row>
    <row r="482" spans="1:11" s="1" customFormat="1" ht="15" customHeight="1">
      <c r="A482" s="3">
        <v>479</v>
      </c>
      <c r="B482" s="9" t="str">
        <f>"董明珠"</f>
        <v>董明珠</v>
      </c>
      <c r="C482" s="9" t="str">
        <f t="shared" si="46"/>
        <v>1623020220622</v>
      </c>
      <c r="D482" s="9" t="s">
        <v>55</v>
      </c>
      <c r="E482" s="9" t="str">
        <f>"16230040802"</f>
        <v>16230040802</v>
      </c>
      <c r="F482" s="7">
        <v>87.88</v>
      </c>
      <c r="G482" s="7">
        <v>99.3</v>
      </c>
      <c r="H482" s="7">
        <v>94.73</v>
      </c>
      <c r="I482" s="10"/>
      <c r="J482" s="7">
        <f t="shared" si="42"/>
        <v>94.73</v>
      </c>
      <c r="K482" s="11"/>
    </row>
    <row r="483" spans="1:11" s="1" customFormat="1" ht="15" customHeight="1">
      <c r="A483" s="3">
        <v>480</v>
      </c>
      <c r="B483" s="9" t="str">
        <f>"李德红"</f>
        <v>李德红</v>
      </c>
      <c r="C483" s="9" t="str">
        <f aca="true" t="shared" si="47" ref="C483:C488">"1623020220623"</f>
        <v>1623020220623</v>
      </c>
      <c r="D483" s="9" t="s">
        <v>56</v>
      </c>
      <c r="E483" s="9" t="str">
        <f>"16230041225"</f>
        <v>16230041225</v>
      </c>
      <c r="F483" s="7">
        <v>97.08</v>
      </c>
      <c r="G483" s="7">
        <v>103.43</v>
      </c>
      <c r="H483" s="7">
        <v>100.89</v>
      </c>
      <c r="I483" s="10"/>
      <c r="J483" s="7">
        <f t="shared" si="42"/>
        <v>100.89</v>
      </c>
      <c r="K483" s="11"/>
    </row>
    <row r="484" spans="1:11" s="1" customFormat="1" ht="15" customHeight="1">
      <c r="A484" s="3">
        <v>481</v>
      </c>
      <c r="B484" s="9" t="str">
        <f>"李慧慧"</f>
        <v>李慧慧</v>
      </c>
      <c r="C484" s="9" t="str">
        <f t="shared" si="47"/>
        <v>1623020220623</v>
      </c>
      <c r="D484" s="9" t="s">
        <v>56</v>
      </c>
      <c r="E484" s="9" t="str">
        <f>"16230041309"</f>
        <v>16230041309</v>
      </c>
      <c r="F484" s="7">
        <v>94.06</v>
      </c>
      <c r="G484" s="7">
        <v>102.13</v>
      </c>
      <c r="H484" s="7">
        <v>98.9</v>
      </c>
      <c r="I484" s="10"/>
      <c r="J484" s="7">
        <f t="shared" si="42"/>
        <v>98.9</v>
      </c>
      <c r="K484" s="11"/>
    </row>
    <row r="485" spans="1:11" s="1" customFormat="1" ht="15" customHeight="1">
      <c r="A485" s="3">
        <v>482</v>
      </c>
      <c r="B485" s="9" t="str">
        <f>"杜静"</f>
        <v>杜静</v>
      </c>
      <c r="C485" s="9" t="str">
        <f t="shared" si="47"/>
        <v>1623020220623</v>
      </c>
      <c r="D485" s="9" t="s">
        <v>56</v>
      </c>
      <c r="E485" s="9" t="str">
        <f>"16230041125"</f>
        <v>16230041125</v>
      </c>
      <c r="F485" s="7">
        <v>96.26</v>
      </c>
      <c r="G485" s="7">
        <v>100.34</v>
      </c>
      <c r="H485" s="7">
        <v>98.71</v>
      </c>
      <c r="I485" s="10"/>
      <c r="J485" s="7">
        <f t="shared" si="42"/>
        <v>98.71</v>
      </c>
      <c r="K485" s="11"/>
    </row>
    <row r="486" spans="1:11" s="1" customFormat="1" ht="15" customHeight="1">
      <c r="A486" s="3">
        <v>483</v>
      </c>
      <c r="B486" s="9" t="str">
        <f>"朱晓燕"</f>
        <v>朱晓燕</v>
      </c>
      <c r="C486" s="9" t="str">
        <f t="shared" si="47"/>
        <v>1623020220623</v>
      </c>
      <c r="D486" s="9" t="s">
        <v>56</v>
      </c>
      <c r="E486" s="9" t="str">
        <f>"16230041111"</f>
        <v>16230041111</v>
      </c>
      <c r="F486" s="7">
        <v>96.66</v>
      </c>
      <c r="G486" s="7">
        <v>99.72</v>
      </c>
      <c r="H486" s="7">
        <v>98.5</v>
      </c>
      <c r="I486" s="10"/>
      <c r="J486" s="7">
        <f t="shared" si="42"/>
        <v>98.5</v>
      </c>
      <c r="K486" s="11"/>
    </row>
    <row r="487" spans="1:11" s="1" customFormat="1" ht="15" customHeight="1">
      <c r="A487" s="3">
        <v>484</v>
      </c>
      <c r="B487" s="9" t="str">
        <f>"邢雨路"</f>
        <v>邢雨路</v>
      </c>
      <c r="C487" s="9" t="str">
        <f t="shared" si="47"/>
        <v>1623020220623</v>
      </c>
      <c r="D487" s="9" t="s">
        <v>56</v>
      </c>
      <c r="E487" s="9" t="str">
        <f>"16230041222"</f>
        <v>16230041222</v>
      </c>
      <c r="F487" s="7">
        <v>94.24</v>
      </c>
      <c r="G487" s="7">
        <v>99.6</v>
      </c>
      <c r="H487" s="7">
        <v>97.46</v>
      </c>
      <c r="I487" s="10"/>
      <c r="J487" s="7">
        <f t="shared" si="42"/>
        <v>97.46</v>
      </c>
      <c r="K487" s="11"/>
    </row>
    <row r="488" spans="1:11" s="1" customFormat="1" ht="15" customHeight="1">
      <c r="A488" s="3">
        <v>485</v>
      </c>
      <c r="B488" s="9" t="str">
        <f>"廖一帆"</f>
        <v>廖一帆</v>
      </c>
      <c r="C488" s="9" t="str">
        <f t="shared" si="47"/>
        <v>1623020220623</v>
      </c>
      <c r="D488" s="9" t="s">
        <v>56</v>
      </c>
      <c r="E488" s="9" t="str">
        <f>"16230041003"</f>
        <v>16230041003</v>
      </c>
      <c r="F488" s="7">
        <v>88.98</v>
      </c>
      <c r="G488" s="7">
        <v>102.55</v>
      </c>
      <c r="H488" s="7">
        <v>97.12</v>
      </c>
      <c r="I488" s="10"/>
      <c r="J488" s="7">
        <f t="shared" si="42"/>
        <v>97.12</v>
      </c>
      <c r="K488" s="11"/>
    </row>
    <row r="489" spans="1:11" s="1" customFormat="1" ht="15" customHeight="1">
      <c r="A489" s="3">
        <v>486</v>
      </c>
      <c r="B489" s="9" t="str">
        <f>"李梦茹"</f>
        <v>李梦茹</v>
      </c>
      <c r="C489" s="9" t="str">
        <f aca="true" t="shared" si="48" ref="C489:C494">"1623020220718"</f>
        <v>1623020220718</v>
      </c>
      <c r="D489" s="9" t="s">
        <v>57</v>
      </c>
      <c r="E489" s="9" t="str">
        <f>"16230045003"</f>
        <v>16230045003</v>
      </c>
      <c r="F489" s="7">
        <v>85.26</v>
      </c>
      <c r="G489" s="7">
        <v>89.44</v>
      </c>
      <c r="H489" s="7">
        <v>87.77</v>
      </c>
      <c r="I489" s="10"/>
      <c r="J489" s="7">
        <f t="shared" si="42"/>
        <v>87.77</v>
      </c>
      <c r="K489" s="11"/>
    </row>
    <row r="490" spans="1:11" s="1" customFormat="1" ht="15" customHeight="1">
      <c r="A490" s="3">
        <v>487</v>
      </c>
      <c r="B490" s="9" t="str">
        <f>"李晴晴"</f>
        <v>李晴晴</v>
      </c>
      <c r="C490" s="9" t="str">
        <f t="shared" si="48"/>
        <v>1623020220718</v>
      </c>
      <c r="D490" s="9" t="s">
        <v>57</v>
      </c>
      <c r="E490" s="9" t="str">
        <f>"16230045004"</f>
        <v>16230045004</v>
      </c>
      <c r="F490" s="7">
        <v>83.44</v>
      </c>
      <c r="G490" s="7">
        <v>90.08</v>
      </c>
      <c r="H490" s="7">
        <v>87.42</v>
      </c>
      <c r="I490" s="10"/>
      <c r="J490" s="7">
        <f t="shared" si="42"/>
        <v>87.42</v>
      </c>
      <c r="K490" s="11"/>
    </row>
    <row r="491" spans="1:11" s="1" customFormat="1" ht="15" customHeight="1">
      <c r="A491" s="3">
        <v>488</v>
      </c>
      <c r="B491" s="9" t="str">
        <f>"刘露"</f>
        <v>刘露</v>
      </c>
      <c r="C491" s="9" t="str">
        <f t="shared" si="48"/>
        <v>1623020220718</v>
      </c>
      <c r="D491" s="9" t="s">
        <v>57</v>
      </c>
      <c r="E491" s="9" t="str">
        <f>"16230045002"</f>
        <v>16230045002</v>
      </c>
      <c r="F491" s="7">
        <v>83.16</v>
      </c>
      <c r="G491" s="7">
        <v>89.4</v>
      </c>
      <c r="H491" s="7">
        <v>86.9</v>
      </c>
      <c r="I491" s="10"/>
      <c r="J491" s="7">
        <f t="shared" si="42"/>
        <v>86.9</v>
      </c>
      <c r="K491" s="11"/>
    </row>
    <row r="492" spans="1:11" s="1" customFormat="1" ht="15" customHeight="1">
      <c r="A492" s="3">
        <v>489</v>
      </c>
      <c r="B492" s="9" t="str">
        <f>"韩笑威"</f>
        <v>韩笑威</v>
      </c>
      <c r="C492" s="9" t="str">
        <f t="shared" si="48"/>
        <v>1623020220718</v>
      </c>
      <c r="D492" s="9" t="s">
        <v>57</v>
      </c>
      <c r="E492" s="9" t="str">
        <f>"16230044930"</f>
        <v>16230044930</v>
      </c>
      <c r="F492" s="7">
        <v>81.18</v>
      </c>
      <c r="G492" s="7">
        <v>87.94</v>
      </c>
      <c r="H492" s="7">
        <v>85.24</v>
      </c>
      <c r="I492" s="10"/>
      <c r="J492" s="7">
        <f t="shared" si="42"/>
        <v>85.24</v>
      </c>
      <c r="K492" s="11"/>
    </row>
    <row r="493" spans="1:11" s="1" customFormat="1" ht="15" customHeight="1">
      <c r="A493" s="3">
        <v>490</v>
      </c>
      <c r="B493" s="9" t="str">
        <f>"黄飞鸿"</f>
        <v>黄飞鸿</v>
      </c>
      <c r="C493" s="9" t="str">
        <f t="shared" si="48"/>
        <v>1623020220718</v>
      </c>
      <c r="D493" s="9" t="s">
        <v>57</v>
      </c>
      <c r="E493" s="9" t="str">
        <f>"16230044928"</f>
        <v>16230044928</v>
      </c>
      <c r="F493" s="7">
        <v>85.96</v>
      </c>
      <c r="G493" s="7">
        <v>78.33</v>
      </c>
      <c r="H493" s="7">
        <v>81.38</v>
      </c>
      <c r="I493" s="10"/>
      <c r="J493" s="7">
        <f t="shared" si="42"/>
        <v>81.38</v>
      </c>
      <c r="K493" s="11"/>
    </row>
    <row r="494" spans="1:11" s="1" customFormat="1" ht="15" customHeight="1">
      <c r="A494" s="3">
        <v>491</v>
      </c>
      <c r="B494" s="9" t="str">
        <f>"崔师凡"</f>
        <v>崔师凡</v>
      </c>
      <c r="C494" s="9" t="str">
        <f t="shared" si="48"/>
        <v>1623020220718</v>
      </c>
      <c r="D494" s="9" t="s">
        <v>57</v>
      </c>
      <c r="E494" s="9" t="str">
        <f>"16230045006"</f>
        <v>16230045006</v>
      </c>
      <c r="F494" s="7">
        <v>74.54</v>
      </c>
      <c r="G494" s="7">
        <v>78.9</v>
      </c>
      <c r="H494" s="7">
        <v>77.16</v>
      </c>
      <c r="I494" s="10"/>
      <c r="J494" s="7">
        <f t="shared" si="42"/>
        <v>77.16</v>
      </c>
      <c r="K494" s="11" t="s">
        <v>84</v>
      </c>
    </row>
    <row r="495" spans="1:11" s="1" customFormat="1" ht="15" customHeight="1">
      <c r="A495" s="3">
        <v>492</v>
      </c>
      <c r="B495" s="9" t="str">
        <f>"石同奎"</f>
        <v>石同奎</v>
      </c>
      <c r="C495" s="9" t="str">
        <f aca="true" t="shared" si="49" ref="C495:C500">"1623020220719"</f>
        <v>1623020220719</v>
      </c>
      <c r="D495" s="9" t="s">
        <v>58</v>
      </c>
      <c r="E495" s="9" t="str">
        <f>"16230045016"</f>
        <v>16230045016</v>
      </c>
      <c r="F495" s="7">
        <v>77.64</v>
      </c>
      <c r="G495" s="7">
        <v>105.21</v>
      </c>
      <c r="H495" s="7">
        <v>94.18</v>
      </c>
      <c r="I495" s="10"/>
      <c r="J495" s="7">
        <f t="shared" si="42"/>
        <v>94.18</v>
      </c>
      <c r="K495" s="11"/>
    </row>
    <row r="496" spans="1:11" s="1" customFormat="1" ht="15" customHeight="1">
      <c r="A496" s="3">
        <v>493</v>
      </c>
      <c r="B496" s="9" t="str">
        <f>"徐嫚丽"</f>
        <v>徐嫚丽</v>
      </c>
      <c r="C496" s="9" t="str">
        <f t="shared" si="49"/>
        <v>1623020220719</v>
      </c>
      <c r="D496" s="9" t="s">
        <v>58</v>
      </c>
      <c r="E496" s="9" t="str">
        <f>"16230045020"</f>
        <v>16230045020</v>
      </c>
      <c r="F496" s="7">
        <v>87.7</v>
      </c>
      <c r="G496" s="7">
        <v>96.2</v>
      </c>
      <c r="H496" s="7">
        <v>92.8</v>
      </c>
      <c r="I496" s="10"/>
      <c r="J496" s="7">
        <f t="shared" si="42"/>
        <v>92.8</v>
      </c>
      <c r="K496" s="11"/>
    </row>
    <row r="497" spans="1:11" s="1" customFormat="1" ht="15" customHeight="1">
      <c r="A497" s="3">
        <v>494</v>
      </c>
      <c r="B497" s="9" t="str">
        <f>"庞雅琦"</f>
        <v>庞雅琦</v>
      </c>
      <c r="C497" s="9" t="str">
        <f t="shared" si="49"/>
        <v>1623020220719</v>
      </c>
      <c r="D497" s="9" t="s">
        <v>58</v>
      </c>
      <c r="E497" s="9" t="str">
        <f>"16230045021"</f>
        <v>16230045021</v>
      </c>
      <c r="F497" s="7">
        <v>89</v>
      </c>
      <c r="G497" s="7">
        <v>93.56</v>
      </c>
      <c r="H497" s="7">
        <v>91.74</v>
      </c>
      <c r="I497" s="10"/>
      <c r="J497" s="7">
        <f t="shared" si="42"/>
        <v>91.74</v>
      </c>
      <c r="K497" s="11"/>
    </row>
    <row r="498" spans="1:11" s="1" customFormat="1" ht="15" customHeight="1">
      <c r="A498" s="3">
        <v>495</v>
      </c>
      <c r="B498" s="9" t="str">
        <f>"韩君"</f>
        <v>韩君</v>
      </c>
      <c r="C498" s="9" t="str">
        <f t="shared" si="49"/>
        <v>1623020220719</v>
      </c>
      <c r="D498" s="9" t="s">
        <v>58</v>
      </c>
      <c r="E498" s="9" t="str">
        <f>"16230045027"</f>
        <v>16230045027</v>
      </c>
      <c r="F498" s="7">
        <v>87.06</v>
      </c>
      <c r="G498" s="7">
        <v>90.15</v>
      </c>
      <c r="H498" s="7">
        <v>88.91</v>
      </c>
      <c r="I498" s="10"/>
      <c r="J498" s="7">
        <f t="shared" si="42"/>
        <v>88.91</v>
      </c>
      <c r="K498" s="11"/>
    </row>
    <row r="499" spans="1:11" s="1" customFormat="1" ht="15" customHeight="1">
      <c r="A499" s="3">
        <v>496</v>
      </c>
      <c r="B499" s="9" t="str">
        <f>"潘希中"</f>
        <v>潘希中</v>
      </c>
      <c r="C499" s="9" t="str">
        <f t="shared" si="49"/>
        <v>1623020220719</v>
      </c>
      <c r="D499" s="9" t="s">
        <v>58</v>
      </c>
      <c r="E499" s="9" t="str">
        <f>"16230045011"</f>
        <v>16230045011</v>
      </c>
      <c r="F499" s="7">
        <v>84.42</v>
      </c>
      <c r="G499" s="7">
        <v>86.79</v>
      </c>
      <c r="H499" s="7">
        <v>85.84</v>
      </c>
      <c r="I499" s="10"/>
      <c r="J499" s="7">
        <f t="shared" si="42"/>
        <v>85.84</v>
      </c>
      <c r="K499" s="11" t="s">
        <v>84</v>
      </c>
    </row>
    <row r="500" spans="1:11" s="1" customFormat="1" ht="15" customHeight="1">
      <c r="A500" s="3">
        <v>497</v>
      </c>
      <c r="B500" s="9" t="str">
        <f>"刘西亚"</f>
        <v>刘西亚</v>
      </c>
      <c r="C500" s="9" t="str">
        <f t="shared" si="49"/>
        <v>1623020220719</v>
      </c>
      <c r="D500" s="9" t="s">
        <v>58</v>
      </c>
      <c r="E500" s="9" t="str">
        <f>"16230045025"</f>
        <v>16230045025</v>
      </c>
      <c r="F500" s="7">
        <v>75.38</v>
      </c>
      <c r="G500" s="7">
        <v>91.54</v>
      </c>
      <c r="H500" s="7">
        <v>85.08</v>
      </c>
      <c r="I500" s="10"/>
      <c r="J500" s="7">
        <f t="shared" si="42"/>
        <v>85.08</v>
      </c>
      <c r="K500" s="11" t="s">
        <v>84</v>
      </c>
    </row>
    <row r="501" spans="1:11" s="1" customFormat="1" ht="15" customHeight="1">
      <c r="A501" s="3">
        <v>498</v>
      </c>
      <c r="B501" s="9" t="str">
        <f>"刘来齐"</f>
        <v>刘来齐</v>
      </c>
      <c r="C501" s="9" t="str">
        <f aca="true" t="shared" si="50" ref="C501:C512">"1623020220820"</f>
        <v>1623020220820</v>
      </c>
      <c r="D501" s="9" t="s">
        <v>59</v>
      </c>
      <c r="E501" s="9" t="str">
        <f>"16230044511"</f>
        <v>16230044511</v>
      </c>
      <c r="F501" s="7">
        <v>92.42</v>
      </c>
      <c r="G501" s="7">
        <v>95.09</v>
      </c>
      <c r="H501" s="7">
        <v>94.02</v>
      </c>
      <c r="I501" s="10"/>
      <c r="J501" s="7">
        <f t="shared" si="42"/>
        <v>94.02</v>
      </c>
      <c r="K501" s="11"/>
    </row>
    <row r="502" spans="1:11" s="1" customFormat="1" ht="15" customHeight="1">
      <c r="A502" s="3">
        <v>499</v>
      </c>
      <c r="B502" s="9" t="str">
        <f>"韩瑞"</f>
        <v>韩瑞</v>
      </c>
      <c r="C502" s="9" t="str">
        <f t="shared" si="50"/>
        <v>1623020220820</v>
      </c>
      <c r="D502" s="9" t="s">
        <v>59</v>
      </c>
      <c r="E502" s="9" t="str">
        <f>"16230044513"</f>
        <v>16230044513</v>
      </c>
      <c r="F502" s="7">
        <v>96.48</v>
      </c>
      <c r="G502" s="7">
        <v>91.55</v>
      </c>
      <c r="H502" s="7">
        <v>93.52</v>
      </c>
      <c r="I502" s="10"/>
      <c r="J502" s="7">
        <f t="shared" si="42"/>
        <v>93.52</v>
      </c>
      <c r="K502" s="11"/>
    </row>
    <row r="503" spans="1:11" s="1" customFormat="1" ht="15" customHeight="1">
      <c r="A503" s="3">
        <v>500</v>
      </c>
      <c r="B503" s="9" t="str">
        <f>"李永强"</f>
        <v>李永强</v>
      </c>
      <c r="C503" s="9" t="str">
        <f t="shared" si="50"/>
        <v>1623020220820</v>
      </c>
      <c r="D503" s="9" t="s">
        <v>59</v>
      </c>
      <c r="E503" s="9" t="str">
        <f>"16230044525"</f>
        <v>16230044525</v>
      </c>
      <c r="F503" s="7">
        <v>93.96</v>
      </c>
      <c r="G503" s="7">
        <v>90.56</v>
      </c>
      <c r="H503" s="7">
        <v>91.92</v>
      </c>
      <c r="I503" s="10"/>
      <c r="J503" s="7">
        <f t="shared" si="42"/>
        <v>91.92</v>
      </c>
      <c r="K503" s="11"/>
    </row>
    <row r="504" spans="1:11" s="1" customFormat="1" ht="15" customHeight="1">
      <c r="A504" s="3">
        <v>501</v>
      </c>
      <c r="B504" s="9" t="str">
        <f>"吴奇"</f>
        <v>吴奇</v>
      </c>
      <c r="C504" s="9" t="str">
        <f t="shared" si="50"/>
        <v>1623020220820</v>
      </c>
      <c r="D504" s="9" t="s">
        <v>59</v>
      </c>
      <c r="E504" s="9" t="str">
        <f>"16230044506"</f>
        <v>16230044506</v>
      </c>
      <c r="F504" s="7">
        <v>84.84</v>
      </c>
      <c r="G504" s="7">
        <v>94.25</v>
      </c>
      <c r="H504" s="7">
        <v>90.49</v>
      </c>
      <c r="I504" s="10"/>
      <c r="J504" s="7">
        <f t="shared" si="42"/>
        <v>90.49</v>
      </c>
      <c r="K504" s="11"/>
    </row>
    <row r="505" spans="1:11" s="1" customFormat="1" ht="15" customHeight="1">
      <c r="A505" s="3">
        <v>502</v>
      </c>
      <c r="B505" s="9" t="str">
        <f>"芦哲"</f>
        <v>芦哲</v>
      </c>
      <c r="C505" s="9" t="str">
        <f t="shared" si="50"/>
        <v>1623020220820</v>
      </c>
      <c r="D505" s="9" t="s">
        <v>59</v>
      </c>
      <c r="E505" s="9" t="str">
        <f>"16230044517"</f>
        <v>16230044517</v>
      </c>
      <c r="F505" s="7">
        <v>84.64</v>
      </c>
      <c r="G505" s="7">
        <v>90.83</v>
      </c>
      <c r="H505" s="7">
        <v>88.35</v>
      </c>
      <c r="I505" s="10"/>
      <c r="J505" s="7">
        <f t="shared" si="42"/>
        <v>88.35</v>
      </c>
      <c r="K505" s="11"/>
    </row>
    <row r="506" spans="1:11" s="1" customFormat="1" ht="15" customHeight="1">
      <c r="A506" s="3">
        <v>503</v>
      </c>
      <c r="B506" s="9" t="str">
        <f>"郑巧巧"</f>
        <v>郑巧巧</v>
      </c>
      <c r="C506" s="9" t="str">
        <f t="shared" si="50"/>
        <v>1623020220820</v>
      </c>
      <c r="D506" s="9" t="s">
        <v>59</v>
      </c>
      <c r="E506" s="9" t="str">
        <f>"16230044508"</f>
        <v>16230044508</v>
      </c>
      <c r="F506" s="7">
        <v>94.74</v>
      </c>
      <c r="G506" s="7">
        <v>81.83</v>
      </c>
      <c r="H506" s="7">
        <v>86.99</v>
      </c>
      <c r="I506" s="10"/>
      <c r="J506" s="7">
        <f t="shared" si="42"/>
        <v>86.99</v>
      </c>
      <c r="K506" s="11"/>
    </row>
    <row r="507" spans="1:11" s="1" customFormat="1" ht="15" customHeight="1">
      <c r="A507" s="3">
        <v>504</v>
      </c>
      <c r="B507" s="9" t="str">
        <f>"马咪咪"</f>
        <v>马咪咪</v>
      </c>
      <c r="C507" s="9" t="str">
        <f t="shared" si="50"/>
        <v>1623020220820</v>
      </c>
      <c r="D507" s="9" t="s">
        <v>59</v>
      </c>
      <c r="E507" s="9" t="str">
        <f>"16230044515"</f>
        <v>16230044515</v>
      </c>
      <c r="F507" s="7">
        <v>89.68</v>
      </c>
      <c r="G507" s="7">
        <v>83.49</v>
      </c>
      <c r="H507" s="7">
        <v>85.97</v>
      </c>
      <c r="I507" s="10"/>
      <c r="J507" s="7">
        <f t="shared" si="42"/>
        <v>85.97</v>
      </c>
      <c r="K507" s="11"/>
    </row>
    <row r="508" spans="1:11" s="1" customFormat="1" ht="15" customHeight="1">
      <c r="A508" s="3">
        <v>505</v>
      </c>
      <c r="B508" s="9" t="str">
        <f>"施晓创"</f>
        <v>施晓创</v>
      </c>
      <c r="C508" s="9" t="str">
        <f t="shared" si="50"/>
        <v>1623020220820</v>
      </c>
      <c r="D508" s="9" t="s">
        <v>59</v>
      </c>
      <c r="E508" s="9" t="str">
        <f>"16230044530"</f>
        <v>16230044530</v>
      </c>
      <c r="F508" s="7">
        <v>80.16</v>
      </c>
      <c r="G508" s="7">
        <v>88.13</v>
      </c>
      <c r="H508" s="7">
        <v>84.94</v>
      </c>
      <c r="I508" s="10"/>
      <c r="J508" s="7">
        <f t="shared" si="42"/>
        <v>84.94</v>
      </c>
      <c r="K508" s="11"/>
    </row>
    <row r="509" spans="1:11" s="1" customFormat="1" ht="15" customHeight="1">
      <c r="A509" s="3">
        <v>506</v>
      </c>
      <c r="B509" s="9" t="str">
        <f>"陆宇航"</f>
        <v>陆宇航</v>
      </c>
      <c r="C509" s="9" t="str">
        <f t="shared" si="50"/>
        <v>1623020220820</v>
      </c>
      <c r="D509" s="9" t="s">
        <v>59</v>
      </c>
      <c r="E509" s="9" t="str">
        <f>"16230044526"</f>
        <v>16230044526</v>
      </c>
      <c r="F509" s="7">
        <v>85.94</v>
      </c>
      <c r="G509" s="7">
        <v>83.22</v>
      </c>
      <c r="H509" s="7">
        <v>84.31</v>
      </c>
      <c r="I509" s="10"/>
      <c r="J509" s="7">
        <f t="shared" si="42"/>
        <v>84.31</v>
      </c>
      <c r="K509" s="11"/>
    </row>
    <row r="510" spans="1:11" s="1" customFormat="1" ht="15" customHeight="1">
      <c r="A510" s="3">
        <v>507</v>
      </c>
      <c r="B510" s="9" t="str">
        <f>"刘玉勇"</f>
        <v>刘玉勇</v>
      </c>
      <c r="C510" s="9" t="str">
        <f t="shared" si="50"/>
        <v>1623020220820</v>
      </c>
      <c r="D510" s="9" t="s">
        <v>59</v>
      </c>
      <c r="E510" s="9" t="str">
        <f>"16230044527"</f>
        <v>16230044527</v>
      </c>
      <c r="F510" s="7">
        <v>91.2</v>
      </c>
      <c r="G510" s="7">
        <v>79.26</v>
      </c>
      <c r="H510" s="7">
        <v>84.04</v>
      </c>
      <c r="I510" s="10"/>
      <c r="J510" s="7">
        <f t="shared" si="42"/>
        <v>84.04</v>
      </c>
      <c r="K510" s="11" t="s">
        <v>84</v>
      </c>
    </row>
    <row r="511" spans="1:11" s="1" customFormat="1" ht="15" customHeight="1">
      <c r="A511" s="3">
        <v>508</v>
      </c>
      <c r="B511" s="9" t="str">
        <f>"武云霄"</f>
        <v>武云霄</v>
      </c>
      <c r="C511" s="9" t="str">
        <f t="shared" si="50"/>
        <v>1623020220820</v>
      </c>
      <c r="D511" s="9" t="s">
        <v>59</v>
      </c>
      <c r="E511" s="9" t="str">
        <f>"16230044614"</f>
        <v>16230044614</v>
      </c>
      <c r="F511" s="7">
        <v>83.32</v>
      </c>
      <c r="G511" s="7">
        <v>82.45</v>
      </c>
      <c r="H511" s="7">
        <v>82.8</v>
      </c>
      <c r="I511" s="10"/>
      <c r="J511" s="7">
        <f t="shared" si="42"/>
        <v>82.8</v>
      </c>
      <c r="K511" s="11" t="s">
        <v>84</v>
      </c>
    </row>
    <row r="512" spans="1:11" s="1" customFormat="1" ht="15" customHeight="1">
      <c r="A512" s="3">
        <v>509</v>
      </c>
      <c r="B512" s="9" t="str">
        <f>"余鹏"</f>
        <v>余鹏</v>
      </c>
      <c r="C512" s="9" t="str">
        <f t="shared" si="50"/>
        <v>1623020220820</v>
      </c>
      <c r="D512" s="9" t="s">
        <v>59</v>
      </c>
      <c r="E512" s="9" t="str">
        <f>"16230044516"</f>
        <v>16230044516</v>
      </c>
      <c r="F512" s="7">
        <v>80.78</v>
      </c>
      <c r="G512" s="7">
        <v>82.35</v>
      </c>
      <c r="H512" s="7">
        <v>81.72</v>
      </c>
      <c r="I512" s="10"/>
      <c r="J512" s="7">
        <f t="shared" si="42"/>
        <v>81.72</v>
      </c>
      <c r="K512" s="11" t="s">
        <v>84</v>
      </c>
    </row>
    <row r="513" spans="1:11" s="1" customFormat="1" ht="15" customHeight="1">
      <c r="A513" s="3">
        <v>510</v>
      </c>
      <c r="B513" s="9" t="str">
        <f>"王永"</f>
        <v>王永</v>
      </c>
      <c r="C513" s="9" t="str">
        <f aca="true" t="shared" si="51" ref="C513:C521">"1623020220821"</f>
        <v>1623020220821</v>
      </c>
      <c r="D513" s="9" t="s">
        <v>60</v>
      </c>
      <c r="E513" s="9" t="str">
        <f>"16230044627"</f>
        <v>16230044627</v>
      </c>
      <c r="F513" s="7">
        <v>87.38</v>
      </c>
      <c r="G513" s="7">
        <v>92.57</v>
      </c>
      <c r="H513" s="7">
        <v>90.49</v>
      </c>
      <c r="I513" s="10"/>
      <c r="J513" s="7">
        <f t="shared" si="42"/>
        <v>90.49</v>
      </c>
      <c r="K513" s="11"/>
    </row>
    <row r="514" spans="1:11" s="1" customFormat="1" ht="15" customHeight="1">
      <c r="A514" s="3">
        <v>511</v>
      </c>
      <c r="B514" s="9" t="str">
        <f>"张亚东"</f>
        <v>张亚东</v>
      </c>
      <c r="C514" s="9" t="str">
        <f t="shared" si="51"/>
        <v>1623020220821</v>
      </c>
      <c r="D514" s="9" t="s">
        <v>60</v>
      </c>
      <c r="E514" s="9" t="str">
        <f>"16230044624"</f>
        <v>16230044624</v>
      </c>
      <c r="F514" s="7">
        <v>88.6</v>
      </c>
      <c r="G514" s="7">
        <v>90.17</v>
      </c>
      <c r="H514" s="7">
        <v>89.54</v>
      </c>
      <c r="I514" s="10"/>
      <c r="J514" s="7">
        <f t="shared" si="42"/>
        <v>89.54</v>
      </c>
      <c r="K514" s="11"/>
    </row>
    <row r="515" spans="1:11" s="1" customFormat="1" ht="15" customHeight="1">
      <c r="A515" s="3">
        <v>512</v>
      </c>
      <c r="B515" s="9" t="str">
        <f>"王笑天"</f>
        <v>王笑天</v>
      </c>
      <c r="C515" s="9" t="str">
        <f t="shared" si="51"/>
        <v>1623020220821</v>
      </c>
      <c r="D515" s="9" t="s">
        <v>60</v>
      </c>
      <c r="E515" s="9" t="str">
        <f>"16230044622"</f>
        <v>16230044622</v>
      </c>
      <c r="F515" s="7">
        <v>89.82</v>
      </c>
      <c r="G515" s="7">
        <v>88.92</v>
      </c>
      <c r="H515" s="7">
        <v>89.28</v>
      </c>
      <c r="I515" s="10"/>
      <c r="J515" s="7">
        <f t="shared" si="42"/>
        <v>89.28</v>
      </c>
      <c r="K515" s="11"/>
    </row>
    <row r="516" spans="1:11" s="1" customFormat="1" ht="15" customHeight="1">
      <c r="A516" s="3">
        <v>513</v>
      </c>
      <c r="B516" s="9" t="str">
        <f>"张玉杰"</f>
        <v>张玉杰</v>
      </c>
      <c r="C516" s="9" t="str">
        <f t="shared" si="51"/>
        <v>1623020220821</v>
      </c>
      <c r="D516" s="9" t="s">
        <v>60</v>
      </c>
      <c r="E516" s="9" t="str">
        <f>"16230044702"</f>
        <v>16230044702</v>
      </c>
      <c r="F516" s="7">
        <v>83.42</v>
      </c>
      <c r="G516" s="7">
        <v>90.74</v>
      </c>
      <c r="H516" s="7">
        <v>87.81</v>
      </c>
      <c r="I516" s="10"/>
      <c r="J516" s="7">
        <f aca="true" t="shared" si="52" ref="J516:J579">H516+I516</f>
        <v>87.81</v>
      </c>
      <c r="K516" s="11"/>
    </row>
    <row r="517" spans="1:11" s="1" customFormat="1" ht="15" customHeight="1">
      <c r="A517" s="3">
        <v>514</v>
      </c>
      <c r="B517" s="9" t="str">
        <f>"王倩"</f>
        <v>王倩</v>
      </c>
      <c r="C517" s="9" t="str">
        <f t="shared" si="51"/>
        <v>1623020220821</v>
      </c>
      <c r="D517" s="9" t="s">
        <v>60</v>
      </c>
      <c r="E517" s="9" t="str">
        <f>"16230044708"</f>
        <v>16230044708</v>
      </c>
      <c r="F517" s="7">
        <v>89.2</v>
      </c>
      <c r="G517" s="7">
        <v>84.68</v>
      </c>
      <c r="H517" s="7">
        <v>86.49</v>
      </c>
      <c r="I517" s="10"/>
      <c r="J517" s="7">
        <f t="shared" si="52"/>
        <v>86.49</v>
      </c>
      <c r="K517" s="11"/>
    </row>
    <row r="518" spans="1:11" s="1" customFormat="1" ht="15" customHeight="1">
      <c r="A518" s="3">
        <v>515</v>
      </c>
      <c r="B518" s="9" t="str">
        <f>"宫伟龙"</f>
        <v>宫伟龙</v>
      </c>
      <c r="C518" s="9" t="str">
        <f t="shared" si="51"/>
        <v>1623020220821</v>
      </c>
      <c r="D518" s="9" t="s">
        <v>60</v>
      </c>
      <c r="E518" s="9" t="str">
        <f>"16230044710"</f>
        <v>16230044710</v>
      </c>
      <c r="F518" s="7">
        <v>83.12</v>
      </c>
      <c r="G518" s="7">
        <v>85.01</v>
      </c>
      <c r="H518" s="7">
        <v>84.25</v>
      </c>
      <c r="I518" s="10"/>
      <c r="J518" s="7">
        <f t="shared" si="52"/>
        <v>84.25</v>
      </c>
      <c r="K518" s="11"/>
    </row>
    <row r="519" spans="1:11" s="1" customFormat="1" ht="15" customHeight="1">
      <c r="A519" s="3">
        <v>516</v>
      </c>
      <c r="B519" s="9" t="str">
        <f>"范祥帅"</f>
        <v>范祥帅</v>
      </c>
      <c r="C519" s="9" t="str">
        <f t="shared" si="51"/>
        <v>1623020220821</v>
      </c>
      <c r="D519" s="9" t="s">
        <v>60</v>
      </c>
      <c r="E519" s="9" t="str">
        <f>"16230044705"</f>
        <v>16230044705</v>
      </c>
      <c r="F519" s="7">
        <v>87.66</v>
      </c>
      <c r="G519" s="7">
        <v>81.95</v>
      </c>
      <c r="H519" s="7">
        <v>84.23</v>
      </c>
      <c r="I519" s="10"/>
      <c r="J519" s="7">
        <f t="shared" si="52"/>
        <v>84.23</v>
      </c>
      <c r="K519" s="11"/>
    </row>
    <row r="520" spans="1:11" s="1" customFormat="1" ht="15" customHeight="1">
      <c r="A520" s="3">
        <v>517</v>
      </c>
      <c r="B520" s="9" t="str">
        <f>"高金"</f>
        <v>高金</v>
      </c>
      <c r="C520" s="9" t="str">
        <f t="shared" si="51"/>
        <v>1623020220821</v>
      </c>
      <c r="D520" s="9" t="s">
        <v>60</v>
      </c>
      <c r="E520" s="9" t="str">
        <f>"16230044707"</f>
        <v>16230044707</v>
      </c>
      <c r="F520" s="7">
        <v>81</v>
      </c>
      <c r="G520" s="7">
        <v>86.12</v>
      </c>
      <c r="H520" s="7">
        <v>84.07</v>
      </c>
      <c r="I520" s="10"/>
      <c r="J520" s="7">
        <f t="shared" si="52"/>
        <v>84.07</v>
      </c>
      <c r="K520" s="11"/>
    </row>
    <row r="521" spans="1:11" s="1" customFormat="1" ht="15" customHeight="1">
      <c r="A521" s="3">
        <v>518</v>
      </c>
      <c r="B521" s="9" t="str">
        <f>"樊迪"</f>
        <v>樊迪</v>
      </c>
      <c r="C521" s="9" t="str">
        <f t="shared" si="51"/>
        <v>1623020220821</v>
      </c>
      <c r="D521" s="9" t="s">
        <v>60</v>
      </c>
      <c r="E521" s="9" t="str">
        <f>"16230044617"</f>
        <v>16230044617</v>
      </c>
      <c r="F521" s="7">
        <v>82.64</v>
      </c>
      <c r="G521" s="7">
        <v>74.26</v>
      </c>
      <c r="H521" s="7">
        <v>77.61</v>
      </c>
      <c r="I521" s="10"/>
      <c r="J521" s="7">
        <f t="shared" si="52"/>
        <v>77.61</v>
      </c>
      <c r="K521" s="11" t="s">
        <v>84</v>
      </c>
    </row>
    <row r="522" spans="1:11" s="1" customFormat="1" ht="15" customHeight="1">
      <c r="A522" s="3">
        <v>519</v>
      </c>
      <c r="B522" s="9" t="str">
        <f>"随芳"</f>
        <v>随芳</v>
      </c>
      <c r="C522" s="9" t="str">
        <f aca="true" t="shared" si="53" ref="C522:C527">"1623020220924"</f>
        <v>1623020220924</v>
      </c>
      <c r="D522" s="9" t="s">
        <v>61</v>
      </c>
      <c r="E522" s="9" t="str">
        <f>"16230045619"</f>
        <v>16230045619</v>
      </c>
      <c r="F522" s="7">
        <v>90.7</v>
      </c>
      <c r="G522" s="7">
        <v>94.8</v>
      </c>
      <c r="H522" s="7">
        <v>93.16</v>
      </c>
      <c r="I522" s="10"/>
      <c r="J522" s="7">
        <f t="shared" si="52"/>
        <v>93.16</v>
      </c>
      <c r="K522" s="11"/>
    </row>
    <row r="523" spans="1:11" s="1" customFormat="1" ht="15" customHeight="1">
      <c r="A523" s="3">
        <v>520</v>
      </c>
      <c r="B523" s="9" t="str">
        <f>"丁蕾蕾"</f>
        <v>丁蕾蕾</v>
      </c>
      <c r="C523" s="9" t="str">
        <f t="shared" si="53"/>
        <v>1623020220924</v>
      </c>
      <c r="D523" s="9" t="s">
        <v>61</v>
      </c>
      <c r="E523" s="9" t="str">
        <f>"16230045621"</f>
        <v>16230045621</v>
      </c>
      <c r="F523" s="7">
        <v>86.86</v>
      </c>
      <c r="G523" s="7">
        <v>90.32</v>
      </c>
      <c r="H523" s="7">
        <v>88.94</v>
      </c>
      <c r="I523" s="10"/>
      <c r="J523" s="7">
        <f t="shared" si="52"/>
        <v>88.94</v>
      </c>
      <c r="K523" s="11"/>
    </row>
    <row r="524" spans="1:11" s="1" customFormat="1" ht="15" customHeight="1">
      <c r="A524" s="3">
        <v>521</v>
      </c>
      <c r="B524" s="9" t="str">
        <f>"冯玉臣"</f>
        <v>冯玉臣</v>
      </c>
      <c r="C524" s="9" t="str">
        <f t="shared" si="53"/>
        <v>1623020220924</v>
      </c>
      <c r="D524" s="9" t="s">
        <v>61</v>
      </c>
      <c r="E524" s="9" t="str">
        <f>"16230045624"</f>
        <v>16230045624</v>
      </c>
      <c r="F524" s="7">
        <v>82.06</v>
      </c>
      <c r="G524" s="7">
        <v>85.56</v>
      </c>
      <c r="H524" s="7">
        <v>84.16</v>
      </c>
      <c r="I524" s="10"/>
      <c r="J524" s="7">
        <f t="shared" si="52"/>
        <v>84.16</v>
      </c>
      <c r="K524" s="11"/>
    </row>
    <row r="525" spans="1:11" s="1" customFormat="1" ht="15" customHeight="1">
      <c r="A525" s="3">
        <v>522</v>
      </c>
      <c r="B525" s="9" t="str">
        <f>"魏蕊"</f>
        <v>魏蕊</v>
      </c>
      <c r="C525" s="9" t="str">
        <f t="shared" si="53"/>
        <v>1623020220924</v>
      </c>
      <c r="D525" s="9" t="s">
        <v>61</v>
      </c>
      <c r="E525" s="9" t="str">
        <f>"16230045617"</f>
        <v>16230045617</v>
      </c>
      <c r="F525" s="7">
        <v>91.4</v>
      </c>
      <c r="G525" s="7">
        <v>76.68</v>
      </c>
      <c r="H525" s="7">
        <v>82.57</v>
      </c>
      <c r="I525" s="10"/>
      <c r="J525" s="7">
        <f t="shared" si="52"/>
        <v>82.57</v>
      </c>
      <c r="K525" s="11"/>
    </row>
    <row r="526" spans="1:11" s="1" customFormat="1" ht="15" customHeight="1">
      <c r="A526" s="3">
        <v>523</v>
      </c>
      <c r="B526" s="9" t="str">
        <f>"郗长信"</f>
        <v>郗长信</v>
      </c>
      <c r="C526" s="9" t="str">
        <f t="shared" si="53"/>
        <v>1623020220924</v>
      </c>
      <c r="D526" s="9" t="s">
        <v>61</v>
      </c>
      <c r="E526" s="9" t="str">
        <f>"16230045620"</f>
        <v>16230045620</v>
      </c>
      <c r="F526" s="7">
        <v>75.9</v>
      </c>
      <c r="G526" s="7">
        <v>81.52</v>
      </c>
      <c r="H526" s="7">
        <v>79.27</v>
      </c>
      <c r="I526" s="10"/>
      <c r="J526" s="7">
        <f t="shared" si="52"/>
        <v>79.27</v>
      </c>
      <c r="K526" s="11"/>
    </row>
    <row r="527" spans="1:11" s="1" customFormat="1" ht="15" customHeight="1">
      <c r="A527" s="3">
        <v>524</v>
      </c>
      <c r="B527" s="9" t="str">
        <f>"王兰"</f>
        <v>王兰</v>
      </c>
      <c r="C527" s="9" t="str">
        <f t="shared" si="53"/>
        <v>1623020220924</v>
      </c>
      <c r="D527" s="9" t="s">
        <v>61</v>
      </c>
      <c r="E527" s="9" t="str">
        <f>"16230045616"</f>
        <v>16230045616</v>
      </c>
      <c r="F527" s="7">
        <v>86.08</v>
      </c>
      <c r="G527" s="7">
        <v>73.48</v>
      </c>
      <c r="H527" s="7">
        <v>78.52</v>
      </c>
      <c r="I527" s="10"/>
      <c r="J527" s="7">
        <f t="shared" si="52"/>
        <v>78.52</v>
      </c>
      <c r="K527" s="11"/>
    </row>
    <row r="528" spans="1:11" s="1" customFormat="1" ht="15" customHeight="1">
      <c r="A528" s="3">
        <v>525</v>
      </c>
      <c r="B528" s="9" t="str">
        <f>"张梦园"</f>
        <v>张梦园</v>
      </c>
      <c r="C528" s="9" t="str">
        <f aca="true" t="shared" si="54" ref="C528:C551">"1623030310101"</f>
        <v>1623030310101</v>
      </c>
      <c r="D528" s="9" t="s">
        <v>62</v>
      </c>
      <c r="E528" s="9" t="str">
        <f>"16230010808"</f>
        <v>16230010808</v>
      </c>
      <c r="F528" s="7">
        <v>84.2</v>
      </c>
      <c r="G528" s="7">
        <v>94</v>
      </c>
      <c r="H528" s="7">
        <v>90.08</v>
      </c>
      <c r="I528" s="10"/>
      <c r="J528" s="7">
        <f t="shared" si="52"/>
        <v>90.08</v>
      </c>
      <c r="K528" s="11"/>
    </row>
    <row r="529" spans="1:11" s="1" customFormat="1" ht="15" customHeight="1">
      <c r="A529" s="3">
        <v>526</v>
      </c>
      <c r="B529" s="9" t="str">
        <f>"夏宝强"</f>
        <v>夏宝强</v>
      </c>
      <c r="C529" s="9" t="str">
        <f t="shared" si="54"/>
        <v>1623030310101</v>
      </c>
      <c r="D529" s="9" t="s">
        <v>62</v>
      </c>
      <c r="E529" s="9" t="str">
        <f>"16230011115"</f>
        <v>16230011115</v>
      </c>
      <c r="F529" s="7">
        <v>81.68</v>
      </c>
      <c r="G529" s="7">
        <v>94.9</v>
      </c>
      <c r="H529" s="7">
        <v>89.61</v>
      </c>
      <c r="I529" s="10"/>
      <c r="J529" s="7">
        <f t="shared" si="52"/>
        <v>89.61</v>
      </c>
      <c r="K529" s="11"/>
    </row>
    <row r="530" spans="1:11" s="1" customFormat="1" ht="15" customHeight="1">
      <c r="A530" s="3">
        <v>527</v>
      </c>
      <c r="B530" s="9" t="str">
        <f>"刘娜娜"</f>
        <v>刘娜娜</v>
      </c>
      <c r="C530" s="9" t="str">
        <f t="shared" si="54"/>
        <v>1623030310101</v>
      </c>
      <c r="D530" s="9" t="s">
        <v>62</v>
      </c>
      <c r="E530" s="9" t="str">
        <f>"16230010922"</f>
        <v>16230010922</v>
      </c>
      <c r="F530" s="7">
        <v>86.48</v>
      </c>
      <c r="G530" s="7">
        <v>90</v>
      </c>
      <c r="H530" s="7">
        <v>88.59</v>
      </c>
      <c r="I530" s="10"/>
      <c r="J530" s="7">
        <f t="shared" si="52"/>
        <v>88.59</v>
      </c>
      <c r="K530" s="11"/>
    </row>
    <row r="531" spans="1:11" s="1" customFormat="1" ht="15" customHeight="1">
      <c r="A531" s="3">
        <v>528</v>
      </c>
      <c r="B531" s="9" t="str">
        <f>"刚佳慧"</f>
        <v>刚佳慧</v>
      </c>
      <c r="C531" s="9" t="str">
        <f t="shared" si="54"/>
        <v>1623030310101</v>
      </c>
      <c r="D531" s="9" t="s">
        <v>62</v>
      </c>
      <c r="E531" s="9" t="str">
        <f>"16230010927"</f>
        <v>16230010927</v>
      </c>
      <c r="F531" s="7">
        <v>88.18</v>
      </c>
      <c r="G531" s="7">
        <v>88.8</v>
      </c>
      <c r="H531" s="7">
        <v>88.55</v>
      </c>
      <c r="I531" s="10"/>
      <c r="J531" s="7">
        <f t="shared" si="52"/>
        <v>88.55</v>
      </c>
      <c r="K531" s="11"/>
    </row>
    <row r="532" spans="1:11" s="1" customFormat="1" ht="15" customHeight="1">
      <c r="A532" s="3">
        <v>529</v>
      </c>
      <c r="B532" s="9" t="str">
        <f>"贾娜"</f>
        <v>贾娜</v>
      </c>
      <c r="C532" s="9" t="str">
        <f t="shared" si="54"/>
        <v>1623030310101</v>
      </c>
      <c r="D532" s="9" t="s">
        <v>62</v>
      </c>
      <c r="E532" s="9" t="str">
        <f>"16230010319"</f>
        <v>16230010319</v>
      </c>
      <c r="F532" s="7">
        <v>86.2</v>
      </c>
      <c r="G532" s="7">
        <v>89.3</v>
      </c>
      <c r="H532" s="7">
        <v>88.06</v>
      </c>
      <c r="I532" s="10"/>
      <c r="J532" s="7">
        <f t="shared" si="52"/>
        <v>88.06</v>
      </c>
      <c r="K532" s="11"/>
    </row>
    <row r="533" spans="1:11" s="1" customFormat="1" ht="15" customHeight="1">
      <c r="A533" s="3">
        <v>530</v>
      </c>
      <c r="B533" s="9" t="str">
        <f>"王宁宁"</f>
        <v>王宁宁</v>
      </c>
      <c r="C533" s="9" t="str">
        <f t="shared" si="54"/>
        <v>1623030310101</v>
      </c>
      <c r="D533" s="9" t="s">
        <v>62</v>
      </c>
      <c r="E533" s="9" t="str">
        <f>"16230011004"</f>
        <v>16230011004</v>
      </c>
      <c r="F533" s="7">
        <v>84.54</v>
      </c>
      <c r="G533" s="7">
        <v>89.6</v>
      </c>
      <c r="H533" s="7">
        <v>87.58</v>
      </c>
      <c r="I533" s="10"/>
      <c r="J533" s="7">
        <f t="shared" si="52"/>
        <v>87.58</v>
      </c>
      <c r="K533" s="11"/>
    </row>
    <row r="534" spans="1:11" s="1" customFormat="1" ht="15" customHeight="1">
      <c r="A534" s="3">
        <v>531</v>
      </c>
      <c r="B534" s="9" t="str">
        <f>"程远远"</f>
        <v>程远远</v>
      </c>
      <c r="C534" s="9" t="str">
        <f t="shared" si="54"/>
        <v>1623030310101</v>
      </c>
      <c r="D534" s="9" t="s">
        <v>62</v>
      </c>
      <c r="E534" s="9" t="str">
        <f>"16230010916"</f>
        <v>16230010916</v>
      </c>
      <c r="F534" s="7">
        <v>77.8</v>
      </c>
      <c r="G534" s="7">
        <v>92.1</v>
      </c>
      <c r="H534" s="7">
        <v>86.38</v>
      </c>
      <c r="I534" s="10"/>
      <c r="J534" s="7">
        <f t="shared" si="52"/>
        <v>86.38</v>
      </c>
      <c r="K534" s="11"/>
    </row>
    <row r="535" spans="1:11" s="1" customFormat="1" ht="15" customHeight="1">
      <c r="A535" s="3">
        <v>532</v>
      </c>
      <c r="B535" s="9" t="str">
        <f>"陆艳丽"</f>
        <v>陆艳丽</v>
      </c>
      <c r="C535" s="9" t="str">
        <f t="shared" si="54"/>
        <v>1623030310101</v>
      </c>
      <c r="D535" s="9" t="s">
        <v>62</v>
      </c>
      <c r="E535" s="9" t="str">
        <f>"16230010930"</f>
        <v>16230010930</v>
      </c>
      <c r="F535" s="7">
        <v>82.9</v>
      </c>
      <c r="G535" s="7">
        <v>88.2</v>
      </c>
      <c r="H535" s="7">
        <v>86.08</v>
      </c>
      <c r="I535" s="10"/>
      <c r="J535" s="7">
        <f t="shared" si="52"/>
        <v>86.08</v>
      </c>
      <c r="K535" s="11"/>
    </row>
    <row r="536" spans="1:11" s="1" customFormat="1" ht="15" customHeight="1">
      <c r="A536" s="3">
        <v>533</v>
      </c>
      <c r="B536" s="9" t="str">
        <f>"王梦平"</f>
        <v>王梦平</v>
      </c>
      <c r="C536" s="9" t="str">
        <f t="shared" si="54"/>
        <v>1623030310101</v>
      </c>
      <c r="D536" s="9" t="s">
        <v>62</v>
      </c>
      <c r="E536" s="9" t="str">
        <f>"16230011121"</f>
        <v>16230011121</v>
      </c>
      <c r="F536" s="7">
        <v>76.12</v>
      </c>
      <c r="G536" s="7">
        <v>92.5</v>
      </c>
      <c r="H536" s="7">
        <v>85.95</v>
      </c>
      <c r="I536" s="10"/>
      <c r="J536" s="7">
        <f t="shared" si="52"/>
        <v>85.95</v>
      </c>
      <c r="K536" s="11"/>
    </row>
    <row r="537" spans="1:11" s="1" customFormat="1" ht="15" customHeight="1">
      <c r="A537" s="3">
        <v>534</v>
      </c>
      <c r="B537" s="9" t="str">
        <f>"周艳丽"</f>
        <v>周艳丽</v>
      </c>
      <c r="C537" s="9" t="str">
        <f t="shared" si="54"/>
        <v>1623030310101</v>
      </c>
      <c r="D537" s="9" t="s">
        <v>62</v>
      </c>
      <c r="E537" s="9" t="str">
        <f>"16230010814"</f>
        <v>16230010814</v>
      </c>
      <c r="F537" s="7">
        <v>84.74</v>
      </c>
      <c r="G537" s="7">
        <v>86.7</v>
      </c>
      <c r="H537" s="7">
        <v>85.92</v>
      </c>
      <c r="I537" s="10"/>
      <c r="J537" s="7">
        <f t="shared" si="52"/>
        <v>85.92</v>
      </c>
      <c r="K537" s="11"/>
    </row>
    <row r="538" spans="1:11" s="1" customFormat="1" ht="15" customHeight="1">
      <c r="A538" s="3">
        <v>535</v>
      </c>
      <c r="B538" s="9" t="str">
        <f>"杨青"</f>
        <v>杨青</v>
      </c>
      <c r="C538" s="9" t="str">
        <f t="shared" si="54"/>
        <v>1623030310101</v>
      </c>
      <c r="D538" s="9" t="s">
        <v>62</v>
      </c>
      <c r="E538" s="9" t="str">
        <f>"16230010227"</f>
        <v>16230010227</v>
      </c>
      <c r="F538" s="7">
        <v>83.7</v>
      </c>
      <c r="G538" s="7">
        <v>87.1</v>
      </c>
      <c r="H538" s="7">
        <v>85.74</v>
      </c>
      <c r="I538" s="10"/>
      <c r="J538" s="7">
        <f t="shared" si="52"/>
        <v>85.74</v>
      </c>
      <c r="K538" s="11"/>
    </row>
    <row r="539" spans="1:11" s="1" customFormat="1" ht="15" customHeight="1">
      <c r="A539" s="3">
        <v>536</v>
      </c>
      <c r="B539" s="9" t="str">
        <f>"程月华"</f>
        <v>程月华</v>
      </c>
      <c r="C539" s="9" t="str">
        <f t="shared" si="54"/>
        <v>1623030310101</v>
      </c>
      <c r="D539" s="9" t="s">
        <v>62</v>
      </c>
      <c r="E539" s="9" t="str">
        <f>"16230010929"</f>
        <v>16230010929</v>
      </c>
      <c r="F539" s="7">
        <v>81.52</v>
      </c>
      <c r="G539" s="7">
        <v>88.3</v>
      </c>
      <c r="H539" s="7">
        <v>85.59</v>
      </c>
      <c r="I539" s="10"/>
      <c r="J539" s="7">
        <f t="shared" si="52"/>
        <v>85.59</v>
      </c>
      <c r="K539" s="11"/>
    </row>
    <row r="540" spans="1:11" s="1" customFormat="1" ht="15" customHeight="1">
      <c r="A540" s="3">
        <v>537</v>
      </c>
      <c r="B540" s="9" t="str">
        <f>"侯丽平"</f>
        <v>侯丽平</v>
      </c>
      <c r="C540" s="9" t="str">
        <f t="shared" si="54"/>
        <v>1623030310101</v>
      </c>
      <c r="D540" s="9" t="s">
        <v>62</v>
      </c>
      <c r="E540" s="9" t="str">
        <f>"16230010303"</f>
        <v>16230010303</v>
      </c>
      <c r="F540" s="7">
        <v>82.86</v>
      </c>
      <c r="G540" s="7">
        <v>87.1</v>
      </c>
      <c r="H540" s="7">
        <v>85.4</v>
      </c>
      <c r="I540" s="10"/>
      <c r="J540" s="7">
        <f t="shared" si="52"/>
        <v>85.4</v>
      </c>
      <c r="K540" s="11"/>
    </row>
    <row r="541" spans="1:11" s="1" customFormat="1" ht="15" customHeight="1">
      <c r="A541" s="3">
        <v>538</v>
      </c>
      <c r="B541" s="9" t="str">
        <f>"崔婷婷"</f>
        <v>崔婷婷</v>
      </c>
      <c r="C541" s="9" t="str">
        <f t="shared" si="54"/>
        <v>1623030310101</v>
      </c>
      <c r="D541" s="9" t="s">
        <v>62</v>
      </c>
      <c r="E541" s="9" t="str">
        <f>"16230010315"</f>
        <v>16230010315</v>
      </c>
      <c r="F541" s="7">
        <v>80.04</v>
      </c>
      <c r="G541" s="7">
        <v>88.6</v>
      </c>
      <c r="H541" s="7">
        <v>85.18</v>
      </c>
      <c r="I541" s="10"/>
      <c r="J541" s="7">
        <f t="shared" si="52"/>
        <v>85.18</v>
      </c>
      <c r="K541" s="11"/>
    </row>
    <row r="542" spans="1:11" s="1" customFormat="1" ht="15" customHeight="1">
      <c r="A542" s="3">
        <v>539</v>
      </c>
      <c r="B542" s="9" t="str">
        <f>"张苗苗"</f>
        <v>张苗苗</v>
      </c>
      <c r="C542" s="9" t="str">
        <f t="shared" si="54"/>
        <v>1623030310101</v>
      </c>
      <c r="D542" s="9" t="s">
        <v>62</v>
      </c>
      <c r="E542" s="9" t="str">
        <f>"16230011016"</f>
        <v>16230011016</v>
      </c>
      <c r="F542" s="7">
        <v>78.96</v>
      </c>
      <c r="G542" s="7">
        <v>89.2</v>
      </c>
      <c r="H542" s="7">
        <v>85.1</v>
      </c>
      <c r="I542" s="10"/>
      <c r="J542" s="7">
        <f t="shared" si="52"/>
        <v>85.1</v>
      </c>
      <c r="K542" s="11"/>
    </row>
    <row r="543" spans="1:11" s="1" customFormat="1" ht="15" customHeight="1">
      <c r="A543" s="3">
        <v>540</v>
      </c>
      <c r="B543" s="9" t="str">
        <f>"周迪"</f>
        <v>周迪</v>
      </c>
      <c r="C543" s="9" t="str">
        <f t="shared" si="54"/>
        <v>1623030310101</v>
      </c>
      <c r="D543" s="9" t="s">
        <v>62</v>
      </c>
      <c r="E543" s="9" t="str">
        <f>"16230010228"</f>
        <v>16230010228</v>
      </c>
      <c r="F543" s="7">
        <v>81.48</v>
      </c>
      <c r="G543" s="7">
        <v>87.5</v>
      </c>
      <c r="H543" s="7">
        <v>85.09</v>
      </c>
      <c r="I543" s="10"/>
      <c r="J543" s="7">
        <f t="shared" si="52"/>
        <v>85.09</v>
      </c>
      <c r="K543" s="11"/>
    </row>
    <row r="544" spans="1:11" s="1" customFormat="1" ht="15" customHeight="1">
      <c r="A544" s="3">
        <v>541</v>
      </c>
      <c r="B544" s="9" t="str">
        <f>"刘倩倩"</f>
        <v>刘倩倩</v>
      </c>
      <c r="C544" s="9" t="str">
        <f t="shared" si="54"/>
        <v>1623030310101</v>
      </c>
      <c r="D544" s="9" t="s">
        <v>62</v>
      </c>
      <c r="E544" s="9" t="str">
        <f>"16230010627"</f>
        <v>16230010627</v>
      </c>
      <c r="F544" s="7">
        <v>78.96</v>
      </c>
      <c r="G544" s="7">
        <v>89.1</v>
      </c>
      <c r="H544" s="7">
        <v>85.04</v>
      </c>
      <c r="I544" s="10"/>
      <c r="J544" s="7">
        <f t="shared" si="52"/>
        <v>85.04</v>
      </c>
      <c r="K544" s="11"/>
    </row>
    <row r="545" spans="1:11" s="1" customFormat="1" ht="15" customHeight="1">
      <c r="A545" s="3">
        <v>542</v>
      </c>
      <c r="B545" s="9" t="str">
        <f>"李梦婷"</f>
        <v>李梦婷</v>
      </c>
      <c r="C545" s="9" t="str">
        <f t="shared" si="54"/>
        <v>1623030310101</v>
      </c>
      <c r="D545" s="9" t="s">
        <v>62</v>
      </c>
      <c r="E545" s="9" t="str">
        <f>"16230011205"</f>
        <v>16230011205</v>
      </c>
      <c r="F545" s="7">
        <v>79.04</v>
      </c>
      <c r="G545" s="7">
        <v>89</v>
      </c>
      <c r="H545" s="7">
        <v>85.02</v>
      </c>
      <c r="I545" s="10"/>
      <c r="J545" s="7">
        <f t="shared" si="52"/>
        <v>85.02</v>
      </c>
      <c r="K545" s="11"/>
    </row>
    <row r="546" spans="1:11" s="1" customFormat="1" ht="15" customHeight="1">
      <c r="A546" s="3">
        <v>543</v>
      </c>
      <c r="B546" s="9" t="str">
        <f>"朱诗雨"</f>
        <v>朱诗雨</v>
      </c>
      <c r="C546" s="9" t="str">
        <f t="shared" si="54"/>
        <v>1623030310101</v>
      </c>
      <c r="D546" s="9" t="s">
        <v>62</v>
      </c>
      <c r="E546" s="9" t="str">
        <f>"16230010401"</f>
        <v>16230010401</v>
      </c>
      <c r="F546" s="7">
        <v>86.4</v>
      </c>
      <c r="G546" s="7">
        <v>83.9</v>
      </c>
      <c r="H546" s="7">
        <v>84.9</v>
      </c>
      <c r="I546" s="10"/>
      <c r="J546" s="7">
        <f t="shared" si="52"/>
        <v>84.9</v>
      </c>
      <c r="K546" s="11"/>
    </row>
    <row r="547" spans="1:11" s="1" customFormat="1" ht="15" customHeight="1">
      <c r="A547" s="3">
        <v>544</v>
      </c>
      <c r="B547" s="9" t="str">
        <f>"关海犁"</f>
        <v>关海犁</v>
      </c>
      <c r="C547" s="9" t="str">
        <f t="shared" si="54"/>
        <v>1623030310101</v>
      </c>
      <c r="D547" s="9" t="s">
        <v>62</v>
      </c>
      <c r="E547" s="9" t="str">
        <f>"16230010321"</f>
        <v>16230010321</v>
      </c>
      <c r="F547" s="7">
        <v>82.78</v>
      </c>
      <c r="G547" s="7">
        <v>86.3</v>
      </c>
      <c r="H547" s="7">
        <v>84.89</v>
      </c>
      <c r="I547" s="10"/>
      <c r="J547" s="7">
        <f t="shared" si="52"/>
        <v>84.89</v>
      </c>
      <c r="K547" s="11"/>
    </row>
    <row r="548" spans="1:11" s="1" customFormat="1" ht="15" customHeight="1">
      <c r="A548" s="3">
        <v>545</v>
      </c>
      <c r="B548" s="9" t="str">
        <f>"王香影"</f>
        <v>王香影</v>
      </c>
      <c r="C548" s="9" t="str">
        <f t="shared" si="54"/>
        <v>1623030310101</v>
      </c>
      <c r="D548" s="9" t="s">
        <v>62</v>
      </c>
      <c r="E548" s="9" t="str">
        <f>"16230010811"</f>
        <v>16230010811</v>
      </c>
      <c r="F548" s="7">
        <v>81.02</v>
      </c>
      <c r="G548" s="7">
        <v>87.4</v>
      </c>
      <c r="H548" s="7">
        <v>84.85</v>
      </c>
      <c r="I548" s="10"/>
      <c r="J548" s="7">
        <f t="shared" si="52"/>
        <v>84.85</v>
      </c>
      <c r="K548" s="11"/>
    </row>
    <row r="549" spans="1:11" s="1" customFormat="1" ht="15" customHeight="1">
      <c r="A549" s="3">
        <v>546</v>
      </c>
      <c r="B549" s="9" t="str">
        <f>"孙雪梅"</f>
        <v>孙雪梅</v>
      </c>
      <c r="C549" s="9" t="str">
        <f t="shared" si="54"/>
        <v>1623030310101</v>
      </c>
      <c r="D549" s="9" t="s">
        <v>62</v>
      </c>
      <c r="E549" s="9" t="str">
        <f>"16230010222"</f>
        <v>16230010222</v>
      </c>
      <c r="F549" s="7">
        <v>78.36</v>
      </c>
      <c r="G549" s="7">
        <v>89.1</v>
      </c>
      <c r="H549" s="7">
        <v>84.8</v>
      </c>
      <c r="I549" s="10"/>
      <c r="J549" s="7">
        <f t="shared" si="52"/>
        <v>84.8</v>
      </c>
      <c r="K549" s="11"/>
    </row>
    <row r="550" spans="1:11" s="1" customFormat="1" ht="15" customHeight="1">
      <c r="A550" s="3">
        <v>547</v>
      </c>
      <c r="B550" s="9" t="str">
        <f>"付道玉"</f>
        <v>付道玉</v>
      </c>
      <c r="C550" s="9" t="str">
        <f t="shared" si="54"/>
        <v>1623030310101</v>
      </c>
      <c r="D550" s="9" t="s">
        <v>62</v>
      </c>
      <c r="E550" s="9" t="str">
        <f>"16230011213"</f>
        <v>16230011213</v>
      </c>
      <c r="F550" s="7">
        <v>67.52</v>
      </c>
      <c r="G550" s="7">
        <v>96.2</v>
      </c>
      <c r="H550" s="7">
        <v>84.73</v>
      </c>
      <c r="I550" s="10"/>
      <c r="J550" s="7">
        <f t="shared" si="52"/>
        <v>84.73</v>
      </c>
      <c r="K550" s="11"/>
    </row>
    <row r="551" spans="1:11" s="1" customFormat="1" ht="15" customHeight="1">
      <c r="A551" s="3">
        <v>548</v>
      </c>
      <c r="B551" s="9" t="str">
        <f>"焦艳梅"</f>
        <v>焦艳梅</v>
      </c>
      <c r="C551" s="9" t="str">
        <f t="shared" si="54"/>
        <v>1623030310101</v>
      </c>
      <c r="D551" s="9" t="s">
        <v>62</v>
      </c>
      <c r="E551" s="9" t="str">
        <f>"16230010817"</f>
        <v>16230010817</v>
      </c>
      <c r="F551" s="7">
        <v>85.18</v>
      </c>
      <c r="G551" s="7">
        <v>84.4</v>
      </c>
      <c r="H551" s="7">
        <v>84.71</v>
      </c>
      <c r="I551" s="10"/>
      <c r="J551" s="7">
        <f t="shared" si="52"/>
        <v>84.71</v>
      </c>
      <c r="K551" s="11" t="s">
        <v>84</v>
      </c>
    </row>
    <row r="552" spans="1:11" s="1" customFormat="1" ht="15" customHeight="1">
      <c r="A552" s="3">
        <v>549</v>
      </c>
      <c r="B552" s="9" t="str">
        <f>"陆夏"</f>
        <v>陆夏</v>
      </c>
      <c r="C552" s="9" t="str">
        <f aca="true" t="shared" si="55" ref="C552:C575">"1623030310102"</f>
        <v>1623030310102</v>
      </c>
      <c r="D552" s="9" t="s">
        <v>63</v>
      </c>
      <c r="E552" s="9" t="str">
        <f>"16230012327"</f>
        <v>16230012327</v>
      </c>
      <c r="F552" s="7">
        <v>98.02</v>
      </c>
      <c r="G552" s="7">
        <v>91</v>
      </c>
      <c r="H552" s="7">
        <v>93.81</v>
      </c>
      <c r="I552" s="10"/>
      <c r="J552" s="7">
        <f t="shared" si="52"/>
        <v>93.81</v>
      </c>
      <c r="K552" s="11"/>
    </row>
    <row r="553" spans="1:11" s="1" customFormat="1" ht="15" customHeight="1">
      <c r="A553" s="3">
        <v>550</v>
      </c>
      <c r="B553" s="9" t="str">
        <f>"高燕"</f>
        <v>高燕</v>
      </c>
      <c r="C553" s="9" t="str">
        <f t="shared" si="55"/>
        <v>1623030310102</v>
      </c>
      <c r="D553" s="9" t="s">
        <v>63</v>
      </c>
      <c r="E553" s="9" t="str">
        <f>"16230013325"</f>
        <v>16230013325</v>
      </c>
      <c r="F553" s="7">
        <v>88.2</v>
      </c>
      <c r="G553" s="7">
        <v>93.2</v>
      </c>
      <c r="H553" s="7">
        <v>91.2</v>
      </c>
      <c r="I553" s="10"/>
      <c r="J553" s="7">
        <f t="shared" si="52"/>
        <v>91.2</v>
      </c>
      <c r="K553" s="11"/>
    </row>
    <row r="554" spans="1:11" s="1" customFormat="1" ht="15" customHeight="1">
      <c r="A554" s="3">
        <v>551</v>
      </c>
      <c r="B554" s="9" t="str">
        <f>"董孟男"</f>
        <v>董孟男</v>
      </c>
      <c r="C554" s="9" t="str">
        <f t="shared" si="55"/>
        <v>1623030310102</v>
      </c>
      <c r="D554" s="9" t="s">
        <v>63</v>
      </c>
      <c r="E554" s="9" t="str">
        <f>"16230011216"</f>
        <v>16230011216</v>
      </c>
      <c r="F554" s="7">
        <v>86.42</v>
      </c>
      <c r="G554" s="7">
        <v>94</v>
      </c>
      <c r="H554" s="7">
        <v>90.97</v>
      </c>
      <c r="I554" s="10"/>
      <c r="J554" s="7">
        <f t="shared" si="52"/>
        <v>90.97</v>
      </c>
      <c r="K554" s="11"/>
    </row>
    <row r="555" spans="1:11" s="1" customFormat="1" ht="15" customHeight="1">
      <c r="A555" s="3">
        <v>552</v>
      </c>
      <c r="B555" s="9" t="str">
        <f>"郭燕敏"</f>
        <v>郭燕敏</v>
      </c>
      <c r="C555" s="9" t="str">
        <f t="shared" si="55"/>
        <v>1623030310102</v>
      </c>
      <c r="D555" s="9" t="s">
        <v>63</v>
      </c>
      <c r="E555" s="9" t="str">
        <f>"16230012125"</f>
        <v>16230012125</v>
      </c>
      <c r="F555" s="7">
        <v>90.14</v>
      </c>
      <c r="G555" s="7">
        <v>91.3</v>
      </c>
      <c r="H555" s="7">
        <v>90.84</v>
      </c>
      <c r="I555" s="10"/>
      <c r="J555" s="7">
        <f t="shared" si="52"/>
        <v>90.84</v>
      </c>
      <c r="K555" s="11"/>
    </row>
    <row r="556" spans="1:11" s="1" customFormat="1" ht="15" customHeight="1">
      <c r="A556" s="3">
        <v>553</v>
      </c>
      <c r="B556" s="9" t="str">
        <f>"高小夏"</f>
        <v>高小夏</v>
      </c>
      <c r="C556" s="9" t="str">
        <f t="shared" si="55"/>
        <v>1623030310102</v>
      </c>
      <c r="D556" s="9" t="s">
        <v>63</v>
      </c>
      <c r="E556" s="9" t="str">
        <f>"16230011429"</f>
        <v>16230011429</v>
      </c>
      <c r="F556" s="7">
        <v>88.16</v>
      </c>
      <c r="G556" s="7">
        <v>92.3</v>
      </c>
      <c r="H556" s="7">
        <v>90.64</v>
      </c>
      <c r="I556" s="10"/>
      <c r="J556" s="7">
        <f t="shared" si="52"/>
        <v>90.64</v>
      </c>
      <c r="K556" s="11"/>
    </row>
    <row r="557" spans="1:11" s="1" customFormat="1" ht="15" customHeight="1">
      <c r="A557" s="3">
        <v>554</v>
      </c>
      <c r="B557" s="9" t="str">
        <f>"狄晓娜"</f>
        <v>狄晓娜</v>
      </c>
      <c r="C557" s="9" t="str">
        <f t="shared" si="55"/>
        <v>1623030310102</v>
      </c>
      <c r="D557" s="9" t="s">
        <v>63</v>
      </c>
      <c r="E557" s="9" t="str">
        <f>"16230012217"</f>
        <v>16230012217</v>
      </c>
      <c r="F557" s="7">
        <v>88.94</v>
      </c>
      <c r="G557" s="7">
        <v>91.6</v>
      </c>
      <c r="H557" s="7">
        <v>90.54</v>
      </c>
      <c r="I557" s="10"/>
      <c r="J557" s="7">
        <f t="shared" si="52"/>
        <v>90.54</v>
      </c>
      <c r="K557" s="11"/>
    </row>
    <row r="558" spans="1:11" s="1" customFormat="1" ht="15" customHeight="1">
      <c r="A558" s="3">
        <v>555</v>
      </c>
      <c r="B558" s="9" t="str">
        <f>"李蒙蒙"</f>
        <v>李蒙蒙</v>
      </c>
      <c r="C558" s="9" t="str">
        <f t="shared" si="55"/>
        <v>1623030310102</v>
      </c>
      <c r="D558" s="9" t="s">
        <v>63</v>
      </c>
      <c r="E558" s="9" t="str">
        <f>"16230012307"</f>
        <v>16230012307</v>
      </c>
      <c r="F558" s="7">
        <v>92.14</v>
      </c>
      <c r="G558" s="7">
        <v>89.3</v>
      </c>
      <c r="H558" s="7">
        <v>90.44</v>
      </c>
      <c r="I558" s="10"/>
      <c r="J558" s="7">
        <f t="shared" si="52"/>
        <v>90.44</v>
      </c>
      <c r="K558" s="11"/>
    </row>
    <row r="559" spans="1:11" s="1" customFormat="1" ht="15" customHeight="1">
      <c r="A559" s="3">
        <v>556</v>
      </c>
      <c r="B559" s="9" t="str">
        <f>"曹青"</f>
        <v>曹青</v>
      </c>
      <c r="C559" s="9" t="str">
        <f t="shared" si="55"/>
        <v>1623030310102</v>
      </c>
      <c r="D559" s="9" t="s">
        <v>63</v>
      </c>
      <c r="E559" s="9" t="str">
        <f>"16230012026"</f>
        <v>16230012026</v>
      </c>
      <c r="F559" s="7">
        <v>89.3</v>
      </c>
      <c r="G559" s="7">
        <v>90.3</v>
      </c>
      <c r="H559" s="7">
        <v>89.9</v>
      </c>
      <c r="I559" s="10"/>
      <c r="J559" s="7">
        <f t="shared" si="52"/>
        <v>89.9</v>
      </c>
      <c r="K559" s="11"/>
    </row>
    <row r="560" spans="1:11" s="1" customFormat="1" ht="15" customHeight="1">
      <c r="A560" s="3">
        <v>557</v>
      </c>
      <c r="B560" s="9" t="str">
        <f>"张秀芝"</f>
        <v>张秀芝</v>
      </c>
      <c r="C560" s="9" t="str">
        <f t="shared" si="55"/>
        <v>1623030310102</v>
      </c>
      <c r="D560" s="9" t="s">
        <v>63</v>
      </c>
      <c r="E560" s="9" t="str">
        <f>"16230012915"</f>
        <v>16230012915</v>
      </c>
      <c r="F560" s="7">
        <v>90.32</v>
      </c>
      <c r="G560" s="7">
        <v>89.5</v>
      </c>
      <c r="H560" s="7">
        <v>89.83</v>
      </c>
      <c r="I560" s="10"/>
      <c r="J560" s="7">
        <f t="shared" si="52"/>
        <v>89.83</v>
      </c>
      <c r="K560" s="11"/>
    </row>
    <row r="561" spans="1:11" s="1" customFormat="1" ht="15" customHeight="1">
      <c r="A561" s="3">
        <v>558</v>
      </c>
      <c r="B561" s="9" t="str">
        <f>"范培培"</f>
        <v>范培培</v>
      </c>
      <c r="C561" s="9" t="str">
        <f t="shared" si="55"/>
        <v>1623030310102</v>
      </c>
      <c r="D561" s="9" t="s">
        <v>63</v>
      </c>
      <c r="E561" s="9" t="str">
        <f>"16230013518"</f>
        <v>16230013518</v>
      </c>
      <c r="F561" s="7">
        <v>92.46</v>
      </c>
      <c r="G561" s="7">
        <v>87.9</v>
      </c>
      <c r="H561" s="7">
        <v>89.72</v>
      </c>
      <c r="I561" s="10"/>
      <c r="J561" s="7">
        <f t="shared" si="52"/>
        <v>89.72</v>
      </c>
      <c r="K561" s="11"/>
    </row>
    <row r="562" spans="1:11" s="1" customFormat="1" ht="15" customHeight="1">
      <c r="A562" s="3">
        <v>559</v>
      </c>
      <c r="B562" s="9" t="str">
        <f>"崔梦茹"</f>
        <v>崔梦茹</v>
      </c>
      <c r="C562" s="9" t="str">
        <f t="shared" si="55"/>
        <v>1623030310102</v>
      </c>
      <c r="D562" s="9" t="s">
        <v>63</v>
      </c>
      <c r="E562" s="9" t="str">
        <f>"16230011302"</f>
        <v>16230011302</v>
      </c>
      <c r="F562" s="7">
        <v>89.6</v>
      </c>
      <c r="G562" s="7">
        <v>89.7</v>
      </c>
      <c r="H562" s="7">
        <v>89.66</v>
      </c>
      <c r="I562" s="10"/>
      <c r="J562" s="7">
        <f t="shared" si="52"/>
        <v>89.66</v>
      </c>
      <c r="K562" s="11"/>
    </row>
    <row r="563" spans="1:11" s="1" customFormat="1" ht="15" customHeight="1">
      <c r="A563" s="3">
        <v>560</v>
      </c>
      <c r="B563" s="9" t="str">
        <f>"金晓玲"</f>
        <v>金晓玲</v>
      </c>
      <c r="C563" s="9" t="str">
        <f t="shared" si="55"/>
        <v>1623030310102</v>
      </c>
      <c r="D563" s="9" t="s">
        <v>63</v>
      </c>
      <c r="E563" s="9" t="str">
        <f>"16230011515"</f>
        <v>16230011515</v>
      </c>
      <c r="F563" s="7">
        <v>78.94</v>
      </c>
      <c r="G563" s="7">
        <v>96.6</v>
      </c>
      <c r="H563" s="7">
        <v>89.54</v>
      </c>
      <c r="I563" s="10"/>
      <c r="J563" s="7">
        <f t="shared" si="52"/>
        <v>89.54</v>
      </c>
      <c r="K563" s="11"/>
    </row>
    <row r="564" spans="1:11" s="1" customFormat="1" ht="15" customHeight="1">
      <c r="A564" s="3">
        <v>561</v>
      </c>
      <c r="B564" s="9" t="str">
        <f>"张杰"</f>
        <v>张杰</v>
      </c>
      <c r="C564" s="9" t="str">
        <f t="shared" si="55"/>
        <v>1623030310102</v>
      </c>
      <c r="D564" s="9" t="s">
        <v>63</v>
      </c>
      <c r="E564" s="9" t="str">
        <f>"16230012402"</f>
        <v>16230012402</v>
      </c>
      <c r="F564" s="7">
        <v>87.7</v>
      </c>
      <c r="G564" s="7">
        <v>90.5</v>
      </c>
      <c r="H564" s="7">
        <v>89.38</v>
      </c>
      <c r="I564" s="10"/>
      <c r="J564" s="7">
        <f t="shared" si="52"/>
        <v>89.38</v>
      </c>
      <c r="K564" s="11"/>
    </row>
    <row r="565" spans="1:11" s="1" customFormat="1" ht="15" customHeight="1">
      <c r="A565" s="3">
        <v>562</v>
      </c>
      <c r="B565" s="9" t="str">
        <f>"刘蒙蒙"</f>
        <v>刘蒙蒙</v>
      </c>
      <c r="C565" s="9" t="str">
        <f t="shared" si="55"/>
        <v>1623030310102</v>
      </c>
      <c r="D565" s="9" t="s">
        <v>63</v>
      </c>
      <c r="E565" s="9" t="str">
        <f>"16230012626"</f>
        <v>16230012626</v>
      </c>
      <c r="F565" s="7">
        <v>86.3</v>
      </c>
      <c r="G565" s="7">
        <v>91.4</v>
      </c>
      <c r="H565" s="7">
        <v>89.36</v>
      </c>
      <c r="I565" s="10"/>
      <c r="J565" s="7">
        <f t="shared" si="52"/>
        <v>89.36</v>
      </c>
      <c r="K565" s="11"/>
    </row>
    <row r="566" spans="1:11" s="1" customFormat="1" ht="15" customHeight="1">
      <c r="A566" s="3">
        <v>563</v>
      </c>
      <c r="B566" s="9" t="str">
        <f>"许艳 "</f>
        <v>许艳 </v>
      </c>
      <c r="C566" s="9" t="str">
        <f t="shared" si="55"/>
        <v>1623030310102</v>
      </c>
      <c r="D566" s="9" t="s">
        <v>63</v>
      </c>
      <c r="E566" s="9" t="str">
        <f>"16230013308"</f>
        <v>16230013308</v>
      </c>
      <c r="F566" s="7">
        <v>91.08</v>
      </c>
      <c r="G566" s="7">
        <v>88.2</v>
      </c>
      <c r="H566" s="7">
        <v>89.35</v>
      </c>
      <c r="I566" s="10"/>
      <c r="J566" s="7">
        <f t="shared" si="52"/>
        <v>89.35</v>
      </c>
      <c r="K566" s="11"/>
    </row>
    <row r="567" spans="1:11" s="1" customFormat="1" ht="15" customHeight="1">
      <c r="A567" s="3">
        <v>564</v>
      </c>
      <c r="B567" s="9" t="str">
        <f>"尹创"</f>
        <v>尹创</v>
      </c>
      <c r="C567" s="9" t="str">
        <f t="shared" si="55"/>
        <v>1623030310102</v>
      </c>
      <c r="D567" s="9" t="s">
        <v>63</v>
      </c>
      <c r="E567" s="9" t="str">
        <f>"16230013528"</f>
        <v>16230013528</v>
      </c>
      <c r="F567" s="7">
        <v>91.28</v>
      </c>
      <c r="G567" s="7">
        <v>88</v>
      </c>
      <c r="H567" s="7">
        <v>89.31</v>
      </c>
      <c r="I567" s="10"/>
      <c r="J567" s="7">
        <f t="shared" si="52"/>
        <v>89.31</v>
      </c>
      <c r="K567" s="11"/>
    </row>
    <row r="568" spans="1:11" s="1" customFormat="1" ht="15" customHeight="1">
      <c r="A568" s="3">
        <v>565</v>
      </c>
      <c r="B568" s="9" t="str">
        <f>"崔千千"</f>
        <v>崔千千</v>
      </c>
      <c r="C568" s="9" t="str">
        <f t="shared" si="55"/>
        <v>1623030310102</v>
      </c>
      <c r="D568" s="9" t="s">
        <v>63</v>
      </c>
      <c r="E568" s="9" t="str">
        <f>"16230013108"</f>
        <v>16230013108</v>
      </c>
      <c r="F568" s="7">
        <v>85.14</v>
      </c>
      <c r="G568" s="7">
        <v>91.7</v>
      </c>
      <c r="H568" s="7">
        <v>89.08</v>
      </c>
      <c r="I568" s="10"/>
      <c r="J568" s="7">
        <f t="shared" si="52"/>
        <v>89.08</v>
      </c>
      <c r="K568" s="11"/>
    </row>
    <row r="569" spans="1:11" s="1" customFormat="1" ht="15" customHeight="1">
      <c r="A569" s="3">
        <v>566</v>
      </c>
      <c r="B569" s="9" t="str">
        <f>"徐用亚"</f>
        <v>徐用亚</v>
      </c>
      <c r="C569" s="9" t="str">
        <f t="shared" si="55"/>
        <v>1623030310102</v>
      </c>
      <c r="D569" s="9" t="s">
        <v>63</v>
      </c>
      <c r="E569" s="9" t="str">
        <f>"16230012628"</f>
        <v>16230012628</v>
      </c>
      <c r="F569" s="7">
        <v>92.24</v>
      </c>
      <c r="G569" s="7">
        <v>86.9</v>
      </c>
      <c r="H569" s="7">
        <v>89.04</v>
      </c>
      <c r="I569" s="10"/>
      <c r="J569" s="7">
        <f t="shared" si="52"/>
        <v>89.04</v>
      </c>
      <c r="K569" s="11"/>
    </row>
    <row r="570" spans="1:11" s="1" customFormat="1" ht="15" customHeight="1">
      <c r="A570" s="3">
        <v>567</v>
      </c>
      <c r="B570" s="9" t="str">
        <f>"李小梅"</f>
        <v>李小梅</v>
      </c>
      <c r="C570" s="9" t="str">
        <f t="shared" si="55"/>
        <v>1623030310102</v>
      </c>
      <c r="D570" s="9" t="s">
        <v>63</v>
      </c>
      <c r="E570" s="9" t="str">
        <f>"16230013509"</f>
        <v>16230013509</v>
      </c>
      <c r="F570" s="7">
        <v>85.04</v>
      </c>
      <c r="G570" s="7">
        <v>91.1</v>
      </c>
      <c r="H570" s="7">
        <v>88.68</v>
      </c>
      <c r="I570" s="10"/>
      <c r="J570" s="7">
        <f t="shared" si="52"/>
        <v>88.68</v>
      </c>
      <c r="K570" s="11"/>
    </row>
    <row r="571" spans="1:11" s="1" customFormat="1" ht="15" customHeight="1">
      <c r="A571" s="3">
        <v>568</v>
      </c>
      <c r="B571" s="9" t="str">
        <f>"邹静文"</f>
        <v>邹静文</v>
      </c>
      <c r="C571" s="9" t="str">
        <f t="shared" si="55"/>
        <v>1623030310102</v>
      </c>
      <c r="D571" s="9" t="s">
        <v>63</v>
      </c>
      <c r="E571" s="9" t="str">
        <f>"16230011409"</f>
        <v>16230011409</v>
      </c>
      <c r="F571" s="7">
        <v>86.18</v>
      </c>
      <c r="G571" s="7">
        <v>90.1</v>
      </c>
      <c r="H571" s="7">
        <v>88.53</v>
      </c>
      <c r="I571" s="10"/>
      <c r="J571" s="7">
        <f t="shared" si="52"/>
        <v>88.53</v>
      </c>
      <c r="K571" s="11"/>
    </row>
    <row r="572" spans="1:11" s="1" customFormat="1" ht="15" customHeight="1">
      <c r="A572" s="3">
        <v>569</v>
      </c>
      <c r="B572" s="9" t="str">
        <f>"李玉莹"</f>
        <v>李玉莹</v>
      </c>
      <c r="C572" s="9" t="str">
        <f t="shared" si="55"/>
        <v>1623030310102</v>
      </c>
      <c r="D572" s="9" t="s">
        <v>63</v>
      </c>
      <c r="E572" s="9" t="str">
        <f>"16230012317"</f>
        <v>16230012317</v>
      </c>
      <c r="F572" s="7">
        <v>86.14</v>
      </c>
      <c r="G572" s="7">
        <v>90.1</v>
      </c>
      <c r="H572" s="7">
        <v>88.52</v>
      </c>
      <c r="I572" s="10"/>
      <c r="J572" s="7">
        <f t="shared" si="52"/>
        <v>88.52</v>
      </c>
      <c r="K572" s="11"/>
    </row>
    <row r="573" spans="1:11" s="1" customFormat="1" ht="15" customHeight="1">
      <c r="A573" s="3">
        <v>570</v>
      </c>
      <c r="B573" s="9" t="str">
        <f>"伯雪"</f>
        <v>伯雪</v>
      </c>
      <c r="C573" s="9" t="str">
        <f t="shared" si="55"/>
        <v>1623030310102</v>
      </c>
      <c r="D573" s="9" t="s">
        <v>63</v>
      </c>
      <c r="E573" s="9" t="str">
        <f>"16230013025"</f>
        <v>16230013025</v>
      </c>
      <c r="F573" s="7">
        <v>92.7</v>
      </c>
      <c r="G573" s="7">
        <v>85.4</v>
      </c>
      <c r="H573" s="7">
        <v>88.32</v>
      </c>
      <c r="I573" s="10"/>
      <c r="J573" s="7">
        <f t="shared" si="52"/>
        <v>88.32</v>
      </c>
      <c r="K573" s="11"/>
    </row>
    <row r="574" spans="1:11" s="1" customFormat="1" ht="15" customHeight="1">
      <c r="A574" s="3">
        <v>571</v>
      </c>
      <c r="B574" s="9" t="str">
        <f>"刘晓芳"</f>
        <v>刘晓芳</v>
      </c>
      <c r="C574" s="9" t="str">
        <f t="shared" si="55"/>
        <v>1623030310102</v>
      </c>
      <c r="D574" s="9" t="s">
        <v>63</v>
      </c>
      <c r="E574" s="9" t="str">
        <f>"16230013105"</f>
        <v>16230013105</v>
      </c>
      <c r="F574" s="7">
        <v>86.72</v>
      </c>
      <c r="G574" s="7">
        <v>89.3</v>
      </c>
      <c r="H574" s="7">
        <v>88.27</v>
      </c>
      <c r="I574" s="10"/>
      <c r="J574" s="7">
        <f t="shared" si="52"/>
        <v>88.27</v>
      </c>
      <c r="K574" s="11"/>
    </row>
    <row r="575" spans="1:11" s="1" customFormat="1" ht="15" customHeight="1">
      <c r="A575" s="3">
        <v>572</v>
      </c>
      <c r="B575" s="9" t="str">
        <f>"陈荣"</f>
        <v>陈荣</v>
      </c>
      <c r="C575" s="9" t="str">
        <f t="shared" si="55"/>
        <v>1623030310102</v>
      </c>
      <c r="D575" s="9" t="s">
        <v>63</v>
      </c>
      <c r="E575" s="9" t="str">
        <f>"16230012310"</f>
        <v>16230012310</v>
      </c>
      <c r="F575" s="7">
        <v>90.5</v>
      </c>
      <c r="G575" s="7">
        <v>86.7</v>
      </c>
      <c r="H575" s="7">
        <v>88.22</v>
      </c>
      <c r="I575" s="10"/>
      <c r="J575" s="7">
        <f t="shared" si="52"/>
        <v>88.22</v>
      </c>
      <c r="K575" s="11"/>
    </row>
    <row r="576" spans="1:11" s="1" customFormat="1" ht="15" customHeight="1">
      <c r="A576" s="3">
        <v>573</v>
      </c>
      <c r="B576" s="9" t="str">
        <f>"梁玉康"</f>
        <v>梁玉康</v>
      </c>
      <c r="C576" s="9" t="str">
        <f aca="true" t="shared" si="56" ref="C576:C597">"1623030310103"</f>
        <v>1623030310103</v>
      </c>
      <c r="D576" s="9" t="s">
        <v>64</v>
      </c>
      <c r="E576" s="9" t="str">
        <f>"16230014401"</f>
        <v>16230014401</v>
      </c>
      <c r="F576" s="7">
        <v>87.32</v>
      </c>
      <c r="G576" s="7">
        <v>91.3</v>
      </c>
      <c r="H576" s="7">
        <v>89.71</v>
      </c>
      <c r="I576" s="10"/>
      <c r="J576" s="7">
        <f t="shared" si="52"/>
        <v>89.71</v>
      </c>
      <c r="K576" s="11"/>
    </row>
    <row r="577" spans="1:11" s="1" customFormat="1" ht="15" customHeight="1">
      <c r="A577" s="3">
        <v>574</v>
      </c>
      <c r="B577" s="9" t="str">
        <f>"龙梦婷"</f>
        <v>龙梦婷</v>
      </c>
      <c r="C577" s="9" t="str">
        <f t="shared" si="56"/>
        <v>1623030310103</v>
      </c>
      <c r="D577" s="9" t="s">
        <v>64</v>
      </c>
      <c r="E577" s="9" t="str">
        <f>"16230013925"</f>
        <v>16230013925</v>
      </c>
      <c r="F577" s="7">
        <v>87.08</v>
      </c>
      <c r="G577" s="7">
        <v>90.6</v>
      </c>
      <c r="H577" s="7">
        <v>89.19</v>
      </c>
      <c r="I577" s="10"/>
      <c r="J577" s="7">
        <f t="shared" si="52"/>
        <v>89.19</v>
      </c>
      <c r="K577" s="11"/>
    </row>
    <row r="578" spans="1:11" s="1" customFormat="1" ht="15" customHeight="1">
      <c r="A578" s="3">
        <v>575</v>
      </c>
      <c r="B578" s="9" t="str">
        <f>"刘洋"</f>
        <v>刘洋</v>
      </c>
      <c r="C578" s="9" t="str">
        <f t="shared" si="56"/>
        <v>1623030310103</v>
      </c>
      <c r="D578" s="9" t="s">
        <v>64</v>
      </c>
      <c r="E578" s="9" t="str">
        <f>"16230014201"</f>
        <v>16230014201</v>
      </c>
      <c r="F578" s="7">
        <v>93.8</v>
      </c>
      <c r="G578" s="7">
        <v>84.4</v>
      </c>
      <c r="H578" s="7">
        <v>88.16</v>
      </c>
      <c r="I578" s="10"/>
      <c r="J578" s="7">
        <f t="shared" si="52"/>
        <v>88.16</v>
      </c>
      <c r="K578" s="11"/>
    </row>
    <row r="579" spans="1:11" s="1" customFormat="1" ht="15" customHeight="1">
      <c r="A579" s="3">
        <v>576</v>
      </c>
      <c r="B579" s="9" t="str">
        <f>"吴心茹"</f>
        <v>吴心茹</v>
      </c>
      <c r="C579" s="9" t="str">
        <f t="shared" si="56"/>
        <v>1623030310103</v>
      </c>
      <c r="D579" s="9" t="s">
        <v>64</v>
      </c>
      <c r="E579" s="9" t="str">
        <f>"16230014711"</f>
        <v>16230014711</v>
      </c>
      <c r="F579" s="7">
        <v>84.74</v>
      </c>
      <c r="G579" s="7">
        <v>90.2</v>
      </c>
      <c r="H579" s="7">
        <v>88.02</v>
      </c>
      <c r="I579" s="10"/>
      <c r="J579" s="7">
        <f t="shared" si="52"/>
        <v>88.02</v>
      </c>
      <c r="K579" s="11"/>
    </row>
    <row r="580" spans="1:11" s="1" customFormat="1" ht="15" customHeight="1">
      <c r="A580" s="3">
        <v>577</v>
      </c>
      <c r="B580" s="9" t="str">
        <f>"郝玉玉"</f>
        <v>郝玉玉</v>
      </c>
      <c r="C580" s="9" t="str">
        <f t="shared" si="56"/>
        <v>1623030310103</v>
      </c>
      <c r="D580" s="9" t="s">
        <v>64</v>
      </c>
      <c r="E580" s="9" t="str">
        <f>"16230014902"</f>
        <v>16230014902</v>
      </c>
      <c r="F580" s="7">
        <v>82.84</v>
      </c>
      <c r="G580" s="7">
        <v>90.7</v>
      </c>
      <c r="H580" s="7">
        <v>87.56</v>
      </c>
      <c r="I580" s="10"/>
      <c r="J580" s="7">
        <f aca="true" t="shared" si="57" ref="J580:J643">H580+I580</f>
        <v>87.56</v>
      </c>
      <c r="K580" s="11"/>
    </row>
    <row r="581" spans="1:11" s="1" customFormat="1" ht="15" customHeight="1">
      <c r="A581" s="3">
        <v>578</v>
      </c>
      <c r="B581" s="9" t="str">
        <f>"刘心怡"</f>
        <v>刘心怡</v>
      </c>
      <c r="C581" s="9" t="str">
        <f t="shared" si="56"/>
        <v>1623030310103</v>
      </c>
      <c r="D581" s="9" t="s">
        <v>64</v>
      </c>
      <c r="E581" s="9" t="str">
        <f>"16230014605"</f>
        <v>16230014605</v>
      </c>
      <c r="F581" s="7">
        <v>87.42</v>
      </c>
      <c r="G581" s="7">
        <v>87.2</v>
      </c>
      <c r="H581" s="7">
        <v>87.29</v>
      </c>
      <c r="I581" s="10"/>
      <c r="J581" s="7">
        <f t="shared" si="57"/>
        <v>87.29</v>
      </c>
      <c r="K581" s="11"/>
    </row>
    <row r="582" spans="1:11" s="1" customFormat="1" ht="15" customHeight="1">
      <c r="A582" s="3">
        <v>579</v>
      </c>
      <c r="B582" s="9" t="str">
        <f>"朱冰倩"</f>
        <v>朱冰倩</v>
      </c>
      <c r="C582" s="9" t="str">
        <f t="shared" si="56"/>
        <v>1623030310103</v>
      </c>
      <c r="D582" s="9" t="s">
        <v>64</v>
      </c>
      <c r="E582" s="9" t="str">
        <f>"16230014402"</f>
        <v>16230014402</v>
      </c>
      <c r="F582" s="7">
        <v>84.32</v>
      </c>
      <c r="G582" s="7">
        <v>89.1</v>
      </c>
      <c r="H582" s="7">
        <v>87.19</v>
      </c>
      <c r="I582" s="10"/>
      <c r="J582" s="7">
        <f t="shared" si="57"/>
        <v>87.19</v>
      </c>
      <c r="K582" s="11"/>
    </row>
    <row r="583" spans="1:11" s="1" customFormat="1" ht="15" customHeight="1">
      <c r="A583" s="3">
        <v>580</v>
      </c>
      <c r="B583" s="9" t="str">
        <f>"王平平"</f>
        <v>王平平</v>
      </c>
      <c r="C583" s="9" t="str">
        <f t="shared" si="56"/>
        <v>1623030310103</v>
      </c>
      <c r="D583" s="9" t="s">
        <v>64</v>
      </c>
      <c r="E583" s="9" t="str">
        <f>"16230014813"</f>
        <v>16230014813</v>
      </c>
      <c r="F583" s="7">
        <v>83.8</v>
      </c>
      <c r="G583" s="7">
        <v>88.3</v>
      </c>
      <c r="H583" s="7">
        <v>86.5</v>
      </c>
      <c r="I583" s="10"/>
      <c r="J583" s="7">
        <f t="shared" si="57"/>
        <v>86.5</v>
      </c>
      <c r="K583" s="11"/>
    </row>
    <row r="584" spans="1:11" s="1" customFormat="1" ht="15" customHeight="1">
      <c r="A584" s="3">
        <v>581</v>
      </c>
      <c r="B584" s="9" t="str">
        <f>"邵乐云"</f>
        <v>邵乐云</v>
      </c>
      <c r="C584" s="9" t="str">
        <f t="shared" si="56"/>
        <v>1623030310103</v>
      </c>
      <c r="D584" s="9" t="s">
        <v>64</v>
      </c>
      <c r="E584" s="9" t="str">
        <f>"16230013902"</f>
        <v>16230013902</v>
      </c>
      <c r="F584" s="7">
        <v>85.24</v>
      </c>
      <c r="G584" s="7">
        <v>87.2</v>
      </c>
      <c r="H584" s="7">
        <v>86.42</v>
      </c>
      <c r="I584" s="10"/>
      <c r="J584" s="7">
        <f t="shared" si="57"/>
        <v>86.42</v>
      </c>
      <c r="K584" s="11"/>
    </row>
    <row r="585" spans="1:11" s="1" customFormat="1" ht="15" customHeight="1">
      <c r="A585" s="3">
        <v>582</v>
      </c>
      <c r="B585" s="9" t="str">
        <f>"程梦晴"</f>
        <v>程梦晴</v>
      </c>
      <c r="C585" s="9" t="str">
        <f t="shared" si="56"/>
        <v>1623030310103</v>
      </c>
      <c r="D585" s="9" t="s">
        <v>64</v>
      </c>
      <c r="E585" s="9" t="str">
        <f>"16230014301"</f>
        <v>16230014301</v>
      </c>
      <c r="F585" s="7">
        <v>85.48</v>
      </c>
      <c r="G585" s="7">
        <v>86</v>
      </c>
      <c r="H585" s="7">
        <v>85.79</v>
      </c>
      <c r="I585" s="10"/>
      <c r="J585" s="7">
        <f t="shared" si="57"/>
        <v>85.79</v>
      </c>
      <c r="K585" s="11"/>
    </row>
    <row r="586" spans="1:11" s="1" customFormat="1" ht="15" customHeight="1">
      <c r="A586" s="3">
        <v>583</v>
      </c>
      <c r="B586" s="9" t="str">
        <f>"侯婷"</f>
        <v>侯婷</v>
      </c>
      <c r="C586" s="9" t="str">
        <f t="shared" si="56"/>
        <v>1623030310103</v>
      </c>
      <c r="D586" s="9" t="s">
        <v>64</v>
      </c>
      <c r="E586" s="9" t="str">
        <f>"16230013904"</f>
        <v>16230013904</v>
      </c>
      <c r="F586" s="7">
        <v>81.42</v>
      </c>
      <c r="G586" s="7">
        <v>88.6</v>
      </c>
      <c r="H586" s="7">
        <v>85.73</v>
      </c>
      <c r="I586" s="10"/>
      <c r="J586" s="7">
        <f t="shared" si="57"/>
        <v>85.73</v>
      </c>
      <c r="K586" s="11"/>
    </row>
    <row r="587" spans="1:11" s="1" customFormat="1" ht="15" customHeight="1">
      <c r="A587" s="3">
        <v>584</v>
      </c>
      <c r="B587" s="9" t="str">
        <f>"李栋心"</f>
        <v>李栋心</v>
      </c>
      <c r="C587" s="9" t="str">
        <f t="shared" si="56"/>
        <v>1623030310103</v>
      </c>
      <c r="D587" s="9" t="s">
        <v>64</v>
      </c>
      <c r="E587" s="9" t="str">
        <f>"16230014930"</f>
        <v>16230014930</v>
      </c>
      <c r="F587" s="7">
        <v>83.82</v>
      </c>
      <c r="G587" s="7">
        <v>87</v>
      </c>
      <c r="H587" s="7">
        <v>85.73</v>
      </c>
      <c r="I587" s="10"/>
      <c r="J587" s="7">
        <f t="shared" si="57"/>
        <v>85.73</v>
      </c>
      <c r="K587" s="11"/>
    </row>
    <row r="588" spans="1:11" s="1" customFormat="1" ht="15" customHeight="1">
      <c r="A588" s="3">
        <v>585</v>
      </c>
      <c r="B588" s="9" t="str">
        <f>"李玲玲"</f>
        <v>李玲玲</v>
      </c>
      <c r="C588" s="9" t="str">
        <f t="shared" si="56"/>
        <v>1623030310103</v>
      </c>
      <c r="D588" s="9" t="s">
        <v>64</v>
      </c>
      <c r="E588" s="9" t="str">
        <f>"16230014507"</f>
        <v>16230014507</v>
      </c>
      <c r="F588" s="7">
        <v>81.64</v>
      </c>
      <c r="G588" s="7">
        <v>88.3</v>
      </c>
      <c r="H588" s="7">
        <v>85.64</v>
      </c>
      <c r="I588" s="10"/>
      <c r="J588" s="7">
        <f t="shared" si="57"/>
        <v>85.64</v>
      </c>
      <c r="K588" s="11"/>
    </row>
    <row r="589" spans="1:11" s="1" customFormat="1" ht="15" customHeight="1">
      <c r="A589" s="3">
        <v>586</v>
      </c>
      <c r="B589" s="9" t="str">
        <f>"任静云"</f>
        <v>任静云</v>
      </c>
      <c r="C589" s="9" t="str">
        <f t="shared" si="56"/>
        <v>1623030310103</v>
      </c>
      <c r="D589" s="9" t="s">
        <v>64</v>
      </c>
      <c r="E589" s="9" t="str">
        <f>"16230014013"</f>
        <v>16230014013</v>
      </c>
      <c r="F589" s="7">
        <v>83.44</v>
      </c>
      <c r="G589" s="7">
        <v>86.9</v>
      </c>
      <c r="H589" s="7">
        <v>85.52</v>
      </c>
      <c r="I589" s="10"/>
      <c r="J589" s="7">
        <f t="shared" si="57"/>
        <v>85.52</v>
      </c>
      <c r="K589" s="11"/>
    </row>
    <row r="590" spans="1:11" s="1" customFormat="1" ht="15" customHeight="1">
      <c r="A590" s="3">
        <v>587</v>
      </c>
      <c r="B590" s="9" t="str">
        <f>"付正正"</f>
        <v>付正正</v>
      </c>
      <c r="C590" s="9" t="str">
        <f t="shared" si="56"/>
        <v>1623030310103</v>
      </c>
      <c r="D590" s="9" t="s">
        <v>64</v>
      </c>
      <c r="E590" s="9" t="str">
        <f>"16230014226"</f>
        <v>16230014226</v>
      </c>
      <c r="F590" s="7">
        <v>82.8</v>
      </c>
      <c r="G590" s="7">
        <v>87</v>
      </c>
      <c r="H590" s="7">
        <v>85.32</v>
      </c>
      <c r="I590" s="10"/>
      <c r="J590" s="7">
        <f t="shared" si="57"/>
        <v>85.32</v>
      </c>
      <c r="K590" s="11"/>
    </row>
    <row r="591" spans="1:11" s="1" customFormat="1" ht="15" customHeight="1">
      <c r="A591" s="3">
        <v>588</v>
      </c>
      <c r="B591" s="9" t="str">
        <f>"杨孟孟"</f>
        <v>杨孟孟</v>
      </c>
      <c r="C591" s="9" t="str">
        <f t="shared" si="56"/>
        <v>1623030310103</v>
      </c>
      <c r="D591" s="9" t="s">
        <v>64</v>
      </c>
      <c r="E591" s="9" t="str">
        <f>"16230014215"</f>
        <v>16230014215</v>
      </c>
      <c r="F591" s="7">
        <v>88.4</v>
      </c>
      <c r="G591" s="7">
        <v>82.2</v>
      </c>
      <c r="H591" s="7">
        <v>84.68</v>
      </c>
      <c r="I591" s="10"/>
      <c r="J591" s="7">
        <f t="shared" si="57"/>
        <v>84.68</v>
      </c>
      <c r="K591" s="11"/>
    </row>
    <row r="592" spans="1:11" s="1" customFormat="1" ht="15" customHeight="1">
      <c r="A592" s="3">
        <v>589</v>
      </c>
      <c r="B592" s="9" t="str">
        <f>"韩雪晴"</f>
        <v>韩雪晴</v>
      </c>
      <c r="C592" s="9" t="str">
        <f t="shared" si="56"/>
        <v>1623030310103</v>
      </c>
      <c r="D592" s="9" t="s">
        <v>64</v>
      </c>
      <c r="E592" s="9" t="str">
        <f>"16230014606"</f>
        <v>16230014606</v>
      </c>
      <c r="F592" s="7">
        <v>77.56</v>
      </c>
      <c r="G592" s="7">
        <v>88.9</v>
      </c>
      <c r="H592" s="7">
        <v>84.36</v>
      </c>
      <c r="I592" s="10"/>
      <c r="J592" s="7">
        <f t="shared" si="57"/>
        <v>84.36</v>
      </c>
      <c r="K592" s="11"/>
    </row>
    <row r="593" spans="1:11" s="1" customFormat="1" ht="15" customHeight="1">
      <c r="A593" s="3">
        <v>590</v>
      </c>
      <c r="B593" s="9" t="str">
        <f>"朱培培"</f>
        <v>朱培培</v>
      </c>
      <c r="C593" s="9" t="str">
        <f t="shared" si="56"/>
        <v>1623030310103</v>
      </c>
      <c r="D593" s="9" t="s">
        <v>64</v>
      </c>
      <c r="E593" s="9" t="str">
        <f>"16230014911"</f>
        <v>16230014911</v>
      </c>
      <c r="F593" s="7">
        <v>82.92</v>
      </c>
      <c r="G593" s="7">
        <v>85</v>
      </c>
      <c r="H593" s="7">
        <v>84.17</v>
      </c>
      <c r="I593" s="10"/>
      <c r="J593" s="7">
        <f t="shared" si="57"/>
        <v>84.17</v>
      </c>
      <c r="K593" s="11"/>
    </row>
    <row r="594" spans="1:11" s="1" customFormat="1" ht="15" customHeight="1">
      <c r="A594" s="3">
        <v>591</v>
      </c>
      <c r="B594" s="9" t="str">
        <f>"徐中婷"</f>
        <v>徐中婷</v>
      </c>
      <c r="C594" s="9" t="str">
        <f t="shared" si="56"/>
        <v>1623030310103</v>
      </c>
      <c r="D594" s="9" t="s">
        <v>64</v>
      </c>
      <c r="E594" s="9" t="str">
        <f>"16230014204"</f>
        <v>16230014204</v>
      </c>
      <c r="F594" s="7">
        <v>85.02</v>
      </c>
      <c r="G594" s="7">
        <v>83.6</v>
      </c>
      <c r="H594" s="7">
        <v>84.17</v>
      </c>
      <c r="I594" s="10"/>
      <c r="J594" s="7">
        <f t="shared" si="57"/>
        <v>84.17</v>
      </c>
      <c r="K594" s="11"/>
    </row>
    <row r="595" spans="1:11" s="1" customFormat="1" ht="15" customHeight="1">
      <c r="A595" s="3">
        <v>592</v>
      </c>
      <c r="B595" s="9" t="str">
        <f>"张青青"</f>
        <v>张青青</v>
      </c>
      <c r="C595" s="9" t="str">
        <f t="shared" si="56"/>
        <v>1623030310103</v>
      </c>
      <c r="D595" s="9" t="s">
        <v>64</v>
      </c>
      <c r="E595" s="9" t="str">
        <f>"16230014910"</f>
        <v>16230014910</v>
      </c>
      <c r="F595" s="7">
        <v>79.56</v>
      </c>
      <c r="G595" s="7">
        <v>87.1</v>
      </c>
      <c r="H595" s="7">
        <v>84.08</v>
      </c>
      <c r="I595" s="10"/>
      <c r="J595" s="7">
        <f t="shared" si="57"/>
        <v>84.08</v>
      </c>
      <c r="K595" s="11"/>
    </row>
    <row r="596" spans="1:11" s="1" customFormat="1" ht="15" customHeight="1">
      <c r="A596" s="3">
        <v>593</v>
      </c>
      <c r="B596" s="9" t="str">
        <f>"朱晓丽"</f>
        <v>朱晓丽</v>
      </c>
      <c r="C596" s="9" t="str">
        <f t="shared" si="56"/>
        <v>1623030310103</v>
      </c>
      <c r="D596" s="9" t="s">
        <v>64</v>
      </c>
      <c r="E596" s="9" t="str">
        <f>"16230014920"</f>
        <v>16230014920</v>
      </c>
      <c r="F596" s="7">
        <v>79.22</v>
      </c>
      <c r="G596" s="7">
        <v>87</v>
      </c>
      <c r="H596" s="7">
        <v>83.89</v>
      </c>
      <c r="I596" s="10"/>
      <c r="J596" s="7">
        <f t="shared" si="57"/>
        <v>83.89</v>
      </c>
      <c r="K596" s="11" t="s">
        <v>84</v>
      </c>
    </row>
    <row r="597" spans="1:11" s="1" customFormat="1" ht="15" customHeight="1">
      <c r="A597" s="3">
        <v>594</v>
      </c>
      <c r="B597" s="9" t="str">
        <f>"王雪"</f>
        <v>王雪</v>
      </c>
      <c r="C597" s="9" t="str">
        <f t="shared" si="56"/>
        <v>1623030310103</v>
      </c>
      <c r="D597" s="9" t="s">
        <v>64</v>
      </c>
      <c r="E597" s="9" t="str">
        <f>"16230014527"</f>
        <v>16230014527</v>
      </c>
      <c r="F597" s="7">
        <v>81.52</v>
      </c>
      <c r="G597" s="7">
        <v>85.4</v>
      </c>
      <c r="H597" s="7">
        <v>83.85</v>
      </c>
      <c r="I597" s="10"/>
      <c r="J597" s="7">
        <f t="shared" si="57"/>
        <v>83.85</v>
      </c>
      <c r="K597" s="11" t="s">
        <v>84</v>
      </c>
    </row>
    <row r="598" spans="1:11" s="1" customFormat="1" ht="15" customHeight="1">
      <c r="A598" s="3">
        <v>595</v>
      </c>
      <c r="B598" s="9" t="str">
        <f>"姚玲"</f>
        <v>姚玲</v>
      </c>
      <c r="C598" s="9" t="str">
        <f aca="true" t="shared" si="58" ref="C598:C619">"1623030310104"</f>
        <v>1623030310104</v>
      </c>
      <c r="D598" s="9" t="s">
        <v>65</v>
      </c>
      <c r="E598" s="9" t="str">
        <f>"16230015728"</f>
        <v>16230015728</v>
      </c>
      <c r="F598" s="7">
        <v>90.42</v>
      </c>
      <c r="G598" s="7">
        <v>92.2</v>
      </c>
      <c r="H598" s="7">
        <v>91.49</v>
      </c>
      <c r="I598" s="10"/>
      <c r="J598" s="7">
        <f t="shared" si="57"/>
        <v>91.49</v>
      </c>
      <c r="K598" s="11"/>
    </row>
    <row r="599" spans="1:11" s="1" customFormat="1" ht="15" customHeight="1">
      <c r="A599" s="3">
        <v>596</v>
      </c>
      <c r="B599" s="9" t="str">
        <f>"段桂侠"</f>
        <v>段桂侠</v>
      </c>
      <c r="C599" s="9" t="str">
        <f t="shared" si="58"/>
        <v>1623030310104</v>
      </c>
      <c r="D599" s="9" t="s">
        <v>65</v>
      </c>
      <c r="E599" s="9" t="str">
        <f>"16230015216"</f>
        <v>16230015216</v>
      </c>
      <c r="F599" s="7">
        <v>86.14</v>
      </c>
      <c r="G599" s="7">
        <v>94.9</v>
      </c>
      <c r="H599" s="7">
        <v>91.4</v>
      </c>
      <c r="I599" s="10"/>
      <c r="J599" s="7">
        <f t="shared" si="57"/>
        <v>91.4</v>
      </c>
      <c r="K599" s="11"/>
    </row>
    <row r="600" spans="1:11" s="1" customFormat="1" ht="15" customHeight="1">
      <c r="A600" s="3">
        <v>597</v>
      </c>
      <c r="B600" s="9" t="str">
        <f>"李乐诗"</f>
        <v>李乐诗</v>
      </c>
      <c r="C600" s="9" t="str">
        <f t="shared" si="58"/>
        <v>1623030310104</v>
      </c>
      <c r="D600" s="9" t="s">
        <v>65</v>
      </c>
      <c r="E600" s="9" t="str">
        <f>"16230021208"</f>
        <v>16230021208</v>
      </c>
      <c r="F600" s="7">
        <v>89.68</v>
      </c>
      <c r="G600" s="7">
        <v>91.4</v>
      </c>
      <c r="H600" s="7">
        <v>90.71</v>
      </c>
      <c r="I600" s="10"/>
      <c r="J600" s="7">
        <f t="shared" si="57"/>
        <v>90.71</v>
      </c>
      <c r="K600" s="11"/>
    </row>
    <row r="601" spans="1:11" s="1" customFormat="1" ht="15" customHeight="1">
      <c r="A601" s="3">
        <v>598</v>
      </c>
      <c r="B601" s="9" t="str">
        <f>"闫品瑞"</f>
        <v>闫品瑞</v>
      </c>
      <c r="C601" s="9" t="str">
        <f t="shared" si="58"/>
        <v>1623030310104</v>
      </c>
      <c r="D601" s="9" t="s">
        <v>65</v>
      </c>
      <c r="E601" s="9" t="str">
        <f>"16230021030"</f>
        <v>16230021030</v>
      </c>
      <c r="F601" s="7">
        <v>92.6</v>
      </c>
      <c r="G601" s="7">
        <v>89</v>
      </c>
      <c r="H601" s="7">
        <v>90.44</v>
      </c>
      <c r="I601" s="10"/>
      <c r="J601" s="7">
        <f t="shared" si="57"/>
        <v>90.44</v>
      </c>
      <c r="K601" s="11"/>
    </row>
    <row r="602" spans="1:11" s="1" customFormat="1" ht="15" customHeight="1">
      <c r="A602" s="3">
        <v>599</v>
      </c>
      <c r="B602" s="9" t="str">
        <f>"陈志华"</f>
        <v>陈志华</v>
      </c>
      <c r="C602" s="9" t="str">
        <f t="shared" si="58"/>
        <v>1623030310104</v>
      </c>
      <c r="D602" s="9" t="s">
        <v>65</v>
      </c>
      <c r="E602" s="9" t="str">
        <f>"16230015022"</f>
        <v>16230015022</v>
      </c>
      <c r="F602" s="7">
        <v>90.6</v>
      </c>
      <c r="G602" s="7">
        <v>89.9</v>
      </c>
      <c r="H602" s="7">
        <v>90.18</v>
      </c>
      <c r="I602" s="10"/>
      <c r="J602" s="7">
        <f t="shared" si="57"/>
        <v>90.18</v>
      </c>
      <c r="K602" s="11"/>
    </row>
    <row r="603" spans="1:11" s="1" customFormat="1" ht="15" customHeight="1">
      <c r="A603" s="3">
        <v>600</v>
      </c>
      <c r="B603" s="9" t="str">
        <f>"吴贝贝"</f>
        <v>吴贝贝</v>
      </c>
      <c r="C603" s="9" t="str">
        <f t="shared" si="58"/>
        <v>1623030310104</v>
      </c>
      <c r="D603" s="9" t="s">
        <v>65</v>
      </c>
      <c r="E603" s="9" t="str">
        <f>"16230016028"</f>
        <v>16230016028</v>
      </c>
      <c r="F603" s="7">
        <v>87.52</v>
      </c>
      <c r="G603" s="7">
        <v>91.9</v>
      </c>
      <c r="H603" s="7">
        <v>90.15</v>
      </c>
      <c r="I603" s="10"/>
      <c r="J603" s="7">
        <f t="shared" si="57"/>
        <v>90.15</v>
      </c>
      <c r="K603" s="11"/>
    </row>
    <row r="604" spans="1:11" s="1" customFormat="1" ht="15" customHeight="1">
      <c r="A604" s="3">
        <v>601</v>
      </c>
      <c r="B604" s="9" t="str">
        <f>"孙岩"</f>
        <v>孙岩</v>
      </c>
      <c r="C604" s="9" t="str">
        <f t="shared" si="58"/>
        <v>1623030310104</v>
      </c>
      <c r="D604" s="9" t="s">
        <v>65</v>
      </c>
      <c r="E604" s="9" t="str">
        <f>"16230020303"</f>
        <v>16230020303</v>
      </c>
      <c r="F604" s="7">
        <v>92.94</v>
      </c>
      <c r="G604" s="7">
        <v>87.9</v>
      </c>
      <c r="H604" s="7">
        <v>89.92</v>
      </c>
      <c r="I604" s="10"/>
      <c r="J604" s="7">
        <f t="shared" si="57"/>
        <v>89.92</v>
      </c>
      <c r="K604" s="11"/>
    </row>
    <row r="605" spans="1:11" s="1" customFormat="1" ht="15" customHeight="1">
      <c r="A605" s="3">
        <v>602</v>
      </c>
      <c r="B605" s="9" t="str">
        <f>"王静"</f>
        <v>王静</v>
      </c>
      <c r="C605" s="9" t="str">
        <f t="shared" si="58"/>
        <v>1623030310104</v>
      </c>
      <c r="D605" s="9" t="s">
        <v>65</v>
      </c>
      <c r="E605" s="9" t="str">
        <f>"16230020203"</f>
        <v>16230020203</v>
      </c>
      <c r="F605" s="7">
        <v>89.18</v>
      </c>
      <c r="G605" s="7">
        <v>89.4</v>
      </c>
      <c r="H605" s="7">
        <v>89.31</v>
      </c>
      <c r="I605" s="10"/>
      <c r="J605" s="7">
        <f t="shared" si="57"/>
        <v>89.31</v>
      </c>
      <c r="K605" s="11"/>
    </row>
    <row r="606" spans="1:11" s="1" customFormat="1" ht="15" customHeight="1">
      <c r="A606" s="3">
        <v>603</v>
      </c>
      <c r="B606" s="9" t="str">
        <f>"冯文博"</f>
        <v>冯文博</v>
      </c>
      <c r="C606" s="9" t="str">
        <f t="shared" si="58"/>
        <v>1623030310104</v>
      </c>
      <c r="D606" s="9" t="s">
        <v>65</v>
      </c>
      <c r="E606" s="9" t="str">
        <f>"16230021209"</f>
        <v>16230021209</v>
      </c>
      <c r="F606" s="7">
        <v>93.44</v>
      </c>
      <c r="G606" s="7">
        <v>86.2</v>
      </c>
      <c r="H606" s="7">
        <v>89.1</v>
      </c>
      <c r="I606" s="10"/>
      <c r="J606" s="7">
        <f t="shared" si="57"/>
        <v>89.1</v>
      </c>
      <c r="K606" s="11"/>
    </row>
    <row r="607" spans="1:11" s="1" customFormat="1" ht="15" customHeight="1">
      <c r="A607" s="3">
        <v>604</v>
      </c>
      <c r="B607" s="9" t="str">
        <f>"姜晓晨"</f>
        <v>姜晓晨</v>
      </c>
      <c r="C607" s="9" t="str">
        <f t="shared" si="58"/>
        <v>1623030310104</v>
      </c>
      <c r="D607" s="9" t="s">
        <v>65</v>
      </c>
      <c r="E607" s="9" t="str">
        <f>"16230021327"</f>
        <v>16230021327</v>
      </c>
      <c r="F607" s="7">
        <v>84.54</v>
      </c>
      <c r="G607" s="7">
        <v>91.5</v>
      </c>
      <c r="H607" s="7">
        <v>88.72</v>
      </c>
      <c r="I607" s="10"/>
      <c r="J607" s="7">
        <f t="shared" si="57"/>
        <v>88.72</v>
      </c>
      <c r="K607" s="11"/>
    </row>
    <row r="608" spans="1:11" s="1" customFormat="1" ht="15" customHeight="1">
      <c r="A608" s="3">
        <v>605</v>
      </c>
      <c r="B608" s="9" t="str">
        <f>"孟萍"</f>
        <v>孟萍</v>
      </c>
      <c r="C608" s="9" t="str">
        <f t="shared" si="58"/>
        <v>1623030310104</v>
      </c>
      <c r="D608" s="9" t="s">
        <v>65</v>
      </c>
      <c r="E608" s="9" t="str">
        <f>"16230020429"</f>
        <v>16230020429</v>
      </c>
      <c r="F608" s="7">
        <v>82.34</v>
      </c>
      <c r="G608" s="7">
        <v>92.9</v>
      </c>
      <c r="H608" s="7">
        <v>88.68</v>
      </c>
      <c r="I608" s="10"/>
      <c r="J608" s="7">
        <f t="shared" si="57"/>
        <v>88.68</v>
      </c>
      <c r="K608" s="11"/>
    </row>
    <row r="609" spans="1:11" s="1" customFormat="1" ht="15" customHeight="1">
      <c r="A609" s="3">
        <v>606</v>
      </c>
      <c r="B609" s="9" t="str">
        <f>"马怀志"</f>
        <v>马怀志</v>
      </c>
      <c r="C609" s="9" t="str">
        <f t="shared" si="58"/>
        <v>1623030310104</v>
      </c>
      <c r="D609" s="9" t="s">
        <v>65</v>
      </c>
      <c r="E609" s="9" t="str">
        <f>"16230015630"</f>
        <v>16230015630</v>
      </c>
      <c r="F609" s="7">
        <v>87.84</v>
      </c>
      <c r="G609" s="7">
        <v>89.2</v>
      </c>
      <c r="H609" s="7">
        <v>88.66</v>
      </c>
      <c r="I609" s="10"/>
      <c r="J609" s="7">
        <f t="shared" si="57"/>
        <v>88.66</v>
      </c>
      <c r="K609" s="11"/>
    </row>
    <row r="610" spans="1:11" s="1" customFormat="1" ht="15" customHeight="1">
      <c r="A610" s="3">
        <v>607</v>
      </c>
      <c r="B610" s="9" t="str">
        <f>"张静"</f>
        <v>张静</v>
      </c>
      <c r="C610" s="9" t="str">
        <f t="shared" si="58"/>
        <v>1623030310104</v>
      </c>
      <c r="D610" s="9" t="s">
        <v>65</v>
      </c>
      <c r="E610" s="9" t="str">
        <f>"16230015015"</f>
        <v>16230015015</v>
      </c>
      <c r="F610" s="7">
        <v>87.58</v>
      </c>
      <c r="G610" s="7">
        <v>89.3</v>
      </c>
      <c r="H610" s="7">
        <v>88.61</v>
      </c>
      <c r="I610" s="10"/>
      <c r="J610" s="7">
        <f t="shared" si="57"/>
        <v>88.61</v>
      </c>
      <c r="K610" s="11"/>
    </row>
    <row r="611" spans="1:11" s="1" customFormat="1" ht="15" customHeight="1">
      <c r="A611" s="3">
        <v>608</v>
      </c>
      <c r="B611" s="9" t="str">
        <f>"郭丽"</f>
        <v>郭丽</v>
      </c>
      <c r="C611" s="9" t="str">
        <f t="shared" si="58"/>
        <v>1623030310104</v>
      </c>
      <c r="D611" s="9" t="s">
        <v>65</v>
      </c>
      <c r="E611" s="9" t="str">
        <f>"16230021021"</f>
        <v>16230021021</v>
      </c>
      <c r="F611" s="7">
        <v>95.24</v>
      </c>
      <c r="G611" s="7">
        <v>84.1</v>
      </c>
      <c r="H611" s="7">
        <v>88.56</v>
      </c>
      <c r="I611" s="10"/>
      <c r="J611" s="7">
        <f t="shared" si="57"/>
        <v>88.56</v>
      </c>
      <c r="K611" s="11"/>
    </row>
    <row r="612" spans="1:11" s="1" customFormat="1" ht="15" customHeight="1">
      <c r="A612" s="3">
        <v>609</v>
      </c>
      <c r="B612" s="9" t="str">
        <f>"丁言贺"</f>
        <v>丁言贺</v>
      </c>
      <c r="C612" s="9" t="str">
        <f t="shared" si="58"/>
        <v>1623030310104</v>
      </c>
      <c r="D612" s="9" t="s">
        <v>65</v>
      </c>
      <c r="E612" s="9" t="str">
        <f>"16230020327"</f>
        <v>16230020327</v>
      </c>
      <c r="F612" s="7">
        <v>86.3</v>
      </c>
      <c r="G612" s="7">
        <v>89.7</v>
      </c>
      <c r="H612" s="7">
        <v>88.34</v>
      </c>
      <c r="I612" s="10"/>
      <c r="J612" s="7">
        <f t="shared" si="57"/>
        <v>88.34</v>
      </c>
      <c r="K612" s="11"/>
    </row>
    <row r="613" spans="1:11" s="1" customFormat="1" ht="15" customHeight="1">
      <c r="A613" s="3">
        <v>610</v>
      </c>
      <c r="B613" s="9" t="str">
        <f>"徐伟伟"</f>
        <v>徐伟伟</v>
      </c>
      <c r="C613" s="9" t="str">
        <f t="shared" si="58"/>
        <v>1623030310104</v>
      </c>
      <c r="D613" s="9" t="s">
        <v>65</v>
      </c>
      <c r="E613" s="9" t="str">
        <f>"16230020417"</f>
        <v>16230020417</v>
      </c>
      <c r="F613" s="7">
        <v>84.34</v>
      </c>
      <c r="G613" s="7">
        <v>90.8</v>
      </c>
      <c r="H613" s="7">
        <v>88.22</v>
      </c>
      <c r="I613" s="10"/>
      <c r="J613" s="7">
        <f t="shared" si="57"/>
        <v>88.22</v>
      </c>
      <c r="K613" s="11"/>
    </row>
    <row r="614" spans="1:11" s="1" customFormat="1" ht="15" customHeight="1">
      <c r="A614" s="3">
        <v>611</v>
      </c>
      <c r="B614" s="9" t="str">
        <f>"郭英杰"</f>
        <v>郭英杰</v>
      </c>
      <c r="C614" s="9" t="str">
        <f t="shared" si="58"/>
        <v>1623030310104</v>
      </c>
      <c r="D614" s="9" t="s">
        <v>65</v>
      </c>
      <c r="E614" s="9" t="str">
        <f>"16230015225"</f>
        <v>16230015225</v>
      </c>
      <c r="F614" s="7">
        <v>79.1</v>
      </c>
      <c r="G614" s="7">
        <v>94</v>
      </c>
      <c r="H614" s="7">
        <v>88.04</v>
      </c>
      <c r="I614" s="10"/>
      <c r="J614" s="7">
        <f t="shared" si="57"/>
        <v>88.04</v>
      </c>
      <c r="K614" s="11"/>
    </row>
    <row r="615" spans="1:11" s="1" customFormat="1" ht="15" customHeight="1">
      <c r="A615" s="3">
        <v>612</v>
      </c>
      <c r="B615" s="9" t="str">
        <f>"洪姣姣"</f>
        <v>洪姣姣</v>
      </c>
      <c r="C615" s="9" t="str">
        <f t="shared" si="58"/>
        <v>1623030310104</v>
      </c>
      <c r="D615" s="9" t="s">
        <v>65</v>
      </c>
      <c r="E615" s="9" t="str">
        <f>"16230015305"</f>
        <v>16230015305</v>
      </c>
      <c r="F615" s="7">
        <v>86.94</v>
      </c>
      <c r="G615" s="7">
        <v>88.7</v>
      </c>
      <c r="H615" s="7">
        <v>88</v>
      </c>
      <c r="I615" s="10"/>
      <c r="J615" s="7">
        <f t="shared" si="57"/>
        <v>88</v>
      </c>
      <c r="K615" s="11"/>
    </row>
    <row r="616" spans="1:11" s="1" customFormat="1" ht="15" customHeight="1">
      <c r="A616" s="3">
        <v>613</v>
      </c>
      <c r="B616" s="9" t="str">
        <f>"马若愚"</f>
        <v>马若愚</v>
      </c>
      <c r="C616" s="9" t="str">
        <f t="shared" si="58"/>
        <v>1623030310104</v>
      </c>
      <c r="D616" s="9" t="s">
        <v>65</v>
      </c>
      <c r="E616" s="9" t="str">
        <f>"16230020709"</f>
        <v>16230020709</v>
      </c>
      <c r="F616" s="7">
        <v>85.46</v>
      </c>
      <c r="G616" s="7">
        <v>89.4</v>
      </c>
      <c r="H616" s="7">
        <v>87.82</v>
      </c>
      <c r="I616" s="10"/>
      <c r="J616" s="7">
        <f t="shared" si="57"/>
        <v>87.82</v>
      </c>
      <c r="K616" s="11"/>
    </row>
    <row r="617" spans="1:11" s="1" customFormat="1" ht="15" customHeight="1">
      <c r="A617" s="3">
        <v>614</v>
      </c>
      <c r="B617" s="9" t="str">
        <f>"高晓玲"</f>
        <v>高晓玲</v>
      </c>
      <c r="C617" s="9" t="str">
        <f t="shared" si="58"/>
        <v>1623030310104</v>
      </c>
      <c r="D617" s="9" t="s">
        <v>65</v>
      </c>
      <c r="E617" s="9" t="str">
        <f>"16230020917"</f>
        <v>16230020917</v>
      </c>
      <c r="F617" s="7">
        <v>88.46</v>
      </c>
      <c r="G617" s="7">
        <v>87.4</v>
      </c>
      <c r="H617" s="7">
        <v>87.82</v>
      </c>
      <c r="I617" s="10"/>
      <c r="J617" s="7">
        <f t="shared" si="57"/>
        <v>87.82</v>
      </c>
      <c r="K617" s="11"/>
    </row>
    <row r="618" spans="1:11" s="1" customFormat="1" ht="15" customHeight="1">
      <c r="A618" s="3">
        <v>615</v>
      </c>
      <c r="B618" s="9" t="str">
        <f>"张颖"</f>
        <v>张颖</v>
      </c>
      <c r="C618" s="9" t="str">
        <f t="shared" si="58"/>
        <v>1623030310104</v>
      </c>
      <c r="D618" s="9" t="s">
        <v>65</v>
      </c>
      <c r="E618" s="9" t="str">
        <f>"16230021402"</f>
        <v>16230021402</v>
      </c>
      <c r="F618" s="7">
        <v>81.86</v>
      </c>
      <c r="G618" s="7">
        <v>91.7</v>
      </c>
      <c r="H618" s="7">
        <v>87.76</v>
      </c>
      <c r="I618" s="10"/>
      <c r="J618" s="7">
        <f t="shared" si="57"/>
        <v>87.76</v>
      </c>
      <c r="K618" s="11"/>
    </row>
    <row r="619" spans="1:11" s="1" customFormat="1" ht="15" customHeight="1">
      <c r="A619" s="3">
        <v>616</v>
      </c>
      <c r="B619" s="9" t="str">
        <f>"刘梦华"</f>
        <v>刘梦华</v>
      </c>
      <c r="C619" s="9" t="str">
        <f t="shared" si="58"/>
        <v>1623030310104</v>
      </c>
      <c r="D619" s="9" t="s">
        <v>65</v>
      </c>
      <c r="E619" s="9" t="str">
        <f>"16230015912"</f>
        <v>16230015912</v>
      </c>
      <c r="F619" s="7">
        <v>89.46</v>
      </c>
      <c r="G619" s="7">
        <v>86.5</v>
      </c>
      <c r="H619" s="7">
        <v>87.68</v>
      </c>
      <c r="I619" s="10"/>
      <c r="J619" s="7">
        <f t="shared" si="57"/>
        <v>87.68</v>
      </c>
      <c r="K619" s="11"/>
    </row>
    <row r="620" spans="1:11" s="1" customFormat="1" ht="15" customHeight="1">
      <c r="A620" s="3">
        <v>617</v>
      </c>
      <c r="B620" s="9" t="str">
        <f>"张宁宁"</f>
        <v>张宁宁</v>
      </c>
      <c r="C620" s="9" t="str">
        <f aca="true" t="shared" si="59" ref="C620:C637">"1623030310205"</f>
        <v>1623030310205</v>
      </c>
      <c r="D620" s="9" t="s">
        <v>66</v>
      </c>
      <c r="E620" s="9" t="str">
        <f>"16230021821"</f>
        <v>16230021821</v>
      </c>
      <c r="F620" s="7">
        <v>82.06</v>
      </c>
      <c r="G620" s="7">
        <v>101.1</v>
      </c>
      <c r="H620" s="7">
        <v>93.48</v>
      </c>
      <c r="I620" s="10"/>
      <c r="J620" s="7">
        <f t="shared" si="57"/>
        <v>93.48</v>
      </c>
      <c r="K620" s="11"/>
    </row>
    <row r="621" spans="1:11" s="1" customFormat="1" ht="15" customHeight="1">
      <c r="A621" s="3">
        <v>618</v>
      </c>
      <c r="B621" s="9" t="str">
        <f>"朱正东"</f>
        <v>朱正东</v>
      </c>
      <c r="C621" s="9" t="str">
        <f t="shared" si="59"/>
        <v>1623030310205</v>
      </c>
      <c r="D621" s="9" t="s">
        <v>66</v>
      </c>
      <c r="E621" s="9" t="str">
        <f>"16230021828"</f>
        <v>16230021828</v>
      </c>
      <c r="F621" s="7">
        <v>86.82</v>
      </c>
      <c r="G621" s="7">
        <v>83.2</v>
      </c>
      <c r="H621" s="7">
        <v>84.65</v>
      </c>
      <c r="I621" s="10"/>
      <c r="J621" s="7">
        <f t="shared" si="57"/>
        <v>84.65</v>
      </c>
      <c r="K621" s="11"/>
    </row>
    <row r="622" spans="1:11" s="1" customFormat="1" ht="15" customHeight="1">
      <c r="A622" s="3">
        <v>619</v>
      </c>
      <c r="B622" s="9" t="str">
        <f>"仪颂"</f>
        <v>仪颂</v>
      </c>
      <c r="C622" s="9" t="str">
        <f t="shared" si="59"/>
        <v>1623030310205</v>
      </c>
      <c r="D622" s="9" t="s">
        <v>66</v>
      </c>
      <c r="E622" s="9" t="str">
        <f>"16230022124"</f>
        <v>16230022124</v>
      </c>
      <c r="F622" s="7">
        <v>80.58</v>
      </c>
      <c r="G622" s="7">
        <v>86.4</v>
      </c>
      <c r="H622" s="7">
        <v>84.07</v>
      </c>
      <c r="I622" s="10"/>
      <c r="J622" s="7">
        <f t="shared" si="57"/>
        <v>84.07</v>
      </c>
      <c r="K622" s="11"/>
    </row>
    <row r="623" spans="1:11" s="1" customFormat="1" ht="15" customHeight="1">
      <c r="A623" s="3">
        <v>620</v>
      </c>
      <c r="B623" s="9" t="str">
        <f>"刘丹丹"</f>
        <v>刘丹丹</v>
      </c>
      <c r="C623" s="9" t="str">
        <f t="shared" si="59"/>
        <v>1623030310205</v>
      </c>
      <c r="D623" s="9" t="s">
        <v>66</v>
      </c>
      <c r="E623" s="9" t="str">
        <f>"16230021918"</f>
        <v>16230021918</v>
      </c>
      <c r="F623" s="7">
        <v>84.18</v>
      </c>
      <c r="G623" s="7">
        <v>83.8</v>
      </c>
      <c r="H623" s="7">
        <v>83.95</v>
      </c>
      <c r="I623" s="10"/>
      <c r="J623" s="7">
        <f t="shared" si="57"/>
        <v>83.95</v>
      </c>
      <c r="K623" s="11"/>
    </row>
    <row r="624" spans="1:11" s="1" customFormat="1" ht="15" customHeight="1">
      <c r="A624" s="3">
        <v>621</v>
      </c>
      <c r="B624" s="9" t="str">
        <f>"李星星"</f>
        <v>李星星</v>
      </c>
      <c r="C624" s="9" t="str">
        <f t="shared" si="59"/>
        <v>1623030310205</v>
      </c>
      <c r="D624" s="9" t="s">
        <v>66</v>
      </c>
      <c r="E624" s="9" t="str">
        <f>"16230022025"</f>
        <v>16230022025</v>
      </c>
      <c r="F624" s="7">
        <v>76.34</v>
      </c>
      <c r="G624" s="7">
        <v>88.9</v>
      </c>
      <c r="H624" s="7">
        <v>83.88</v>
      </c>
      <c r="I624" s="10"/>
      <c r="J624" s="7">
        <f t="shared" si="57"/>
        <v>83.88</v>
      </c>
      <c r="K624" s="11"/>
    </row>
    <row r="625" spans="1:11" s="1" customFormat="1" ht="15" customHeight="1">
      <c r="A625" s="3">
        <v>622</v>
      </c>
      <c r="B625" s="9" t="str">
        <f>"韩雪"</f>
        <v>韩雪</v>
      </c>
      <c r="C625" s="9" t="str">
        <f t="shared" si="59"/>
        <v>1623030310205</v>
      </c>
      <c r="D625" s="9" t="s">
        <v>66</v>
      </c>
      <c r="E625" s="9" t="str">
        <f>"16230022116"</f>
        <v>16230022116</v>
      </c>
      <c r="F625" s="7">
        <v>74.74</v>
      </c>
      <c r="G625" s="7">
        <v>89.9</v>
      </c>
      <c r="H625" s="7">
        <v>83.84</v>
      </c>
      <c r="I625" s="10"/>
      <c r="J625" s="7">
        <f t="shared" si="57"/>
        <v>83.84</v>
      </c>
      <c r="K625" s="11"/>
    </row>
    <row r="626" spans="1:11" s="1" customFormat="1" ht="15" customHeight="1">
      <c r="A626" s="3">
        <v>623</v>
      </c>
      <c r="B626" s="9" t="str">
        <f>"马瑞龙"</f>
        <v>马瑞龙</v>
      </c>
      <c r="C626" s="9" t="str">
        <f t="shared" si="59"/>
        <v>1623030310205</v>
      </c>
      <c r="D626" s="9" t="s">
        <v>66</v>
      </c>
      <c r="E626" s="9" t="str">
        <f>"16230021709"</f>
        <v>16230021709</v>
      </c>
      <c r="F626" s="7">
        <v>73.4</v>
      </c>
      <c r="G626" s="7">
        <v>89.5</v>
      </c>
      <c r="H626" s="7">
        <v>83.06</v>
      </c>
      <c r="I626" s="10"/>
      <c r="J626" s="7">
        <f t="shared" si="57"/>
        <v>83.06</v>
      </c>
      <c r="K626" s="11"/>
    </row>
    <row r="627" spans="1:11" s="1" customFormat="1" ht="15" customHeight="1">
      <c r="A627" s="3">
        <v>624</v>
      </c>
      <c r="B627" s="9" t="str">
        <f>"尹健"</f>
        <v>尹健</v>
      </c>
      <c r="C627" s="9" t="str">
        <f t="shared" si="59"/>
        <v>1623030310205</v>
      </c>
      <c r="D627" s="9" t="s">
        <v>66</v>
      </c>
      <c r="E627" s="9" t="str">
        <f>"16230021717"</f>
        <v>16230021717</v>
      </c>
      <c r="F627" s="7">
        <v>83.04</v>
      </c>
      <c r="G627" s="7">
        <v>83.05</v>
      </c>
      <c r="H627" s="7">
        <v>83.05</v>
      </c>
      <c r="I627" s="10"/>
      <c r="J627" s="7">
        <f t="shared" si="57"/>
        <v>83.05</v>
      </c>
      <c r="K627" s="11"/>
    </row>
    <row r="628" spans="1:11" s="1" customFormat="1" ht="15" customHeight="1">
      <c r="A628" s="3">
        <v>625</v>
      </c>
      <c r="B628" s="9" t="str">
        <f>"石苗苗"</f>
        <v>石苗苗</v>
      </c>
      <c r="C628" s="9" t="str">
        <f t="shared" si="59"/>
        <v>1623030310205</v>
      </c>
      <c r="D628" s="9" t="s">
        <v>66</v>
      </c>
      <c r="E628" s="9" t="str">
        <f>"16230022117"</f>
        <v>16230022117</v>
      </c>
      <c r="F628" s="7">
        <v>75.72</v>
      </c>
      <c r="G628" s="7">
        <v>87.5</v>
      </c>
      <c r="H628" s="7">
        <v>82.79</v>
      </c>
      <c r="I628" s="10"/>
      <c r="J628" s="7">
        <f t="shared" si="57"/>
        <v>82.79</v>
      </c>
      <c r="K628" s="11"/>
    </row>
    <row r="629" spans="1:11" s="1" customFormat="1" ht="15" customHeight="1">
      <c r="A629" s="3">
        <v>626</v>
      </c>
      <c r="B629" s="9" t="str">
        <f>"邱梦如"</f>
        <v>邱梦如</v>
      </c>
      <c r="C629" s="9" t="str">
        <f t="shared" si="59"/>
        <v>1623030310205</v>
      </c>
      <c r="D629" s="9" t="s">
        <v>66</v>
      </c>
      <c r="E629" s="9" t="str">
        <f>"16230022207"</f>
        <v>16230022207</v>
      </c>
      <c r="F629" s="7">
        <v>81.7</v>
      </c>
      <c r="G629" s="7">
        <v>82.45</v>
      </c>
      <c r="H629" s="7">
        <v>82.15</v>
      </c>
      <c r="I629" s="10"/>
      <c r="J629" s="7">
        <f t="shared" si="57"/>
        <v>82.15</v>
      </c>
      <c r="K629" s="11"/>
    </row>
    <row r="630" spans="1:11" s="1" customFormat="1" ht="15" customHeight="1">
      <c r="A630" s="3">
        <v>627</v>
      </c>
      <c r="B630" s="9" t="str">
        <f>"李茹贤"</f>
        <v>李茹贤</v>
      </c>
      <c r="C630" s="9" t="str">
        <f t="shared" si="59"/>
        <v>1623030310205</v>
      </c>
      <c r="D630" s="9" t="s">
        <v>66</v>
      </c>
      <c r="E630" s="9" t="str">
        <f>"16230022014"</f>
        <v>16230022014</v>
      </c>
      <c r="F630" s="7">
        <v>79.26</v>
      </c>
      <c r="G630" s="7">
        <v>83.65</v>
      </c>
      <c r="H630" s="7">
        <v>81.89</v>
      </c>
      <c r="I630" s="10"/>
      <c r="J630" s="7">
        <f t="shared" si="57"/>
        <v>81.89</v>
      </c>
      <c r="K630" s="11"/>
    </row>
    <row r="631" spans="1:11" s="1" customFormat="1" ht="15" customHeight="1">
      <c r="A631" s="3">
        <v>628</v>
      </c>
      <c r="B631" s="9" t="str">
        <f>"尚冰洁"</f>
        <v>尚冰洁</v>
      </c>
      <c r="C631" s="9" t="str">
        <f t="shared" si="59"/>
        <v>1623030310205</v>
      </c>
      <c r="D631" s="9" t="s">
        <v>66</v>
      </c>
      <c r="E631" s="9" t="str">
        <f>"16230022113"</f>
        <v>16230022113</v>
      </c>
      <c r="F631" s="7">
        <v>77.42</v>
      </c>
      <c r="G631" s="7">
        <v>84.5</v>
      </c>
      <c r="H631" s="7">
        <v>81.67</v>
      </c>
      <c r="I631" s="10"/>
      <c r="J631" s="7">
        <f t="shared" si="57"/>
        <v>81.67</v>
      </c>
      <c r="K631" s="11"/>
    </row>
    <row r="632" spans="1:11" s="1" customFormat="1" ht="15" customHeight="1">
      <c r="A632" s="3">
        <v>629</v>
      </c>
      <c r="B632" s="9" t="str">
        <f>"赵国豪"</f>
        <v>赵国豪</v>
      </c>
      <c r="C632" s="9" t="str">
        <f t="shared" si="59"/>
        <v>1623030310205</v>
      </c>
      <c r="D632" s="9" t="s">
        <v>66</v>
      </c>
      <c r="E632" s="9" t="str">
        <f>"16230022006"</f>
        <v>16230022006</v>
      </c>
      <c r="F632" s="7">
        <v>78.74</v>
      </c>
      <c r="G632" s="7">
        <v>83.45</v>
      </c>
      <c r="H632" s="7">
        <v>81.57</v>
      </c>
      <c r="I632" s="10"/>
      <c r="J632" s="7">
        <f t="shared" si="57"/>
        <v>81.57</v>
      </c>
      <c r="K632" s="11"/>
    </row>
    <row r="633" spans="1:11" s="1" customFormat="1" ht="15" customHeight="1">
      <c r="A633" s="3">
        <v>630</v>
      </c>
      <c r="B633" s="9" t="str">
        <f>"杨晴晴"</f>
        <v>杨晴晴</v>
      </c>
      <c r="C633" s="9" t="str">
        <f t="shared" si="59"/>
        <v>1623030310205</v>
      </c>
      <c r="D633" s="9" t="s">
        <v>66</v>
      </c>
      <c r="E633" s="9" t="str">
        <f>"16230021813"</f>
        <v>16230021813</v>
      </c>
      <c r="F633" s="7">
        <v>85.22</v>
      </c>
      <c r="G633" s="7">
        <v>79.1</v>
      </c>
      <c r="H633" s="7">
        <v>81.55</v>
      </c>
      <c r="I633" s="10"/>
      <c r="J633" s="7">
        <f t="shared" si="57"/>
        <v>81.55</v>
      </c>
      <c r="K633" s="11"/>
    </row>
    <row r="634" spans="1:11" s="1" customFormat="1" ht="15" customHeight="1">
      <c r="A634" s="3">
        <v>631</v>
      </c>
      <c r="B634" s="9" t="str">
        <f>"王艳艳"</f>
        <v>王艳艳</v>
      </c>
      <c r="C634" s="9" t="str">
        <f t="shared" si="59"/>
        <v>1623030310205</v>
      </c>
      <c r="D634" s="9" t="s">
        <v>66</v>
      </c>
      <c r="E634" s="9" t="str">
        <f>"16230022111"</f>
        <v>16230022111</v>
      </c>
      <c r="F634" s="7">
        <v>82.26</v>
      </c>
      <c r="G634" s="7">
        <v>80.6</v>
      </c>
      <c r="H634" s="7">
        <v>81.26</v>
      </c>
      <c r="I634" s="10"/>
      <c r="J634" s="7">
        <f t="shared" si="57"/>
        <v>81.26</v>
      </c>
      <c r="K634" s="11"/>
    </row>
    <row r="635" spans="1:11" s="1" customFormat="1" ht="15" customHeight="1">
      <c r="A635" s="3">
        <v>632</v>
      </c>
      <c r="B635" s="9" t="str">
        <f>"李诗雨"</f>
        <v>李诗雨</v>
      </c>
      <c r="C635" s="9" t="str">
        <f t="shared" si="59"/>
        <v>1623030310205</v>
      </c>
      <c r="D635" s="9" t="s">
        <v>66</v>
      </c>
      <c r="E635" s="9" t="str">
        <f>"16230022001"</f>
        <v>16230022001</v>
      </c>
      <c r="F635" s="7">
        <v>79.46</v>
      </c>
      <c r="G635" s="7">
        <v>81.8</v>
      </c>
      <c r="H635" s="7">
        <v>80.86</v>
      </c>
      <c r="I635" s="10"/>
      <c r="J635" s="7">
        <f t="shared" si="57"/>
        <v>80.86</v>
      </c>
      <c r="K635" s="11"/>
    </row>
    <row r="636" spans="1:11" s="1" customFormat="1" ht="15" customHeight="1">
      <c r="A636" s="3">
        <v>633</v>
      </c>
      <c r="B636" s="9" t="str">
        <f>"王韵雯"</f>
        <v>王韵雯</v>
      </c>
      <c r="C636" s="9" t="str">
        <f t="shared" si="59"/>
        <v>1623030310205</v>
      </c>
      <c r="D636" s="9" t="s">
        <v>66</v>
      </c>
      <c r="E636" s="9" t="str">
        <f>"16230021710"</f>
        <v>16230021710</v>
      </c>
      <c r="F636" s="7">
        <v>77.5</v>
      </c>
      <c r="G636" s="7">
        <v>83.05</v>
      </c>
      <c r="H636" s="7">
        <v>80.83</v>
      </c>
      <c r="I636" s="10"/>
      <c r="J636" s="7">
        <f t="shared" si="57"/>
        <v>80.83</v>
      </c>
      <c r="K636" s="11"/>
    </row>
    <row r="637" spans="1:11" s="1" customFormat="1" ht="15" customHeight="1">
      <c r="A637" s="3">
        <v>634</v>
      </c>
      <c r="B637" s="9" t="str">
        <f>"宋会敏"</f>
        <v>宋会敏</v>
      </c>
      <c r="C637" s="9" t="str">
        <f t="shared" si="59"/>
        <v>1623030310205</v>
      </c>
      <c r="D637" s="9" t="s">
        <v>66</v>
      </c>
      <c r="E637" s="9" t="str">
        <f>"16230022201"</f>
        <v>16230022201</v>
      </c>
      <c r="F637" s="7">
        <v>78.78</v>
      </c>
      <c r="G637" s="7">
        <v>81.2</v>
      </c>
      <c r="H637" s="7">
        <v>80.23</v>
      </c>
      <c r="I637" s="10"/>
      <c r="J637" s="7">
        <f t="shared" si="57"/>
        <v>80.23</v>
      </c>
      <c r="K637" s="11" t="s">
        <v>84</v>
      </c>
    </row>
    <row r="638" spans="1:11" s="1" customFormat="1" ht="15" customHeight="1">
      <c r="A638" s="3">
        <v>635</v>
      </c>
      <c r="B638" s="9" t="str">
        <f>"王强"</f>
        <v>王强</v>
      </c>
      <c r="C638" s="9" t="str">
        <f aca="true" t="shared" si="60" ref="C638:C655">"1623030310206"</f>
        <v>1623030310206</v>
      </c>
      <c r="D638" s="9" t="s">
        <v>67</v>
      </c>
      <c r="E638" s="9" t="str">
        <f>"16230023308"</f>
        <v>16230023308</v>
      </c>
      <c r="F638" s="7">
        <v>83.46</v>
      </c>
      <c r="G638" s="7">
        <v>97.25</v>
      </c>
      <c r="H638" s="7">
        <v>91.73</v>
      </c>
      <c r="I638" s="10"/>
      <c r="J638" s="7">
        <f t="shared" si="57"/>
        <v>91.73</v>
      </c>
      <c r="K638" s="11"/>
    </row>
    <row r="639" spans="1:11" s="1" customFormat="1" ht="15" customHeight="1">
      <c r="A639" s="3">
        <v>636</v>
      </c>
      <c r="B639" s="9" t="str">
        <f>"刘传胜"</f>
        <v>刘传胜</v>
      </c>
      <c r="C639" s="9" t="str">
        <f t="shared" si="60"/>
        <v>1623030310206</v>
      </c>
      <c r="D639" s="9" t="s">
        <v>67</v>
      </c>
      <c r="E639" s="9" t="str">
        <f>"16230022625"</f>
        <v>16230022625</v>
      </c>
      <c r="F639" s="7">
        <v>84.96</v>
      </c>
      <c r="G639" s="7">
        <v>96.2</v>
      </c>
      <c r="H639" s="7">
        <v>91.7</v>
      </c>
      <c r="I639" s="10"/>
      <c r="J639" s="7">
        <f t="shared" si="57"/>
        <v>91.7</v>
      </c>
      <c r="K639" s="11"/>
    </row>
    <row r="640" spans="1:11" s="1" customFormat="1" ht="15" customHeight="1">
      <c r="A640" s="3">
        <v>637</v>
      </c>
      <c r="B640" s="9" t="str">
        <f>"秦明"</f>
        <v>秦明</v>
      </c>
      <c r="C640" s="9" t="str">
        <f t="shared" si="60"/>
        <v>1623030310206</v>
      </c>
      <c r="D640" s="9" t="s">
        <v>67</v>
      </c>
      <c r="E640" s="9" t="str">
        <f>"16230023204"</f>
        <v>16230023204</v>
      </c>
      <c r="F640" s="7">
        <v>80.7</v>
      </c>
      <c r="G640" s="7">
        <v>98.15</v>
      </c>
      <c r="H640" s="7">
        <v>91.17</v>
      </c>
      <c r="I640" s="10"/>
      <c r="J640" s="7">
        <f t="shared" si="57"/>
        <v>91.17</v>
      </c>
      <c r="K640" s="11"/>
    </row>
    <row r="641" spans="1:11" s="1" customFormat="1" ht="15" customHeight="1">
      <c r="A641" s="3">
        <v>638</v>
      </c>
      <c r="B641" s="9" t="str">
        <f>"王兆勇"</f>
        <v>王兆勇</v>
      </c>
      <c r="C641" s="9" t="str">
        <f t="shared" si="60"/>
        <v>1623030310206</v>
      </c>
      <c r="D641" s="9" t="s">
        <v>67</v>
      </c>
      <c r="E641" s="9" t="str">
        <f>"16230023405"</f>
        <v>16230023405</v>
      </c>
      <c r="F641" s="7">
        <v>86.64</v>
      </c>
      <c r="G641" s="7">
        <v>94.15</v>
      </c>
      <c r="H641" s="7">
        <v>91.15</v>
      </c>
      <c r="I641" s="10"/>
      <c r="J641" s="7">
        <f t="shared" si="57"/>
        <v>91.15</v>
      </c>
      <c r="K641" s="11"/>
    </row>
    <row r="642" spans="1:11" s="1" customFormat="1" ht="15" customHeight="1">
      <c r="A642" s="3">
        <v>639</v>
      </c>
      <c r="B642" s="9" t="str">
        <f>"杨欢欢"</f>
        <v>杨欢欢</v>
      </c>
      <c r="C642" s="9" t="str">
        <f t="shared" si="60"/>
        <v>1623030310206</v>
      </c>
      <c r="D642" s="9" t="s">
        <v>67</v>
      </c>
      <c r="E642" s="9" t="str">
        <f>"16230023609"</f>
        <v>16230023609</v>
      </c>
      <c r="F642" s="7">
        <v>90.8</v>
      </c>
      <c r="G642" s="7">
        <v>89.05</v>
      </c>
      <c r="H642" s="7">
        <v>89.75</v>
      </c>
      <c r="I642" s="10"/>
      <c r="J642" s="7">
        <f t="shared" si="57"/>
        <v>89.75</v>
      </c>
      <c r="K642" s="11"/>
    </row>
    <row r="643" spans="1:11" s="1" customFormat="1" ht="15" customHeight="1">
      <c r="A643" s="3">
        <v>640</v>
      </c>
      <c r="B643" s="9" t="str">
        <f>"耿勇"</f>
        <v>耿勇</v>
      </c>
      <c r="C643" s="9" t="str">
        <f t="shared" si="60"/>
        <v>1623030310206</v>
      </c>
      <c r="D643" s="9" t="s">
        <v>67</v>
      </c>
      <c r="E643" s="9" t="str">
        <f>"16230023029"</f>
        <v>16230023029</v>
      </c>
      <c r="F643" s="7">
        <v>90.96</v>
      </c>
      <c r="G643" s="7">
        <v>88.8</v>
      </c>
      <c r="H643" s="7">
        <v>89.66</v>
      </c>
      <c r="I643" s="10"/>
      <c r="J643" s="7">
        <f t="shared" si="57"/>
        <v>89.66</v>
      </c>
      <c r="K643" s="11"/>
    </row>
    <row r="644" spans="1:11" s="1" customFormat="1" ht="15" customHeight="1">
      <c r="A644" s="3">
        <v>641</v>
      </c>
      <c r="B644" s="9" t="str">
        <f>"李洋洋"</f>
        <v>李洋洋</v>
      </c>
      <c r="C644" s="9" t="str">
        <f t="shared" si="60"/>
        <v>1623030310206</v>
      </c>
      <c r="D644" s="9" t="s">
        <v>67</v>
      </c>
      <c r="E644" s="9" t="str">
        <f>"16230022330"</f>
        <v>16230022330</v>
      </c>
      <c r="F644" s="7">
        <v>86.3</v>
      </c>
      <c r="G644" s="7">
        <v>90.2</v>
      </c>
      <c r="H644" s="7">
        <v>88.64</v>
      </c>
      <c r="I644" s="10"/>
      <c r="J644" s="7">
        <f aca="true" t="shared" si="61" ref="J644:J707">H644+I644</f>
        <v>88.64</v>
      </c>
      <c r="K644" s="11"/>
    </row>
    <row r="645" spans="1:11" s="1" customFormat="1" ht="15" customHeight="1">
      <c r="A645" s="3">
        <v>642</v>
      </c>
      <c r="B645" s="9" t="str">
        <f>"熊飞"</f>
        <v>熊飞</v>
      </c>
      <c r="C645" s="9" t="str">
        <f t="shared" si="60"/>
        <v>1623030310206</v>
      </c>
      <c r="D645" s="9" t="s">
        <v>67</v>
      </c>
      <c r="E645" s="9" t="str">
        <f>"16230023305"</f>
        <v>16230023305</v>
      </c>
      <c r="F645" s="7">
        <v>88.74</v>
      </c>
      <c r="G645" s="7">
        <v>88.45</v>
      </c>
      <c r="H645" s="7">
        <v>88.57</v>
      </c>
      <c r="I645" s="10"/>
      <c r="J645" s="7">
        <f t="shared" si="61"/>
        <v>88.57</v>
      </c>
      <c r="K645" s="11"/>
    </row>
    <row r="646" spans="1:11" s="1" customFormat="1" ht="15" customHeight="1">
      <c r="A646" s="3">
        <v>643</v>
      </c>
      <c r="B646" s="9" t="str">
        <f>"韩文静"</f>
        <v>韩文静</v>
      </c>
      <c r="C646" s="9" t="str">
        <f t="shared" si="60"/>
        <v>1623030310206</v>
      </c>
      <c r="D646" s="9" t="s">
        <v>67</v>
      </c>
      <c r="E646" s="9" t="str">
        <f>"16230022821"</f>
        <v>16230022821</v>
      </c>
      <c r="F646" s="7">
        <v>87.48</v>
      </c>
      <c r="G646" s="7">
        <v>88.55</v>
      </c>
      <c r="H646" s="7">
        <v>88.12</v>
      </c>
      <c r="I646" s="10"/>
      <c r="J646" s="7">
        <f t="shared" si="61"/>
        <v>88.12</v>
      </c>
      <c r="K646" s="11"/>
    </row>
    <row r="647" spans="1:11" s="1" customFormat="1" ht="15" customHeight="1">
      <c r="A647" s="3">
        <v>644</v>
      </c>
      <c r="B647" s="9" t="str">
        <f>"李笑笑"</f>
        <v>李笑笑</v>
      </c>
      <c r="C647" s="9" t="str">
        <f t="shared" si="60"/>
        <v>1623030310206</v>
      </c>
      <c r="D647" s="9" t="s">
        <v>67</v>
      </c>
      <c r="E647" s="9" t="str">
        <f>"16230023230"</f>
        <v>16230023230</v>
      </c>
      <c r="F647" s="7">
        <v>82.4</v>
      </c>
      <c r="G647" s="7">
        <v>91.3</v>
      </c>
      <c r="H647" s="7">
        <v>87.74</v>
      </c>
      <c r="I647" s="10"/>
      <c r="J647" s="7">
        <f t="shared" si="61"/>
        <v>87.74</v>
      </c>
      <c r="K647" s="11"/>
    </row>
    <row r="648" spans="1:11" s="1" customFormat="1" ht="15" customHeight="1">
      <c r="A648" s="3">
        <v>645</v>
      </c>
      <c r="B648" s="9" t="str">
        <f>"赵云栋"</f>
        <v>赵云栋</v>
      </c>
      <c r="C648" s="9" t="str">
        <f t="shared" si="60"/>
        <v>1623030310206</v>
      </c>
      <c r="D648" s="9" t="s">
        <v>67</v>
      </c>
      <c r="E648" s="9" t="str">
        <f>"16230023218"</f>
        <v>16230023218</v>
      </c>
      <c r="F648" s="7">
        <v>80.26</v>
      </c>
      <c r="G648" s="7">
        <v>92.3</v>
      </c>
      <c r="H648" s="7">
        <v>87.48</v>
      </c>
      <c r="I648" s="10"/>
      <c r="J648" s="7">
        <f t="shared" si="61"/>
        <v>87.48</v>
      </c>
      <c r="K648" s="11"/>
    </row>
    <row r="649" spans="1:11" s="1" customFormat="1" ht="15" customHeight="1">
      <c r="A649" s="3">
        <v>646</v>
      </c>
      <c r="B649" s="9" t="str">
        <f>"齐园园"</f>
        <v>齐园园</v>
      </c>
      <c r="C649" s="9" t="str">
        <f t="shared" si="60"/>
        <v>1623030310206</v>
      </c>
      <c r="D649" s="9" t="s">
        <v>67</v>
      </c>
      <c r="E649" s="9" t="str">
        <f>"16230023115"</f>
        <v>16230023115</v>
      </c>
      <c r="F649" s="7">
        <v>81.64</v>
      </c>
      <c r="G649" s="7">
        <v>90.75</v>
      </c>
      <c r="H649" s="7">
        <v>87.11</v>
      </c>
      <c r="I649" s="10"/>
      <c r="J649" s="7">
        <f t="shared" si="61"/>
        <v>87.11</v>
      </c>
      <c r="K649" s="11"/>
    </row>
    <row r="650" spans="1:11" s="1" customFormat="1" ht="15" customHeight="1">
      <c r="A650" s="3">
        <v>647</v>
      </c>
      <c r="B650" s="9" t="str">
        <f>"王帅"</f>
        <v>王帅</v>
      </c>
      <c r="C650" s="9" t="str">
        <f t="shared" si="60"/>
        <v>1623030310206</v>
      </c>
      <c r="D650" s="9" t="s">
        <v>67</v>
      </c>
      <c r="E650" s="9" t="str">
        <f>"16230022308"</f>
        <v>16230022308</v>
      </c>
      <c r="F650" s="7">
        <v>79.9</v>
      </c>
      <c r="G650" s="7">
        <v>90.9</v>
      </c>
      <c r="H650" s="7">
        <v>86.5</v>
      </c>
      <c r="I650" s="10"/>
      <c r="J650" s="7">
        <f t="shared" si="61"/>
        <v>86.5</v>
      </c>
      <c r="K650" s="11"/>
    </row>
    <row r="651" spans="1:11" s="1" customFormat="1" ht="15" customHeight="1">
      <c r="A651" s="3">
        <v>648</v>
      </c>
      <c r="B651" s="9" t="str">
        <f>"程卓"</f>
        <v>程卓</v>
      </c>
      <c r="C651" s="9" t="str">
        <f t="shared" si="60"/>
        <v>1623030310206</v>
      </c>
      <c r="D651" s="9" t="s">
        <v>67</v>
      </c>
      <c r="E651" s="9" t="str">
        <f>"16230022229"</f>
        <v>16230022229</v>
      </c>
      <c r="F651" s="7">
        <v>83.56</v>
      </c>
      <c r="G651" s="7">
        <v>87.75</v>
      </c>
      <c r="H651" s="7">
        <v>86.07</v>
      </c>
      <c r="I651" s="10"/>
      <c r="J651" s="7">
        <f t="shared" si="61"/>
        <v>86.07</v>
      </c>
      <c r="K651" s="11"/>
    </row>
    <row r="652" spans="1:11" s="1" customFormat="1" ht="15" customHeight="1">
      <c r="A652" s="3">
        <v>649</v>
      </c>
      <c r="B652" s="9" t="str">
        <f>"代丽丽"</f>
        <v>代丽丽</v>
      </c>
      <c r="C652" s="9" t="str">
        <f t="shared" si="60"/>
        <v>1623030310206</v>
      </c>
      <c r="D652" s="9" t="s">
        <v>67</v>
      </c>
      <c r="E652" s="9" t="str">
        <f>"16230022512"</f>
        <v>16230022512</v>
      </c>
      <c r="F652" s="7">
        <v>87.38</v>
      </c>
      <c r="G652" s="7">
        <v>85.1</v>
      </c>
      <c r="H652" s="7">
        <v>86.01</v>
      </c>
      <c r="I652" s="10"/>
      <c r="J652" s="7">
        <f t="shared" si="61"/>
        <v>86.01</v>
      </c>
      <c r="K652" s="11"/>
    </row>
    <row r="653" spans="1:11" s="1" customFormat="1" ht="15" customHeight="1">
      <c r="A653" s="3">
        <v>650</v>
      </c>
      <c r="B653" s="9" t="str">
        <f>"尹茹"</f>
        <v>尹茹</v>
      </c>
      <c r="C653" s="9" t="str">
        <f t="shared" si="60"/>
        <v>1623030310206</v>
      </c>
      <c r="D653" s="9" t="s">
        <v>67</v>
      </c>
      <c r="E653" s="9" t="str">
        <f>"16230023114"</f>
        <v>16230023114</v>
      </c>
      <c r="F653" s="7">
        <v>84.12</v>
      </c>
      <c r="G653" s="7">
        <v>87.05</v>
      </c>
      <c r="H653" s="7">
        <v>85.88</v>
      </c>
      <c r="I653" s="10"/>
      <c r="J653" s="7">
        <f t="shared" si="61"/>
        <v>85.88</v>
      </c>
      <c r="K653" s="11"/>
    </row>
    <row r="654" spans="1:11" s="1" customFormat="1" ht="15" customHeight="1">
      <c r="A654" s="3">
        <v>651</v>
      </c>
      <c r="B654" s="9" t="str">
        <f>"张飞龙"</f>
        <v>张飞龙</v>
      </c>
      <c r="C654" s="9" t="str">
        <f t="shared" si="60"/>
        <v>1623030310206</v>
      </c>
      <c r="D654" s="9" t="s">
        <v>67</v>
      </c>
      <c r="E654" s="9" t="str">
        <f>"16230022426"</f>
        <v>16230022426</v>
      </c>
      <c r="F654" s="7">
        <v>74.82</v>
      </c>
      <c r="G654" s="7">
        <v>92.95</v>
      </c>
      <c r="H654" s="7">
        <v>85.7</v>
      </c>
      <c r="I654" s="10"/>
      <c r="J654" s="7">
        <f t="shared" si="61"/>
        <v>85.7</v>
      </c>
      <c r="K654" s="11"/>
    </row>
    <row r="655" spans="1:11" s="1" customFormat="1" ht="15" customHeight="1">
      <c r="A655" s="3">
        <v>652</v>
      </c>
      <c r="B655" s="9" t="str">
        <f>"谷嫚嫚"</f>
        <v>谷嫚嫚</v>
      </c>
      <c r="C655" s="9" t="str">
        <f t="shared" si="60"/>
        <v>1623030310206</v>
      </c>
      <c r="D655" s="9" t="s">
        <v>67</v>
      </c>
      <c r="E655" s="9" t="str">
        <f>"16230023511"</f>
        <v>16230023511</v>
      </c>
      <c r="F655" s="7">
        <v>88.2</v>
      </c>
      <c r="G655" s="7">
        <v>83.95</v>
      </c>
      <c r="H655" s="7">
        <v>85.65</v>
      </c>
      <c r="I655" s="10"/>
      <c r="J655" s="7">
        <f t="shared" si="61"/>
        <v>85.65</v>
      </c>
      <c r="K655" s="11"/>
    </row>
    <row r="656" spans="1:11" s="1" customFormat="1" ht="15" customHeight="1">
      <c r="A656" s="3">
        <v>653</v>
      </c>
      <c r="B656" s="9" t="str">
        <f>"刘强"</f>
        <v>刘强</v>
      </c>
      <c r="C656" s="9" t="str">
        <f aca="true" t="shared" si="62" ref="C656:C673">"1623030310207"</f>
        <v>1623030310207</v>
      </c>
      <c r="D656" s="9" t="s">
        <v>68</v>
      </c>
      <c r="E656" s="9" t="str">
        <f>"16230023830"</f>
        <v>16230023830</v>
      </c>
      <c r="F656" s="7">
        <v>84.76</v>
      </c>
      <c r="G656" s="7">
        <v>96</v>
      </c>
      <c r="H656" s="7">
        <v>91.5</v>
      </c>
      <c r="I656" s="10"/>
      <c r="J656" s="7">
        <f t="shared" si="61"/>
        <v>91.5</v>
      </c>
      <c r="K656" s="11"/>
    </row>
    <row r="657" spans="1:11" s="1" customFormat="1" ht="15" customHeight="1">
      <c r="A657" s="3">
        <v>654</v>
      </c>
      <c r="B657" s="9" t="str">
        <f>"牛梦晴"</f>
        <v>牛梦晴</v>
      </c>
      <c r="C657" s="9" t="str">
        <f t="shared" si="62"/>
        <v>1623030310207</v>
      </c>
      <c r="D657" s="9" t="s">
        <v>68</v>
      </c>
      <c r="E657" s="9" t="str">
        <f>"16230023821"</f>
        <v>16230023821</v>
      </c>
      <c r="F657" s="7">
        <v>88.92</v>
      </c>
      <c r="G657" s="7">
        <v>83.15</v>
      </c>
      <c r="H657" s="7">
        <v>85.46</v>
      </c>
      <c r="I657" s="10"/>
      <c r="J657" s="7">
        <f t="shared" si="61"/>
        <v>85.46</v>
      </c>
      <c r="K657" s="11"/>
    </row>
    <row r="658" spans="1:11" s="1" customFormat="1" ht="15" customHeight="1">
      <c r="A658" s="3">
        <v>655</v>
      </c>
      <c r="B658" s="9" t="str">
        <f>"纪晴"</f>
        <v>纪晴</v>
      </c>
      <c r="C658" s="9" t="str">
        <f t="shared" si="62"/>
        <v>1623030310207</v>
      </c>
      <c r="D658" s="9" t="s">
        <v>68</v>
      </c>
      <c r="E658" s="9" t="str">
        <f>"16230023905"</f>
        <v>16230023905</v>
      </c>
      <c r="F658" s="7">
        <v>79.34</v>
      </c>
      <c r="G658" s="7">
        <v>89.5</v>
      </c>
      <c r="H658" s="7">
        <v>85.44</v>
      </c>
      <c r="I658" s="10"/>
      <c r="J658" s="7">
        <f t="shared" si="61"/>
        <v>85.44</v>
      </c>
      <c r="K658" s="11"/>
    </row>
    <row r="659" spans="1:11" s="1" customFormat="1" ht="15" customHeight="1">
      <c r="A659" s="3">
        <v>656</v>
      </c>
      <c r="B659" s="9" t="str">
        <f>"江悦长"</f>
        <v>江悦长</v>
      </c>
      <c r="C659" s="9" t="str">
        <f t="shared" si="62"/>
        <v>1623030310207</v>
      </c>
      <c r="D659" s="9" t="s">
        <v>68</v>
      </c>
      <c r="E659" s="9" t="str">
        <f>"16230023904"</f>
        <v>16230023904</v>
      </c>
      <c r="F659" s="7">
        <v>82.84</v>
      </c>
      <c r="G659" s="7">
        <v>84.7</v>
      </c>
      <c r="H659" s="7">
        <v>83.96</v>
      </c>
      <c r="I659" s="10"/>
      <c r="J659" s="7">
        <f t="shared" si="61"/>
        <v>83.96</v>
      </c>
      <c r="K659" s="11"/>
    </row>
    <row r="660" spans="1:11" s="1" customFormat="1" ht="15" customHeight="1">
      <c r="A660" s="3">
        <v>657</v>
      </c>
      <c r="B660" s="9" t="str">
        <f>"马孟娟"</f>
        <v>马孟娟</v>
      </c>
      <c r="C660" s="9" t="str">
        <f t="shared" si="62"/>
        <v>1623030310207</v>
      </c>
      <c r="D660" s="9" t="s">
        <v>68</v>
      </c>
      <c r="E660" s="9" t="str">
        <f>"16230023804"</f>
        <v>16230023804</v>
      </c>
      <c r="F660" s="7">
        <v>83.46</v>
      </c>
      <c r="G660" s="7">
        <v>83.65</v>
      </c>
      <c r="H660" s="7">
        <v>83.57</v>
      </c>
      <c r="I660" s="10"/>
      <c r="J660" s="7">
        <f t="shared" si="61"/>
        <v>83.57</v>
      </c>
      <c r="K660" s="11"/>
    </row>
    <row r="661" spans="1:11" s="1" customFormat="1" ht="15" customHeight="1">
      <c r="A661" s="3">
        <v>658</v>
      </c>
      <c r="B661" s="9" t="str">
        <f>"马阿慧"</f>
        <v>马阿慧</v>
      </c>
      <c r="C661" s="9" t="str">
        <f t="shared" si="62"/>
        <v>1623030310207</v>
      </c>
      <c r="D661" s="9" t="s">
        <v>68</v>
      </c>
      <c r="E661" s="9" t="str">
        <f>"16230023921"</f>
        <v>16230023921</v>
      </c>
      <c r="F661" s="7">
        <v>81.8</v>
      </c>
      <c r="G661" s="7">
        <v>84.5</v>
      </c>
      <c r="H661" s="7">
        <v>83.42</v>
      </c>
      <c r="I661" s="10"/>
      <c r="J661" s="7">
        <f t="shared" si="61"/>
        <v>83.42</v>
      </c>
      <c r="K661" s="11"/>
    </row>
    <row r="662" spans="1:11" s="1" customFormat="1" ht="15" customHeight="1">
      <c r="A662" s="3">
        <v>659</v>
      </c>
      <c r="B662" s="9" t="str">
        <f>"陈维东"</f>
        <v>陈维东</v>
      </c>
      <c r="C662" s="9" t="str">
        <f t="shared" si="62"/>
        <v>1623030310207</v>
      </c>
      <c r="D662" s="9" t="s">
        <v>68</v>
      </c>
      <c r="E662" s="9" t="str">
        <f>"16230024225"</f>
        <v>16230024225</v>
      </c>
      <c r="F662" s="7">
        <v>81.14</v>
      </c>
      <c r="G662" s="7">
        <v>84.4</v>
      </c>
      <c r="H662" s="7">
        <v>83.1</v>
      </c>
      <c r="I662" s="10"/>
      <c r="J662" s="7">
        <f t="shared" si="61"/>
        <v>83.1</v>
      </c>
      <c r="K662" s="11"/>
    </row>
    <row r="663" spans="1:11" s="1" customFormat="1" ht="15" customHeight="1">
      <c r="A663" s="3">
        <v>660</v>
      </c>
      <c r="B663" s="9" t="str">
        <f>"曹倩倩"</f>
        <v>曹倩倩</v>
      </c>
      <c r="C663" s="9" t="str">
        <f t="shared" si="62"/>
        <v>1623030310207</v>
      </c>
      <c r="D663" s="9" t="s">
        <v>68</v>
      </c>
      <c r="E663" s="9" t="str">
        <f>"16230024224"</f>
        <v>16230024224</v>
      </c>
      <c r="F663" s="7">
        <v>83.02</v>
      </c>
      <c r="G663" s="7">
        <v>83.05</v>
      </c>
      <c r="H663" s="7">
        <v>83.04</v>
      </c>
      <c r="I663" s="10"/>
      <c r="J663" s="7">
        <f t="shared" si="61"/>
        <v>83.04</v>
      </c>
      <c r="K663" s="11"/>
    </row>
    <row r="664" spans="1:11" s="1" customFormat="1" ht="15" customHeight="1">
      <c r="A664" s="3">
        <v>661</v>
      </c>
      <c r="B664" s="9" t="str">
        <f>"朱梦芸"</f>
        <v>朱梦芸</v>
      </c>
      <c r="C664" s="9" t="str">
        <f t="shared" si="62"/>
        <v>1623030310207</v>
      </c>
      <c r="D664" s="9" t="s">
        <v>68</v>
      </c>
      <c r="E664" s="9" t="str">
        <f>"16230024024"</f>
        <v>16230024024</v>
      </c>
      <c r="F664" s="7">
        <v>82.42</v>
      </c>
      <c r="G664" s="7">
        <v>83.2</v>
      </c>
      <c r="H664" s="7">
        <v>82.89</v>
      </c>
      <c r="I664" s="10"/>
      <c r="J664" s="7">
        <f t="shared" si="61"/>
        <v>82.89</v>
      </c>
      <c r="K664" s="11"/>
    </row>
    <row r="665" spans="1:11" s="1" customFormat="1" ht="15" customHeight="1">
      <c r="A665" s="3">
        <v>662</v>
      </c>
      <c r="B665" s="9" t="str">
        <f>"杨伟凤"</f>
        <v>杨伟凤</v>
      </c>
      <c r="C665" s="9" t="str">
        <f t="shared" si="62"/>
        <v>1623030310207</v>
      </c>
      <c r="D665" s="9" t="s">
        <v>68</v>
      </c>
      <c r="E665" s="9" t="str">
        <f>"16230023914"</f>
        <v>16230023914</v>
      </c>
      <c r="F665" s="7">
        <v>85.66</v>
      </c>
      <c r="G665" s="7">
        <v>79.85</v>
      </c>
      <c r="H665" s="7">
        <v>82.17</v>
      </c>
      <c r="I665" s="10"/>
      <c r="J665" s="7">
        <f t="shared" si="61"/>
        <v>82.17</v>
      </c>
      <c r="K665" s="11"/>
    </row>
    <row r="666" spans="1:11" s="1" customFormat="1" ht="15" customHeight="1">
      <c r="A666" s="3">
        <v>663</v>
      </c>
      <c r="B666" s="9" t="str">
        <f>"范淑豪"</f>
        <v>范淑豪</v>
      </c>
      <c r="C666" s="9" t="str">
        <f t="shared" si="62"/>
        <v>1623030310207</v>
      </c>
      <c r="D666" s="9" t="s">
        <v>68</v>
      </c>
      <c r="E666" s="9" t="str">
        <f>"16230023717"</f>
        <v>16230023717</v>
      </c>
      <c r="F666" s="7">
        <v>79.18</v>
      </c>
      <c r="G666" s="7">
        <v>83.25</v>
      </c>
      <c r="H666" s="7">
        <v>81.62</v>
      </c>
      <c r="I666" s="10"/>
      <c r="J666" s="7">
        <f t="shared" si="61"/>
        <v>81.62</v>
      </c>
      <c r="K666" s="11"/>
    </row>
    <row r="667" spans="1:11" s="1" customFormat="1" ht="15" customHeight="1">
      <c r="A667" s="3">
        <v>664</v>
      </c>
      <c r="B667" s="9" t="str">
        <f>"田雪莉"</f>
        <v>田雪莉</v>
      </c>
      <c r="C667" s="9" t="str">
        <f t="shared" si="62"/>
        <v>1623030310207</v>
      </c>
      <c r="D667" s="9" t="s">
        <v>68</v>
      </c>
      <c r="E667" s="9" t="str">
        <f>"16230023924"</f>
        <v>16230023924</v>
      </c>
      <c r="F667" s="7">
        <v>81.68</v>
      </c>
      <c r="G667" s="7">
        <v>80.6</v>
      </c>
      <c r="H667" s="7">
        <v>81.03</v>
      </c>
      <c r="I667" s="10"/>
      <c r="J667" s="7">
        <f t="shared" si="61"/>
        <v>81.03</v>
      </c>
      <c r="K667" s="11"/>
    </row>
    <row r="668" spans="1:11" s="1" customFormat="1" ht="15" customHeight="1">
      <c r="A668" s="3">
        <v>665</v>
      </c>
      <c r="B668" s="9" t="str">
        <f>"耿莹莹"</f>
        <v>耿莹莹</v>
      </c>
      <c r="C668" s="9" t="str">
        <f t="shared" si="62"/>
        <v>1623030310207</v>
      </c>
      <c r="D668" s="9" t="s">
        <v>68</v>
      </c>
      <c r="E668" s="9" t="str">
        <f>"16230024021"</f>
        <v>16230024021</v>
      </c>
      <c r="F668" s="7">
        <v>82.72</v>
      </c>
      <c r="G668" s="7">
        <v>79.7</v>
      </c>
      <c r="H668" s="7">
        <v>80.91</v>
      </c>
      <c r="I668" s="10"/>
      <c r="J668" s="7">
        <f t="shared" si="61"/>
        <v>80.91</v>
      </c>
      <c r="K668" s="11"/>
    </row>
    <row r="669" spans="1:11" s="1" customFormat="1" ht="15" customHeight="1">
      <c r="A669" s="3">
        <v>666</v>
      </c>
      <c r="B669" s="9" t="str">
        <f>"刘舒敏"</f>
        <v>刘舒敏</v>
      </c>
      <c r="C669" s="9" t="str">
        <f t="shared" si="62"/>
        <v>1623030310207</v>
      </c>
      <c r="D669" s="9" t="s">
        <v>68</v>
      </c>
      <c r="E669" s="9" t="str">
        <f>"16230024203"</f>
        <v>16230024203</v>
      </c>
      <c r="F669" s="7">
        <v>75.5</v>
      </c>
      <c r="G669" s="7">
        <v>83.2</v>
      </c>
      <c r="H669" s="7">
        <v>80.12</v>
      </c>
      <c r="I669" s="10"/>
      <c r="J669" s="7">
        <f t="shared" si="61"/>
        <v>80.12</v>
      </c>
      <c r="K669" s="11"/>
    </row>
    <row r="670" spans="1:11" s="1" customFormat="1" ht="15" customHeight="1">
      <c r="A670" s="3">
        <v>667</v>
      </c>
      <c r="B670" s="9" t="str">
        <f>"凡永慧"</f>
        <v>凡永慧</v>
      </c>
      <c r="C670" s="9" t="str">
        <f t="shared" si="62"/>
        <v>1623030310207</v>
      </c>
      <c r="D670" s="9" t="s">
        <v>68</v>
      </c>
      <c r="E670" s="9" t="str">
        <f>"16230023727"</f>
        <v>16230023727</v>
      </c>
      <c r="F670" s="7">
        <v>85.76</v>
      </c>
      <c r="G670" s="7">
        <v>75.6</v>
      </c>
      <c r="H670" s="7">
        <v>79.66</v>
      </c>
      <c r="I670" s="10"/>
      <c r="J670" s="7">
        <f t="shared" si="61"/>
        <v>79.66</v>
      </c>
      <c r="K670" s="11"/>
    </row>
    <row r="671" spans="1:11" s="1" customFormat="1" ht="15" customHeight="1">
      <c r="A671" s="3">
        <v>668</v>
      </c>
      <c r="B671" s="9" t="str">
        <f>"王万利"</f>
        <v>王万利</v>
      </c>
      <c r="C671" s="9" t="str">
        <f t="shared" si="62"/>
        <v>1623030310207</v>
      </c>
      <c r="D671" s="9" t="s">
        <v>68</v>
      </c>
      <c r="E671" s="9" t="str">
        <f>"16230023725"</f>
        <v>16230023725</v>
      </c>
      <c r="F671" s="7">
        <v>77.88</v>
      </c>
      <c r="G671" s="7">
        <v>80.65</v>
      </c>
      <c r="H671" s="7">
        <v>79.54</v>
      </c>
      <c r="I671" s="10"/>
      <c r="J671" s="7">
        <f t="shared" si="61"/>
        <v>79.54</v>
      </c>
      <c r="K671" s="11"/>
    </row>
    <row r="672" spans="1:11" s="1" customFormat="1" ht="15" customHeight="1">
      <c r="A672" s="3">
        <v>669</v>
      </c>
      <c r="B672" s="9" t="str">
        <f>"闫晴晴"</f>
        <v>闫晴晴</v>
      </c>
      <c r="C672" s="9" t="str">
        <f t="shared" si="62"/>
        <v>1623030310207</v>
      </c>
      <c r="D672" s="9" t="s">
        <v>68</v>
      </c>
      <c r="E672" s="9" t="str">
        <f>"16230023817"</f>
        <v>16230023817</v>
      </c>
      <c r="F672" s="7">
        <v>86.68</v>
      </c>
      <c r="G672" s="7">
        <v>74.35</v>
      </c>
      <c r="H672" s="7">
        <v>79.28</v>
      </c>
      <c r="I672" s="10"/>
      <c r="J672" s="7">
        <f t="shared" si="61"/>
        <v>79.28</v>
      </c>
      <c r="K672" s="11" t="s">
        <v>84</v>
      </c>
    </row>
    <row r="673" spans="1:11" s="1" customFormat="1" ht="15" customHeight="1">
      <c r="A673" s="3">
        <v>670</v>
      </c>
      <c r="B673" s="9" t="str">
        <f>"陈莉华"</f>
        <v>陈莉华</v>
      </c>
      <c r="C673" s="9" t="str">
        <f t="shared" si="62"/>
        <v>1623030310207</v>
      </c>
      <c r="D673" s="9" t="s">
        <v>68</v>
      </c>
      <c r="E673" s="9" t="str">
        <f>"16230023818"</f>
        <v>16230023818</v>
      </c>
      <c r="F673" s="7">
        <v>76.78</v>
      </c>
      <c r="G673" s="7">
        <v>80.65</v>
      </c>
      <c r="H673" s="7">
        <v>79.1</v>
      </c>
      <c r="I673" s="10"/>
      <c r="J673" s="7">
        <f t="shared" si="61"/>
        <v>79.1</v>
      </c>
      <c r="K673" s="11" t="s">
        <v>84</v>
      </c>
    </row>
    <row r="674" spans="1:11" s="1" customFormat="1" ht="15" customHeight="1">
      <c r="A674" s="3">
        <v>671</v>
      </c>
      <c r="B674" s="9" t="str">
        <f>"马秀娟"</f>
        <v>马秀娟</v>
      </c>
      <c r="C674" s="9" t="str">
        <f aca="true" t="shared" si="63" ref="C674:C689">"1623030310208"</f>
        <v>1623030310208</v>
      </c>
      <c r="D674" s="9" t="s">
        <v>69</v>
      </c>
      <c r="E674" s="9" t="str">
        <f>"16230025127"</f>
        <v>16230025127</v>
      </c>
      <c r="F674" s="7">
        <v>89.12</v>
      </c>
      <c r="G674" s="7">
        <v>94.25</v>
      </c>
      <c r="H674" s="7">
        <v>92.2</v>
      </c>
      <c r="I674" s="10"/>
      <c r="J674" s="7">
        <f t="shared" si="61"/>
        <v>92.2</v>
      </c>
      <c r="K674" s="11"/>
    </row>
    <row r="675" spans="1:11" s="1" customFormat="1" ht="15" customHeight="1">
      <c r="A675" s="3">
        <v>672</v>
      </c>
      <c r="B675" s="9" t="str">
        <f>"袁笑笑"</f>
        <v>袁笑笑</v>
      </c>
      <c r="C675" s="9" t="str">
        <f t="shared" si="63"/>
        <v>1623030310208</v>
      </c>
      <c r="D675" s="9" t="s">
        <v>69</v>
      </c>
      <c r="E675" s="9" t="str">
        <f>"16230024622"</f>
        <v>16230024622</v>
      </c>
      <c r="F675" s="7">
        <v>89.2</v>
      </c>
      <c r="G675" s="7">
        <v>90.1</v>
      </c>
      <c r="H675" s="7">
        <v>89.74</v>
      </c>
      <c r="I675" s="10"/>
      <c r="J675" s="7">
        <f t="shared" si="61"/>
        <v>89.74</v>
      </c>
      <c r="K675" s="11"/>
    </row>
    <row r="676" spans="1:11" s="1" customFormat="1" ht="15" customHeight="1">
      <c r="A676" s="3">
        <v>673</v>
      </c>
      <c r="B676" s="9" t="str">
        <f>"王永俊"</f>
        <v>王永俊</v>
      </c>
      <c r="C676" s="9" t="str">
        <f t="shared" si="63"/>
        <v>1623030310208</v>
      </c>
      <c r="D676" s="9" t="s">
        <v>69</v>
      </c>
      <c r="E676" s="9" t="str">
        <f>"16230024318"</f>
        <v>16230024318</v>
      </c>
      <c r="F676" s="7">
        <v>84.24</v>
      </c>
      <c r="G676" s="7">
        <v>93.1</v>
      </c>
      <c r="H676" s="7">
        <v>89.56</v>
      </c>
      <c r="I676" s="10"/>
      <c r="J676" s="7">
        <f t="shared" si="61"/>
        <v>89.56</v>
      </c>
      <c r="K676" s="11"/>
    </row>
    <row r="677" spans="1:11" s="1" customFormat="1" ht="15" customHeight="1">
      <c r="A677" s="3">
        <v>674</v>
      </c>
      <c r="B677" s="9" t="str">
        <f>"李亚萍"</f>
        <v>李亚萍</v>
      </c>
      <c r="C677" s="9" t="str">
        <f t="shared" si="63"/>
        <v>1623030310208</v>
      </c>
      <c r="D677" s="9" t="s">
        <v>69</v>
      </c>
      <c r="E677" s="9" t="str">
        <f>"16230025222"</f>
        <v>16230025222</v>
      </c>
      <c r="F677" s="7">
        <v>86.72</v>
      </c>
      <c r="G677" s="7">
        <v>91.05</v>
      </c>
      <c r="H677" s="7">
        <v>89.32</v>
      </c>
      <c r="I677" s="10"/>
      <c r="J677" s="7">
        <f t="shared" si="61"/>
        <v>89.32</v>
      </c>
      <c r="K677" s="11"/>
    </row>
    <row r="678" spans="1:11" s="1" customFormat="1" ht="15" customHeight="1">
      <c r="A678" s="3">
        <v>675</v>
      </c>
      <c r="B678" s="9" t="str">
        <f>"张慧"</f>
        <v>张慧</v>
      </c>
      <c r="C678" s="9" t="str">
        <f t="shared" si="63"/>
        <v>1623030310208</v>
      </c>
      <c r="D678" s="9" t="s">
        <v>69</v>
      </c>
      <c r="E678" s="9" t="str">
        <f>"16230024513"</f>
        <v>16230024513</v>
      </c>
      <c r="F678" s="7">
        <v>82.6</v>
      </c>
      <c r="G678" s="7">
        <v>91.45</v>
      </c>
      <c r="H678" s="7">
        <v>87.91</v>
      </c>
      <c r="I678" s="10"/>
      <c r="J678" s="7">
        <f t="shared" si="61"/>
        <v>87.91</v>
      </c>
      <c r="K678" s="11"/>
    </row>
    <row r="679" spans="1:11" s="1" customFormat="1" ht="15" customHeight="1">
      <c r="A679" s="3">
        <v>676</v>
      </c>
      <c r="B679" s="9" t="str">
        <f>"王晓亮"</f>
        <v>王晓亮</v>
      </c>
      <c r="C679" s="9" t="str">
        <f t="shared" si="63"/>
        <v>1623030310208</v>
      </c>
      <c r="D679" s="9" t="s">
        <v>69</v>
      </c>
      <c r="E679" s="9" t="str">
        <f>"16230024524"</f>
        <v>16230024524</v>
      </c>
      <c r="F679" s="7">
        <v>82.92</v>
      </c>
      <c r="G679" s="7">
        <v>90.9</v>
      </c>
      <c r="H679" s="7">
        <v>87.71</v>
      </c>
      <c r="I679" s="10"/>
      <c r="J679" s="7">
        <f t="shared" si="61"/>
        <v>87.71</v>
      </c>
      <c r="K679" s="11"/>
    </row>
    <row r="680" spans="1:11" s="1" customFormat="1" ht="15" customHeight="1">
      <c r="A680" s="3">
        <v>677</v>
      </c>
      <c r="B680" s="9" t="str">
        <f>"丁俊闯"</f>
        <v>丁俊闯</v>
      </c>
      <c r="C680" s="9" t="str">
        <f t="shared" si="63"/>
        <v>1623030310208</v>
      </c>
      <c r="D680" s="9" t="s">
        <v>69</v>
      </c>
      <c r="E680" s="9" t="str">
        <f>"16230024727"</f>
        <v>16230024727</v>
      </c>
      <c r="F680" s="7">
        <v>84.66</v>
      </c>
      <c r="G680" s="7">
        <v>88.8</v>
      </c>
      <c r="H680" s="7">
        <v>87.14</v>
      </c>
      <c r="I680" s="10"/>
      <c r="J680" s="7">
        <f t="shared" si="61"/>
        <v>87.14</v>
      </c>
      <c r="K680" s="11"/>
    </row>
    <row r="681" spans="1:11" s="1" customFormat="1" ht="15" customHeight="1">
      <c r="A681" s="3">
        <v>678</v>
      </c>
      <c r="B681" s="9" t="str">
        <f>"孟勇"</f>
        <v>孟勇</v>
      </c>
      <c r="C681" s="9" t="str">
        <f t="shared" si="63"/>
        <v>1623030310208</v>
      </c>
      <c r="D681" s="9" t="s">
        <v>69</v>
      </c>
      <c r="E681" s="9" t="str">
        <f>"16230025017"</f>
        <v>16230025017</v>
      </c>
      <c r="F681" s="7">
        <v>80.24</v>
      </c>
      <c r="G681" s="7">
        <v>91.2</v>
      </c>
      <c r="H681" s="7">
        <v>86.82</v>
      </c>
      <c r="I681" s="10"/>
      <c r="J681" s="7">
        <f t="shared" si="61"/>
        <v>86.82</v>
      </c>
      <c r="K681" s="11"/>
    </row>
    <row r="682" spans="1:11" s="1" customFormat="1" ht="15" customHeight="1">
      <c r="A682" s="3">
        <v>679</v>
      </c>
      <c r="B682" s="9" t="str">
        <f>"刘园园"</f>
        <v>刘园园</v>
      </c>
      <c r="C682" s="9" t="str">
        <f t="shared" si="63"/>
        <v>1623030310208</v>
      </c>
      <c r="D682" s="9" t="s">
        <v>69</v>
      </c>
      <c r="E682" s="9" t="str">
        <f>"16230025628"</f>
        <v>16230025628</v>
      </c>
      <c r="F682" s="7">
        <v>87.52</v>
      </c>
      <c r="G682" s="7">
        <v>86.35</v>
      </c>
      <c r="H682" s="7">
        <v>86.82</v>
      </c>
      <c r="I682" s="10"/>
      <c r="J682" s="7">
        <f t="shared" si="61"/>
        <v>86.82</v>
      </c>
      <c r="K682" s="11"/>
    </row>
    <row r="683" spans="1:11" s="1" customFormat="1" ht="15" customHeight="1">
      <c r="A683" s="3">
        <v>680</v>
      </c>
      <c r="B683" s="9" t="str">
        <f>"黄晨晨"</f>
        <v>黄晨晨</v>
      </c>
      <c r="C683" s="9" t="str">
        <f t="shared" si="63"/>
        <v>1623030310208</v>
      </c>
      <c r="D683" s="9" t="s">
        <v>69</v>
      </c>
      <c r="E683" s="9" t="str">
        <f>"16230024401"</f>
        <v>16230024401</v>
      </c>
      <c r="F683" s="7">
        <v>82.86</v>
      </c>
      <c r="G683" s="7">
        <v>88.6</v>
      </c>
      <c r="H683" s="7">
        <v>86.3</v>
      </c>
      <c r="I683" s="10"/>
      <c r="J683" s="7">
        <f t="shared" si="61"/>
        <v>86.3</v>
      </c>
      <c r="K683" s="11"/>
    </row>
    <row r="684" spans="1:11" s="1" customFormat="1" ht="15" customHeight="1">
      <c r="A684" s="3">
        <v>681</v>
      </c>
      <c r="B684" s="9" t="str">
        <f>"张丽梅"</f>
        <v>张丽梅</v>
      </c>
      <c r="C684" s="9" t="str">
        <f t="shared" si="63"/>
        <v>1623030310208</v>
      </c>
      <c r="D684" s="9" t="s">
        <v>69</v>
      </c>
      <c r="E684" s="9" t="str">
        <f>"16230025520"</f>
        <v>16230025520</v>
      </c>
      <c r="F684" s="7">
        <v>90.6</v>
      </c>
      <c r="G684" s="7">
        <v>82.9</v>
      </c>
      <c r="H684" s="7">
        <v>85.98</v>
      </c>
      <c r="I684" s="10"/>
      <c r="J684" s="7">
        <f t="shared" si="61"/>
        <v>85.98</v>
      </c>
      <c r="K684" s="11"/>
    </row>
    <row r="685" spans="1:11" s="1" customFormat="1" ht="15" customHeight="1">
      <c r="A685" s="3">
        <v>682</v>
      </c>
      <c r="B685" s="9" t="str">
        <f>"张奇"</f>
        <v>张奇</v>
      </c>
      <c r="C685" s="9" t="str">
        <f t="shared" si="63"/>
        <v>1623030310208</v>
      </c>
      <c r="D685" s="9" t="s">
        <v>69</v>
      </c>
      <c r="E685" s="9" t="str">
        <f>"16230025001"</f>
        <v>16230025001</v>
      </c>
      <c r="F685" s="7">
        <v>77</v>
      </c>
      <c r="G685" s="7">
        <v>91.95</v>
      </c>
      <c r="H685" s="7">
        <v>85.97</v>
      </c>
      <c r="I685" s="10"/>
      <c r="J685" s="7">
        <f t="shared" si="61"/>
        <v>85.97</v>
      </c>
      <c r="K685" s="11"/>
    </row>
    <row r="686" spans="1:11" s="1" customFormat="1" ht="15" customHeight="1">
      <c r="A686" s="3">
        <v>683</v>
      </c>
      <c r="B686" s="9" t="str">
        <f>"孙松"</f>
        <v>孙松</v>
      </c>
      <c r="C686" s="9" t="str">
        <f t="shared" si="63"/>
        <v>1623030310208</v>
      </c>
      <c r="D686" s="9" t="s">
        <v>69</v>
      </c>
      <c r="E686" s="9" t="str">
        <f>"16230024810"</f>
        <v>16230024810</v>
      </c>
      <c r="F686" s="7">
        <v>78.98</v>
      </c>
      <c r="G686" s="7">
        <v>90.6</v>
      </c>
      <c r="H686" s="7">
        <v>85.95</v>
      </c>
      <c r="I686" s="10"/>
      <c r="J686" s="7">
        <f t="shared" si="61"/>
        <v>85.95</v>
      </c>
      <c r="K686" s="11"/>
    </row>
    <row r="687" spans="1:11" s="1" customFormat="1" ht="15" customHeight="1">
      <c r="A687" s="3">
        <v>684</v>
      </c>
      <c r="B687" s="9" t="str">
        <f>"唐金丽"</f>
        <v>唐金丽</v>
      </c>
      <c r="C687" s="9" t="str">
        <f t="shared" si="63"/>
        <v>1623030310208</v>
      </c>
      <c r="D687" s="9" t="s">
        <v>69</v>
      </c>
      <c r="E687" s="9" t="str">
        <f>"16230025119"</f>
        <v>16230025119</v>
      </c>
      <c r="F687" s="7">
        <v>91.82</v>
      </c>
      <c r="G687" s="7">
        <v>81.95</v>
      </c>
      <c r="H687" s="7">
        <v>85.9</v>
      </c>
      <c r="I687" s="10"/>
      <c r="J687" s="7">
        <f t="shared" si="61"/>
        <v>85.9</v>
      </c>
      <c r="K687" s="11"/>
    </row>
    <row r="688" spans="1:11" s="1" customFormat="1" ht="15" customHeight="1">
      <c r="A688" s="3">
        <v>685</v>
      </c>
      <c r="B688" s="9" t="str">
        <f>"曾飞亚"</f>
        <v>曾飞亚</v>
      </c>
      <c r="C688" s="9" t="str">
        <f t="shared" si="63"/>
        <v>1623030310208</v>
      </c>
      <c r="D688" s="9" t="s">
        <v>69</v>
      </c>
      <c r="E688" s="9" t="str">
        <f>"16230025513"</f>
        <v>16230025513</v>
      </c>
      <c r="F688" s="7">
        <v>84.54</v>
      </c>
      <c r="G688" s="7">
        <v>86.55</v>
      </c>
      <c r="H688" s="7">
        <v>85.75</v>
      </c>
      <c r="I688" s="10"/>
      <c r="J688" s="7">
        <f t="shared" si="61"/>
        <v>85.75</v>
      </c>
      <c r="K688" s="11"/>
    </row>
    <row r="689" spans="1:11" s="1" customFormat="1" ht="15" customHeight="1">
      <c r="A689" s="3">
        <v>686</v>
      </c>
      <c r="B689" s="9" t="str">
        <f>"李睿"</f>
        <v>李睿</v>
      </c>
      <c r="C689" s="9" t="str">
        <f t="shared" si="63"/>
        <v>1623030310208</v>
      </c>
      <c r="D689" s="9" t="s">
        <v>69</v>
      </c>
      <c r="E689" s="9" t="str">
        <f>"16230024602"</f>
        <v>16230024602</v>
      </c>
      <c r="F689" s="7">
        <v>77.62</v>
      </c>
      <c r="G689" s="7">
        <v>91.15</v>
      </c>
      <c r="H689" s="7">
        <v>85.74</v>
      </c>
      <c r="I689" s="10"/>
      <c r="J689" s="7">
        <f t="shared" si="61"/>
        <v>85.74</v>
      </c>
      <c r="K689" s="11"/>
    </row>
    <row r="690" spans="1:11" s="1" customFormat="1" ht="15" customHeight="1">
      <c r="A690" s="3">
        <v>687</v>
      </c>
      <c r="B690" s="9" t="str">
        <f>"张秀秀"</f>
        <v>张秀秀</v>
      </c>
      <c r="C690" s="9" t="str">
        <f aca="true" t="shared" si="64" ref="C690:C703">"1623030310309"</f>
        <v>1623030310309</v>
      </c>
      <c r="D690" s="9" t="s">
        <v>70</v>
      </c>
      <c r="E690" s="9" t="str">
        <f>"16230030403"</f>
        <v>16230030403</v>
      </c>
      <c r="F690" s="7">
        <v>87.92</v>
      </c>
      <c r="G690" s="7">
        <v>91.18</v>
      </c>
      <c r="H690" s="7">
        <v>89.88</v>
      </c>
      <c r="I690" s="10"/>
      <c r="J690" s="7">
        <f t="shared" si="61"/>
        <v>89.88</v>
      </c>
      <c r="K690" s="11"/>
    </row>
    <row r="691" spans="1:11" s="1" customFormat="1" ht="15" customHeight="1">
      <c r="A691" s="3">
        <v>688</v>
      </c>
      <c r="B691" s="9" t="str">
        <f>"孙月婷"</f>
        <v>孙月婷</v>
      </c>
      <c r="C691" s="9" t="str">
        <f t="shared" si="64"/>
        <v>1623030310309</v>
      </c>
      <c r="D691" s="9" t="s">
        <v>70</v>
      </c>
      <c r="E691" s="9" t="str">
        <f>"16230030129"</f>
        <v>16230030129</v>
      </c>
      <c r="F691" s="7">
        <v>83.64</v>
      </c>
      <c r="G691" s="7">
        <v>91.38</v>
      </c>
      <c r="H691" s="7">
        <v>88.28</v>
      </c>
      <c r="I691" s="10"/>
      <c r="J691" s="7">
        <f t="shared" si="61"/>
        <v>88.28</v>
      </c>
      <c r="K691" s="11"/>
    </row>
    <row r="692" spans="1:11" s="1" customFormat="1" ht="15" customHeight="1">
      <c r="A692" s="3">
        <v>689</v>
      </c>
      <c r="B692" s="9" t="str">
        <f>"焦悦悦"</f>
        <v>焦悦悦</v>
      </c>
      <c r="C692" s="9" t="str">
        <f t="shared" si="64"/>
        <v>1623030310309</v>
      </c>
      <c r="D692" s="9" t="s">
        <v>70</v>
      </c>
      <c r="E692" s="9" t="str">
        <f>"16230030127"</f>
        <v>16230030127</v>
      </c>
      <c r="F692" s="7">
        <v>84.02</v>
      </c>
      <c r="G692" s="7">
        <v>90.88</v>
      </c>
      <c r="H692" s="7">
        <v>88.14</v>
      </c>
      <c r="I692" s="10"/>
      <c r="J692" s="7">
        <f t="shared" si="61"/>
        <v>88.14</v>
      </c>
      <c r="K692" s="11"/>
    </row>
    <row r="693" spans="1:11" s="1" customFormat="1" ht="15" customHeight="1">
      <c r="A693" s="3">
        <v>690</v>
      </c>
      <c r="B693" s="9" t="str">
        <f>"李燕"</f>
        <v>李燕</v>
      </c>
      <c r="C693" s="9" t="str">
        <f t="shared" si="64"/>
        <v>1623030310309</v>
      </c>
      <c r="D693" s="9" t="s">
        <v>70</v>
      </c>
      <c r="E693" s="9" t="str">
        <f>"16230030321"</f>
        <v>16230030321</v>
      </c>
      <c r="F693" s="7">
        <v>83.1</v>
      </c>
      <c r="G693" s="7">
        <v>89.9</v>
      </c>
      <c r="H693" s="7">
        <v>87.18</v>
      </c>
      <c r="I693" s="10"/>
      <c r="J693" s="7">
        <f t="shared" si="61"/>
        <v>87.18</v>
      </c>
      <c r="K693" s="11"/>
    </row>
    <row r="694" spans="1:11" s="1" customFormat="1" ht="15" customHeight="1">
      <c r="A694" s="3">
        <v>691</v>
      </c>
      <c r="B694" s="9" t="str">
        <f>"师玉玲"</f>
        <v>师玉玲</v>
      </c>
      <c r="C694" s="9" t="str">
        <f t="shared" si="64"/>
        <v>1623030310309</v>
      </c>
      <c r="D694" s="9" t="s">
        <v>70</v>
      </c>
      <c r="E694" s="9" t="str">
        <f>"16230030128"</f>
        <v>16230030128</v>
      </c>
      <c r="F694" s="7">
        <v>79.02</v>
      </c>
      <c r="G694" s="7">
        <v>89.32</v>
      </c>
      <c r="H694" s="7">
        <v>85.2</v>
      </c>
      <c r="I694" s="10"/>
      <c r="J694" s="7">
        <f t="shared" si="61"/>
        <v>85.2</v>
      </c>
      <c r="K694" s="11"/>
    </row>
    <row r="695" spans="1:11" s="1" customFormat="1" ht="15" customHeight="1">
      <c r="A695" s="3">
        <v>692</v>
      </c>
      <c r="B695" s="9" t="str">
        <f>"申雨"</f>
        <v>申雨</v>
      </c>
      <c r="C695" s="9" t="str">
        <f t="shared" si="64"/>
        <v>1623030310309</v>
      </c>
      <c r="D695" s="9" t="s">
        <v>70</v>
      </c>
      <c r="E695" s="9" t="str">
        <f>"16230030330"</f>
        <v>16230030330</v>
      </c>
      <c r="F695" s="7">
        <v>88.1</v>
      </c>
      <c r="G695" s="7">
        <v>83.26</v>
      </c>
      <c r="H695" s="7">
        <v>85.2</v>
      </c>
      <c r="I695" s="10"/>
      <c r="J695" s="7">
        <f t="shared" si="61"/>
        <v>85.2</v>
      </c>
      <c r="K695" s="11"/>
    </row>
    <row r="696" spans="1:11" s="1" customFormat="1" ht="15" customHeight="1">
      <c r="A696" s="3">
        <v>693</v>
      </c>
      <c r="B696" s="9" t="str">
        <f>"郭洁洁"</f>
        <v>郭洁洁</v>
      </c>
      <c r="C696" s="9" t="str">
        <f t="shared" si="64"/>
        <v>1623030310309</v>
      </c>
      <c r="D696" s="9" t="s">
        <v>70</v>
      </c>
      <c r="E696" s="9" t="str">
        <f>"16230030103"</f>
        <v>16230030103</v>
      </c>
      <c r="F696" s="7">
        <v>82.64</v>
      </c>
      <c r="G696" s="7">
        <v>86.54</v>
      </c>
      <c r="H696" s="7">
        <v>84.98</v>
      </c>
      <c r="I696" s="10"/>
      <c r="J696" s="7">
        <f t="shared" si="61"/>
        <v>84.98</v>
      </c>
      <c r="K696" s="11"/>
    </row>
    <row r="697" spans="1:11" s="1" customFormat="1" ht="15" customHeight="1">
      <c r="A697" s="3">
        <v>694</v>
      </c>
      <c r="B697" s="9" t="str">
        <f>"候会会"</f>
        <v>候会会</v>
      </c>
      <c r="C697" s="9" t="str">
        <f t="shared" si="64"/>
        <v>1623030310309</v>
      </c>
      <c r="D697" s="9" t="s">
        <v>70</v>
      </c>
      <c r="E697" s="9" t="str">
        <f>"16230030214"</f>
        <v>16230030214</v>
      </c>
      <c r="F697" s="7">
        <v>77.66</v>
      </c>
      <c r="G697" s="7">
        <v>89.46</v>
      </c>
      <c r="H697" s="7">
        <v>84.74</v>
      </c>
      <c r="I697" s="10"/>
      <c r="J697" s="7">
        <f t="shared" si="61"/>
        <v>84.74</v>
      </c>
      <c r="K697" s="11"/>
    </row>
    <row r="698" spans="1:11" s="1" customFormat="1" ht="15" customHeight="1">
      <c r="A698" s="3">
        <v>695</v>
      </c>
      <c r="B698" s="9" t="str">
        <f>"李娜"</f>
        <v>李娜</v>
      </c>
      <c r="C698" s="9" t="str">
        <f t="shared" si="64"/>
        <v>1623030310309</v>
      </c>
      <c r="D698" s="9" t="s">
        <v>70</v>
      </c>
      <c r="E698" s="9" t="str">
        <f>"16230030226"</f>
        <v>16230030226</v>
      </c>
      <c r="F698" s="7">
        <v>75.2</v>
      </c>
      <c r="G698" s="7">
        <v>90.76</v>
      </c>
      <c r="H698" s="7">
        <v>84.54</v>
      </c>
      <c r="I698" s="10"/>
      <c r="J698" s="7">
        <f t="shared" si="61"/>
        <v>84.54</v>
      </c>
      <c r="K698" s="11"/>
    </row>
    <row r="699" spans="1:11" s="1" customFormat="1" ht="15" customHeight="1">
      <c r="A699" s="3">
        <v>696</v>
      </c>
      <c r="B699" s="9" t="str">
        <f>"王秋红"</f>
        <v>王秋红</v>
      </c>
      <c r="C699" s="9" t="str">
        <f t="shared" si="64"/>
        <v>1623030310309</v>
      </c>
      <c r="D699" s="9" t="s">
        <v>70</v>
      </c>
      <c r="E699" s="9" t="str">
        <f>"16230030112"</f>
        <v>16230030112</v>
      </c>
      <c r="F699" s="7">
        <v>71.42</v>
      </c>
      <c r="G699" s="7">
        <v>92.88</v>
      </c>
      <c r="H699" s="7">
        <v>84.3</v>
      </c>
      <c r="I699" s="10"/>
      <c r="J699" s="7">
        <f t="shared" si="61"/>
        <v>84.3</v>
      </c>
      <c r="K699" s="11"/>
    </row>
    <row r="700" spans="1:11" s="1" customFormat="1" ht="15" customHeight="1">
      <c r="A700" s="3">
        <v>697</v>
      </c>
      <c r="B700" s="9" t="str">
        <f>"赵添缘"</f>
        <v>赵添缘</v>
      </c>
      <c r="C700" s="9" t="str">
        <f t="shared" si="64"/>
        <v>1623030310309</v>
      </c>
      <c r="D700" s="9" t="s">
        <v>70</v>
      </c>
      <c r="E700" s="9" t="str">
        <f>"16230030207"</f>
        <v>16230030207</v>
      </c>
      <c r="F700" s="7">
        <v>89.52</v>
      </c>
      <c r="G700" s="7">
        <v>80.78</v>
      </c>
      <c r="H700" s="7">
        <v>84.28</v>
      </c>
      <c r="I700" s="10"/>
      <c r="J700" s="7">
        <f t="shared" si="61"/>
        <v>84.28</v>
      </c>
      <c r="K700" s="11"/>
    </row>
    <row r="701" spans="1:11" s="1" customFormat="1" ht="15" customHeight="1">
      <c r="A701" s="3">
        <v>698</v>
      </c>
      <c r="B701" s="9" t="str">
        <f>"康伟静"</f>
        <v>康伟静</v>
      </c>
      <c r="C701" s="9" t="str">
        <f t="shared" si="64"/>
        <v>1623030310309</v>
      </c>
      <c r="D701" s="9" t="s">
        <v>70</v>
      </c>
      <c r="E701" s="9" t="str">
        <f>"16230030317"</f>
        <v>16230030317</v>
      </c>
      <c r="F701" s="7">
        <v>86.18</v>
      </c>
      <c r="G701" s="7">
        <v>82.36</v>
      </c>
      <c r="H701" s="7">
        <v>83.89</v>
      </c>
      <c r="I701" s="10"/>
      <c r="J701" s="7">
        <f t="shared" si="61"/>
        <v>83.89</v>
      </c>
      <c r="K701" s="11" t="s">
        <v>84</v>
      </c>
    </row>
    <row r="702" spans="1:11" s="1" customFormat="1" ht="15" customHeight="1">
      <c r="A702" s="3">
        <v>699</v>
      </c>
      <c r="B702" s="9" t="str">
        <f>"杨梦韦"</f>
        <v>杨梦韦</v>
      </c>
      <c r="C702" s="9" t="str">
        <f t="shared" si="64"/>
        <v>1623030310309</v>
      </c>
      <c r="D702" s="9" t="s">
        <v>70</v>
      </c>
      <c r="E702" s="9" t="str">
        <f>"16230030203"</f>
        <v>16230030203</v>
      </c>
      <c r="F702" s="7">
        <v>76.98</v>
      </c>
      <c r="G702" s="7">
        <v>87.78</v>
      </c>
      <c r="H702" s="7">
        <v>83.46</v>
      </c>
      <c r="I702" s="10"/>
      <c r="J702" s="7">
        <f t="shared" si="61"/>
        <v>83.46</v>
      </c>
      <c r="K702" s="11" t="s">
        <v>84</v>
      </c>
    </row>
    <row r="703" spans="1:11" s="1" customFormat="1" ht="15" customHeight="1">
      <c r="A703" s="3">
        <v>700</v>
      </c>
      <c r="B703" s="9" t="str">
        <f>"夏喜迎"</f>
        <v>夏喜迎</v>
      </c>
      <c r="C703" s="9" t="str">
        <f t="shared" si="64"/>
        <v>1623030310309</v>
      </c>
      <c r="D703" s="9" t="s">
        <v>70</v>
      </c>
      <c r="E703" s="9" t="str">
        <f>"16230030209"</f>
        <v>16230030209</v>
      </c>
      <c r="F703" s="7">
        <v>83.92</v>
      </c>
      <c r="G703" s="7">
        <v>82.34</v>
      </c>
      <c r="H703" s="7">
        <v>82.97</v>
      </c>
      <c r="I703" s="10"/>
      <c r="J703" s="7">
        <f t="shared" si="61"/>
        <v>82.97</v>
      </c>
      <c r="K703" s="11" t="s">
        <v>84</v>
      </c>
    </row>
    <row r="704" spans="1:11" s="1" customFormat="1" ht="15" customHeight="1">
      <c r="A704" s="3">
        <v>701</v>
      </c>
      <c r="B704" s="9" t="str">
        <f>"刘竞男"</f>
        <v>刘竞男</v>
      </c>
      <c r="C704" s="9" t="str">
        <f aca="true" t="shared" si="65" ref="C704:C717">"1623030310310"</f>
        <v>1623030310310</v>
      </c>
      <c r="D704" s="9" t="s">
        <v>71</v>
      </c>
      <c r="E704" s="9" t="str">
        <f>"16230030930"</f>
        <v>16230030930</v>
      </c>
      <c r="F704" s="7">
        <v>93.34</v>
      </c>
      <c r="G704" s="7">
        <v>92.86</v>
      </c>
      <c r="H704" s="7">
        <v>93.05</v>
      </c>
      <c r="I704" s="10"/>
      <c r="J704" s="7">
        <f t="shared" si="61"/>
        <v>93.05</v>
      </c>
      <c r="K704" s="11"/>
    </row>
    <row r="705" spans="1:11" s="1" customFormat="1" ht="15" customHeight="1">
      <c r="A705" s="3">
        <v>702</v>
      </c>
      <c r="B705" s="9" t="str">
        <f>"杨晓欣"</f>
        <v>杨晓欣</v>
      </c>
      <c r="C705" s="9" t="str">
        <f t="shared" si="65"/>
        <v>1623030310310</v>
      </c>
      <c r="D705" s="9" t="s">
        <v>71</v>
      </c>
      <c r="E705" s="9" t="str">
        <f>"16230031218"</f>
        <v>16230031218</v>
      </c>
      <c r="F705" s="7">
        <v>92.14</v>
      </c>
      <c r="G705" s="7">
        <v>91.26</v>
      </c>
      <c r="H705" s="7">
        <v>91.61</v>
      </c>
      <c r="I705" s="10"/>
      <c r="J705" s="7">
        <f t="shared" si="61"/>
        <v>91.61</v>
      </c>
      <c r="K705" s="11"/>
    </row>
    <row r="706" spans="1:11" s="1" customFormat="1" ht="15" customHeight="1">
      <c r="A706" s="3">
        <v>703</v>
      </c>
      <c r="B706" s="9" t="str">
        <f>"邢玉娜"</f>
        <v>邢玉娜</v>
      </c>
      <c r="C706" s="9" t="str">
        <f t="shared" si="65"/>
        <v>1623030310310</v>
      </c>
      <c r="D706" s="9" t="s">
        <v>71</v>
      </c>
      <c r="E706" s="9" t="str">
        <f>"16230030605"</f>
        <v>16230030605</v>
      </c>
      <c r="F706" s="7">
        <v>88.36</v>
      </c>
      <c r="G706" s="7">
        <v>92.94</v>
      </c>
      <c r="H706" s="7">
        <v>91.11</v>
      </c>
      <c r="I706" s="10"/>
      <c r="J706" s="7">
        <f t="shared" si="61"/>
        <v>91.11</v>
      </c>
      <c r="K706" s="11"/>
    </row>
    <row r="707" spans="1:11" s="1" customFormat="1" ht="15" customHeight="1">
      <c r="A707" s="3">
        <v>704</v>
      </c>
      <c r="B707" s="9" t="str">
        <f>"吴莹荟"</f>
        <v>吴莹荟</v>
      </c>
      <c r="C707" s="9" t="str">
        <f t="shared" si="65"/>
        <v>1623030310310</v>
      </c>
      <c r="D707" s="9" t="s">
        <v>71</v>
      </c>
      <c r="E707" s="9" t="str">
        <f>"16230030428"</f>
        <v>16230030428</v>
      </c>
      <c r="F707" s="7">
        <v>92.34</v>
      </c>
      <c r="G707" s="7">
        <v>89.68</v>
      </c>
      <c r="H707" s="7">
        <v>90.74</v>
      </c>
      <c r="I707" s="10"/>
      <c r="J707" s="7">
        <f t="shared" si="61"/>
        <v>90.74</v>
      </c>
      <c r="K707" s="11"/>
    </row>
    <row r="708" spans="1:11" s="1" customFormat="1" ht="15" customHeight="1">
      <c r="A708" s="3">
        <v>705</v>
      </c>
      <c r="B708" s="9" t="str">
        <f>"卜祥兵"</f>
        <v>卜祥兵</v>
      </c>
      <c r="C708" s="9" t="str">
        <f t="shared" si="65"/>
        <v>1623030310310</v>
      </c>
      <c r="D708" s="9" t="s">
        <v>71</v>
      </c>
      <c r="E708" s="9" t="str">
        <f>"16230030609"</f>
        <v>16230030609</v>
      </c>
      <c r="F708" s="7">
        <v>85.04</v>
      </c>
      <c r="G708" s="7">
        <v>92.62</v>
      </c>
      <c r="H708" s="7">
        <v>89.59</v>
      </c>
      <c r="I708" s="10"/>
      <c r="J708" s="7">
        <f aca="true" t="shared" si="66" ref="J708:J771">H708+I708</f>
        <v>89.59</v>
      </c>
      <c r="K708" s="11"/>
    </row>
    <row r="709" spans="1:11" s="1" customFormat="1" ht="15" customHeight="1">
      <c r="A709" s="3">
        <v>706</v>
      </c>
      <c r="B709" s="9" t="str">
        <f>"王太平"</f>
        <v>王太平</v>
      </c>
      <c r="C709" s="9" t="str">
        <f t="shared" si="65"/>
        <v>1623030310310</v>
      </c>
      <c r="D709" s="9" t="s">
        <v>71</v>
      </c>
      <c r="E709" s="9" t="str">
        <f>"16230031321"</f>
        <v>16230031321</v>
      </c>
      <c r="F709" s="7">
        <v>89.66</v>
      </c>
      <c r="G709" s="7">
        <v>89.02</v>
      </c>
      <c r="H709" s="7">
        <v>89.28</v>
      </c>
      <c r="I709" s="10"/>
      <c r="J709" s="7">
        <f t="shared" si="66"/>
        <v>89.28</v>
      </c>
      <c r="K709" s="11"/>
    </row>
    <row r="710" spans="1:11" s="1" customFormat="1" ht="15" customHeight="1">
      <c r="A710" s="3">
        <v>707</v>
      </c>
      <c r="B710" s="9" t="str">
        <f>"许晴晴"</f>
        <v>许晴晴</v>
      </c>
      <c r="C710" s="9" t="str">
        <f t="shared" si="65"/>
        <v>1623030310310</v>
      </c>
      <c r="D710" s="9" t="s">
        <v>71</v>
      </c>
      <c r="E710" s="9" t="str">
        <f>"16230030702"</f>
        <v>16230030702</v>
      </c>
      <c r="F710" s="7">
        <v>91.74</v>
      </c>
      <c r="G710" s="7">
        <v>87.26</v>
      </c>
      <c r="H710" s="7">
        <v>89.05</v>
      </c>
      <c r="I710" s="10"/>
      <c r="J710" s="7">
        <f t="shared" si="66"/>
        <v>89.05</v>
      </c>
      <c r="K710" s="11"/>
    </row>
    <row r="711" spans="1:11" s="1" customFormat="1" ht="15" customHeight="1">
      <c r="A711" s="3">
        <v>708</v>
      </c>
      <c r="B711" s="9" t="str">
        <f>"孟雪"</f>
        <v>孟雪</v>
      </c>
      <c r="C711" s="9" t="str">
        <f t="shared" si="65"/>
        <v>1623030310310</v>
      </c>
      <c r="D711" s="9" t="s">
        <v>71</v>
      </c>
      <c r="E711" s="9" t="str">
        <f>"16230030809"</f>
        <v>16230030809</v>
      </c>
      <c r="F711" s="7">
        <v>85.22</v>
      </c>
      <c r="G711" s="7">
        <v>90.62</v>
      </c>
      <c r="H711" s="7">
        <v>88.46</v>
      </c>
      <c r="I711" s="10"/>
      <c r="J711" s="7">
        <f t="shared" si="66"/>
        <v>88.46</v>
      </c>
      <c r="K711" s="11"/>
    </row>
    <row r="712" spans="1:11" s="1" customFormat="1" ht="15" customHeight="1">
      <c r="A712" s="3">
        <v>709</v>
      </c>
      <c r="B712" s="9" t="str">
        <f>"夏文娟"</f>
        <v>夏文娟</v>
      </c>
      <c r="C712" s="9" t="str">
        <f t="shared" si="65"/>
        <v>1623030310310</v>
      </c>
      <c r="D712" s="9" t="s">
        <v>71</v>
      </c>
      <c r="E712" s="9" t="str">
        <f>"16230031312"</f>
        <v>16230031312</v>
      </c>
      <c r="F712" s="7">
        <v>91.14</v>
      </c>
      <c r="G712" s="7">
        <v>86.64</v>
      </c>
      <c r="H712" s="7">
        <v>88.44</v>
      </c>
      <c r="I712" s="10"/>
      <c r="J712" s="7">
        <f t="shared" si="66"/>
        <v>88.44</v>
      </c>
      <c r="K712" s="11"/>
    </row>
    <row r="713" spans="1:11" s="1" customFormat="1" ht="15" customHeight="1">
      <c r="A713" s="3">
        <v>710</v>
      </c>
      <c r="B713" s="9" t="str">
        <f>"胡栋"</f>
        <v>胡栋</v>
      </c>
      <c r="C713" s="9" t="str">
        <f t="shared" si="65"/>
        <v>1623030310310</v>
      </c>
      <c r="D713" s="9" t="s">
        <v>71</v>
      </c>
      <c r="E713" s="9" t="str">
        <f>"16230031026"</f>
        <v>16230031026</v>
      </c>
      <c r="F713" s="7">
        <v>87.08</v>
      </c>
      <c r="G713" s="7">
        <v>88.16</v>
      </c>
      <c r="H713" s="7">
        <v>87.73</v>
      </c>
      <c r="I713" s="10"/>
      <c r="J713" s="7">
        <f t="shared" si="66"/>
        <v>87.73</v>
      </c>
      <c r="K713" s="11"/>
    </row>
    <row r="714" spans="1:11" s="1" customFormat="1" ht="15" customHeight="1">
      <c r="A714" s="3">
        <v>711</v>
      </c>
      <c r="B714" s="9" t="str">
        <f>"王静"</f>
        <v>王静</v>
      </c>
      <c r="C714" s="9" t="str">
        <f t="shared" si="65"/>
        <v>1623030310310</v>
      </c>
      <c r="D714" s="9" t="s">
        <v>71</v>
      </c>
      <c r="E714" s="9" t="str">
        <f>"16230030427"</f>
        <v>16230030427</v>
      </c>
      <c r="F714" s="7">
        <v>74.1</v>
      </c>
      <c r="G714" s="7">
        <v>95.9</v>
      </c>
      <c r="H714" s="7">
        <v>87.18</v>
      </c>
      <c r="I714" s="10"/>
      <c r="J714" s="7">
        <f t="shared" si="66"/>
        <v>87.18</v>
      </c>
      <c r="K714" s="11"/>
    </row>
    <row r="715" spans="1:11" s="1" customFormat="1" ht="15" customHeight="1">
      <c r="A715" s="3">
        <v>712</v>
      </c>
      <c r="B715" s="9" t="str">
        <f>"卞亚楠"</f>
        <v>卞亚楠</v>
      </c>
      <c r="C715" s="9" t="str">
        <f t="shared" si="65"/>
        <v>1623030310310</v>
      </c>
      <c r="D715" s="9" t="s">
        <v>71</v>
      </c>
      <c r="E715" s="9" t="str">
        <f>"16230031104"</f>
        <v>16230031104</v>
      </c>
      <c r="F715" s="7">
        <v>84.1</v>
      </c>
      <c r="G715" s="7">
        <v>88.84</v>
      </c>
      <c r="H715" s="7">
        <v>86.94</v>
      </c>
      <c r="I715" s="10"/>
      <c r="J715" s="7">
        <f t="shared" si="66"/>
        <v>86.94</v>
      </c>
      <c r="K715" s="11"/>
    </row>
    <row r="716" spans="1:11" s="1" customFormat="1" ht="15" customHeight="1">
      <c r="A716" s="3">
        <v>713</v>
      </c>
      <c r="B716" s="9" t="str">
        <f>"袁丽娟"</f>
        <v>袁丽娟</v>
      </c>
      <c r="C716" s="9" t="str">
        <f t="shared" si="65"/>
        <v>1623030310310</v>
      </c>
      <c r="D716" s="9" t="s">
        <v>71</v>
      </c>
      <c r="E716" s="9" t="str">
        <f>"16230030707"</f>
        <v>16230030707</v>
      </c>
      <c r="F716" s="7">
        <v>87.88</v>
      </c>
      <c r="G716" s="7">
        <v>85.56</v>
      </c>
      <c r="H716" s="7">
        <v>86.49</v>
      </c>
      <c r="I716" s="10"/>
      <c r="J716" s="7">
        <f t="shared" si="66"/>
        <v>86.49</v>
      </c>
      <c r="K716" s="11"/>
    </row>
    <row r="717" spans="1:11" s="1" customFormat="1" ht="15" customHeight="1">
      <c r="A717" s="3">
        <v>714</v>
      </c>
      <c r="B717" s="9" t="str">
        <f>"詹倩"</f>
        <v>詹倩</v>
      </c>
      <c r="C717" s="9" t="str">
        <f t="shared" si="65"/>
        <v>1623030310310</v>
      </c>
      <c r="D717" s="9" t="s">
        <v>71</v>
      </c>
      <c r="E717" s="9" t="str">
        <f>"16230031301"</f>
        <v>16230031301</v>
      </c>
      <c r="F717" s="7">
        <v>85.2</v>
      </c>
      <c r="G717" s="7">
        <v>87.3</v>
      </c>
      <c r="H717" s="7">
        <v>86.46</v>
      </c>
      <c r="I717" s="10"/>
      <c r="J717" s="7">
        <f t="shared" si="66"/>
        <v>86.46</v>
      </c>
      <c r="K717" s="11"/>
    </row>
    <row r="718" spans="1:11" s="1" customFormat="1" ht="15" customHeight="1">
      <c r="A718" s="3">
        <v>715</v>
      </c>
      <c r="B718" s="9" t="str">
        <f>"盛琳"</f>
        <v>盛琳</v>
      </c>
      <c r="C718" s="9" t="str">
        <f aca="true" t="shared" si="67" ref="C718:C726">"1623030310419"</f>
        <v>1623030310419</v>
      </c>
      <c r="D718" s="9" t="s">
        <v>72</v>
      </c>
      <c r="E718" s="9" t="str">
        <f>"16230033907"</f>
        <v>16230033907</v>
      </c>
      <c r="F718" s="7">
        <v>84.24</v>
      </c>
      <c r="G718" s="7">
        <v>96.7</v>
      </c>
      <c r="H718" s="7">
        <v>91.72</v>
      </c>
      <c r="I718" s="10"/>
      <c r="J718" s="7">
        <f t="shared" si="66"/>
        <v>91.72</v>
      </c>
      <c r="K718" s="11"/>
    </row>
    <row r="719" spans="1:11" s="1" customFormat="1" ht="15" customHeight="1">
      <c r="A719" s="3">
        <v>716</v>
      </c>
      <c r="B719" s="9" t="str">
        <f>"马婷婷"</f>
        <v>马婷婷</v>
      </c>
      <c r="C719" s="9" t="str">
        <f t="shared" si="67"/>
        <v>1623030310419</v>
      </c>
      <c r="D719" s="9" t="s">
        <v>72</v>
      </c>
      <c r="E719" s="9" t="str">
        <f>"16230033920"</f>
        <v>16230033920</v>
      </c>
      <c r="F719" s="7">
        <v>81.3</v>
      </c>
      <c r="G719" s="7">
        <v>96.2</v>
      </c>
      <c r="H719" s="7">
        <v>90.24</v>
      </c>
      <c r="I719" s="10"/>
      <c r="J719" s="7">
        <f t="shared" si="66"/>
        <v>90.24</v>
      </c>
      <c r="K719" s="11"/>
    </row>
    <row r="720" spans="1:11" s="1" customFormat="1" ht="15" customHeight="1">
      <c r="A720" s="3">
        <v>717</v>
      </c>
      <c r="B720" s="9" t="str">
        <f>"刘娟"</f>
        <v>刘娟</v>
      </c>
      <c r="C720" s="9" t="str">
        <f t="shared" si="67"/>
        <v>1623030310419</v>
      </c>
      <c r="D720" s="9" t="s">
        <v>72</v>
      </c>
      <c r="E720" s="9" t="str">
        <f>"16230033916"</f>
        <v>16230033916</v>
      </c>
      <c r="F720" s="7">
        <v>80.22</v>
      </c>
      <c r="G720" s="7">
        <v>93.1</v>
      </c>
      <c r="H720" s="7">
        <v>87.95</v>
      </c>
      <c r="I720" s="10"/>
      <c r="J720" s="7">
        <f t="shared" si="66"/>
        <v>87.95</v>
      </c>
      <c r="K720" s="11"/>
    </row>
    <row r="721" spans="1:11" s="1" customFormat="1" ht="15" customHeight="1">
      <c r="A721" s="3">
        <v>718</v>
      </c>
      <c r="B721" s="9" t="str">
        <f>"朱珍珍"</f>
        <v>朱珍珍</v>
      </c>
      <c r="C721" s="9" t="str">
        <f t="shared" si="67"/>
        <v>1623030310419</v>
      </c>
      <c r="D721" s="9" t="s">
        <v>72</v>
      </c>
      <c r="E721" s="9" t="str">
        <f>"16230033908"</f>
        <v>16230033908</v>
      </c>
      <c r="F721" s="7">
        <v>74.04</v>
      </c>
      <c r="G721" s="7">
        <v>97.1</v>
      </c>
      <c r="H721" s="7">
        <v>87.88</v>
      </c>
      <c r="I721" s="10"/>
      <c r="J721" s="7">
        <f t="shared" si="66"/>
        <v>87.88</v>
      </c>
      <c r="K721" s="11"/>
    </row>
    <row r="722" spans="1:11" s="1" customFormat="1" ht="15" customHeight="1">
      <c r="A722" s="3">
        <v>719</v>
      </c>
      <c r="B722" s="9" t="str">
        <f>"汪彤彤"</f>
        <v>汪彤彤</v>
      </c>
      <c r="C722" s="9" t="str">
        <f t="shared" si="67"/>
        <v>1623030310419</v>
      </c>
      <c r="D722" s="9" t="s">
        <v>72</v>
      </c>
      <c r="E722" s="9" t="str">
        <f>"16230033904"</f>
        <v>16230033904</v>
      </c>
      <c r="F722" s="7">
        <v>76.04</v>
      </c>
      <c r="G722" s="7">
        <v>92.9</v>
      </c>
      <c r="H722" s="7">
        <v>86.16</v>
      </c>
      <c r="I722" s="10"/>
      <c r="J722" s="7">
        <f t="shared" si="66"/>
        <v>86.16</v>
      </c>
      <c r="K722" s="11"/>
    </row>
    <row r="723" spans="1:11" s="1" customFormat="1" ht="15" customHeight="1">
      <c r="A723" s="3">
        <v>720</v>
      </c>
      <c r="B723" s="9" t="str">
        <f>"钱安森"</f>
        <v>钱安森</v>
      </c>
      <c r="C723" s="9" t="str">
        <f t="shared" si="67"/>
        <v>1623030310419</v>
      </c>
      <c r="D723" s="9" t="s">
        <v>72</v>
      </c>
      <c r="E723" s="9" t="str">
        <f>"16230033906"</f>
        <v>16230033906</v>
      </c>
      <c r="F723" s="7">
        <v>75.46</v>
      </c>
      <c r="G723" s="7">
        <v>93.1</v>
      </c>
      <c r="H723" s="7">
        <v>86.04</v>
      </c>
      <c r="I723" s="10"/>
      <c r="J723" s="7">
        <f t="shared" si="66"/>
        <v>86.04</v>
      </c>
      <c r="K723" s="11"/>
    </row>
    <row r="724" spans="1:11" s="1" customFormat="1" ht="15" customHeight="1">
      <c r="A724" s="3">
        <v>721</v>
      </c>
      <c r="B724" s="9" t="str">
        <f>"李娟娟"</f>
        <v>李娟娟</v>
      </c>
      <c r="C724" s="9" t="str">
        <f t="shared" si="67"/>
        <v>1623030310419</v>
      </c>
      <c r="D724" s="9" t="s">
        <v>72</v>
      </c>
      <c r="E724" s="9" t="str">
        <f>"16230033903"</f>
        <v>16230033903</v>
      </c>
      <c r="F724" s="7">
        <v>80.68</v>
      </c>
      <c r="G724" s="7">
        <v>87.4</v>
      </c>
      <c r="H724" s="7">
        <v>84.71</v>
      </c>
      <c r="I724" s="10"/>
      <c r="J724" s="7">
        <f t="shared" si="66"/>
        <v>84.71</v>
      </c>
      <c r="K724" s="11"/>
    </row>
    <row r="725" spans="1:11" s="1" customFormat="1" ht="15" customHeight="1">
      <c r="A725" s="3">
        <v>722</v>
      </c>
      <c r="B725" s="9" t="str">
        <f>"刘影"</f>
        <v>刘影</v>
      </c>
      <c r="C725" s="9" t="str">
        <f t="shared" si="67"/>
        <v>1623030310419</v>
      </c>
      <c r="D725" s="9" t="s">
        <v>72</v>
      </c>
      <c r="E725" s="9" t="str">
        <f>"16230033913"</f>
        <v>16230033913</v>
      </c>
      <c r="F725" s="7">
        <v>73.18</v>
      </c>
      <c r="G725" s="7">
        <v>92.3</v>
      </c>
      <c r="H725" s="7">
        <v>84.65</v>
      </c>
      <c r="I725" s="10"/>
      <c r="J725" s="7">
        <f t="shared" si="66"/>
        <v>84.65</v>
      </c>
      <c r="K725" s="11"/>
    </row>
    <row r="726" spans="1:11" s="1" customFormat="1" ht="15" customHeight="1">
      <c r="A726" s="3">
        <v>723</v>
      </c>
      <c r="B726" s="9" t="str">
        <f>"彭唯"</f>
        <v>彭唯</v>
      </c>
      <c r="C726" s="9" t="str">
        <f t="shared" si="67"/>
        <v>1623030310419</v>
      </c>
      <c r="D726" s="9" t="s">
        <v>72</v>
      </c>
      <c r="E726" s="9" t="str">
        <f>"16230033917"</f>
        <v>16230033917</v>
      </c>
      <c r="F726" s="7">
        <v>69.64</v>
      </c>
      <c r="G726" s="7">
        <v>92.6</v>
      </c>
      <c r="H726" s="7">
        <v>83.42</v>
      </c>
      <c r="I726" s="10"/>
      <c r="J726" s="7">
        <f t="shared" si="66"/>
        <v>83.42</v>
      </c>
      <c r="K726" s="11" t="s">
        <v>84</v>
      </c>
    </row>
    <row r="727" spans="1:11" s="1" customFormat="1" ht="15" customHeight="1">
      <c r="A727" s="3">
        <v>724</v>
      </c>
      <c r="B727" s="9" t="str">
        <f>"谢丽军"</f>
        <v>谢丽军</v>
      </c>
      <c r="C727" s="9" t="str">
        <f aca="true" t="shared" si="68" ref="C727:C735">"1623030310420"</f>
        <v>1623030310420</v>
      </c>
      <c r="D727" s="9" t="s">
        <v>73</v>
      </c>
      <c r="E727" s="9" t="str">
        <f>"16230034105"</f>
        <v>16230034105</v>
      </c>
      <c r="F727" s="7">
        <v>82.14</v>
      </c>
      <c r="G727" s="7">
        <v>105.6</v>
      </c>
      <c r="H727" s="7">
        <v>96.22</v>
      </c>
      <c r="I727" s="10"/>
      <c r="J727" s="7">
        <f t="shared" si="66"/>
        <v>96.22</v>
      </c>
      <c r="K727" s="11"/>
    </row>
    <row r="728" spans="1:11" s="1" customFormat="1" ht="15" customHeight="1">
      <c r="A728" s="3">
        <v>725</v>
      </c>
      <c r="B728" s="9" t="str">
        <f>"秦文"</f>
        <v>秦文</v>
      </c>
      <c r="C728" s="9" t="str">
        <f t="shared" si="68"/>
        <v>1623030310420</v>
      </c>
      <c r="D728" s="9" t="s">
        <v>73</v>
      </c>
      <c r="E728" s="9" t="str">
        <f>"16230033929"</f>
        <v>16230033929</v>
      </c>
      <c r="F728" s="7">
        <v>85.7</v>
      </c>
      <c r="G728" s="7">
        <v>98.7</v>
      </c>
      <c r="H728" s="7">
        <v>93.5</v>
      </c>
      <c r="I728" s="10"/>
      <c r="J728" s="7">
        <f t="shared" si="66"/>
        <v>93.5</v>
      </c>
      <c r="K728" s="11"/>
    </row>
    <row r="729" spans="1:11" s="1" customFormat="1" ht="15" customHeight="1">
      <c r="A729" s="3">
        <v>726</v>
      </c>
      <c r="B729" s="9" t="str">
        <f>"于莉芳"</f>
        <v>于莉芳</v>
      </c>
      <c r="C729" s="9" t="str">
        <f t="shared" si="68"/>
        <v>1623030310420</v>
      </c>
      <c r="D729" s="9" t="s">
        <v>73</v>
      </c>
      <c r="E729" s="9" t="str">
        <f>"16230033923"</f>
        <v>16230033923</v>
      </c>
      <c r="F729" s="7">
        <v>88.36</v>
      </c>
      <c r="G729" s="7">
        <v>94</v>
      </c>
      <c r="H729" s="7">
        <v>91.74</v>
      </c>
      <c r="I729" s="10"/>
      <c r="J729" s="7">
        <f t="shared" si="66"/>
        <v>91.74</v>
      </c>
      <c r="K729" s="11"/>
    </row>
    <row r="730" spans="1:11" s="1" customFormat="1" ht="15" customHeight="1">
      <c r="A730" s="3">
        <v>727</v>
      </c>
      <c r="B730" s="9" t="str">
        <f>"韩啊丽"</f>
        <v>韩啊丽</v>
      </c>
      <c r="C730" s="9" t="str">
        <f t="shared" si="68"/>
        <v>1623030310420</v>
      </c>
      <c r="D730" s="9" t="s">
        <v>73</v>
      </c>
      <c r="E730" s="9" t="str">
        <f>"16230033924"</f>
        <v>16230033924</v>
      </c>
      <c r="F730" s="7">
        <v>83.6</v>
      </c>
      <c r="G730" s="7">
        <v>97.1</v>
      </c>
      <c r="H730" s="7">
        <v>91.7</v>
      </c>
      <c r="I730" s="10"/>
      <c r="J730" s="7">
        <f t="shared" si="66"/>
        <v>91.7</v>
      </c>
      <c r="K730" s="11"/>
    </row>
    <row r="731" spans="1:11" s="1" customFormat="1" ht="15" customHeight="1">
      <c r="A731" s="3">
        <v>728</v>
      </c>
      <c r="B731" s="9" t="str">
        <f>"刘玉凤"</f>
        <v>刘玉凤</v>
      </c>
      <c r="C731" s="9" t="str">
        <f t="shared" si="68"/>
        <v>1623030310420</v>
      </c>
      <c r="D731" s="9" t="s">
        <v>73</v>
      </c>
      <c r="E731" s="9" t="str">
        <f>"16230034202"</f>
        <v>16230034202</v>
      </c>
      <c r="F731" s="7">
        <v>85.98</v>
      </c>
      <c r="G731" s="7">
        <v>95</v>
      </c>
      <c r="H731" s="7">
        <v>91.39</v>
      </c>
      <c r="I731" s="10"/>
      <c r="J731" s="7">
        <f t="shared" si="66"/>
        <v>91.39</v>
      </c>
      <c r="K731" s="11"/>
    </row>
    <row r="732" spans="1:11" s="1" customFormat="1" ht="14.25">
      <c r="A732" s="3">
        <v>729</v>
      </c>
      <c r="B732" s="9" t="str">
        <f>"刘艳丽"</f>
        <v>刘艳丽</v>
      </c>
      <c r="C732" s="9" t="str">
        <f t="shared" si="68"/>
        <v>1623030310420</v>
      </c>
      <c r="D732" s="9" t="s">
        <v>73</v>
      </c>
      <c r="E732" s="9" t="str">
        <f>"16230034122"</f>
        <v>16230034122</v>
      </c>
      <c r="F732" s="7">
        <v>83.6</v>
      </c>
      <c r="G732" s="7">
        <v>96.5</v>
      </c>
      <c r="H732" s="7">
        <v>91.34</v>
      </c>
      <c r="I732" s="10"/>
      <c r="J732" s="7">
        <f t="shared" si="66"/>
        <v>91.34</v>
      </c>
      <c r="K732" s="11"/>
    </row>
    <row r="733" spans="1:11" s="1" customFormat="1" ht="14.25">
      <c r="A733" s="3">
        <v>730</v>
      </c>
      <c r="B733" s="9" t="str">
        <f>"黄欢欢"</f>
        <v>黄欢欢</v>
      </c>
      <c r="C733" s="9" t="str">
        <f t="shared" si="68"/>
        <v>1623030310420</v>
      </c>
      <c r="D733" s="9" t="s">
        <v>73</v>
      </c>
      <c r="E733" s="9" t="str">
        <f>"16230034027"</f>
        <v>16230034027</v>
      </c>
      <c r="F733" s="7">
        <v>86.22</v>
      </c>
      <c r="G733" s="7">
        <v>94</v>
      </c>
      <c r="H733" s="7">
        <v>90.89</v>
      </c>
      <c r="I733" s="10"/>
      <c r="J733" s="7">
        <f t="shared" si="66"/>
        <v>90.89</v>
      </c>
      <c r="K733" s="11"/>
    </row>
    <row r="734" spans="1:11" s="1" customFormat="1" ht="14.25">
      <c r="A734" s="3">
        <v>731</v>
      </c>
      <c r="B734" s="9" t="str">
        <f>"武浩"</f>
        <v>武浩</v>
      </c>
      <c r="C734" s="9" t="str">
        <f t="shared" si="68"/>
        <v>1623030310420</v>
      </c>
      <c r="D734" s="9" t="s">
        <v>73</v>
      </c>
      <c r="E734" s="9" t="str">
        <f>"16230034005"</f>
        <v>16230034005</v>
      </c>
      <c r="F734" s="7">
        <v>76.9</v>
      </c>
      <c r="G734" s="7">
        <v>98.8</v>
      </c>
      <c r="H734" s="7">
        <v>90.04</v>
      </c>
      <c r="I734" s="10"/>
      <c r="J734" s="7">
        <f t="shared" si="66"/>
        <v>90.04</v>
      </c>
      <c r="K734" s="11"/>
    </row>
    <row r="735" spans="1:11" s="1" customFormat="1" ht="14.25">
      <c r="A735" s="3">
        <v>732</v>
      </c>
      <c r="B735" s="9" t="str">
        <f>"罗醒醒"</f>
        <v>罗醒醒</v>
      </c>
      <c r="C735" s="9" t="str">
        <f t="shared" si="68"/>
        <v>1623030310420</v>
      </c>
      <c r="D735" s="9" t="s">
        <v>73</v>
      </c>
      <c r="E735" s="9" t="str">
        <f>"16230034028"</f>
        <v>16230034028</v>
      </c>
      <c r="F735" s="7">
        <v>80.24</v>
      </c>
      <c r="G735" s="7">
        <v>96.1</v>
      </c>
      <c r="H735" s="7">
        <v>89.76</v>
      </c>
      <c r="I735" s="10"/>
      <c r="J735" s="7">
        <f t="shared" si="66"/>
        <v>89.76</v>
      </c>
      <c r="K735" s="11" t="s">
        <v>84</v>
      </c>
    </row>
    <row r="736" spans="1:11" s="1" customFormat="1" ht="14.25">
      <c r="A736" s="3">
        <v>733</v>
      </c>
      <c r="B736" s="9" t="str">
        <f>"田薇"</f>
        <v>田薇</v>
      </c>
      <c r="C736" s="9" t="str">
        <f aca="true" t="shared" si="69" ref="C736:C747">"1623030310615"</f>
        <v>1623030310615</v>
      </c>
      <c r="D736" s="9" t="s">
        <v>74</v>
      </c>
      <c r="E736" s="9" t="str">
        <f>"16230031522"</f>
        <v>16230031522</v>
      </c>
      <c r="F736" s="7">
        <v>95.86</v>
      </c>
      <c r="G736" s="7">
        <v>97.6</v>
      </c>
      <c r="H736" s="7">
        <v>96.9</v>
      </c>
      <c r="I736" s="10"/>
      <c r="J736" s="7">
        <f t="shared" si="66"/>
        <v>96.9</v>
      </c>
      <c r="K736" s="11"/>
    </row>
    <row r="737" spans="1:11" s="1" customFormat="1" ht="14.25">
      <c r="A737" s="3">
        <v>734</v>
      </c>
      <c r="B737" s="9" t="str">
        <f>"武盈盈"</f>
        <v>武盈盈</v>
      </c>
      <c r="C737" s="9" t="str">
        <f t="shared" si="69"/>
        <v>1623030310615</v>
      </c>
      <c r="D737" s="9" t="s">
        <v>74</v>
      </c>
      <c r="E737" s="9" t="str">
        <f>"16230031822"</f>
        <v>16230031822</v>
      </c>
      <c r="F737" s="7">
        <v>88.72</v>
      </c>
      <c r="G737" s="7">
        <v>102.06</v>
      </c>
      <c r="H737" s="7">
        <v>96.72</v>
      </c>
      <c r="I737" s="10"/>
      <c r="J737" s="7">
        <f t="shared" si="66"/>
        <v>96.72</v>
      </c>
      <c r="K737" s="11"/>
    </row>
    <row r="738" spans="1:11" s="1" customFormat="1" ht="14.25">
      <c r="A738" s="3">
        <v>735</v>
      </c>
      <c r="B738" s="9" t="str">
        <f>"李瑞"</f>
        <v>李瑞</v>
      </c>
      <c r="C738" s="9" t="str">
        <f t="shared" si="69"/>
        <v>1623030310615</v>
      </c>
      <c r="D738" s="9" t="s">
        <v>74</v>
      </c>
      <c r="E738" s="9" t="str">
        <f>"16230031820"</f>
        <v>16230031820</v>
      </c>
      <c r="F738" s="7">
        <v>81.78</v>
      </c>
      <c r="G738" s="7">
        <v>100.1</v>
      </c>
      <c r="H738" s="7">
        <v>92.77</v>
      </c>
      <c r="I738" s="10"/>
      <c r="J738" s="7">
        <f t="shared" si="66"/>
        <v>92.77</v>
      </c>
      <c r="K738" s="11"/>
    </row>
    <row r="739" spans="1:11" s="1" customFormat="1" ht="14.25">
      <c r="A739" s="3">
        <v>736</v>
      </c>
      <c r="B739" s="9" t="str">
        <f>"吴婷婷"</f>
        <v>吴婷婷</v>
      </c>
      <c r="C739" s="9" t="str">
        <f t="shared" si="69"/>
        <v>1623030310615</v>
      </c>
      <c r="D739" s="9" t="s">
        <v>74</v>
      </c>
      <c r="E739" s="9" t="str">
        <f>"16230031705"</f>
        <v>16230031705</v>
      </c>
      <c r="F739" s="7">
        <v>84.78</v>
      </c>
      <c r="G739" s="7">
        <v>96.79</v>
      </c>
      <c r="H739" s="7">
        <v>91.99</v>
      </c>
      <c r="I739" s="10"/>
      <c r="J739" s="7">
        <f t="shared" si="66"/>
        <v>91.99</v>
      </c>
      <c r="K739" s="11"/>
    </row>
    <row r="740" spans="1:11" s="1" customFormat="1" ht="14.25">
      <c r="A740" s="3">
        <v>737</v>
      </c>
      <c r="B740" s="9" t="str">
        <f>"王芮"</f>
        <v>王芮</v>
      </c>
      <c r="C740" s="9" t="str">
        <f t="shared" si="69"/>
        <v>1623030310615</v>
      </c>
      <c r="D740" s="9" t="s">
        <v>74</v>
      </c>
      <c r="E740" s="9" t="str">
        <f>"16230031816"</f>
        <v>16230031816</v>
      </c>
      <c r="F740" s="7">
        <v>87.42</v>
      </c>
      <c r="G740" s="7">
        <v>94.43</v>
      </c>
      <c r="H740" s="7">
        <v>91.63</v>
      </c>
      <c r="I740" s="10"/>
      <c r="J740" s="7">
        <f t="shared" si="66"/>
        <v>91.63</v>
      </c>
      <c r="K740" s="11"/>
    </row>
    <row r="741" spans="1:11" s="1" customFormat="1" ht="14.25">
      <c r="A741" s="3">
        <v>738</v>
      </c>
      <c r="B741" s="9" t="str">
        <f>"赵晨君"</f>
        <v>赵晨君</v>
      </c>
      <c r="C741" s="9" t="str">
        <f t="shared" si="69"/>
        <v>1623030310615</v>
      </c>
      <c r="D741" s="9" t="s">
        <v>74</v>
      </c>
      <c r="E741" s="9" t="str">
        <f>"16230031830"</f>
        <v>16230031830</v>
      </c>
      <c r="F741" s="7">
        <v>87.34</v>
      </c>
      <c r="G741" s="7">
        <v>94.2</v>
      </c>
      <c r="H741" s="7">
        <v>91.46</v>
      </c>
      <c r="I741" s="10"/>
      <c r="J741" s="7">
        <f t="shared" si="66"/>
        <v>91.46</v>
      </c>
      <c r="K741" s="11"/>
    </row>
    <row r="742" spans="1:11" s="1" customFormat="1" ht="14.25">
      <c r="A742" s="3">
        <v>739</v>
      </c>
      <c r="B742" s="9" t="str">
        <f>"毛润琪"</f>
        <v>毛润琪</v>
      </c>
      <c r="C742" s="9" t="str">
        <f t="shared" si="69"/>
        <v>1623030310615</v>
      </c>
      <c r="D742" s="9" t="s">
        <v>74</v>
      </c>
      <c r="E742" s="9" t="str">
        <f>"16230031907"</f>
        <v>16230031907</v>
      </c>
      <c r="F742" s="7">
        <v>81.56</v>
      </c>
      <c r="G742" s="7">
        <v>97.68</v>
      </c>
      <c r="H742" s="7">
        <v>91.23</v>
      </c>
      <c r="I742" s="10"/>
      <c r="J742" s="7">
        <f t="shared" si="66"/>
        <v>91.23</v>
      </c>
      <c r="K742" s="11"/>
    </row>
    <row r="743" spans="1:11" s="1" customFormat="1" ht="14.25">
      <c r="A743" s="3">
        <v>740</v>
      </c>
      <c r="B743" s="9" t="str">
        <f>"汪梦梅"</f>
        <v>汪梦梅</v>
      </c>
      <c r="C743" s="9" t="str">
        <f t="shared" si="69"/>
        <v>1623030310615</v>
      </c>
      <c r="D743" s="9" t="s">
        <v>74</v>
      </c>
      <c r="E743" s="9" t="str">
        <f>"16230031723"</f>
        <v>16230031723</v>
      </c>
      <c r="F743" s="7">
        <v>86.48</v>
      </c>
      <c r="G743" s="7">
        <v>94.13</v>
      </c>
      <c r="H743" s="7">
        <v>91.07</v>
      </c>
      <c r="I743" s="10"/>
      <c r="J743" s="7">
        <f t="shared" si="66"/>
        <v>91.07</v>
      </c>
      <c r="K743" s="11"/>
    </row>
    <row r="744" spans="1:11" s="1" customFormat="1" ht="14.25">
      <c r="A744" s="3">
        <v>741</v>
      </c>
      <c r="B744" s="9" t="str">
        <f>"李仪"</f>
        <v>李仪</v>
      </c>
      <c r="C744" s="9" t="str">
        <f t="shared" si="69"/>
        <v>1623030310615</v>
      </c>
      <c r="D744" s="9" t="s">
        <v>74</v>
      </c>
      <c r="E744" s="9" t="str">
        <f>"16230031909"</f>
        <v>16230031909</v>
      </c>
      <c r="F744" s="7">
        <v>82.62</v>
      </c>
      <c r="G744" s="7">
        <v>96.48</v>
      </c>
      <c r="H744" s="7">
        <v>90.94</v>
      </c>
      <c r="I744" s="10"/>
      <c r="J744" s="7">
        <f t="shared" si="66"/>
        <v>90.94</v>
      </c>
      <c r="K744" s="11"/>
    </row>
    <row r="745" spans="1:11" s="1" customFormat="1" ht="14.25">
      <c r="A745" s="3">
        <v>742</v>
      </c>
      <c r="B745" s="9" t="str">
        <f>"赵丽红"</f>
        <v>赵丽红</v>
      </c>
      <c r="C745" s="9" t="str">
        <f t="shared" si="69"/>
        <v>1623030310615</v>
      </c>
      <c r="D745" s="9" t="s">
        <v>74</v>
      </c>
      <c r="E745" s="9" t="str">
        <f>"16230031811"</f>
        <v>16230031811</v>
      </c>
      <c r="F745" s="7">
        <v>82.1</v>
      </c>
      <c r="G745" s="7">
        <v>96.12</v>
      </c>
      <c r="H745" s="7">
        <v>90.51</v>
      </c>
      <c r="I745" s="10"/>
      <c r="J745" s="7">
        <f t="shared" si="66"/>
        <v>90.51</v>
      </c>
      <c r="K745" s="11"/>
    </row>
    <row r="746" spans="1:11" s="1" customFormat="1" ht="14.25">
      <c r="A746" s="3">
        <v>743</v>
      </c>
      <c r="B746" s="9" t="str">
        <f>"陶梦雨"</f>
        <v>陶梦雨</v>
      </c>
      <c r="C746" s="9" t="str">
        <f t="shared" si="69"/>
        <v>1623030310615</v>
      </c>
      <c r="D746" s="9" t="s">
        <v>74</v>
      </c>
      <c r="E746" s="9" t="str">
        <f>"16230031823"</f>
        <v>16230031823</v>
      </c>
      <c r="F746" s="7">
        <v>85.6</v>
      </c>
      <c r="G746" s="7">
        <v>93.61</v>
      </c>
      <c r="H746" s="7">
        <v>90.41</v>
      </c>
      <c r="I746" s="10"/>
      <c r="J746" s="7">
        <f t="shared" si="66"/>
        <v>90.41</v>
      </c>
      <c r="K746" s="11"/>
    </row>
    <row r="747" spans="1:11" s="1" customFormat="1" ht="14.25">
      <c r="A747" s="3">
        <v>744</v>
      </c>
      <c r="B747" s="9" t="str">
        <f>"徐雪妮"</f>
        <v>徐雪妮</v>
      </c>
      <c r="C747" s="9" t="str">
        <f t="shared" si="69"/>
        <v>1623030310615</v>
      </c>
      <c r="D747" s="9" t="s">
        <v>74</v>
      </c>
      <c r="E747" s="9" t="str">
        <f>"16230031622"</f>
        <v>16230031622</v>
      </c>
      <c r="F747" s="7">
        <v>81.6</v>
      </c>
      <c r="G747" s="7">
        <v>95.85</v>
      </c>
      <c r="H747" s="7">
        <v>90.15</v>
      </c>
      <c r="I747" s="10"/>
      <c r="J747" s="7">
        <f t="shared" si="66"/>
        <v>90.15</v>
      </c>
      <c r="K747" s="11"/>
    </row>
    <row r="748" spans="1:11" s="1" customFormat="1" ht="14.25">
      <c r="A748" s="3">
        <v>745</v>
      </c>
      <c r="B748" s="9" t="str">
        <f>"张晓艳"</f>
        <v>张晓艳</v>
      </c>
      <c r="C748" s="9" t="str">
        <f aca="true" t="shared" si="70" ref="C748:C756">"1623030310616"</f>
        <v>1623030310616</v>
      </c>
      <c r="D748" s="9" t="s">
        <v>75</v>
      </c>
      <c r="E748" s="9" t="str">
        <f>"16230032724"</f>
        <v>16230032724</v>
      </c>
      <c r="F748" s="7">
        <v>86.16</v>
      </c>
      <c r="G748" s="7">
        <v>100.79</v>
      </c>
      <c r="H748" s="7">
        <v>94.94</v>
      </c>
      <c r="I748" s="10"/>
      <c r="J748" s="7">
        <f t="shared" si="66"/>
        <v>94.94</v>
      </c>
      <c r="K748" s="11"/>
    </row>
    <row r="749" spans="1:11" s="1" customFormat="1" ht="14.25">
      <c r="A749" s="3">
        <v>746</v>
      </c>
      <c r="B749" s="9" t="str">
        <f>"胡佳琦"</f>
        <v>胡佳琦</v>
      </c>
      <c r="C749" s="9" t="str">
        <f t="shared" si="70"/>
        <v>1623030310616</v>
      </c>
      <c r="D749" s="9" t="s">
        <v>75</v>
      </c>
      <c r="E749" s="9" t="str">
        <f>"16230032602"</f>
        <v>16230032602</v>
      </c>
      <c r="F749" s="7">
        <v>90.2</v>
      </c>
      <c r="G749" s="7">
        <v>97.79</v>
      </c>
      <c r="H749" s="7">
        <v>94.75</v>
      </c>
      <c r="I749" s="10"/>
      <c r="J749" s="7">
        <f t="shared" si="66"/>
        <v>94.75</v>
      </c>
      <c r="K749" s="11"/>
    </row>
    <row r="750" spans="1:11" s="1" customFormat="1" ht="14.25">
      <c r="A750" s="3">
        <v>747</v>
      </c>
      <c r="B750" s="9" t="str">
        <f>"詹玉文"</f>
        <v>詹玉文</v>
      </c>
      <c r="C750" s="9" t="str">
        <f t="shared" si="70"/>
        <v>1623030310616</v>
      </c>
      <c r="D750" s="9" t="s">
        <v>75</v>
      </c>
      <c r="E750" s="9" t="str">
        <f>"16230032504"</f>
        <v>16230032504</v>
      </c>
      <c r="F750" s="7">
        <v>88.78</v>
      </c>
      <c r="G750" s="7">
        <v>98.46</v>
      </c>
      <c r="H750" s="7">
        <v>94.59</v>
      </c>
      <c r="I750" s="10"/>
      <c r="J750" s="7">
        <f t="shared" si="66"/>
        <v>94.59</v>
      </c>
      <c r="K750" s="11"/>
    </row>
    <row r="751" spans="1:11" s="1" customFormat="1" ht="14.25">
      <c r="A751" s="3">
        <v>748</v>
      </c>
      <c r="B751" s="9" t="str">
        <f>"刘淼"</f>
        <v>刘淼</v>
      </c>
      <c r="C751" s="9" t="str">
        <f t="shared" si="70"/>
        <v>1623030310616</v>
      </c>
      <c r="D751" s="9" t="s">
        <v>75</v>
      </c>
      <c r="E751" s="9" t="str">
        <f>"16230032029"</f>
        <v>16230032029</v>
      </c>
      <c r="F751" s="7">
        <v>86.98</v>
      </c>
      <c r="G751" s="7">
        <v>99.01</v>
      </c>
      <c r="H751" s="7">
        <v>94.2</v>
      </c>
      <c r="I751" s="10"/>
      <c r="J751" s="7">
        <f t="shared" si="66"/>
        <v>94.2</v>
      </c>
      <c r="K751" s="11"/>
    </row>
    <row r="752" spans="1:11" s="1" customFormat="1" ht="14.25">
      <c r="A752" s="3">
        <v>749</v>
      </c>
      <c r="B752" s="9" t="str">
        <f>"李瑞"</f>
        <v>李瑞</v>
      </c>
      <c r="C752" s="9" t="str">
        <f t="shared" si="70"/>
        <v>1623030310616</v>
      </c>
      <c r="D752" s="9" t="s">
        <v>75</v>
      </c>
      <c r="E752" s="9" t="str">
        <f>"16230032129"</f>
        <v>16230032129</v>
      </c>
      <c r="F752" s="7">
        <v>86.58</v>
      </c>
      <c r="G752" s="7">
        <v>99.13</v>
      </c>
      <c r="H752" s="7">
        <v>94.11</v>
      </c>
      <c r="I752" s="10"/>
      <c r="J752" s="7">
        <f t="shared" si="66"/>
        <v>94.11</v>
      </c>
      <c r="K752" s="11"/>
    </row>
    <row r="753" spans="1:11" s="1" customFormat="1" ht="14.25">
      <c r="A753" s="3">
        <v>750</v>
      </c>
      <c r="B753" s="9" t="str">
        <f>"张卉林"</f>
        <v>张卉林</v>
      </c>
      <c r="C753" s="9" t="str">
        <f t="shared" si="70"/>
        <v>1623030310616</v>
      </c>
      <c r="D753" s="9" t="s">
        <v>75</v>
      </c>
      <c r="E753" s="9" t="str">
        <f>"16230032128"</f>
        <v>16230032128</v>
      </c>
      <c r="F753" s="7">
        <v>81</v>
      </c>
      <c r="G753" s="7">
        <v>102.26</v>
      </c>
      <c r="H753" s="7">
        <v>93.76</v>
      </c>
      <c r="I753" s="10"/>
      <c r="J753" s="7">
        <f t="shared" si="66"/>
        <v>93.76</v>
      </c>
      <c r="K753" s="11"/>
    </row>
    <row r="754" spans="1:11" s="1" customFormat="1" ht="14.25">
      <c r="A754" s="3">
        <v>751</v>
      </c>
      <c r="B754" s="9" t="str">
        <f>"杨威"</f>
        <v>杨威</v>
      </c>
      <c r="C754" s="9" t="str">
        <f t="shared" si="70"/>
        <v>1623030310616</v>
      </c>
      <c r="D754" s="9" t="s">
        <v>75</v>
      </c>
      <c r="E754" s="9" t="str">
        <f>"16230032625"</f>
        <v>16230032625</v>
      </c>
      <c r="F754" s="7">
        <v>84.76</v>
      </c>
      <c r="G754" s="7">
        <v>99.57</v>
      </c>
      <c r="H754" s="7">
        <v>93.65</v>
      </c>
      <c r="I754" s="10"/>
      <c r="J754" s="7">
        <f t="shared" si="66"/>
        <v>93.65</v>
      </c>
      <c r="K754" s="11"/>
    </row>
    <row r="755" spans="1:11" s="1" customFormat="1" ht="14.25">
      <c r="A755" s="3">
        <v>752</v>
      </c>
      <c r="B755" s="9" t="str">
        <f>"刘雪"</f>
        <v>刘雪</v>
      </c>
      <c r="C755" s="9" t="str">
        <f t="shared" si="70"/>
        <v>1623030310616</v>
      </c>
      <c r="D755" s="9" t="s">
        <v>75</v>
      </c>
      <c r="E755" s="9" t="str">
        <f>"16230032410"</f>
        <v>16230032410</v>
      </c>
      <c r="F755" s="7">
        <v>87.76</v>
      </c>
      <c r="G755" s="7">
        <v>96.58</v>
      </c>
      <c r="H755" s="7">
        <v>93.05</v>
      </c>
      <c r="I755" s="10"/>
      <c r="J755" s="7">
        <f t="shared" si="66"/>
        <v>93.05</v>
      </c>
      <c r="K755" s="11"/>
    </row>
    <row r="756" spans="1:11" s="1" customFormat="1" ht="14.25">
      <c r="A756" s="3">
        <v>753</v>
      </c>
      <c r="B756" s="9" t="str">
        <f>"吴倩倩"</f>
        <v>吴倩倩</v>
      </c>
      <c r="C756" s="9" t="str">
        <f t="shared" si="70"/>
        <v>1623030310616</v>
      </c>
      <c r="D756" s="9" t="s">
        <v>75</v>
      </c>
      <c r="E756" s="9" t="str">
        <f>"16230032811"</f>
        <v>16230032811</v>
      </c>
      <c r="F756" s="7">
        <v>88.08</v>
      </c>
      <c r="G756" s="7">
        <v>95.73</v>
      </c>
      <c r="H756" s="7">
        <v>92.67</v>
      </c>
      <c r="I756" s="10"/>
      <c r="J756" s="7">
        <f t="shared" si="66"/>
        <v>92.67</v>
      </c>
      <c r="K756" s="11"/>
    </row>
    <row r="757" spans="1:11" s="1" customFormat="1" ht="14.25">
      <c r="A757" s="3">
        <v>754</v>
      </c>
      <c r="B757" s="9" t="str">
        <f>"李云兰"</f>
        <v>李云兰</v>
      </c>
      <c r="C757" s="9" t="str">
        <f aca="true" t="shared" si="71" ref="C757:C768">"1623030310711"</f>
        <v>1623030310711</v>
      </c>
      <c r="D757" s="9" t="s">
        <v>76</v>
      </c>
      <c r="E757" s="9" t="str">
        <f>"16230034427"</f>
        <v>16230034427</v>
      </c>
      <c r="F757" s="7">
        <v>85.06</v>
      </c>
      <c r="G757" s="7">
        <v>95.59</v>
      </c>
      <c r="H757" s="7">
        <v>91.38</v>
      </c>
      <c r="I757" s="10"/>
      <c r="J757" s="7">
        <f t="shared" si="66"/>
        <v>91.38</v>
      </c>
      <c r="K757" s="11"/>
    </row>
    <row r="758" spans="1:11" s="1" customFormat="1" ht="14.25">
      <c r="A758" s="3">
        <v>755</v>
      </c>
      <c r="B758" s="9" t="str">
        <f>"陈文婷"</f>
        <v>陈文婷</v>
      </c>
      <c r="C758" s="9" t="str">
        <f t="shared" si="71"/>
        <v>1623030310711</v>
      </c>
      <c r="D758" s="9" t="s">
        <v>76</v>
      </c>
      <c r="E758" s="9" t="str">
        <f>"16230034408"</f>
        <v>16230034408</v>
      </c>
      <c r="F758" s="7">
        <v>88.12</v>
      </c>
      <c r="G758" s="7">
        <v>87.65</v>
      </c>
      <c r="H758" s="7">
        <v>87.84</v>
      </c>
      <c r="I758" s="10"/>
      <c r="J758" s="7">
        <f t="shared" si="66"/>
        <v>87.84</v>
      </c>
      <c r="K758" s="11"/>
    </row>
    <row r="759" spans="1:11" s="1" customFormat="1" ht="14.25">
      <c r="A759" s="3">
        <v>756</v>
      </c>
      <c r="B759" s="9" t="str">
        <f>"牛笑宇"</f>
        <v>牛笑宇</v>
      </c>
      <c r="C759" s="9" t="str">
        <f t="shared" si="71"/>
        <v>1623030310711</v>
      </c>
      <c r="D759" s="9" t="s">
        <v>76</v>
      </c>
      <c r="E759" s="9" t="str">
        <f>"16230034414"</f>
        <v>16230034414</v>
      </c>
      <c r="F759" s="7">
        <v>79.94</v>
      </c>
      <c r="G759" s="7">
        <v>86.6</v>
      </c>
      <c r="H759" s="7">
        <v>83.94</v>
      </c>
      <c r="I759" s="10"/>
      <c r="J759" s="7">
        <f t="shared" si="66"/>
        <v>83.94</v>
      </c>
      <c r="K759" s="11"/>
    </row>
    <row r="760" spans="1:11" s="1" customFormat="1" ht="14.25">
      <c r="A760" s="3">
        <v>757</v>
      </c>
      <c r="B760" s="9" t="str">
        <f>"梁云敏"</f>
        <v>梁云敏</v>
      </c>
      <c r="C760" s="9" t="str">
        <f t="shared" si="71"/>
        <v>1623030310711</v>
      </c>
      <c r="D760" s="9" t="s">
        <v>76</v>
      </c>
      <c r="E760" s="9" t="str">
        <f>"16230034426"</f>
        <v>16230034426</v>
      </c>
      <c r="F760" s="7">
        <v>73</v>
      </c>
      <c r="G760" s="7">
        <v>89.16</v>
      </c>
      <c r="H760" s="7">
        <v>82.7</v>
      </c>
      <c r="I760" s="10"/>
      <c r="J760" s="7">
        <f t="shared" si="66"/>
        <v>82.7</v>
      </c>
      <c r="K760" s="11"/>
    </row>
    <row r="761" spans="1:11" s="1" customFormat="1" ht="14.25">
      <c r="A761" s="3">
        <v>758</v>
      </c>
      <c r="B761" s="9" t="str">
        <f>"马典悦"</f>
        <v>马典悦</v>
      </c>
      <c r="C761" s="9" t="str">
        <f t="shared" si="71"/>
        <v>1623030310711</v>
      </c>
      <c r="D761" s="9" t="s">
        <v>76</v>
      </c>
      <c r="E761" s="9" t="str">
        <f>"16230034308"</f>
        <v>16230034308</v>
      </c>
      <c r="F761" s="7">
        <v>78.76</v>
      </c>
      <c r="G761" s="7">
        <v>84.52</v>
      </c>
      <c r="H761" s="7">
        <v>82.22</v>
      </c>
      <c r="I761" s="10"/>
      <c r="J761" s="7">
        <f t="shared" si="66"/>
        <v>82.22</v>
      </c>
      <c r="K761" s="11"/>
    </row>
    <row r="762" spans="1:11" s="1" customFormat="1" ht="14.25">
      <c r="A762" s="3">
        <v>759</v>
      </c>
      <c r="B762" s="9" t="str">
        <f>"刘倩倩"</f>
        <v>刘倩倩</v>
      </c>
      <c r="C762" s="9" t="str">
        <f t="shared" si="71"/>
        <v>1623030310711</v>
      </c>
      <c r="D762" s="9" t="s">
        <v>76</v>
      </c>
      <c r="E762" s="9" t="str">
        <f>"16230034313"</f>
        <v>16230034313</v>
      </c>
      <c r="F762" s="7">
        <v>77.9</v>
      </c>
      <c r="G762" s="7">
        <v>80.13</v>
      </c>
      <c r="H762" s="7">
        <v>79.24</v>
      </c>
      <c r="I762" s="10"/>
      <c r="J762" s="7">
        <f t="shared" si="66"/>
        <v>79.24</v>
      </c>
      <c r="K762" s="11"/>
    </row>
    <row r="763" spans="1:11" s="1" customFormat="1" ht="14.25">
      <c r="A763" s="3">
        <v>760</v>
      </c>
      <c r="B763" s="9" t="str">
        <f>"谢灿灿"</f>
        <v>谢灿灿</v>
      </c>
      <c r="C763" s="9" t="str">
        <f t="shared" si="71"/>
        <v>1623030310711</v>
      </c>
      <c r="D763" s="9" t="s">
        <v>76</v>
      </c>
      <c r="E763" s="9" t="str">
        <f>"16230034404"</f>
        <v>16230034404</v>
      </c>
      <c r="F763" s="7">
        <v>78.36</v>
      </c>
      <c r="G763" s="7">
        <v>78.62</v>
      </c>
      <c r="H763" s="7">
        <v>78.52</v>
      </c>
      <c r="I763" s="10"/>
      <c r="J763" s="7">
        <f t="shared" si="66"/>
        <v>78.52</v>
      </c>
      <c r="K763" s="11"/>
    </row>
    <row r="764" spans="1:11" s="1" customFormat="1" ht="14.25">
      <c r="A764" s="3">
        <v>761</v>
      </c>
      <c r="B764" s="9" t="str">
        <f>"董万年"</f>
        <v>董万年</v>
      </c>
      <c r="C764" s="9" t="str">
        <f t="shared" si="71"/>
        <v>1623030310711</v>
      </c>
      <c r="D764" s="9" t="s">
        <v>76</v>
      </c>
      <c r="E764" s="9" t="str">
        <f>"16230034424"</f>
        <v>16230034424</v>
      </c>
      <c r="F764" s="7">
        <v>76.88</v>
      </c>
      <c r="G764" s="7">
        <v>78.94</v>
      </c>
      <c r="H764" s="7">
        <v>78.12</v>
      </c>
      <c r="I764" s="10"/>
      <c r="J764" s="7">
        <f t="shared" si="66"/>
        <v>78.12</v>
      </c>
      <c r="K764" s="11"/>
    </row>
    <row r="765" spans="1:11" s="1" customFormat="1" ht="14.25">
      <c r="A765" s="3">
        <v>762</v>
      </c>
      <c r="B765" s="9" t="str">
        <f>"安雨晴"</f>
        <v>安雨晴</v>
      </c>
      <c r="C765" s="9" t="str">
        <f t="shared" si="71"/>
        <v>1623030310711</v>
      </c>
      <c r="D765" s="9" t="s">
        <v>76</v>
      </c>
      <c r="E765" s="9" t="str">
        <f>"16230034307"</f>
        <v>16230034307</v>
      </c>
      <c r="F765" s="7">
        <v>78.6</v>
      </c>
      <c r="G765" s="7">
        <v>77.32</v>
      </c>
      <c r="H765" s="7">
        <v>77.83</v>
      </c>
      <c r="I765" s="10"/>
      <c r="J765" s="7">
        <f t="shared" si="66"/>
        <v>77.83</v>
      </c>
      <c r="K765" s="11"/>
    </row>
    <row r="766" spans="1:11" s="1" customFormat="1" ht="14.25">
      <c r="A766" s="3">
        <v>763</v>
      </c>
      <c r="B766" s="9" t="str">
        <f>"刘思雨"</f>
        <v>刘思雨</v>
      </c>
      <c r="C766" s="9" t="str">
        <f t="shared" si="71"/>
        <v>1623030310711</v>
      </c>
      <c r="D766" s="9" t="s">
        <v>76</v>
      </c>
      <c r="E766" s="9" t="str">
        <f>"16230034423"</f>
        <v>16230034423</v>
      </c>
      <c r="F766" s="7">
        <v>81.92</v>
      </c>
      <c r="G766" s="7">
        <v>75.08</v>
      </c>
      <c r="H766" s="7">
        <v>77.82</v>
      </c>
      <c r="I766" s="10"/>
      <c r="J766" s="7">
        <f t="shared" si="66"/>
        <v>77.82</v>
      </c>
      <c r="K766" s="11"/>
    </row>
    <row r="767" spans="1:11" s="1" customFormat="1" ht="14.25">
      <c r="A767" s="3">
        <v>764</v>
      </c>
      <c r="B767" s="9" t="str">
        <f>"宫露琪"</f>
        <v>宫露琪</v>
      </c>
      <c r="C767" s="9" t="str">
        <f t="shared" si="71"/>
        <v>1623030310711</v>
      </c>
      <c r="D767" s="9" t="s">
        <v>76</v>
      </c>
      <c r="E767" s="9" t="str">
        <f>"16230034407"</f>
        <v>16230034407</v>
      </c>
      <c r="F767" s="7">
        <v>79.96</v>
      </c>
      <c r="G767" s="7">
        <v>75.58</v>
      </c>
      <c r="H767" s="7">
        <v>77.33</v>
      </c>
      <c r="I767" s="10"/>
      <c r="J767" s="7">
        <f t="shared" si="66"/>
        <v>77.33</v>
      </c>
      <c r="K767" s="11"/>
    </row>
    <row r="768" spans="1:11" s="1" customFormat="1" ht="14.25">
      <c r="A768" s="3">
        <v>765</v>
      </c>
      <c r="B768" s="9" t="str">
        <f>"张宇"</f>
        <v>张宇</v>
      </c>
      <c r="C768" s="9" t="str">
        <f t="shared" si="71"/>
        <v>1623030310711</v>
      </c>
      <c r="D768" s="9" t="s">
        <v>76</v>
      </c>
      <c r="E768" s="9" t="str">
        <f>"16230034420"</f>
        <v>16230034420</v>
      </c>
      <c r="F768" s="7">
        <v>75.24</v>
      </c>
      <c r="G768" s="7">
        <v>75.99</v>
      </c>
      <c r="H768" s="7">
        <v>75.69</v>
      </c>
      <c r="I768" s="10"/>
      <c r="J768" s="7">
        <f t="shared" si="66"/>
        <v>75.69</v>
      </c>
      <c r="K768" s="11" t="s">
        <v>84</v>
      </c>
    </row>
    <row r="769" spans="1:11" s="1" customFormat="1" ht="14.25">
      <c r="A769" s="3">
        <v>766</v>
      </c>
      <c r="B769" s="9" t="str">
        <f>"胡雪"</f>
        <v>胡雪</v>
      </c>
      <c r="C769" s="9" t="str">
        <f aca="true" t="shared" si="72" ref="C769:C780">"1623030310712"</f>
        <v>1623030310712</v>
      </c>
      <c r="D769" s="9" t="s">
        <v>77</v>
      </c>
      <c r="E769" s="9" t="str">
        <f>"16230034517"</f>
        <v>16230034517</v>
      </c>
      <c r="F769" s="7">
        <v>86.26</v>
      </c>
      <c r="G769" s="7">
        <v>88.33</v>
      </c>
      <c r="H769" s="7">
        <v>87.5</v>
      </c>
      <c r="I769" s="10"/>
      <c r="J769" s="7">
        <f t="shared" si="66"/>
        <v>87.5</v>
      </c>
      <c r="K769" s="11"/>
    </row>
    <row r="770" spans="1:11" s="1" customFormat="1" ht="14.25">
      <c r="A770" s="3">
        <v>767</v>
      </c>
      <c r="B770" s="9" t="str">
        <f>"张晓明"</f>
        <v>张晓明</v>
      </c>
      <c r="C770" s="9" t="str">
        <f t="shared" si="72"/>
        <v>1623030310712</v>
      </c>
      <c r="D770" s="9" t="s">
        <v>77</v>
      </c>
      <c r="E770" s="9" t="str">
        <f>"16230034512"</f>
        <v>16230034512</v>
      </c>
      <c r="F770" s="7">
        <v>84.36</v>
      </c>
      <c r="G770" s="7">
        <v>89.56</v>
      </c>
      <c r="H770" s="7">
        <v>87.48</v>
      </c>
      <c r="I770" s="10"/>
      <c r="J770" s="7">
        <f t="shared" si="66"/>
        <v>87.48</v>
      </c>
      <c r="K770" s="11"/>
    </row>
    <row r="771" spans="1:11" s="1" customFormat="1" ht="14.25">
      <c r="A771" s="3">
        <v>768</v>
      </c>
      <c r="B771" s="9" t="str">
        <f>"李闪闪"</f>
        <v>李闪闪</v>
      </c>
      <c r="C771" s="9" t="str">
        <f t="shared" si="72"/>
        <v>1623030310712</v>
      </c>
      <c r="D771" s="9" t="s">
        <v>77</v>
      </c>
      <c r="E771" s="9" t="str">
        <f>"16230034505"</f>
        <v>16230034505</v>
      </c>
      <c r="F771" s="7">
        <v>90.12</v>
      </c>
      <c r="G771" s="7">
        <v>84.67</v>
      </c>
      <c r="H771" s="7">
        <v>86.85</v>
      </c>
      <c r="I771" s="10"/>
      <c r="J771" s="7">
        <f t="shared" si="66"/>
        <v>86.85</v>
      </c>
      <c r="K771" s="11"/>
    </row>
    <row r="772" spans="1:11" s="1" customFormat="1" ht="14.25">
      <c r="A772" s="3">
        <v>769</v>
      </c>
      <c r="B772" s="9" t="str">
        <f>"黄莹莹"</f>
        <v>黄莹莹</v>
      </c>
      <c r="C772" s="9" t="str">
        <f t="shared" si="72"/>
        <v>1623030310712</v>
      </c>
      <c r="D772" s="9" t="s">
        <v>77</v>
      </c>
      <c r="E772" s="9" t="str">
        <f>"16230034511"</f>
        <v>16230034511</v>
      </c>
      <c r="F772" s="7">
        <v>82.26</v>
      </c>
      <c r="G772" s="7">
        <v>86.31</v>
      </c>
      <c r="H772" s="7">
        <v>84.69</v>
      </c>
      <c r="I772" s="10"/>
      <c r="J772" s="7">
        <f aca="true" t="shared" si="73" ref="J772:J835">H772+I772</f>
        <v>84.69</v>
      </c>
      <c r="K772" s="11"/>
    </row>
    <row r="773" spans="1:11" s="1" customFormat="1" ht="14.25">
      <c r="A773" s="3">
        <v>770</v>
      </c>
      <c r="B773" s="9" t="str">
        <f>"王默"</f>
        <v>王默</v>
      </c>
      <c r="C773" s="9" t="str">
        <f t="shared" si="72"/>
        <v>1623030310712</v>
      </c>
      <c r="D773" s="9" t="s">
        <v>77</v>
      </c>
      <c r="E773" s="9" t="str">
        <f>"16230034522"</f>
        <v>16230034522</v>
      </c>
      <c r="F773" s="7">
        <v>68.34</v>
      </c>
      <c r="G773" s="7">
        <v>94.96</v>
      </c>
      <c r="H773" s="7">
        <v>84.31</v>
      </c>
      <c r="I773" s="10"/>
      <c r="J773" s="7">
        <f t="shared" si="73"/>
        <v>84.31</v>
      </c>
      <c r="K773" s="11"/>
    </row>
    <row r="774" spans="1:11" s="1" customFormat="1" ht="14.25">
      <c r="A774" s="3">
        <v>771</v>
      </c>
      <c r="B774" s="9" t="str">
        <f>"马盈盈"</f>
        <v>马盈盈</v>
      </c>
      <c r="C774" s="9" t="str">
        <f t="shared" si="72"/>
        <v>1623030310712</v>
      </c>
      <c r="D774" s="9" t="s">
        <v>77</v>
      </c>
      <c r="E774" s="9" t="str">
        <f>"16230034526"</f>
        <v>16230034526</v>
      </c>
      <c r="F774" s="7">
        <v>77.84</v>
      </c>
      <c r="G774" s="7">
        <v>86.78</v>
      </c>
      <c r="H774" s="7">
        <v>83.2</v>
      </c>
      <c r="I774" s="10"/>
      <c r="J774" s="7">
        <f t="shared" si="73"/>
        <v>83.2</v>
      </c>
      <c r="K774" s="11"/>
    </row>
    <row r="775" spans="1:11" s="1" customFormat="1" ht="14.25">
      <c r="A775" s="3">
        <v>772</v>
      </c>
      <c r="B775" s="9" t="str">
        <f>"余子贤"</f>
        <v>余子贤</v>
      </c>
      <c r="C775" s="9" t="str">
        <f t="shared" si="72"/>
        <v>1623030310712</v>
      </c>
      <c r="D775" s="9" t="s">
        <v>77</v>
      </c>
      <c r="E775" s="9" t="str">
        <f>"16230034609"</f>
        <v>16230034609</v>
      </c>
      <c r="F775" s="7">
        <v>76.26</v>
      </c>
      <c r="G775" s="7">
        <v>87.39</v>
      </c>
      <c r="H775" s="7">
        <v>82.94</v>
      </c>
      <c r="I775" s="10"/>
      <c r="J775" s="7">
        <f t="shared" si="73"/>
        <v>82.94</v>
      </c>
      <c r="K775" s="11"/>
    </row>
    <row r="776" spans="1:11" s="1" customFormat="1" ht="14.25">
      <c r="A776" s="3">
        <v>773</v>
      </c>
      <c r="B776" s="9" t="str">
        <f>"关珊珊"</f>
        <v>关珊珊</v>
      </c>
      <c r="C776" s="9" t="str">
        <f t="shared" si="72"/>
        <v>1623030310712</v>
      </c>
      <c r="D776" s="9" t="s">
        <v>77</v>
      </c>
      <c r="E776" s="9" t="str">
        <f>"16230034624"</f>
        <v>16230034624</v>
      </c>
      <c r="F776" s="7">
        <v>77.08</v>
      </c>
      <c r="G776" s="7">
        <v>85.54</v>
      </c>
      <c r="H776" s="7">
        <v>82.16</v>
      </c>
      <c r="I776" s="10"/>
      <c r="J776" s="7">
        <f t="shared" si="73"/>
        <v>82.16</v>
      </c>
      <c r="K776" s="11"/>
    </row>
    <row r="777" spans="1:11" s="1" customFormat="1" ht="14.25">
      <c r="A777" s="3">
        <v>774</v>
      </c>
      <c r="B777" s="9" t="str">
        <f>"徐旭"</f>
        <v>徐旭</v>
      </c>
      <c r="C777" s="9" t="str">
        <f t="shared" si="72"/>
        <v>1623030310712</v>
      </c>
      <c r="D777" s="9" t="s">
        <v>77</v>
      </c>
      <c r="E777" s="9" t="str">
        <f>"16230034601"</f>
        <v>16230034601</v>
      </c>
      <c r="F777" s="7">
        <v>82.86</v>
      </c>
      <c r="G777" s="7">
        <v>81.33</v>
      </c>
      <c r="H777" s="7">
        <v>81.94</v>
      </c>
      <c r="I777" s="10"/>
      <c r="J777" s="7">
        <f t="shared" si="73"/>
        <v>81.94</v>
      </c>
      <c r="K777" s="11"/>
    </row>
    <row r="778" spans="1:11" s="1" customFormat="1" ht="14.25">
      <c r="A778" s="3">
        <v>775</v>
      </c>
      <c r="B778" s="9" t="str">
        <f>"杨硕"</f>
        <v>杨硕</v>
      </c>
      <c r="C778" s="9" t="str">
        <f t="shared" si="72"/>
        <v>1623030310712</v>
      </c>
      <c r="D778" s="9" t="s">
        <v>77</v>
      </c>
      <c r="E778" s="9" t="str">
        <f>"16230034524"</f>
        <v>16230034524</v>
      </c>
      <c r="F778" s="7">
        <v>75.2</v>
      </c>
      <c r="G778" s="7">
        <v>84.01</v>
      </c>
      <c r="H778" s="7">
        <v>80.49</v>
      </c>
      <c r="I778" s="10"/>
      <c r="J778" s="7">
        <f t="shared" si="73"/>
        <v>80.49</v>
      </c>
      <c r="K778" s="11"/>
    </row>
    <row r="779" spans="1:11" s="1" customFormat="1" ht="14.25">
      <c r="A779" s="3">
        <v>776</v>
      </c>
      <c r="B779" s="9" t="str">
        <f>"杨宁"</f>
        <v>杨宁</v>
      </c>
      <c r="C779" s="9" t="str">
        <f t="shared" si="72"/>
        <v>1623030310712</v>
      </c>
      <c r="D779" s="9" t="s">
        <v>77</v>
      </c>
      <c r="E779" s="9" t="str">
        <f>"16230034712"</f>
        <v>16230034712</v>
      </c>
      <c r="F779" s="7">
        <v>77.06</v>
      </c>
      <c r="G779" s="7">
        <v>80.7</v>
      </c>
      <c r="H779" s="7">
        <v>79.24</v>
      </c>
      <c r="I779" s="10"/>
      <c r="J779" s="7">
        <f t="shared" si="73"/>
        <v>79.24</v>
      </c>
      <c r="K779" s="11"/>
    </row>
    <row r="780" spans="1:11" s="1" customFormat="1" ht="14.25">
      <c r="A780" s="3">
        <v>777</v>
      </c>
      <c r="B780" s="9" t="str">
        <f>"赵文静"</f>
        <v>赵文静</v>
      </c>
      <c r="C780" s="9" t="str">
        <f t="shared" si="72"/>
        <v>1623030310712</v>
      </c>
      <c r="D780" s="9" t="s">
        <v>77</v>
      </c>
      <c r="E780" s="9" t="str">
        <f>"16230034610"</f>
        <v>16230034610</v>
      </c>
      <c r="F780" s="7">
        <v>73.98</v>
      </c>
      <c r="G780" s="7">
        <v>80.05</v>
      </c>
      <c r="H780" s="7">
        <v>77.62</v>
      </c>
      <c r="I780" s="10"/>
      <c r="J780" s="7">
        <f t="shared" si="73"/>
        <v>77.62</v>
      </c>
      <c r="K780" s="11" t="s">
        <v>84</v>
      </c>
    </row>
    <row r="781" spans="1:11" s="1" customFormat="1" ht="14.25">
      <c r="A781" s="3">
        <v>778</v>
      </c>
      <c r="B781" s="9" t="str">
        <f>"张鹏杰"</f>
        <v>张鹏杰</v>
      </c>
      <c r="C781" s="9" t="str">
        <f aca="true" t="shared" si="74" ref="C781:C792">"1623030310813"</f>
        <v>1623030310813</v>
      </c>
      <c r="D781" s="9" t="s">
        <v>78</v>
      </c>
      <c r="E781" s="9" t="str">
        <f>"16230033020"</f>
        <v>16230033020</v>
      </c>
      <c r="F781" s="7">
        <v>83.38</v>
      </c>
      <c r="G781" s="7">
        <v>95.51</v>
      </c>
      <c r="H781" s="7">
        <v>90.66</v>
      </c>
      <c r="I781" s="10"/>
      <c r="J781" s="7">
        <f t="shared" si="73"/>
        <v>90.66</v>
      </c>
      <c r="K781" s="11"/>
    </row>
    <row r="782" spans="1:11" s="1" customFormat="1" ht="14.25">
      <c r="A782" s="3">
        <v>779</v>
      </c>
      <c r="B782" s="9" t="str">
        <f>"王静"</f>
        <v>王静</v>
      </c>
      <c r="C782" s="9" t="str">
        <f t="shared" si="74"/>
        <v>1623030310813</v>
      </c>
      <c r="D782" s="9" t="s">
        <v>78</v>
      </c>
      <c r="E782" s="9" t="str">
        <f>"16230033108"</f>
        <v>16230033108</v>
      </c>
      <c r="F782" s="7">
        <v>84.38</v>
      </c>
      <c r="G782" s="7">
        <v>91.75</v>
      </c>
      <c r="H782" s="7">
        <v>88.8</v>
      </c>
      <c r="I782" s="10"/>
      <c r="J782" s="7">
        <f t="shared" si="73"/>
        <v>88.8</v>
      </c>
      <c r="K782" s="11"/>
    </row>
    <row r="783" spans="1:11" s="1" customFormat="1" ht="14.25">
      <c r="A783" s="3">
        <v>780</v>
      </c>
      <c r="B783" s="9" t="str">
        <f>"李龙辉"</f>
        <v>李龙辉</v>
      </c>
      <c r="C783" s="9" t="str">
        <f t="shared" si="74"/>
        <v>1623030310813</v>
      </c>
      <c r="D783" s="9" t="s">
        <v>78</v>
      </c>
      <c r="E783" s="9" t="str">
        <f>"16230032909"</f>
        <v>16230032909</v>
      </c>
      <c r="F783" s="7">
        <v>83.36</v>
      </c>
      <c r="G783" s="7">
        <v>91.38</v>
      </c>
      <c r="H783" s="7">
        <v>88.17</v>
      </c>
      <c r="I783" s="10"/>
      <c r="J783" s="7">
        <f t="shared" si="73"/>
        <v>88.17</v>
      </c>
      <c r="K783" s="11"/>
    </row>
    <row r="784" spans="1:11" s="1" customFormat="1" ht="14.25">
      <c r="A784" s="3">
        <v>781</v>
      </c>
      <c r="B784" s="9" t="str">
        <f>"马利"</f>
        <v>马利</v>
      </c>
      <c r="C784" s="9" t="str">
        <f t="shared" si="74"/>
        <v>1623030310813</v>
      </c>
      <c r="D784" s="9" t="s">
        <v>78</v>
      </c>
      <c r="E784" s="9" t="str">
        <f>"16230032910"</f>
        <v>16230032910</v>
      </c>
      <c r="F784" s="7">
        <v>89.22</v>
      </c>
      <c r="G784" s="7">
        <v>87.29</v>
      </c>
      <c r="H784" s="7">
        <v>88.06</v>
      </c>
      <c r="I784" s="10"/>
      <c r="J784" s="7">
        <f t="shared" si="73"/>
        <v>88.06</v>
      </c>
      <c r="K784" s="11"/>
    </row>
    <row r="785" spans="1:11" s="1" customFormat="1" ht="14.25">
      <c r="A785" s="3">
        <v>782</v>
      </c>
      <c r="B785" s="9" t="str">
        <f>"金文兵"</f>
        <v>金文兵</v>
      </c>
      <c r="C785" s="9" t="str">
        <f t="shared" si="74"/>
        <v>1623030310813</v>
      </c>
      <c r="D785" s="9" t="s">
        <v>78</v>
      </c>
      <c r="E785" s="9" t="str">
        <f>"16230033101"</f>
        <v>16230033101</v>
      </c>
      <c r="F785" s="7">
        <v>80.96</v>
      </c>
      <c r="G785" s="7">
        <v>92.2</v>
      </c>
      <c r="H785" s="7">
        <v>87.7</v>
      </c>
      <c r="I785" s="10"/>
      <c r="J785" s="7">
        <f t="shared" si="73"/>
        <v>87.7</v>
      </c>
      <c r="K785" s="11"/>
    </row>
    <row r="786" spans="1:11" s="1" customFormat="1" ht="14.25">
      <c r="A786" s="3">
        <v>783</v>
      </c>
      <c r="B786" s="9" t="str">
        <f>"邓帆"</f>
        <v>邓帆</v>
      </c>
      <c r="C786" s="9" t="str">
        <f t="shared" si="74"/>
        <v>1623030310813</v>
      </c>
      <c r="D786" s="9" t="s">
        <v>78</v>
      </c>
      <c r="E786" s="9" t="str">
        <f>"16230032927"</f>
        <v>16230032927</v>
      </c>
      <c r="F786" s="7">
        <v>82.4</v>
      </c>
      <c r="G786" s="7">
        <v>91.15</v>
      </c>
      <c r="H786" s="7">
        <v>87.65</v>
      </c>
      <c r="I786" s="10"/>
      <c r="J786" s="7">
        <f t="shared" si="73"/>
        <v>87.65</v>
      </c>
      <c r="K786" s="11"/>
    </row>
    <row r="787" spans="1:11" s="1" customFormat="1" ht="14.25">
      <c r="A787" s="3">
        <v>784</v>
      </c>
      <c r="B787" s="9" t="str">
        <f>"陈宏"</f>
        <v>陈宏</v>
      </c>
      <c r="C787" s="9" t="str">
        <f t="shared" si="74"/>
        <v>1623030310813</v>
      </c>
      <c r="D787" s="9" t="s">
        <v>78</v>
      </c>
      <c r="E787" s="9" t="str">
        <f>"16230033027"</f>
        <v>16230033027</v>
      </c>
      <c r="F787" s="7">
        <v>78.6</v>
      </c>
      <c r="G787" s="7">
        <v>91.41</v>
      </c>
      <c r="H787" s="7">
        <v>86.29</v>
      </c>
      <c r="I787" s="10"/>
      <c r="J787" s="7">
        <f t="shared" si="73"/>
        <v>86.29</v>
      </c>
      <c r="K787" s="11"/>
    </row>
    <row r="788" spans="1:11" s="1" customFormat="1" ht="14.25">
      <c r="A788" s="3">
        <v>785</v>
      </c>
      <c r="B788" s="9" t="str">
        <f>"吕颜"</f>
        <v>吕颜</v>
      </c>
      <c r="C788" s="9" t="str">
        <f t="shared" si="74"/>
        <v>1623030310813</v>
      </c>
      <c r="D788" s="9" t="s">
        <v>78</v>
      </c>
      <c r="E788" s="9" t="str">
        <f>"16230032905"</f>
        <v>16230032905</v>
      </c>
      <c r="F788" s="7">
        <v>84.42</v>
      </c>
      <c r="G788" s="7">
        <v>86.05</v>
      </c>
      <c r="H788" s="7">
        <v>85.4</v>
      </c>
      <c r="I788" s="10"/>
      <c r="J788" s="7">
        <f t="shared" si="73"/>
        <v>85.4</v>
      </c>
      <c r="K788" s="11"/>
    </row>
    <row r="789" spans="1:11" s="1" customFormat="1" ht="14.25">
      <c r="A789" s="3">
        <v>786</v>
      </c>
      <c r="B789" s="9" t="str">
        <f>"栗佳慧"</f>
        <v>栗佳慧</v>
      </c>
      <c r="C789" s="9" t="str">
        <f t="shared" si="74"/>
        <v>1623030310813</v>
      </c>
      <c r="D789" s="9" t="s">
        <v>78</v>
      </c>
      <c r="E789" s="9" t="str">
        <f>"16230032920"</f>
        <v>16230032920</v>
      </c>
      <c r="F789" s="7">
        <v>78.38</v>
      </c>
      <c r="G789" s="7">
        <v>89.31</v>
      </c>
      <c r="H789" s="7">
        <v>84.94</v>
      </c>
      <c r="I789" s="10"/>
      <c r="J789" s="7">
        <f t="shared" si="73"/>
        <v>84.94</v>
      </c>
      <c r="K789" s="11"/>
    </row>
    <row r="790" spans="1:11" s="1" customFormat="1" ht="14.25">
      <c r="A790" s="3">
        <v>787</v>
      </c>
      <c r="B790" s="9" t="str">
        <f>"唐帅帅"</f>
        <v>唐帅帅</v>
      </c>
      <c r="C790" s="9" t="str">
        <f t="shared" si="74"/>
        <v>1623030310813</v>
      </c>
      <c r="D790" s="9" t="s">
        <v>78</v>
      </c>
      <c r="E790" s="9" t="str">
        <f>"16230032925"</f>
        <v>16230032925</v>
      </c>
      <c r="F790" s="7">
        <v>75.98</v>
      </c>
      <c r="G790" s="7">
        <v>89.5</v>
      </c>
      <c r="H790" s="7">
        <v>84.09</v>
      </c>
      <c r="I790" s="10"/>
      <c r="J790" s="7">
        <f t="shared" si="73"/>
        <v>84.09</v>
      </c>
      <c r="K790" s="11"/>
    </row>
    <row r="791" spans="1:11" s="1" customFormat="1" ht="14.25">
      <c r="A791" s="3">
        <v>788</v>
      </c>
      <c r="B791" s="9" t="str">
        <f>"李秀军"</f>
        <v>李秀军</v>
      </c>
      <c r="C791" s="9" t="str">
        <f t="shared" si="74"/>
        <v>1623030310813</v>
      </c>
      <c r="D791" s="9" t="s">
        <v>78</v>
      </c>
      <c r="E791" s="9" t="str">
        <f>"16230033102"</f>
        <v>16230033102</v>
      </c>
      <c r="F791" s="7">
        <v>76.32</v>
      </c>
      <c r="G791" s="7">
        <v>89.15</v>
      </c>
      <c r="H791" s="7">
        <v>84.02</v>
      </c>
      <c r="I791" s="10"/>
      <c r="J791" s="7">
        <f t="shared" si="73"/>
        <v>84.02</v>
      </c>
      <c r="K791" s="11"/>
    </row>
    <row r="792" spans="1:11" s="1" customFormat="1" ht="14.25">
      <c r="A792" s="3">
        <v>789</v>
      </c>
      <c r="B792" s="9" t="str">
        <f>"赵春阳"</f>
        <v>赵春阳</v>
      </c>
      <c r="C792" s="9" t="str">
        <f t="shared" si="74"/>
        <v>1623030310813</v>
      </c>
      <c r="D792" s="9" t="s">
        <v>78</v>
      </c>
      <c r="E792" s="9" t="str">
        <f>"16230032912"</f>
        <v>16230032912</v>
      </c>
      <c r="F792" s="7">
        <v>79.76</v>
      </c>
      <c r="G792" s="7">
        <v>85.01</v>
      </c>
      <c r="H792" s="7">
        <v>82.91</v>
      </c>
      <c r="I792" s="10"/>
      <c r="J792" s="7">
        <f t="shared" si="73"/>
        <v>82.91</v>
      </c>
      <c r="K792" s="11" t="s">
        <v>84</v>
      </c>
    </row>
    <row r="793" spans="1:11" s="1" customFormat="1" ht="14.25">
      <c r="A793" s="3">
        <v>790</v>
      </c>
      <c r="B793" s="9" t="str">
        <f>"王洁"</f>
        <v>王洁</v>
      </c>
      <c r="C793" s="9" t="str">
        <f aca="true" t="shared" si="75" ref="C793:C807">"1623030310814"</f>
        <v>1623030310814</v>
      </c>
      <c r="D793" s="9" t="s">
        <v>79</v>
      </c>
      <c r="E793" s="9" t="str">
        <f>"16230033517"</f>
        <v>16230033517</v>
      </c>
      <c r="F793" s="7">
        <v>88.88</v>
      </c>
      <c r="G793" s="7">
        <v>94.25</v>
      </c>
      <c r="H793" s="7">
        <v>92.1</v>
      </c>
      <c r="I793" s="10"/>
      <c r="J793" s="7">
        <f t="shared" si="73"/>
        <v>92.1</v>
      </c>
      <c r="K793" s="11"/>
    </row>
    <row r="794" spans="1:11" s="1" customFormat="1" ht="14.25">
      <c r="A794" s="3">
        <v>791</v>
      </c>
      <c r="B794" s="9" t="str">
        <f>"黄锦"</f>
        <v>黄锦</v>
      </c>
      <c r="C794" s="9" t="str">
        <f t="shared" si="75"/>
        <v>1623030310814</v>
      </c>
      <c r="D794" s="9" t="s">
        <v>79</v>
      </c>
      <c r="E794" s="9" t="str">
        <f>"16230033522"</f>
        <v>16230033522</v>
      </c>
      <c r="F794" s="7">
        <v>83.26</v>
      </c>
      <c r="G794" s="7">
        <v>97.8</v>
      </c>
      <c r="H794" s="7">
        <v>91.98</v>
      </c>
      <c r="I794" s="10"/>
      <c r="J794" s="7">
        <f t="shared" si="73"/>
        <v>91.98</v>
      </c>
      <c r="K794" s="11"/>
    </row>
    <row r="795" spans="1:11" s="1" customFormat="1" ht="14.25">
      <c r="A795" s="3">
        <v>792</v>
      </c>
      <c r="B795" s="9" t="str">
        <f>"翟桂娉"</f>
        <v>翟桂娉</v>
      </c>
      <c r="C795" s="9" t="str">
        <f t="shared" si="75"/>
        <v>1623030310814</v>
      </c>
      <c r="D795" s="9" t="s">
        <v>79</v>
      </c>
      <c r="E795" s="9" t="str">
        <f>"16230033205"</f>
        <v>16230033205</v>
      </c>
      <c r="F795" s="7">
        <v>89.06</v>
      </c>
      <c r="G795" s="7">
        <v>93.25</v>
      </c>
      <c r="H795" s="7">
        <v>91.57</v>
      </c>
      <c r="I795" s="10"/>
      <c r="J795" s="7">
        <f t="shared" si="73"/>
        <v>91.57</v>
      </c>
      <c r="K795" s="11"/>
    </row>
    <row r="796" spans="1:11" s="1" customFormat="1" ht="14.25">
      <c r="A796" s="3">
        <v>793</v>
      </c>
      <c r="B796" s="9" t="str">
        <f>"魏娜"</f>
        <v>魏娜</v>
      </c>
      <c r="C796" s="9" t="str">
        <f t="shared" si="75"/>
        <v>1623030310814</v>
      </c>
      <c r="D796" s="9" t="s">
        <v>79</v>
      </c>
      <c r="E796" s="9" t="str">
        <f>"16230033124"</f>
        <v>16230033124</v>
      </c>
      <c r="F796" s="7">
        <v>84.98</v>
      </c>
      <c r="G796" s="7">
        <v>94.79</v>
      </c>
      <c r="H796" s="7">
        <v>90.87</v>
      </c>
      <c r="I796" s="10"/>
      <c r="J796" s="7">
        <f t="shared" si="73"/>
        <v>90.87</v>
      </c>
      <c r="K796" s="11"/>
    </row>
    <row r="797" spans="1:11" s="1" customFormat="1" ht="14.25">
      <c r="A797" s="3">
        <v>794</v>
      </c>
      <c r="B797" s="9" t="str">
        <f>"王景云"</f>
        <v>王景云</v>
      </c>
      <c r="C797" s="9" t="str">
        <f t="shared" si="75"/>
        <v>1623030310814</v>
      </c>
      <c r="D797" s="9" t="s">
        <v>79</v>
      </c>
      <c r="E797" s="9" t="str">
        <f>"16230033513"</f>
        <v>16230033513</v>
      </c>
      <c r="F797" s="7">
        <v>86.78</v>
      </c>
      <c r="G797" s="7">
        <v>93.4</v>
      </c>
      <c r="H797" s="7">
        <v>90.75</v>
      </c>
      <c r="I797" s="10"/>
      <c r="J797" s="7">
        <f t="shared" si="73"/>
        <v>90.75</v>
      </c>
      <c r="K797" s="11"/>
    </row>
    <row r="798" spans="1:11" s="1" customFormat="1" ht="14.25">
      <c r="A798" s="3">
        <v>795</v>
      </c>
      <c r="B798" s="9" t="str">
        <f>"纪思琪"</f>
        <v>纪思琪</v>
      </c>
      <c r="C798" s="9" t="str">
        <f t="shared" si="75"/>
        <v>1623030310814</v>
      </c>
      <c r="D798" s="9" t="s">
        <v>79</v>
      </c>
      <c r="E798" s="9" t="str">
        <f>"16230033723"</f>
        <v>16230033723</v>
      </c>
      <c r="F798" s="7">
        <v>88.96</v>
      </c>
      <c r="G798" s="7">
        <v>91.62</v>
      </c>
      <c r="H798" s="7">
        <v>90.56</v>
      </c>
      <c r="I798" s="10"/>
      <c r="J798" s="7">
        <f t="shared" si="73"/>
        <v>90.56</v>
      </c>
      <c r="K798" s="11"/>
    </row>
    <row r="799" spans="1:11" s="1" customFormat="1" ht="14.25">
      <c r="A799" s="3">
        <v>796</v>
      </c>
      <c r="B799" s="9" t="str">
        <f>"韩雨情"</f>
        <v>韩雨情</v>
      </c>
      <c r="C799" s="9" t="str">
        <f t="shared" si="75"/>
        <v>1623030310814</v>
      </c>
      <c r="D799" s="9" t="s">
        <v>79</v>
      </c>
      <c r="E799" s="9" t="str">
        <f>"16230033429"</f>
        <v>16230033429</v>
      </c>
      <c r="F799" s="7">
        <v>90</v>
      </c>
      <c r="G799" s="7">
        <v>90.89</v>
      </c>
      <c r="H799" s="7">
        <v>90.53</v>
      </c>
      <c r="I799" s="10"/>
      <c r="J799" s="7">
        <f t="shared" si="73"/>
        <v>90.53</v>
      </c>
      <c r="K799" s="11"/>
    </row>
    <row r="800" spans="1:11" s="1" customFormat="1" ht="14.25">
      <c r="A800" s="3">
        <v>797</v>
      </c>
      <c r="B800" s="9" t="str">
        <f>"李柏冉"</f>
        <v>李柏冉</v>
      </c>
      <c r="C800" s="9" t="str">
        <f t="shared" si="75"/>
        <v>1623030310814</v>
      </c>
      <c r="D800" s="9" t="s">
        <v>79</v>
      </c>
      <c r="E800" s="9" t="str">
        <f>"16230033527"</f>
        <v>16230033527</v>
      </c>
      <c r="F800" s="7">
        <v>88.62</v>
      </c>
      <c r="G800" s="7">
        <v>90.74</v>
      </c>
      <c r="H800" s="7">
        <v>89.89</v>
      </c>
      <c r="I800" s="10"/>
      <c r="J800" s="7">
        <f t="shared" si="73"/>
        <v>89.89</v>
      </c>
      <c r="K800" s="11"/>
    </row>
    <row r="801" spans="1:11" s="1" customFormat="1" ht="14.25">
      <c r="A801" s="3">
        <v>798</v>
      </c>
      <c r="B801" s="9" t="str">
        <f>"张晓梅"</f>
        <v>张晓梅</v>
      </c>
      <c r="C801" s="9" t="str">
        <f t="shared" si="75"/>
        <v>1623030310814</v>
      </c>
      <c r="D801" s="9" t="s">
        <v>79</v>
      </c>
      <c r="E801" s="9" t="str">
        <f>"16230033202"</f>
        <v>16230033202</v>
      </c>
      <c r="F801" s="7">
        <v>79.44</v>
      </c>
      <c r="G801" s="7">
        <v>96.35</v>
      </c>
      <c r="H801" s="7">
        <v>89.59</v>
      </c>
      <c r="I801" s="10"/>
      <c r="J801" s="7">
        <f t="shared" si="73"/>
        <v>89.59</v>
      </c>
      <c r="K801" s="11"/>
    </row>
    <row r="802" spans="1:11" s="1" customFormat="1" ht="14.25">
      <c r="A802" s="3">
        <v>799</v>
      </c>
      <c r="B802" s="9" t="str">
        <f>"刘振"</f>
        <v>刘振</v>
      </c>
      <c r="C802" s="9" t="str">
        <f t="shared" si="75"/>
        <v>1623030310814</v>
      </c>
      <c r="D802" s="9" t="s">
        <v>79</v>
      </c>
      <c r="E802" s="9" t="str">
        <f>"16230033321"</f>
        <v>16230033321</v>
      </c>
      <c r="F802" s="7">
        <v>86.3</v>
      </c>
      <c r="G802" s="7">
        <v>91.79</v>
      </c>
      <c r="H802" s="7">
        <v>89.59</v>
      </c>
      <c r="I802" s="10"/>
      <c r="J802" s="7">
        <f t="shared" si="73"/>
        <v>89.59</v>
      </c>
      <c r="K802" s="11"/>
    </row>
    <row r="803" spans="1:11" s="1" customFormat="1" ht="14.25">
      <c r="A803" s="3">
        <v>800</v>
      </c>
      <c r="B803" s="9" t="str">
        <f>"车京"</f>
        <v>车京</v>
      </c>
      <c r="C803" s="9" t="str">
        <f t="shared" si="75"/>
        <v>1623030310814</v>
      </c>
      <c r="D803" s="9" t="s">
        <v>79</v>
      </c>
      <c r="E803" s="9" t="str">
        <f>"16230033404"</f>
        <v>16230033404</v>
      </c>
      <c r="F803" s="7">
        <v>88</v>
      </c>
      <c r="G803" s="7">
        <v>89.8</v>
      </c>
      <c r="H803" s="7">
        <v>89.08</v>
      </c>
      <c r="I803" s="10"/>
      <c r="J803" s="7">
        <f t="shared" si="73"/>
        <v>89.08</v>
      </c>
      <c r="K803" s="11"/>
    </row>
    <row r="804" spans="1:11" s="1" customFormat="1" ht="14.25">
      <c r="A804" s="3">
        <v>801</v>
      </c>
      <c r="B804" s="9" t="str">
        <f>"汪臣臣"</f>
        <v>汪臣臣</v>
      </c>
      <c r="C804" s="9" t="str">
        <f t="shared" si="75"/>
        <v>1623030310814</v>
      </c>
      <c r="D804" s="9" t="s">
        <v>79</v>
      </c>
      <c r="E804" s="9" t="str">
        <f>"16230033725"</f>
        <v>16230033725</v>
      </c>
      <c r="F804" s="7">
        <v>82.32</v>
      </c>
      <c r="G804" s="7">
        <v>92.23</v>
      </c>
      <c r="H804" s="7">
        <v>88.27</v>
      </c>
      <c r="I804" s="10"/>
      <c r="J804" s="7">
        <f t="shared" si="73"/>
        <v>88.27</v>
      </c>
      <c r="K804" s="11"/>
    </row>
    <row r="805" spans="1:11" s="1" customFormat="1" ht="14.25">
      <c r="A805" s="3">
        <v>802</v>
      </c>
      <c r="B805" s="9" t="str">
        <f>"韩锦"</f>
        <v>韩锦</v>
      </c>
      <c r="C805" s="9" t="str">
        <f t="shared" si="75"/>
        <v>1623030310814</v>
      </c>
      <c r="D805" s="9" t="s">
        <v>79</v>
      </c>
      <c r="E805" s="9" t="str">
        <f>"16230033706"</f>
        <v>16230033706</v>
      </c>
      <c r="F805" s="7">
        <v>82.02</v>
      </c>
      <c r="G805" s="7">
        <v>92.07</v>
      </c>
      <c r="H805" s="7">
        <v>88.05</v>
      </c>
      <c r="I805" s="10"/>
      <c r="J805" s="7">
        <f t="shared" si="73"/>
        <v>88.05</v>
      </c>
      <c r="K805" s="11"/>
    </row>
    <row r="806" spans="1:11" s="1" customFormat="1" ht="14.25">
      <c r="A806" s="3">
        <v>803</v>
      </c>
      <c r="B806" s="9" t="str">
        <f>"濮田田"</f>
        <v>濮田田</v>
      </c>
      <c r="C806" s="9" t="str">
        <f t="shared" si="75"/>
        <v>1623030310814</v>
      </c>
      <c r="D806" s="9" t="s">
        <v>79</v>
      </c>
      <c r="E806" s="9" t="str">
        <f>"16230033405"</f>
        <v>16230033405</v>
      </c>
      <c r="F806" s="7">
        <v>89</v>
      </c>
      <c r="G806" s="7">
        <v>87.2</v>
      </c>
      <c r="H806" s="7">
        <v>87.92</v>
      </c>
      <c r="I806" s="10"/>
      <c r="J806" s="7">
        <f t="shared" si="73"/>
        <v>87.92</v>
      </c>
      <c r="K806" s="11"/>
    </row>
    <row r="807" spans="1:11" s="1" customFormat="1" ht="14.25">
      <c r="A807" s="3">
        <v>804</v>
      </c>
      <c r="B807" s="9" t="str">
        <f>"徐晨"</f>
        <v>徐晨</v>
      </c>
      <c r="C807" s="9" t="str">
        <f t="shared" si="75"/>
        <v>1623030310814</v>
      </c>
      <c r="D807" s="9" t="s">
        <v>79</v>
      </c>
      <c r="E807" s="9" t="str">
        <f>"16230033604"</f>
        <v>16230033604</v>
      </c>
      <c r="F807" s="7">
        <v>81.8</v>
      </c>
      <c r="G807" s="7">
        <v>91.89</v>
      </c>
      <c r="H807" s="7">
        <v>87.85</v>
      </c>
      <c r="I807" s="10"/>
      <c r="J807" s="7">
        <f t="shared" si="73"/>
        <v>87.85</v>
      </c>
      <c r="K807" s="11" t="s">
        <v>84</v>
      </c>
    </row>
    <row r="808" spans="1:11" s="1" customFormat="1" ht="14.25">
      <c r="A808" s="3">
        <v>805</v>
      </c>
      <c r="B808" s="9" t="str">
        <f>"佟广倩"</f>
        <v>佟广倩</v>
      </c>
      <c r="C808" s="9" t="str">
        <f aca="true" t="shared" si="76" ref="C808:C816">"1623030310917"</f>
        <v>1623030310917</v>
      </c>
      <c r="D808" s="9" t="s">
        <v>80</v>
      </c>
      <c r="E808" s="9" t="str">
        <f>"16230034804"</f>
        <v>16230034804</v>
      </c>
      <c r="F808" s="7">
        <v>81.08</v>
      </c>
      <c r="G808" s="7">
        <v>86.66</v>
      </c>
      <c r="H808" s="7">
        <v>84.43</v>
      </c>
      <c r="I808" s="10"/>
      <c r="J808" s="7">
        <f t="shared" si="73"/>
        <v>84.43</v>
      </c>
      <c r="K808" s="11"/>
    </row>
    <row r="809" spans="1:11" s="1" customFormat="1" ht="14.25">
      <c r="A809" s="3">
        <v>806</v>
      </c>
      <c r="B809" s="9" t="str">
        <f>"刘嘉璐"</f>
        <v>刘嘉璐</v>
      </c>
      <c r="C809" s="9" t="str">
        <f t="shared" si="76"/>
        <v>1623030310917</v>
      </c>
      <c r="D809" s="9" t="s">
        <v>80</v>
      </c>
      <c r="E809" s="9" t="str">
        <f>"16230034715"</f>
        <v>16230034715</v>
      </c>
      <c r="F809" s="7">
        <v>80.6</v>
      </c>
      <c r="G809" s="7">
        <v>85.62</v>
      </c>
      <c r="H809" s="7">
        <v>83.61</v>
      </c>
      <c r="I809" s="10"/>
      <c r="J809" s="7">
        <f t="shared" si="73"/>
        <v>83.61</v>
      </c>
      <c r="K809" s="11"/>
    </row>
    <row r="810" spans="1:11" s="1" customFormat="1" ht="14.25">
      <c r="A810" s="3">
        <v>807</v>
      </c>
      <c r="B810" s="9" t="str">
        <f>"严晓钰"</f>
        <v>严晓钰</v>
      </c>
      <c r="C810" s="9" t="str">
        <f t="shared" si="76"/>
        <v>1623030310917</v>
      </c>
      <c r="D810" s="9" t="s">
        <v>80</v>
      </c>
      <c r="E810" s="9" t="str">
        <f>"16230034726"</f>
        <v>16230034726</v>
      </c>
      <c r="F810" s="7">
        <v>79.16</v>
      </c>
      <c r="G810" s="7">
        <v>85.36</v>
      </c>
      <c r="H810" s="7">
        <v>82.88</v>
      </c>
      <c r="I810" s="10"/>
      <c r="J810" s="7">
        <f t="shared" si="73"/>
        <v>82.88</v>
      </c>
      <c r="K810" s="11"/>
    </row>
    <row r="811" spans="1:11" s="1" customFormat="1" ht="14.25">
      <c r="A811" s="3">
        <v>808</v>
      </c>
      <c r="B811" s="9" t="str">
        <f>"王露雨"</f>
        <v>王露雨</v>
      </c>
      <c r="C811" s="9" t="str">
        <f t="shared" si="76"/>
        <v>1623030310917</v>
      </c>
      <c r="D811" s="9" t="s">
        <v>80</v>
      </c>
      <c r="E811" s="9" t="str">
        <f>"16230034727"</f>
        <v>16230034727</v>
      </c>
      <c r="F811" s="7">
        <v>81.1</v>
      </c>
      <c r="G811" s="7">
        <v>81.36</v>
      </c>
      <c r="H811" s="7">
        <v>81.26</v>
      </c>
      <c r="I811" s="10"/>
      <c r="J811" s="7">
        <f t="shared" si="73"/>
        <v>81.26</v>
      </c>
      <c r="K811" s="11"/>
    </row>
    <row r="812" spans="1:11" s="1" customFormat="1" ht="14.25">
      <c r="A812" s="3">
        <v>809</v>
      </c>
      <c r="B812" s="9" t="str">
        <f>"王冰玉"</f>
        <v>王冰玉</v>
      </c>
      <c r="C812" s="9" t="str">
        <f t="shared" si="76"/>
        <v>1623030310917</v>
      </c>
      <c r="D812" s="9" t="s">
        <v>80</v>
      </c>
      <c r="E812" s="9" t="str">
        <f>"16230034714"</f>
        <v>16230034714</v>
      </c>
      <c r="F812" s="7">
        <v>73.76</v>
      </c>
      <c r="G812" s="7">
        <v>82.7</v>
      </c>
      <c r="H812" s="7">
        <v>79.12</v>
      </c>
      <c r="I812" s="10"/>
      <c r="J812" s="7">
        <f t="shared" si="73"/>
        <v>79.12</v>
      </c>
      <c r="K812" s="11"/>
    </row>
    <row r="813" spans="1:11" s="1" customFormat="1" ht="14.25">
      <c r="A813" s="3">
        <v>810</v>
      </c>
      <c r="B813" s="9" t="str">
        <f>"陆林"</f>
        <v>陆林</v>
      </c>
      <c r="C813" s="9" t="str">
        <f t="shared" si="76"/>
        <v>1623030310917</v>
      </c>
      <c r="D813" s="9" t="s">
        <v>80</v>
      </c>
      <c r="E813" s="9" t="str">
        <f>"16230034721"</f>
        <v>16230034721</v>
      </c>
      <c r="F813" s="7">
        <v>75.24</v>
      </c>
      <c r="G813" s="7">
        <v>80.74</v>
      </c>
      <c r="H813" s="7">
        <v>78.54</v>
      </c>
      <c r="I813" s="10"/>
      <c r="J813" s="7">
        <f t="shared" si="73"/>
        <v>78.54</v>
      </c>
      <c r="K813" s="11"/>
    </row>
    <row r="814" spans="1:11" s="1" customFormat="1" ht="14.25">
      <c r="A814" s="3">
        <v>811</v>
      </c>
      <c r="B814" s="9" t="str">
        <f>"陈创"</f>
        <v>陈创</v>
      </c>
      <c r="C814" s="9" t="str">
        <f t="shared" si="76"/>
        <v>1623030310917</v>
      </c>
      <c r="D814" s="9" t="s">
        <v>80</v>
      </c>
      <c r="E814" s="9" t="str">
        <f>"16230034801"</f>
        <v>16230034801</v>
      </c>
      <c r="F814" s="7">
        <v>71.98</v>
      </c>
      <c r="G814" s="7">
        <v>80.92</v>
      </c>
      <c r="H814" s="7">
        <v>77.34</v>
      </c>
      <c r="I814" s="10"/>
      <c r="J814" s="7">
        <f t="shared" si="73"/>
        <v>77.34</v>
      </c>
      <c r="K814" s="11"/>
    </row>
    <row r="815" spans="1:11" s="1" customFormat="1" ht="14.25">
      <c r="A815" s="3">
        <v>812</v>
      </c>
      <c r="B815" s="9" t="str">
        <f>"代金鑫"</f>
        <v>代金鑫</v>
      </c>
      <c r="C815" s="9" t="str">
        <f t="shared" si="76"/>
        <v>1623030310917</v>
      </c>
      <c r="D815" s="9" t="s">
        <v>80</v>
      </c>
      <c r="E815" s="9" t="str">
        <f>"16230034725"</f>
        <v>16230034725</v>
      </c>
      <c r="F815" s="7">
        <v>71.78</v>
      </c>
      <c r="G815" s="7">
        <v>80.84</v>
      </c>
      <c r="H815" s="7">
        <v>77.22</v>
      </c>
      <c r="I815" s="10"/>
      <c r="J815" s="7">
        <f t="shared" si="73"/>
        <v>77.22</v>
      </c>
      <c r="K815" s="11"/>
    </row>
    <row r="816" spans="1:11" s="1" customFormat="1" ht="14.25">
      <c r="A816" s="3">
        <v>813</v>
      </c>
      <c r="B816" s="9" t="str">
        <f>"李佳敏"</f>
        <v>李佳敏</v>
      </c>
      <c r="C816" s="9" t="str">
        <f t="shared" si="76"/>
        <v>1623030310917</v>
      </c>
      <c r="D816" s="9" t="s">
        <v>80</v>
      </c>
      <c r="E816" s="9" t="str">
        <f>"16230034802"</f>
        <v>16230034802</v>
      </c>
      <c r="F816" s="7">
        <v>74.46</v>
      </c>
      <c r="G816" s="7">
        <v>76.46</v>
      </c>
      <c r="H816" s="7">
        <v>75.66</v>
      </c>
      <c r="I816" s="10"/>
      <c r="J816" s="7">
        <f t="shared" si="73"/>
        <v>75.66</v>
      </c>
      <c r="K816" s="11"/>
    </row>
    <row r="817" spans="1:11" s="1" customFormat="1" ht="14.25">
      <c r="A817" s="3">
        <v>814</v>
      </c>
      <c r="B817" s="9" t="str">
        <f>"薛静"</f>
        <v>薛静</v>
      </c>
      <c r="C817" s="9" t="str">
        <f aca="true" t="shared" si="77" ref="C817:C822">"1623030310918"</f>
        <v>1623030310918</v>
      </c>
      <c r="D817" s="9" t="s">
        <v>81</v>
      </c>
      <c r="E817" s="9" t="str">
        <f>"16230034924"</f>
        <v>16230034924</v>
      </c>
      <c r="F817" s="7">
        <v>90.22</v>
      </c>
      <c r="G817" s="7">
        <v>93.36</v>
      </c>
      <c r="H817" s="7">
        <v>92.1</v>
      </c>
      <c r="I817" s="10"/>
      <c r="J817" s="7">
        <f t="shared" si="73"/>
        <v>92.1</v>
      </c>
      <c r="K817" s="11"/>
    </row>
    <row r="818" spans="1:11" s="1" customFormat="1" ht="14.25">
      <c r="A818" s="3">
        <v>815</v>
      </c>
      <c r="B818" s="9" t="str">
        <f>"路丹丹"</f>
        <v>路丹丹</v>
      </c>
      <c r="C818" s="9" t="str">
        <f t="shared" si="77"/>
        <v>1623030310918</v>
      </c>
      <c r="D818" s="9" t="s">
        <v>81</v>
      </c>
      <c r="E818" s="9" t="str">
        <f>"16230034930"</f>
        <v>16230034930</v>
      </c>
      <c r="F818" s="7">
        <v>88.52</v>
      </c>
      <c r="G818" s="7">
        <v>93.42</v>
      </c>
      <c r="H818" s="7">
        <v>91.46</v>
      </c>
      <c r="I818" s="10"/>
      <c r="J818" s="7">
        <f t="shared" si="73"/>
        <v>91.46</v>
      </c>
      <c r="K818" s="11"/>
    </row>
    <row r="819" spans="1:11" s="1" customFormat="1" ht="14.25">
      <c r="A819" s="3">
        <v>816</v>
      </c>
      <c r="B819" s="9" t="str">
        <f>"秦慧文"</f>
        <v>秦慧文</v>
      </c>
      <c r="C819" s="9" t="str">
        <f t="shared" si="77"/>
        <v>1623030310918</v>
      </c>
      <c r="D819" s="9" t="s">
        <v>81</v>
      </c>
      <c r="E819" s="9" t="str">
        <f>"16230034918"</f>
        <v>16230034918</v>
      </c>
      <c r="F819" s="7">
        <v>82.02</v>
      </c>
      <c r="G819" s="7">
        <v>96.98</v>
      </c>
      <c r="H819" s="7">
        <v>91</v>
      </c>
      <c r="I819" s="10"/>
      <c r="J819" s="7">
        <f t="shared" si="73"/>
        <v>91</v>
      </c>
      <c r="K819" s="11"/>
    </row>
    <row r="820" spans="1:11" s="1" customFormat="1" ht="14.25">
      <c r="A820" s="3">
        <v>817</v>
      </c>
      <c r="B820" s="9" t="str">
        <f>"徐丽君"</f>
        <v>徐丽君</v>
      </c>
      <c r="C820" s="9" t="str">
        <f t="shared" si="77"/>
        <v>1623030310918</v>
      </c>
      <c r="D820" s="9" t="s">
        <v>81</v>
      </c>
      <c r="E820" s="9" t="str">
        <f>"16230035025"</f>
        <v>16230035025</v>
      </c>
      <c r="F820" s="7">
        <v>82.04</v>
      </c>
      <c r="G820" s="7">
        <v>95.52</v>
      </c>
      <c r="H820" s="7">
        <v>90.13</v>
      </c>
      <c r="I820" s="10"/>
      <c r="J820" s="7">
        <f t="shared" si="73"/>
        <v>90.13</v>
      </c>
      <c r="K820" s="11"/>
    </row>
    <row r="821" spans="1:11" s="1" customFormat="1" ht="14.25">
      <c r="A821" s="3">
        <v>818</v>
      </c>
      <c r="B821" s="9" t="str">
        <f>"杨宇"</f>
        <v>杨宇</v>
      </c>
      <c r="C821" s="9" t="str">
        <f t="shared" si="77"/>
        <v>1623030310918</v>
      </c>
      <c r="D821" s="9" t="s">
        <v>81</v>
      </c>
      <c r="E821" s="9" t="str">
        <f>"16230034925"</f>
        <v>16230034925</v>
      </c>
      <c r="F821" s="7">
        <v>82.48</v>
      </c>
      <c r="G821" s="7">
        <v>94.42</v>
      </c>
      <c r="H821" s="7">
        <v>89.64</v>
      </c>
      <c r="I821" s="10"/>
      <c r="J821" s="7">
        <f t="shared" si="73"/>
        <v>89.64</v>
      </c>
      <c r="K821" s="11"/>
    </row>
    <row r="822" spans="1:11" s="1" customFormat="1" ht="14.25">
      <c r="A822" s="3">
        <v>819</v>
      </c>
      <c r="B822" s="9" t="str">
        <f>"陈钱"</f>
        <v>陈钱</v>
      </c>
      <c r="C822" s="9" t="str">
        <f t="shared" si="77"/>
        <v>1623030310918</v>
      </c>
      <c r="D822" s="9" t="s">
        <v>81</v>
      </c>
      <c r="E822" s="9" t="str">
        <f>"16230035020"</f>
        <v>16230035020</v>
      </c>
      <c r="F822" s="7">
        <v>88</v>
      </c>
      <c r="G822" s="7">
        <v>89.6</v>
      </c>
      <c r="H822" s="7">
        <v>88.96</v>
      </c>
      <c r="I822" s="10"/>
      <c r="J822" s="7">
        <f t="shared" si="73"/>
        <v>88.96</v>
      </c>
      <c r="K822" s="11"/>
    </row>
    <row r="823" spans="1:11" s="1" customFormat="1" ht="14.25">
      <c r="A823" s="3">
        <v>820</v>
      </c>
      <c r="B823" s="9" t="str">
        <f>"丁莉"</f>
        <v>丁莉</v>
      </c>
      <c r="C823" s="9" t="str">
        <f aca="true" t="shared" si="78" ref="C823:C832">"1623030321921"</f>
        <v>1623030321921</v>
      </c>
      <c r="D823" s="9" t="s">
        <v>82</v>
      </c>
      <c r="E823" s="9" t="str">
        <f>"16230025811"</f>
        <v>16230025811</v>
      </c>
      <c r="F823" s="7">
        <v>90.28</v>
      </c>
      <c r="G823" s="7">
        <v>91.55</v>
      </c>
      <c r="H823" s="7">
        <v>91.04</v>
      </c>
      <c r="I823" s="10"/>
      <c r="J823" s="7">
        <f t="shared" si="73"/>
        <v>91.04</v>
      </c>
      <c r="K823" s="11"/>
    </row>
    <row r="824" spans="1:11" s="1" customFormat="1" ht="14.25">
      <c r="A824" s="3">
        <v>821</v>
      </c>
      <c r="B824" s="9" t="str">
        <f>"丰馥崟"</f>
        <v>丰馥崟</v>
      </c>
      <c r="C824" s="9" t="str">
        <f t="shared" si="78"/>
        <v>1623030321921</v>
      </c>
      <c r="D824" s="9" t="s">
        <v>82</v>
      </c>
      <c r="E824" s="9" t="str">
        <f>"16230025808"</f>
        <v>16230025808</v>
      </c>
      <c r="F824" s="7">
        <v>84.86</v>
      </c>
      <c r="G824" s="7">
        <v>84.95</v>
      </c>
      <c r="H824" s="7">
        <v>84.91</v>
      </c>
      <c r="I824" s="10"/>
      <c r="J824" s="7">
        <f t="shared" si="73"/>
        <v>84.91</v>
      </c>
      <c r="K824" s="11"/>
    </row>
    <row r="825" spans="1:11" s="1" customFormat="1" ht="14.25">
      <c r="A825" s="3">
        <v>822</v>
      </c>
      <c r="B825" s="9" t="str">
        <f>"韩玉影"</f>
        <v>韩玉影</v>
      </c>
      <c r="C825" s="9" t="str">
        <f t="shared" si="78"/>
        <v>1623030321921</v>
      </c>
      <c r="D825" s="9" t="s">
        <v>82</v>
      </c>
      <c r="E825" s="9" t="str">
        <f>"16230025718"</f>
        <v>16230025718</v>
      </c>
      <c r="F825" s="7">
        <v>80.34</v>
      </c>
      <c r="G825" s="7">
        <v>84.1</v>
      </c>
      <c r="H825" s="7">
        <v>82.6</v>
      </c>
      <c r="I825" s="10"/>
      <c r="J825" s="7">
        <f t="shared" si="73"/>
        <v>82.6</v>
      </c>
      <c r="K825" s="11"/>
    </row>
    <row r="826" spans="1:11" s="1" customFormat="1" ht="14.25">
      <c r="A826" s="3">
        <v>823</v>
      </c>
      <c r="B826" s="9" t="str">
        <f>"赵文"</f>
        <v>赵文</v>
      </c>
      <c r="C826" s="9" t="str">
        <f t="shared" si="78"/>
        <v>1623030321921</v>
      </c>
      <c r="D826" s="9" t="s">
        <v>82</v>
      </c>
      <c r="E826" s="9" t="str">
        <f>"16230025721"</f>
        <v>16230025721</v>
      </c>
      <c r="F826" s="7">
        <v>79</v>
      </c>
      <c r="G826" s="7">
        <v>84.55</v>
      </c>
      <c r="H826" s="7">
        <v>82.33</v>
      </c>
      <c r="I826" s="10"/>
      <c r="J826" s="7">
        <f t="shared" si="73"/>
        <v>82.33</v>
      </c>
      <c r="K826" s="11"/>
    </row>
    <row r="827" spans="1:11" s="1" customFormat="1" ht="14.25">
      <c r="A827" s="3">
        <v>824</v>
      </c>
      <c r="B827" s="9" t="str">
        <f>"吴薇"</f>
        <v>吴薇</v>
      </c>
      <c r="C827" s="9" t="str">
        <f t="shared" si="78"/>
        <v>1623030321921</v>
      </c>
      <c r="D827" s="9" t="s">
        <v>82</v>
      </c>
      <c r="E827" s="9" t="str">
        <f>"16230025807"</f>
        <v>16230025807</v>
      </c>
      <c r="F827" s="7">
        <v>78.28</v>
      </c>
      <c r="G827" s="7">
        <v>83.9</v>
      </c>
      <c r="H827" s="7">
        <v>81.65</v>
      </c>
      <c r="I827" s="10"/>
      <c r="J827" s="7">
        <f t="shared" si="73"/>
        <v>81.65</v>
      </c>
      <c r="K827" s="11"/>
    </row>
    <row r="828" spans="1:11" s="1" customFormat="1" ht="14.25">
      <c r="A828" s="3">
        <v>825</v>
      </c>
      <c r="B828" s="9" t="str">
        <f>"牛文慧"</f>
        <v>牛文慧</v>
      </c>
      <c r="C828" s="9" t="str">
        <f t="shared" si="78"/>
        <v>1623030321921</v>
      </c>
      <c r="D828" s="9" t="s">
        <v>82</v>
      </c>
      <c r="E828" s="9" t="str">
        <f>"16230025722"</f>
        <v>16230025722</v>
      </c>
      <c r="F828" s="7">
        <v>73.6</v>
      </c>
      <c r="G828" s="7">
        <v>83.95</v>
      </c>
      <c r="H828" s="7">
        <v>79.81</v>
      </c>
      <c r="I828" s="10"/>
      <c r="J828" s="7">
        <f t="shared" si="73"/>
        <v>79.81</v>
      </c>
      <c r="K828" s="11"/>
    </row>
    <row r="829" spans="1:11" s="1" customFormat="1" ht="14.25">
      <c r="A829" s="3">
        <v>826</v>
      </c>
      <c r="B829" s="9" t="str">
        <f>"苏娜"</f>
        <v>苏娜</v>
      </c>
      <c r="C829" s="9" t="str">
        <f t="shared" si="78"/>
        <v>1623030321921</v>
      </c>
      <c r="D829" s="9" t="s">
        <v>82</v>
      </c>
      <c r="E829" s="9" t="str">
        <f>"16230025719"</f>
        <v>16230025719</v>
      </c>
      <c r="F829" s="7">
        <v>76.84</v>
      </c>
      <c r="G829" s="7">
        <v>79.85</v>
      </c>
      <c r="H829" s="7">
        <v>78.65</v>
      </c>
      <c r="I829" s="10"/>
      <c r="J829" s="7">
        <f t="shared" si="73"/>
        <v>78.65</v>
      </c>
      <c r="K829" s="11"/>
    </row>
    <row r="830" spans="1:11" s="1" customFormat="1" ht="14.25">
      <c r="A830" s="3">
        <v>827</v>
      </c>
      <c r="B830" s="9" t="str">
        <f>"侯翠翠"</f>
        <v>侯翠翠</v>
      </c>
      <c r="C830" s="9" t="str">
        <f t="shared" si="78"/>
        <v>1623030321921</v>
      </c>
      <c r="D830" s="9" t="s">
        <v>82</v>
      </c>
      <c r="E830" s="9" t="str">
        <f>"16230025810"</f>
        <v>16230025810</v>
      </c>
      <c r="F830" s="7">
        <v>73.82</v>
      </c>
      <c r="G830" s="7">
        <v>80.85</v>
      </c>
      <c r="H830" s="7">
        <v>78.04</v>
      </c>
      <c r="I830" s="10"/>
      <c r="J830" s="7">
        <f t="shared" si="73"/>
        <v>78.04</v>
      </c>
      <c r="K830" s="11"/>
    </row>
    <row r="831" spans="1:11" s="1" customFormat="1" ht="14.25">
      <c r="A831" s="3">
        <v>828</v>
      </c>
      <c r="B831" s="9" t="str">
        <f>"张苛"</f>
        <v>张苛</v>
      </c>
      <c r="C831" s="9" t="str">
        <f t="shared" si="78"/>
        <v>1623030321921</v>
      </c>
      <c r="D831" s="9" t="s">
        <v>82</v>
      </c>
      <c r="E831" s="9" t="str">
        <f>"16230025801"</f>
        <v>16230025801</v>
      </c>
      <c r="F831" s="7">
        <v>62</v>
      </c>
      <c r="G831" s="7">
        <v>84.05</v>
      </c>
      <c r="H831" s="7">
        <v>75.23</v>
      </c>
      <c r="I831" s="10"/>
      <c r="J831" s="7">
        <f t="shared" si="73"/>
        <v>75.23</v>
      </c>
      <c r="K831" s="11"/>
    </row>
    <row r="832" spans="1:11" s="1" customFormat="1" ht="14.25">
      <c r="A832" s="3">
        <v>829</v>
      </c>
      <c r="B832" s="9" t="str">
        <f>"王世莉"</f>
        <v>王世莉</v>
      </c>
      <c r="C832" s="9" t="str">
        <f t="shared" si="78"/>
        <v>1623030321921</v>
      </c>
      <c r="D832" s="9" t="s">
        <v>82</v>
      </c>
      <c r="E832" s="9" t="str">
        <f>"16230025805"</f>
        <v>16230025805</v>
      </c>
      <c r="F832" s="7">
        <v>67.26</v>
      </c>
      <c r="G832" s="7">
        <v>78.35</v>
      </c>
      <c r="H832" s="7">
        <v>73.91</v>
      </c>
      <c r="I832" s="10"/>
      <c r="J832" s="7">
        <f t="shared" si="73"/>
        <v>73.91</v>
      </c>
      <c r="K832" s="11"/>
    </row>
    <row r="833" spans="1:11" s="1" customFormat="1" ht="14.25">
      <c r="A833" s="3">
        <v>830</v>
      </c>
      <c r="B833" s="9" t="str">
        <f>"付俊荣"</f>
        <v>付俊荣</v>
      </c>
      <c r="C833" s="9" t="str">
        <f aca="true" t="shared" si="79" ref="C833:C840">"1623030321922"</f>
        <v>1623030321922</v>
      </c>
      <c r="D833" s="9" t="s">
        <v>83</v>
      </c>
      <c r="E833" s="9" t="str">
        <f>"16230025823"</f>
        <v>16230025823</v>
      </c>
      <c r="F833" s="7">
        <v>72.6</v>
      </c>
      <c r="G833" s="7">
        <v>88.8</v>
      </c>
      <c r="H833" s="7">
        <v>82.32</v>
      </c>
      <c r="I833" s="10"/>
      <c r="J833" s="7">
        <f t="shared" si="73"/>
        <v>82.32</v>
      </c>
      <c r="K833" s="11"/>
    </row>
    <row r="834" spans="1:11" s="1" customFormat="1" ht="14.25">
      <c r="A834" s="3">
        <v>831</v>
      </c>
      <c r="B834" s="9" t="str">
        <f>"许振宇"</f>
        <v>许振宇</v>
      </c>
      <c r="C834" s="9" t="str">
        <f t="shared" si="79"/>
        <v>1623030321922</v>
      </c>
      <c r="D834" s="9" t="s">
        <v>83</v>
      </c>
      <c r="E834" s="9" t="str">
        <f>"16230025820"</f>
        <v>16230025820</v>
      </c>
      <c r="F834" s="7">
        <v>75.94</v>
      </c>
      <c r="G834" s="7">
        <v>84.1</v>
      </c>
      <c r="H834" s="7">
        <v>80.84</v>
      </c>
      <c r="I834" s="10"/>
      <c r="J834" s="7">
        <f t="shared" si="73"/>
        <v>80.84</v>
      </c>
      <c r="K834" s="11"/>
    </row>
    <row r="835" spans="1:11" s="1" customFormat="1" ht="14.25">
      <c r="A835" s="3">
        <v>832</v>
      </c>
      <c r="B835" s="9" t="str">
        <f>"李丽丽"</f>
        <v>李丽丽</v>
      </c>
      <c r="C835" s="9" t="str">
        <f t="shared" si="79"/>
        <v>1623030321922</v>
      </c>
      <c r="D835" s="9" t="s">
        <v>83</v>
      </c>
      <c r="E835" s="9" t="str">
        <f>"16230025817"</f>
        <v>16230025817</v>
      </c>
      <c r="F835" s="7">
        <v>74.8</v>
      </c>
      <c r="G835" s="7">
        <v>84.1</v>
      </c>
      <c r="H835" s="7">
        <v>80.38</v>
      </c>
      <c r="I835" s="10"/>
      <c r="J835" s="7">
        <f t="shared" si="73"/>
        <v>80.38</v>
      </c>
      <c r="K835" s="11"/>
    </row>
    <row r="836" spans="1:11" s="1" customFormat="1" ht="14.25">
      <c r="A836" s="3">
        <v>833</v>
      </c>
      <c r="B836" s="9" t="str">
        <f>"孙天门"</f>
        <v>孙天门</v>
      </c>
      <c r="C836" s="9" t="str">
        <f t="shared" si="79"/>
        <v>1623030321922</v>
      </c>
      <c r="D836" s="9" t="s">
        <v>83</v>
      </c>
      <c r="E836" s="9" t="str">
        <f>"16230025824"</f>
        <v>16230025824</v>
      </c>
      <c r="F836" s="7">
        <v>72.6</v>
      </c>
      <c r="G836" s="7">
        <v>84.4</v>
      </c>
      <c r="H836" s="7">
        <v>79.68</v>
      </c>
      <c r="I836" s="10"/>
      <c r="J836" s="7">
        <f>H836+I836</f>
        <v>79.68</v>
      </c>
      <c r="K836" s="11"/>
    </row>
    <row r="837" spans="1:11" s="1" customFormat="1" ht="14.25">
      <c r="A837" s="3">
        <v>834</v>
      </c>
      <c r="B837" s="9" t="str">
        <f>"孙丹丹"</f>
        <v>孙丹丹</v>
      </c>
      <c r="C837" s="9" t="str">
        <f t="shared" si="79"/>
        <v>1623030321922</v>
      </c>
      <c r="D837" s="9" t="s">
        <v>83</v>
      </c>
      <c r="E837" s="9" t="str">
        <f>"16230025827"</f>
        <v>16230025827</v>
      </c>
      <c r="F837" s="7">
        <v>75.78</v>
      </c>
      <c r="G837" s="7">
        <v>80.1</v>
      </c>
      <c r="H837" s="7">
        <v>78.37</v>
      </c>
      <c r="I837" s="10"/>
      <c r="J837" s="7">
        <f>H837+I837</f>
        <v>78.37</v>
      </c>
      <c r="K837" s="11"/>
    </row>
    <row r="838" spans="1:11" s="1" customFormat="1" ht="14.25">
      <c r="A838" s="3">
        <v>835</v>
      </c>
      <c r="B838" s="9" t="str">
        <f>"蔡凤"</f>
        <v>蔡凤</v>
      </c>
      <c r="C838" s="9" t="str">
        <f t="shared" si="79"/>
        <v>1623030321922</v>
      </c>
      <c r="D838" s="9" t="s">
        <v>83</v>
      </c>
      <c r="E838" s="9" t="str">
        <f>"16230025825"</f>
        <v>16230025825</v>
      </c>
      <c r="F838" s="7">
        <v>75.58</v>
      </c>
      <c r="G838" s="7">
        <v>80</v>
      </c>
      <c r="H838" s="7">
        <v>78.23</v>
      </c>
      <c r="I838" s="10"/>
      <c r="J838" s="7">
        <f>H838+I838</f>
        <v>78.23</v>
      </c>
      <c r="K838" s="11"/>
    </row>
    <row r="839" spans="1:11" s="1" customFormat="1" ht="14.25">
      <c r="A839" s="3">
        <v>836</v>
      </c>
      <c r="B839" s="9" t="str">
        <f>"高娜"</f>
        <v>高娜</v>
      </c>
      <c r="C839" s="9" t="str">
        <f t="shared" si="79"/>
        <v>1623030321922</v>
      </c>
      <c r="D839" s="9" t="s">
        <v>83</v>
      </c>
      <c r="E839" s="9" t="str">
        <f>"16230025830"</f>
        <v>16230025830</v>
      </c>
      <c r="F839" s="7">
        <v>68.4</v>
      </c>
      <c r="G839" s="7">
        <v>78.95</v>
      </c>
      <c r="H839" s="7">
        <v>74.73</v>
      </c>
      <c r="I839" s="10"/>
      <c r="J839" s="7">
        <f>H839+I839</f>
        <v>74.73</v>
      </c>
      <c r="K839" s="11"/>
    </row>
    <row r="840" spans="1:11" s="1" customFormat="1" ht="14.25">
      <c r="A840" s="3">
        <v>837</v>
      </c>
      <c r="B840" s="9" t="str">
        <f>"吴振宇"</f>
        <v>吴振宇</v>
      </c>
      <c r="C840" s="9" t="str">
        <f t="shared" si="79"/>
        <v>1623030321922</v>
      </c>
      <c r="D840" s="9" t="s">
        <v>83</v>
      </c>
      <c r="E840" s="9" t="str">
        <f>"16230025828"</f>
        <v>16230025828</v>
      </c>
      <c r="F840" s="7">
        <v>54.6</v>
      </c>
      <c r="G840" s="7">
        <v>71.4</v>
      </c>
      <c r="H840" s="7">
        <v>64.68</v>
      </c>
      <c r="I840" s="10"/>
      <c r="J840" s="7">
        <f>H840+I840</f>
        <v>64.68</v>
      </c>
      <c r="K840" s="11"/>
    </row>
    <row r="841" s="1" customFormat="1" ht="13.5">
      <c r="G841" s="6"/>
    </row>
    <row r="842" s="1" customFormat="1" ht="13.5">
      <c r="G842" s="6"/>
    </row>
    <row r="843" s="1" customFormat="1" ht="13.5">
      <c r="G843" s="6"/>
    </row>
    <row r="844" s="1" customFormat="1" ht="13.5">
      <c r="G844" s="6"/>
    </row>
    <row r="845" s="1" customFormat="1" ht="13.5">
      <c r="G845" s="6"/>
    </row>
    <row r="846" s="1" customFormat="1" ht="13.5">
      <c r="G846" s="6"/>
    </row>
    <row r="847" s="1" customFormat="1" ht="13.5">
      <c r="G847" s="6"/>
    </row>
    <row r="848" s="1" customFormat="1" ht="13.5">
      <c r="G848" s="6"/>
    </row>
    <row r="849" s="1" customFormat="1" ht="13.5">
      <c r="G849" s="6"/>
    </row>
    <row r="850" s="1" customFormat="1" ht="13.5">
      <c r="G850" s="6"/>
    </row>
    <row r="851" s="1" customFormat="1" ht="13.5">
      <c r="G851" s="6"/>
    </row>
    <row r="852" s="1" customFormat="1" ht="13.5">
      <c r="G852" s="6"/>
    </row>
    <row r="853" s="1" customFormat="1" ht="13.5">
      <c r="G853" s="6"/>
    </row>
    <row r="854" s="1" customFormat="1" ht="13.5">
      <c r="G854" s="6"/>
    </row>
    <row r="855" s="1" customFormat="1" ht="13.5">
      <c r="G855" s="6"/>
    </row>
    <row r="856" s="1" customFormat="1" ht="13.5">
      <c r="G856" s="6"/>
    </row>
    <row r="857" s="1" customFormat="1" ht="13.5">
      <c r="G857" s="6"/>
    </row>
    <row r="858" s="1" customFormat="1" ht="13.5">
      <c r="G858" s="6"/>
    </row>
    <row r="859" s="1" customFormat="1" ht="13.5">
      <c r="G859" s="6"/>
    </row>
    <row r="860" s="1" customFormat="1" ht="13.5">
      <c r="G860" s="6"/>
    </row>
    <row r="861" s="1" customFormat="1" ht="13.5">
      <c r="G861" s="6"/>
    </row>
    <row r="862" s="1" customFormat="1" ht="13.5">
      <c r="G862" s="6"/>
    </row>
    <row r="863" s="1" customFormat="1" ht="13.5">
      <c r="G863" s="6"/>
    </row>
    <row r="864" s="1" customFormat="1" ht="13.5">
      <c r="G864" s="6"/>
    </row>
    <row r="865" s="1" customFormat="1" ht="13.5">
      <c r="G865" s="6"/>
    </row>
    <row r="866" s="1" customFormat="1" ht="13.5">
      <c r="G866" s="6"/>
    </row>
    <row r="867" s="1" customFormat="1" ht="13.5">
      <c r="G867" s="6"/>
    </row>
    <row r="868" s="1" customFormat="1" ht="13.5">
      <c r="G868" s="6"/>
    </row>
    <row r="869" s="1" customFormat="1" ht="13.5">
      <c r="G869" s="6"/>
    </row>
    <row r="870" s="1" customFormat="1" ht="13.5">
      <c r="G870" s="6"/>
    </row>
    <row r="871" s="1" customFormat="1" ht="13.5">
      <c r="G871" s="6"/>
    </row>
    <row r="872" s="1" customFormat="1" ht="13.5">
      <c r="G872" s="6"/>
    </row>
    <row r="873" s="1" customFormat="1" ht="13.5">
      <c r="G873" s="6"/>
    </row>
    <row r="874" s="1" customFormat="1" ht="13.5">
      <c r="G874" s="6"/>
    </row>
    <row r="875" s="1" customFormat="1" ht="13.5">
      <c r="G875" s="6"/>
    </row>
    <row r="876" s="1" customFormat="1" ht="13.5">
      <c r="G876" s="6"/>
    </row>
    <row r="877" s="1" customFormat="1" ht="13.5">
      <c r="G877" s="6"/>
    </row>
    <row r="878" s="1" customFormat="1" ht="13.5">
      <c r="G878" s="6"/>
    </row>
    <row r="879" s="1" customFormat="1" ht="13.5">
      <c r="G879" s="6"/>
    </row>
    <row r="880" s="1" customFormat="1" ht="13.5">
      <c r="G880" s="6"/>
    </row>
    <row r="881" s="1" customFormat="1" ht="13.5">
      <c r="G881" s="6"/>
    </row>
    <row r="882" s="1" customFormat="1" ht="13.5">
      <c r="G882" s="6"/>
    </row>
    <row r="883" s="1" customFormat="1" ht="13.5">
      <c r="G883" s="6"/>
    </row>
    <row r="884" s="1" customFormat="1" ht="13.5">
      <c r="G884" s="6"/>
    </row>
    <row r="885" s="1" customFormat="1" ht="13.5">
      <c r="G885" s="6"/>
    </row>
    <row r="886" s="1" customFormat="1" ht="13.5">
      <c r="G886" s="6"/>
    </row>
    <row r="887" s="1" customFormat="1" ht="13.5">
      <c r="G887" s="6"/>
    </row>
    <row r="888" s="1" customFormat="1" ht="13.5">
      <c r="G888" s="6"/>
    </row>
    <row r="889" s="1" customFormat="1" ht="13.5">
      <c r="G889" s="6"/>
    </row>
    <row r="890" s="1" customFormat="1" ht="13.5">
      <c r="G890" s="6"/>
    </row>
    <row r="891" s="1" customFormat="1" ht="13.5">
      <c r="G891" s="6"/>
    </row>
    <row r="892" s="1" customFormat="1" ht="13.5">
      <c r="G892" s="6"/>
    </row>
    <row r="893" s="1" customFormat="1" ht="13.5">
      <c r="G893" s="6"/>
    </row>
    <row r="894" s="1" customFormat="1" ht="13.5">
      <c r="G894" s="6"/>
    </row>
    <row r="895" s="1" customFormat="1" ht="13.5">
      <c r="G895" s="6"/>
    </row>
    <row r="896" s="1" customFormat="1" ht="13.5">
      <c r="G896" s="6"/>
    </row>
    <row r="897" s="1" customFormat="1" ht="13.5">
      <c r="G897" s="6"/>
    </row>
    <row r="898" s="1" customFormat="1" ht="13.5">
      <c r="G898" s="6"/>
    </row>
    <row r="899" s="1" customFormat="1" ht="13.5">
      <c r="G899" s="6"/>
    </row>
    <row r="900" s="1" customFormat="1" ht="13.5">
      <c r="G900" s="6"/>
    </row>
    <row r="901" s="1" customFormat="1" ht="13.5">
      <c r="G901" s="6"/>
    </row>
    <row r="902" s="1" customFormat="1" ht="13.5">
      <c r="G902" s="6"/>
    </row>
    <row r="903" s="1" customFormat="1" ht="13.5">
      <c r="G903" s="6"/>
    </row>
    <row r="904" s="1" customFormat="1" ht="13.5">
      <c r="G904" s="6"/>
    </row>
    <row r="905" s="1" customFormat="1" ht="13.5">
      <c r="G905" s="6"/>
    </row>
    <row r="906" s="1" customFormat="1" ht="13.5">
      <c r="G906" s="6"/>
    </row>
    <row r="907" s="1" customFormat="1" ht="13.5">
      <c r="G907" s="6"/>
    </row>
    <row r="908" s="1" customFormat="1" ht="13.5">
      <c r="G908" s="6"/>
    </row>
    <row r="909" s="1" customFormat="1" ht="13.5">
      <c r="G909" s="6"/>
    </row>
    <row r="910" s="1" customFormat="1" ht="13.5">
      <c r="G910" s="6"/>
    </row>
    <row r="911" s="1" customFormat="1" ht="13.5">
      <c r="G911" s="6"/>
    </row>
    <row r="912" s="1" customFormat="1" ht="13.5">
      <c r="G912" s="6"/>
    </row>
    <row r="913" s="1" customFormat="1" ht="13.5">
      <c r="G913" s="6"/>
    </row>
    <row r="914" s="1" customFormat="1" ht="13.5">
      <c r="G914" s="6"/>
    </row>
    <row r="915" s="1" customFormat="1" ht="13.5">
      <c r="G915" s="6"/>
    </row>
    <row r="916" s="1" customFormat="1" ht="13.5">
      <c r="G916" s="6"/>
    </row>
    <row r="917" s="1" customFormat="1" ht="13.5">
      <c r="G917" s="6"/>
    </row>
    <row r="918" s="1" customFormat="1" ht="13.5">
      <c r="G918" s="6"/>
    </row>
    <row r="919" s="1" customFormat="1" ht="13.5">
      <c r="G919" s="6"/>
    </row>
    <row r="920" s="1" customFormat="1" ht="13.5">
      <c r="G920" s="6"/>
    </row>
    <row r="921" s="1" customFormat="1" ht="13.5">
      <c r="G921" s="6"/>
    </row>
    <row r="922" s="1" customFormat="1" ht="13.5">
      <c r="G922" s="6"/>
    </row>
    <row r="923" s="1" customFormat="1" ht="13.5">
      <c r="G923" s="6"/>
    </row>
    <row r="924" s="1" customFormat="1" ht="13.5">
      <c r="G924" s="6"/>
    </row>
    <row r="925" s="1" customFormat="1" ht="13.5">
      <c r="G925" s="6"/>
    </row>
    <row r="926" s="1" customFormat="1" ht="13.5">
      <c r="G926" s="6"/>
    </row>
    <row r="927" s="1" customFormat="1" ht="13.5">
      <c r="G927" s="6"/>
    </row>
    <row r="928" s="1" customFormat="1" ht="13.5">
      <c r="G928" s="6"/>
    </row>
    <row r="929" s="1" customFormat="1" ht="13.5">
      <c r="G929" s="6"/>
    </row>
    <row r="930" s="1" customFormat="1" ht="13.5">
      <c r="G930" s="6"/>
    </row>
    <row r="931" s="1" customFormat="1" ht="13.5">
      <c r="G931" s="6"/>
    </row>
    <row r="932" s="1" customFormat="1" ht="13.5">
      <c r="G932" s="6"/>
    </row>
    <row r="933" s="1" customFormat="1" ht="13.5">
      <c r="G933" s="6"/>
    </row>
    <row r="934" s="1" customFormat="1" ht="13.5">
      <c r="G934" s="6"/>
    </row>
    <row r="935" s="1" customFormat="1" ht="13.5">
      <c r="G935" s="6"/>
    </row>
    <row r="936" s="1" customFormat="1" ht="13.5">
      <c r="G936" s="6"/>
    </row>
    <row r="937" s="1" customFormat="1" ht="13.5">
      <c r="G937" s="6"/>
    </row>
    <row r="938" s="1" customFormat="1" ht="13.5">
      <c r="G938" s="6"/>
    </row>
    <row r="939" s="1" customFormat="1" ht="13.5">
      <c r="G939" s="6"/>
    </row>
    <row r="940" s="1" customFormat="1" ht="13.5">
      <c r="G940" s="6"/>
    </row>
    <row r="941" s="1" customFormat="1" ht="13.5">
      <c r="G941" s="6"/>
    </row>
    <row r="942" s="1" customFormat="1" ht="13.5">
      <c r="G942" s="6"/>
    </row>
    <row r="943" s="1" customFormat="1" ht="13.5">
      <c r="G943" s="6"/>
    </row>
    <row r="944" s="1" customFormat="1" ht="13.5">
      <c r="G944" s="6"/>
    </row>
    <row r="945" s="1" customFormat="1" ht="13.5">
      <c r="G945" s="6"/>
    </row>
    <row r="946" s="1" customFormat="1" ht="13.5">
      <c r="G946" s="6"/>
    </row>
    <row r="947" s="1" customFormat="1" ht="13.5">
      <c r="G947" s="6"/>
    </row>
    <row r="948" s="1" customFormat="1" ht="13.5">
      <c r="G948" s="6"/>
    </row>
    <row r="949" s="1" customFormat="1" ht="13.5">
      <c r="G949" s="6"/>
    </row>
    <row r="950" s="1" customFormat="1" ht="13.5">
      <c r="G950" s="6"/>
    </row>
    <row r="951" s="1" customFormat="1" ht="13.5">
      <c r="G951" s="6"/>
    </row>
    <row r="952" s="1" customFormat="1" ht="13.5">
      <c r="G952" s="6"/>
    </row>
    <row r="953" s="1" customFormat="1" ht="13.5">
      <c r="G953" s="6"/>
    </row>
    <row r="954" s="1" customFormat="1" ht="13.5">
      <c r="G954" s="6"/>
    </row>
    <row r="955" s="1" customFormat="1" ht="13.5">
      <c r="G955" s="6"/>
    </row>
    <row r="956" s="1" customFormat="1" ht="13.5">
      <c r="G956" s="6"/>
    </row>
    <row r="957" s="1" customFormat="1" ht="13.5">
      <c r="G957" s="6"/>
    </row>
    <row r="958" s="1" customFormat="1" ht="13.5">
      <c r="G958" s="6"/>
    </row>
    <row r="959" s="1" customFormat="1" ht="13.5">
      <c r="G959" s="6"/>
    </row>
    <row r="960" s="1" customFormat="1" ht="13.5">
      <c r="G960" s="6"/>
    </row>
    <row r="961" s="1" customFormat="1" ht="13.5">
      <c r="G961" s="6"/>
    </row>
    <row r="962" s="1" customFormat="1" ht="13.5">
      <c r="G962" s="6"/>
    </row>
    <row r="963" s="1" customFormat="1" ht="13.5">
      <c r="G963" s="6"/>
    </row>
    <row r="964" s="1" customFormat="1" ht="13.5">
      <c r="G964" s="6"/>
    </row>
    <row r="965" s="1" customFormat="1" ht="13.5">
      <c r="G965" s="6"/>
    </row>
    <row r="966" s="1" customFormat="1" ht="13.5">
      <c r="G966" s="6"/>
    </row>
    <row r="967" s="1" customFormat="1" ht="13.5">
      <c r="G967" s="6"/>
    </row>
    <row r="968" s="1" customFormat="1" ht="13.5">
      <c r="G968" s="6"/>
    </row>
    <row r="969" s="1" customFormat="1" ht="13.5">
      <c r="G969" s="6"/>
    </row>
    <row r="970" s="1" customFormat="1" ht="13.5">
      <c r="G970" s="6"/>
    </row>
    <row r="971" s="1" customFormat="1" ht="13.5">
      <c r="G971" s="6"/>
    </row>
    <row r="972" s="1" customFormat="1" ht="13.5">
      <c r="G972" s="6"/>
    </row>
    <row r="973" s="1" customFormat="1" ht="13.5">
      <c r="G973" s="6"/>
    </row>
    <row r="974" s="1" customFormat="1" ht="13.5">
      <c r="G974" s="6"/>
    </row>
    <row r="975" s="1" customFormat="1" ht="13.5">
      <c r="G975" s="6"/>
    </row>
    <row r="976" s="1" customFormat="1" ht="13.5">
      <c r="G976" s="6"/>
    </row>
    <row r="977" s="1" customFormat="1" ht="13.5">
      <c r="G977" s="6"/>
    </row>
    <row r="978" s="1" customFormat="1" ht="13.5">
      <c r="G978" s="6"/>
    </row>
    <row r="979" s="1" customFormat="1" ht="13.5">
      <c r="G979" s="6"/>
    </row>
    <row r="980" s="1" customFormat="1" ht="13.5">
      <c r="G980" s="6"/>
    </row>
    <row r="981" s="1" customFormat="1" ht="13.5">
      <c r="G981" s="6"/>
    </row>
    <row r="982" s="1" customFormat="1" ht="13.5">
      <c r="G982" s="6"/>
    </row>
    <row r="983" s="1" customFormat="1" ht="13.5">
      <c r="G983" s="6"/>
    </row>
    <row r="984" s="1" customFormat="1" ht="13.5">
      <c r="G984" s="6"/>
    </row>
    <row r="985" s="1" customFormat="1" ht="13.5">
      <c r="G985" s="6"/>
    </row>
    <row r="986" s="1" customFormat="1" ht="13.5">
      <c r="G986" s="6"/>
    </row>
    <row r="987" s="1" customFormat="1" ht="13.5">
      <c r="G987" s="6"/>
    </row>
    <row r="988" s="1" customFormat="1" ht="13.5">
      <c r="G988" s="6"/>
    </row>
    <row r="989" s="1" customFormat="1" ht="13.5">
      <c r="G989" s="6"/>
    </row>
    <row r="990" s="1" customFormat="1" ht="13.5">
      <c r="G990" s="6"/>
    </row>
    <row r="991" s="1" customFormat="1" ht="13.5">
      <c r="G991" s="6"/>
    </row>
    <row r="992" s="1" customFormat="1" ht="13.5">
      <c r="G992" s="6"/>
    </row>
    <row r="993" s="1" customFormat="1" ht="13.5">
      <c r="G993" s="6"/>
    </row>
    <row r="994" s="1" customFormat="1" ht="13.5">
      <c r="G994" s="6"/>
    </row>
    <row r="995" s="1" customFormat="1" ht="13.5">
      <c r="G995" s="6"/>
    </row>
    <row r="996" s="1" customFormat="1" ht="13.5">
      <c r="G996" s="6"/>
    </row>
    <row r="997" s="1" customFormat="1" ht="13.5">
      <c r="G997" s="6"/>
    </row>
    <row r="998" s="1" customFormat="1" ht="13.5">
      <c r="G998" s="6"/>
    </row>
    <row r="999" s="1" customFormat="1" ht="13.5">
      <c r="G999" s="6"/>
    </row>
    <row r="1000" s="1" customFormat="1" ht="13.5">
      <c r="G1000" s="6"/>
    </row>
    <row r="1001" s="1" customFormat="1" ht="13.5">
      <c r="G1001" s="6"/>
    </row>
    <row r="1002" s="1" customFormat="1" ht="13.5">
      <c r="G1002" s="6"/>
    </row>
    <row r="1003" s="1" customFormat="1" ht="13.5">
      <c r="G1003" s="6"/>
    </row>
    <row r="1004" s="1" customFormat="1" ht="13.5">
      <c r="G1004" s="6"/>
    </row>
    <row r="1005" s="1" customFormat="1" ht="13.5">
      <c r="G1005" s="6"/>
    </row>
    <row r="1006" s="1" customFormat="1" ht="13.5">
      <c r="G1006" s="6"/>
    </row>
    <row r="1007" s="1" customFormat="1" ht="13.5">
      <c r="G1007" s="6"/>
    </row>
    <row r="1008" s="1" customFormat="1" ht="13.5">
      <c r="G1008" s="6"/>
    </row>
    <row r="1009" s="1" customFormat="1" ht="13.5">
      <c r="G1009" s="6"/>
    </row>
    <row r="1010" s="1" customFormat="1" ht="13.5">
      <c r="G1010" s="6"/>
    </row>
    <row r="1011" s="1" customFormat="1" ht="13.5">
      <c r="G1011" s="6"/>
    </row>
    <row r="1012" s="1" customFormat="1" ht="13.5">
      <c r="G1012" s="6"/>
    </row>
    <row r="1013" s="1" customFormat="1" ht="13.5">
      <c r="G1013" s="6"/>
    </row>
    <row r="1014" s="1" customFormat="1" ht="13.5">
      <c r="G1014" s="6"/>
    </row>
    <row r="1015" s="1" customFormat="1" ht="13.5">
      <c r="G1015" s="6"/>
    </row>
    <row r="1016" s="1" customFormat="1" ht="13.5">
      <c r="G1016" s="6"/>
    </row>
    <row r="1017" s="1" customFormat="1" ht="13.5">
      <c r="G1017" s="6"/>
    </row>
    <row r="1018" s="1" customFormat="1" ht="13.5">
      <c r="G1018" s="6"/>
    </row>
    <row r="1019" s="1" customFormat="1" ht="13.5">
      <c r="G1019" s="6"/>
    </row>
    <row r="1020" s="1" customFormat="1" ht="13.5">
      <c r="G1020" s="6"/>
    </row>
    <row r="1021" s="1" customFormat="1" ht="13.5">
      <c r="G1021" s="6"/>
    </row>
    <row r="1022" s="1" customFormat="1" ht="13.5">
      <c r="G1022" s="6"/>
    </row>
    <row r="1023" s="1" customFormat="1" ht="13.5">
      <c r="G1023" s="6"/>
    </row>
    <row r="1024" s="1" customFormat="1" ht="13.5">
      <c r="G1024" s="6"/>
    </row>
    <row r="1025" s="1" customFormat="1" ht="13.5">
      <c r="G1025" s="6"/>
    </row>
    <row r="1026" s="1" customFormat="1" ht="13.5">
      <c r="G1026" s="6"/>
    </row>
    <row r="1027" s="1" customFormat="1" ht="13.5">
      <c r="G1027" s="6"/>
    </row>
    <row r="1028" s="1" customFormat="1" ht="13.5">
      <c r="G1028" s="6"/>
    </row>
    <row r="1029" s="1" customFormat="1" ht="13.5">
      <c r="G1029" s="6"/>
    </row>
    <row r="1030" s="1" customFormat="1" ht="13.5">
      <c r="G1030" s="6"/>
    </row>
    <row r="1031" s="1" customFormat="1" ht="13.5">
      <c r="G1031" s="6"/>
    </row>
    <row r="1032" s="1" customFormat="1" ht="13.5">
      <c r="G1032" s="6"/>
    </row>
    <row r="1033" s="1" customFormat="1" ht="13.5">
      <c r="G1033" s="6"/>
    </row>
    <row r="1034" s="1" customFormat="1" ht="13.5">
      <c r="G1034" s="6"/>
    </row>
    <row r="1035" s="1" customFormat="1" ht="13.5">
      <c r="G1035" s="6"/>
    </row>
    <row r="1036" s="1" customFormat="1" ht="13.5">
      <c r="G1036" s="6"/>
    </row>
    <row r="1037" s="1" customFormat="1" ht="13.5">
      <c r="G1037" s="6"/>
    </row>
    <row r="1038" s="1" customFormat="1" ht="13.5">
      <c r="G1038" s="6"/>
    </row>
    <row r="1039" s="1" customFormat="1" ht="13.5">
      <c r="G1039" s="6"/>
    </row>
    <row r="1040" s="1" customFormat="1" ht="13.5">
      <c r="G1040" s="6"/>
    </row>
    <row r="1041" s="1" customFormat="1" ht="13.5">
      <c r="G1041" s="6"/>
    </row>
    <row r="1042" s="1" customFormat="1" ht="13.5">
      <c r="G1042" s="6"/>
    </row>
    <row r="1043" s="1" customFormat="1" ht="13.5">
      <c r="G1043" s="6"/>
    </row>
    <row r="1044" s="1" customFormat="1" ht="13.5">
      <c r="G1044" s="6"/>
    </row>
    <row r="1045" s="1" customFormat="1" ht="13.5">
      <c r="G1045" s="6"/>
    </row>
    <row r="1046" s="1" customFormat="1" ht="13.5">
      <c r="G1046" s="6"/>
    </row>
    <row r="1047" s="1" customFormat="1" ht="13.5">
      <c r="G1047" s="6"/>
    </row>
    <row r="1048" s="1" customFormat="1" ht="13.5">
      <c r="G1048" s="6"/>
    </row>
    <row r="1049" s="1" customFormat="1" ht="13.5">
      <c r="G1049" s="6"/>
    </row>
    <row r="1050" s="1" customFormat="1" ht="13.5">
      <c r="G1050" s="6"/>
    </row>
    <row r="1051" s="1" customFormat="1" ht="13.5">
      <c r="G1051" s="6"/>
    </row>
    <row r="1052" s="1" customFormat="1" ht="13.5">
      <c r="G1052" s="6"/>
    </row>
    <row r="1053" s="1" customFormat="1" ht="13.5">
      <c r="G1053" s="6"/>
    </row>
    <row r="1054" s="1" customFormat="1" ht="13.5">
      <c r="G1054" s="6"/>
    </row>
    <row r="1055" s="1" customFormat="1" ht="13.5">
      <c r="G1055" s="6"/>
    </row>
    <row r="1056" s="1" customFormat="1" ht="13.5">
      <c r="G1056" s="6"/>
    </row>
    <row r="1057" s="1" customFormat="1" ht="13.5">
      <c r="G1057" s="6"/>
    </row>
    <row r="1058" s="1" customFormat="1" ht="13.5">
      <c r="G1058" s="6"/>
    </row>
    <row r="1059" s="1" customFormat="1" ht="13.5">
      <c r="G1059" s="6"/>
    </row>
    <row r="1060" s="1" customFormat="1" ht="13.5">
      <c r="G1060" s="6"/>
    </row>
    <row r="1061" s="1" customFormat="1" ht="13.5">
      <c r="G1061" s="6"/>
    </row>
    <row r="1062" s="1" customFormat="1" ht="13.5">
      <c r="G1062" s="6"/>
    </row>
    <row r="1063" s="1" customFormat="1" ht="13.5">
      <c r="G1063" s="6"/>
    </row>
    <row r="1064" s="1" customFormat="1" ht="13.5">
      <c r="G1064" s="6"/>
    </row>
    <row r="1065" s="1" customFormat="1" ht="13.5">
      <c r="G1065" s="6"/>
    </row>
    <row r="1066" s="1" customFormat="1" ht="13.5">
      <c r="G1066" s="6"/>
    </row>
    <row r="1067" s="1" customFormat="1" ht="13.5">
      <c r="G1067" s="6"/>
    </row>
    <row r="1068" s="1" customFormat="1" ht="13.5">
      <c r="G1068" s="6"/>
    </row>
    <row r="1069" s="1" customFormat="1" ht="13.5">
      <c r="G1069" s="6"/>
    </row>
    <row r="1070" s="1" customFormat="1" ht="13.5">
      <c r="G1070" s="6"/>
    </row>
    <row r="1071" s="1" customFormat="1" ht="13.5">
      <c r="G1071" s="6"/>
    </row>
    <row r="1072" s="1" customFormat="1" ht="13.5">
      <c r="G1072" s="6"/>
    </row>
    <row r="1073" s="1" customFormat="1" ht="13.5">
      <c r="G1073" s="6"/>
    </row>
    <row r="1074" s="1" customFormat="1" ht="13.5">
      <c r="G1074" s="6"/>
    </row>
    <row r="1075" s="1" customFormat="1" ht="13.5">
      <c r="G1075" s="6"/>
    </row>
    <row r="1076" s="1" customFormat="1" ht="13.5">
      <c r="G1076" s="6"/>
    </row>
    <row r="1077" s="1" customFormat="1" ht="13.5">
      <c r="G1077" s="6"/>
    </row>
    <row r="1078" s="1" customFormat="1" ht="13.5">
      <c r="G1078" s="6"/>
    </row>
    <row r="1079" s="1" customFormat="1" ht="13.5">
      <c r="G1079" s="6"/>
    </row>
    <row r="1080" s="1" customFormat="1" ht="13.5">
      <c r="G1080" s="6"/>
    </row>
    <row r="1081" s="1" customFormat="1" ht="13.5">
      <c r="G1081" s="6"/>
    </row>
    <row r="1082" s="1" customFormat="1" ht="13.5">
      <c r="G1082" s="6"/>
    </row>
    <row r="1083" s="1" customFormat="1" ht="13.5">
      <c r="G1083" s="6"/>
    </row>
    <row r="1084" s="1" customFormat="1" ht="13.5">
      <c r="G1084" s="6"/>
    </row>
    <row r="1085" s="1" customFormat="1" ht="13.5">
      <c r="G1085" s="6"/>
    </row>
    <row r="1086" s="1" customFormat="1" ht="13.5">
      <c r="G1086" s="6"/>
    </row>
    <row r="1087" s="1" customFormat="1" ht="13.5">
      <c r="G1087" s="6"/>
    </row>
    <row r="1088" s="1" customFormat="1" ht="13.5">
      <c r="G1088" s="6"/>
    </row>
    <row r="1089" s="1" customFormat="1" ht="13.5">
      <c r="G1089" s="6"/>
    </row>
    <row r="1090" s="1" customFormat="1" ht="13.5">
      <c r="G1090" s="6"/>
    </row>
    <row r="1091" s="1" customFormat="1" ht="13.5">
      <c r="G1091" s="6"/>
    </row>
    <row r="1092" s="1" customFormat="1" ht="13.5">
      <c r="G1092" s="6"/>
    </row>
    <row r="1093" s="1" customFormat="1" ht="13.5">
      <c r="G1093" s="6"/>
    </row>
    <row r="1094" s="1" customFormat="1" ht="13.5">
      <c r="G1094" s="6"/>
    </row>
    <row r="1095" s="1" customFormat="1" ht="13.5">
      <c r="G1095" s="6"/>
    </row>
    <row r="1096" s="1" customFormat="1" ht="13.5">
      <c r="G1096" s="6"/>
    </row>
    <row r="1097" s="1" customFormat="1" ht="13.5">
      <c r="G1097" s="6"/>
    </row>
    <row r="1098" s="1" customFormat="1" ht="13.5">
      <c r="G1098" s="6"/>
    </row>
    <row r="1099" s="1" customFormat="1" ht="13.5">
      <c r="G1099" s="6"/>
    </row>
    <row r="1100" s="1" customFormat="1" ht="13.5">
      <c r="G1100" s="6"/>
    </row>
    <row r="1101" s="1" customFormat="1" ht="13.5">
      <c r="G1101" s="6"/>
    </row>
    <row r="1102" s="1" customFormat="1" ht="13.5">
      <c r="G1102" s="6"/>
    </row>
    <row r="1103" s="1" customFormat="1" ht="13.5">
      <c r="G1103" s="6"/>
    </row>
    <row r="1104" s="1" customFormat="1" ht="13.5">
      <c r="G1104" s="6"/>
    </row>
    <row r="1105" s="1" customFormat="1" ht="13.5">
      <c r="G1105" s="6"/>
    </row>
    <row r="1106" s="1" customFormat="1" ht="13.5">
      <c r="G1106" s="6"/>
    </row>
    <row r="1107" s="1" customFormat="1" ht="13.5">
      <c r="G1107" s="6"/>
    </row>
    <row r="1108" s="1" customFormat="1" ht="13.5">
      <c r="G1108" s="6"/>
    </row>
    <row r="1109" s="1" customFormat="1" ht="13.5">
      <c r="G1109" s="6"/>
    </row>
    <row r="1110" s="1" customFormat="1" ht="13.5">
      <c r="G1110" s="6"/>
    </row>
    <row r="1111" s="1" customFormat="1" ht="13.5">
      <c r="G1111" s="6"/>
    </row>
    <row r="1112" s="1" customFormat="1" ht="13.5">
      <c r="G1112" s="6"/>
    </row>
    <row r="1113" s="1" customFormat="1" ht="13.5">
      <c r="G1113" s="6"/>
    </row>
    <row r="1114" s="1" customFormat="1" ht="13.5">
      <c r="G1114" s="6"/>
    </row>
    <row r="1115" s="1" customFormat="1" ht="13.5">
      <c r="G1115" s="6"/>
    </row>
    <row r="1116" s="1" customFormat="1" ht="13.5">
      <c r="G1116" s="6"/>
    </row>
    <row r="1117" s="1" customFormat="1" ht="13.5">
      <c r="G1117" s="6"/>
    </row>
    <row r="1118" s="1" customFormat="1" ht="13.5">
      <c r="G1118" s="6"/>
    </row>
    <row r="1119" s="1" customFormat="1" ht="13.5">
      <c r="G1119" s="6"/>
    </row>
    <row r="1120" s="1" customFormat="1" ht="13.5">
      <c r="G1120" s="6"/>
    </row>
    <row r="1121" s="1" customFormat="1" ht="13.5">
      <c r="G1121" s="6"/>
    </row>
    <row r="1122" s="1" customFormat="1" ht="13.5">
      <c r="G1122" s="6"/>
    </row>
    <row r="1123" s="1" customFormat="1" ht="13.5">
      <c r="G1123" s="6"/>
    </row>
    <row r="1124" s="1" customFormat="1" ht="13.5">
      <c r="G1124" s="6"/>
    </row>
    <row r="1125" s="1" customFormat="1" ht="13.5">
      <c r="G1125" s="6"/>
    </row>
    <row r="1126" s="1" customFormat="1" ht="13.5">
      <c r="G1126" s="6"/>
    </row>
    <row r="1127" s="1" customFormat="1" ht="13.5">
      <c r="G1127" s="6"/>
    </row>
    <row r="1128" s="1" customFormat="1" ht="13.5">
      <c r="G1128" s="6"/>
    </row>
    <row r="1129" s="1" customFormat="1" ht="13.5">
      <c r="G1129" s="6"/>
    </row>
    <row r="1130" s="1" customFormat="1" ht="13.5">
      <c r="G1130" s="6"/>
    </row>
    <row r="1131" s="1" customFormat="1" ht="13.5">
      <c r="G1131" s="6"/>
    </row>
    <row r="1132" s="1" customFormat="1" ht="13.5">
      <c r="G1132" s="6"/>
    </row>
    <row r="1133" s="1" customFormat="1" ht="13.5">
      <c r="G1133" s="6"/>
    </row>
    <row r="1134" s="1" customFormat="1" ht="13.5">
      <c r="G1134" s="6"/>
    </row>
    <row r="1135" s="1" customFormat="1" ht="13.5">
      <c r="G1135" s="6"/>
    </row>
    <row r="1136" s="1" customFormat="1" ht="13.5">
      <c r="G1136" s="6"/>
    </row>
    <row r="1137" s="1" customFormat="1" ht="13.5">
      <c r="G1137" s="6"/>
    </row>
    <row r="1138" s="1" customFormat="1" ht="13.5">
      <c r="G1138" s="6"/>
    </row>
    <row r="1139" s="1" customFormat="1" ht="13.5">
      <c r="G1139" s="6"/>
    </row>
    <row r="1140" s="1" customFormat="1" ht="13.5">
      <c r="G1140" s="6"/>
    </row>
    <row r="1141" s="1" customFormat="1" ht="13.5">
      <c r="G1141" s="6"/>
    </row>
    <row r="1142" s="1" customFormat="1" ht="13.5">
      <c r="G1142" s="6"/>
    </row>
    <row r="1143" s="1" customFormat="1" ht="13.5">
      <c r="G1143" s="6"/>
    </row>
    <row r="1144" s="1" customFormat="1" ht="13.5">
      <c r="G1144" s="6"/>
    </row>
    <row r="1145" s="1" customFormat="1" ht="13.5">
      <c r="G1145" s="6"/>
    </row>
    <row r="1146" s="1" customFormat="1" ht="13.5">
      <c r="G1146" s="6"/>
    </row>
    <row r="1147" s="1" customFormat="1" ht="13.5">
      <c r="G1147" s="6"/>
    </row>
    <row r="1148" s="1" customFormat="1" ht="13.5">
      <c r="G1148" s="6"/>
    </row>
    <row r="1149" s="1" customFormat="1" ht="13.5">
      <c r="G1149" s="6"/>
    </row>
    <row r="1150" s="1" customFormat="1" ht="13.5">
      <c r="G1150" s="6"/>
    </row>
    <row r="1151" s="1" customFormat="1" ht="13.5">
      <c r="G1151" s="6"/>
    </row>
    <row r="1152" s="1" customFormat="1" ht="13.5">
      <c r="G1152" s="6"/>
    </row>
    <row r="1153" s="1" customFormat="1" ht="13.5">
      <c r="G1153" s="6"/>
    </row>
    <row r="1154" s="1" customFormat="1" ht="13.5">
      <c r="G1154" s="6"/>
    </row>
    <row r="1155" s="1" customFormat="1" ht="13.5">
      <c r="G1155" s="6"/>
    </row>
    <row r="1156" s="1" customFormat="1" ht="13.5">
      <c r="G1156" s="6"/>
    </row>
    <row r="1157" s="1" customFormat="1" ht="13.5">
      <c r="G1157" s="6"/>
    </row>
    <row r="1158" s="1" customFormat="1" ht="13.5">
      <c r="G1158" s="6"/>
    </row>
    <row r="1159" s="1" customFormat="1" ht="13.5">
      <c r="G1159" s="6"/>
    </row>
    <row r="1160" s="1" customFormat="1" ht="13.5">
      <c r="G1160" s="6"/>
    </row>
    <row r="1161" s="1" customFormat="1" ht="13.5">
      <c r="G1161" s="6"/>
    </row>
    <row r="1162" s="1" customFormat="1" ht="13.5">
      <c r="G1162" s="6"/>
    </row>
    <row r="1163" s="1" customFormat="1" ht="13.5">
      <c r="G1163" s="6"/>
    </row>
    <row r="1164" s="1" customFormat="1" ht="13.5">
      <c r="G1164" s="6"/>
    </row>
    <row r="1165" s="1" customFormat="1" ht="13.5">
      <c r="G1165" s="6"/>
    </row>
    <row r="1166" s="1" customFormat="1" ht="13.5">
      <c r="G1166" s="6"/>
    </row>
    <row r="1167" s="1" customFormat="1" ht="13.5">
      <c r="G1167" s="6"/>
    </row>
    <row r="1168" s="1" customFormat="1" ht="13.5">
      <c r="G1168" s="6"/>
    </row>
    <row r="1169" s="1" customFormat="1" ht="13.5">
      <c r="G1169" s="6"/>
    </row>
    <row r="1170" s="1" customFormat="1" ht="13.5">
      <c r="G1170" s="6"/>
    </row>
    <row r="1171" s="1" customFormat="1" ht="13.5">
      <c r="G1171" s="6"/>
    </row>
    <row r="1172" s="1" customFormat="1" ht="13.5">
      <c r="G1172" s="6"/>
    </row>
    <row r="1173" s="1" customFormat="1" ht="13.5">
      <c r="G1173" s="6"/>
    </row>
    <row r="1174" s="1" customFormat="1" ht="13.5">
      <c r="G1174" s="6"/>
    </row>
    <row r="1175" s="1" customFormat="1" ht="13.5">
      <c r="G1175" s="6"/>
    </row>
    <row r="1176" s="1" customFormat="1" ht="13.5">
      <c r="G1176" s="6"/>
    </row>
    <row r="1177" s="1" customFormat="1" ht="13.5">
      <c r="G1177" s="6"/>
    </row>
    <row r="1178" s="1" customFormat="1" ht="13.5">
      <c r="G1178" s="6"/>
    </row>
    <row r="1179" s="1" customFormat="1" ht="13.5">
      <c r="G1179" s="6"/>
    </row>
    <row r="1180" s="1" customFormat="1" ht="13.5">
      <c r="G1180" s="6"/>
    </row>
    <row r="1181" s="1" customFormat="1" ht="13.5">
      <c r="G1181" s="6"/>
    </row>
    <row r="1182" s="1" customFormat="1" ht="13.5">
      <c r="G1182" s="6"/>
    </row>
    <row r="1183" s="1" customFormat="1" ht="13.5">
      <c r="G1183" s="6"/>
    </row>
    <row r="1184" s="1" customFormat="1" ht="13.5">
      <c r="G1184" s="6"/>
    </row>
    <row r="1185" s="1" customFormat="1" ht="13.5">
      <c r="G1185" s="6"/>
    </row>
    <row r="1186" s="1" customFormat="1" ht="13.5">
      <c r="G1186" s="6"/>
    </row>
    <row r="1187" s="1" customFormat="1" ht="13.5">
      <c r="G1187" s="6"/>
    </row>
    <row r="1188" s="1" customFormat="1" ht="13.5">
      <c r="G1188" s="6"/>
    </row>
    <row r="1189" s="1" customFormat="1" ht="13.5">
      <c r="G1189" s="6"/>
    </row>
    <row r="1190" s="1" customFormat="1" ht="13.5">
      <c r="G1190" s="6"/>
    </row>
    <row r="1191" s="1" customFormat="1" ht="13.5">
      <c r="G1191" s="6"/>
    </row>
    <row r="1192" s="1" customFormat="1" ht="13.5">
      <c r="G1192" s="6"/>
    </row>
    <row r="1193" s="1" customFormat="1" ht="13.5">
      <c r="G1193" s="6"/>
    </row>
    <row r="1194" s="1" customFormat="1" ht="13.5">
      <c r="G1194" s="6"/>
    </row>
    <row r="1195" s="1" customFormat="1" ht="13.5">
      <c r="G1195" s="6"/>
    </row>
    <row r="1196" s="1" customFormat="1" ht="13.5">
      <c r="G1196" s="6"/>
    </row>
    <row r="1197" s="1" customFormat="1" ht="13.5">
      <c r="G1197" s="6"/>
    </row>
    <row r="1198" s="1" customFormat="1" ht="13.5">
      <c r="G1198" s="6"/>
    </row>
    <row r="1199" s="1" customFormat="1" ht="13.5">
      <c r="G1199" s="6"/>
    </row>
    <row r="1200" s="1" customFormat="1" ht="13.5">
      <c r="G1200" s="6"/>
    </row>
    <row r="1201" s="1" customFormat="1" ht="13.5">
      <c r="G1201" s="6"/>
    </row>
    <row r="1202" s="1" customFormat="1" ht="13.5">
      <c r="G1202" s="6"/>
    </row>
    <row r="1203" s="1" customFormat="1" ht="13.5">
      <c r="G1203" s="6"/>
    </row>
    <row r="1204" s="1" customFormat="1" ht="13.5">
      <c r="G1204" s="6"/>
    </row>
    <row r="1205" s="1" customFormat="1" ht="13.5">
      <c r="G1205" s="6"/>
    </row>
    <row r="1206" s="1" customFormat="1" ht="13.5">
      <c r="G1206" s="6"/>
    </row>
    <row r="1207" s="1" customFormat="1" ht="13.5">
      <c r="G1207" s="6"/>
    </row>
    <row r="1208" s="1" customFormat="1" ht="13.5">
      <c r="G1208" s="6"/>
    </row>
    <row r="1209" s="1" customFormat="1" ht="13.5">
      <c r="G1209" s="6"/>
    </row>
    <row r="1210" s="1" customFormat="1" ht="13.5">
      <c r="G1210" s="6"/>
    </row>
    <row r="1211" s="1" customFormat="1" ht="13.5">
      <c r="G1211" s="6"/>
    </row>
    <row r="1212" s="1" customFormat="1" ht="13.5">
      <c r="G1212" s="6"/>
    </row>
    <row r="1213" s="1" customFormat="1" ht="13.5">
      <c r="G1213" s="6"/>
    </row>
    <row r="1214" s="1" customFormat="1" ht="13.5">
      <c r="G1214" s="6"/>
    </row>
    <row r="1215" s="1" customFormat="1" ht="13.5">
      <c r="G1215" s="6"/>
    </row>
    <row r="1216" s="1" customFormat="1" ht="13.5">
      <c r="G1216" s="6"/>
    </row>
    <row r="1217" s="1" customFormat="1" ht="13.5">
      <c r="G1217" s="6"/>
    </row>
    <row r="1218" s="1" customFormat="1" ht="13.5">
      <c r="G1218" s="6"/>
    </row>
    <row r="1219" s="1" customFormat="1" ht="13.5">
      <c r="G1219" s="6"/>
    </row>
    <row r="1220" s="1" customFormat="1" ht="13.5">
      <c r="G1220" s="6"/>
    </row>
    <row r="1221" s="1" customFormat="1" ht="13.5">
      <c r="G1221" s="6"/>
    </row>
    <row r="1222" s="1" customFormat="1" ht="13.5">
      <c r="G1222" s="6"/>
    </row>
    <row r="1223" s="1" customFormat="1" ht="13.5">
      <c r="G1223" s="6"/>
    </row>
    <row r="1224" s="1" customFormat="1" ht="13.5">
      <c r="G1224" s="6"/>
    </row>
    <row r="1225" s="1" customFormat="1" ht="13.5">
      <c r="G1225" s="6"/>
    </row>
    <row r="1226" s="1" customFormat="1" ht="13.5">
      <c r="G1226" s="6"/>
    </row>
    <row r="1227" s="1" customFormat="1" ht="13.5">
      <c r="G1227" s="6"/>
    </row>
    <row r="1228" s="1" customFormat="1" ht="13.5">
      <c r="G1228" s="6"/>
    </row>
    <row r="1229" s="1" customFormat="1" ht="13.5">
      <c r="G1229" s="6"/>
    </row>
    <row r="1230" s="1" customFormat="1" ht="13.5">
      <c r="G1230" s="6"/>
    </row>
    <row r="1231" s="1" customFormat="1" ht="13.5">
      <c r="G1231" s="6"/>
    </row>
    <row r="1232" s="1" customFormat="1" ht="13.5">
      <c r="G1232" s="6"/>
    </row>
    <row r="1233" s="1" customFormat="1" ht="13.5">
      <c r="G1233" s="6"/>
    </row>
    <row r="1234" s="1" customFormat="1" ht="13.5">
      <c r="G1234" s="6"/>
    </row>
    <row r="1235" s="1" customFormat="1" ht="13.5">
      <c r="G1235" s="6"/>
    </row>
    <row r="1236" s="1" customFormat="1" ht="13.5">
      <c r="G1236" s="6"/>
    </row>
    <row r="1237" s="1" customFormat="1" ht="13.5">
      <c r="G1237" s="6"/>
    </row>
    <row r="1238" s="1" customFormat="1" ht="13.5">
      <c r="G1238" s="6"/>
    </row>
    <row r="1239" s="1" customFormat="1" ht="13.5">
      <c r="G1239" s="6"/>
    </row>
    <row r="1240" s="1" customFormat="1" ht="13.5">
      <c r="G1240" s="6"/>
    </row>
    <row r="1241" s="1" customFormat="1" ht="13.5">
      <c r="G1241" s="6"/>
    </row>
    <row r="1242" s="1" customFormat="1" ht="13.5">
      <c r="G1242" s="6"/>
    </row>
    <row r="1243" s="1" customFormat="1" ht="13.5">
      <c r="G1243" s="6"/>
    </row>
    <row r="1244" s="1" customFormat="1" ht="13.5">
      <c r="G1244" s="6"/>
    </row>
    <row r="1245" s="1" customFormat="1" ht="13.5">
      <c r="G1245" s="6"/>
    </row>
    <row r="1246" s="1" customFormat="1" ht="13.5">
      <c r="G1246" s="6"/>
    </row>
    <row r="1247" s="1" customFormat="1" ht="13.5">
      <c r="G1247" s="6"/>
    </row>
    <row r="1248" s="1" customFormat="1" ht="13.5">
      <c r="G1248" s="6"/>
    </row>
    <row r="1249" s="1" customFormat="1" ht="13.5">
      <c r="G1249" s="6"/>
    </row>
    <row r="1250" s="1" customFormat="1" ht="13.5">
      <c r="G1250" s="6"/>
    </row>
    <row r="1251" s="1" customFormat="1" ht="13.5">
      <c r="G1251" s="6"/>
    </row>
    <row r="1252" s="1" customFormat="1" ht="13.5">
      <c r="G1252" s="6"/>
    </row>
    <row r="1253" s="1" customFormat="1" ht="13.5">
      <c r="G1253" s="6"/>
    </row>
    <row r="1254" s="1" customFormat="1" ht="13.5">
      <c r="G1254" s="6"/>
    </row>
    <row r="1255" s="1" customFormat="1" ht="13.5">
      <c r="G1255" s="6"/>
    </row>
    <row r="1256" s="1" customFormat="1" ht="13.5">
      <c r="G1256" s="6"/>
    </row>
    <row r="1257" s="1" customFormat="1" ht="13.5">
      <c r="G1257" s="6"/>
    </row>
    <row r="1258" s="1" customFormat="1" ht="13.5">
      <c r="G1258" s="6"/>
    </row>
    <row r="1259" s="1" customFormat="1" ht="13.5">
      <c r="G1259" s="6"/>
    </row>
    <row r="1260" s="1" customFormat="1" ht="13.5">
      <c r="G1260" s="6"/>
    </row>
    <row r="1261" s="1" customFormat="1" ht="13.5">
      <c r="G1261" s="6"/>
    </row>
    <row r="1262" s="1" customFormat="1" ht="13.5">
      <c r="G1262" s="6"/>
    </row>
    <row r="1263" s="1" customFormat="1" ht="13.5">
      <c r="G1263" s="6"/>
    </row>
    <row r="1264" s="1" customFormat="1" ht="13.5">
      <c r="G1264" s="6"/>
    </row>
    <row r="1265" s="1" customFormat="1" ht="13.5">
      <c r="G1265" s="6"/>
    </row>
    <row r="1266" s="1" customFormat="1" ht="13.5">
      <c r="G1266" s="6"/>
    </row>
    <row r="1267" s="1" customFormat="1" ht="13.5">
      <c r="G1267" s="6"/>
    </row>
    <row r="1268" s="1" customFormat="1" ht="13.5">
      <c r="G1268" s="6"/>
    </row>
    <row r="1269" s="1" customFormat="1" ht="13.5">
      <c r="G1269" s="6"/>
    </row>
    <row r="1270" s="1" customFormat="1" ht="13.5">
      <c r="G1270" s="6"/>
    </row>
    <row r="1271" s="1" customFormat="1" ht="13.5">
      <c r="G1271" s="6"/>
    </row>
    <row r="1272" s="1" customFormat="1" ht="13.5">
      <c r="G1272" s="6"/>
    </row>
    <row r="1273" s="1" customFormat="1" ht="13.5">
      <c r="G1273" s="6"/>
    </row>
    <row r="1274" s="1" customFormat="1" ht="13.5">
      <c r="G1274" s="6"/>
    </row>
    <row r="1275" s="1" customFormat="1" ht="13.5">
      <c r="G1275" s="6"/>
    </row>
    <row r="1276" s="1" customFormat="1" ht="13.5">
      <c r="G1276" s="6"/>
    </row>
    <row r="1277" s="1" customFormat="1" ht="13.5">
      <c r="G1277" s="6"/>
    </row>
    <row r="1278" s="1" customFormat="1" ht="13.5">
      <c r="G1278" s="6"/>
    </row>
    <row r="1279" s="1" customFormat="1" ht="13.5">
      <c r="G1279" s="6"/>
    </row>
    <row r="1280" s="1" customFormat="1" ht="13.5">
      <c r="G1280" s="6"/>
    </row>
    <row r="1281" s="1" customFormat="1" ht="13.5">
      <c r="G1281" s="6"/>
    </row>
    <row r="1282" s="1" customFormat="1" ht="13.5">
      <c r="G1282" s="6"/>
    </row>
    <row r="1283" s="1" customFormat="1" ht="13.5">
      <c r="G1283" s="6"/>
    </row>
    <row r="1284" s="1" customFormat="1" ht="13.5">
      <c r="G1284" s="6"/>
    </row>
    <row r="1285" s="1" customFormat="1" ht="13.5">
      <c r="G1285" s="6"/>
    </row>
    <row r="1286" s="1" customFormat="1" ht="13.5">
      <c r="G1286" s="6"/>
    </row>
    <row r="1287" s="1" customFormat="1" ht="13.5">
      <c r="G1287" s="6"/>
    </row>
    <row r="1288" s="1" customFormat="1" ht="13.5">
      <c r="G1288" s="6"/>
    </row>
    <row r="1289" s="1" customFormat="1" ht="13.5">
      <c r="G1289" s="6"/>
    </row>
    <row r="1290" s="1" customFormat="1" ht="13.5">
      <c r="G1290" s="6"/>
    </row>
    <row r="1291" s="1" customFormat="1" ht="13.5">
      <c r="G1291" s="6"/>
    </row>
    <row r="1292" s="1" customFormat="1" ht="13.5">
      <c r="G1292" s="6"/>
    </row>
    <row r="1293" s="1" customFormat="1" ht="13.5">
      <c r="G1293" s="6"/>
    </row>
    <row r="1294" s="1" customFormat="1" ht="13.5">
      <c r="G1294" s="6"/>
    </row>
    <row r="1295" s="1" customFormat="1" ht="13.5">
      <c r="G1295" s="6"/>
    </row>
    <row r="1296" s="1" customFormat="1" ht="13.5">
      <c r="G1296" s="6"/>
    </row>
    <row r="1297" s="1" customFormat="1" ht="13.5">
      <c r="G1297" s="6"/>
    </row>
    <row r="1298" s="1" customFormat="1" ht="13.5">
      <c r="G1298" s="6"/>
    </row>
    <row r="1299" s="1" customFormat="1" ht="13.5">
      <c r="G1299" s="6"/>
    </row>
    <row r="1300" s="1" customFormat="1" ht="13.5">
      <c r="G1300" s="6"/>
    </row>
    <row r="1301" s="1" customFormat="1" ht="13.5">
      <c r="G1301" s="6"/>
    </row>
    <row r="1302" s="1" customFormat="1" ht="13.5">
      <c r="G1302" s="6"/>
    </row>
    <row r="1303" s="1" customFormat="1" ht="13.5">
      <c r="G1303" s="6"/>
    </row>
    <row r="1304" s="1" customFormat="1" ht="13.5">
      <c r="G1304" s="6"/>
    </row>
    <row r="1305" s="1" customFormat="1" ht="13.5">
      <c r="G1305" s="6"/>
    </row>
    <row r="1306" s="1" customFormat="1" ht="13.5">
      <c r="G1306" s="6"/>
    </row>
    <row r="1307" s="1" customFormat="1" ht="13.5">
      <c r="G1307" s="6"/>
    </row>
    <row r="1308" s="1" customFormat="1" ht="13.5">
      <c r="G1308" s="6"/>
    </row>
    <row r="1309" s="1" customFormat="1" ht="13.5">
      <c r="G1309" s="6"/>
    </row>
    <row r="1310" s="1" customFormat="1" ht="13.5">
      <c r="G1310" s="6"/>
    </row>
    <row r="1311" s="1" customFormat="1" ht="13.5">
      <c r="G1311" s="6"/>
    </row>
    <row r="1312" s="1" customFormat="1" ht="13.5">
      <c r="G1312" s="6"/>
    </row>
    <row r="1313" s="1" customFormat="1" ht="13.5">
      <c r="G1313" s="6"/>
    </row>
    <row r="1314" s="1" customFormat="1" ht="13.5">
      <c r="G1314" s="6"/>
    </row>
    <row r="1315" s="1" customFormat="1" ht="13.5">
      <c r="G1315" s="6"/>
    </row>
    <row r="1316" s="1" customFormat="1" ht="13.5">
      <c r="G1316" s="6"/>
    </row>
    <row r="1317" s="1" customFormat="1" ht="13.5">
      <c r="G1317" s="6"/>
    </row>
    <row r="1318" s="1" customFormat="1" ht="13.5">
      <c r="G1318" s="6"/>
    </row>
    <row r="1319" s="1" customFormat="1" ht="13.5">
      <c r="G1319" s="6"/>
    </row>
    <row r="1320" s="1" customFormat="1" ht="13.5">
      <c r="G1320" s="6"/>
    </row>
    <row r="1321" s="1" customFormat="1" ht="13.5">
      <c r="G1321" s="6"/>
    </row>
    <row r="1322" s="1" customFormat="1" ht="13.5">
      <c r="G1322" s="6"/>
    </row>
    <row r="1323" s="1" customFormat="1" ht="13.5">
      <c r="G1323" s="6"/>
    </row>
    <row r="1324" s="1" customFormat="1" ht="13.5">
      <c r="G1324" s="6"/>
    </row>
    <row r="1325" s="1" customFormat="1" ht="13.5">
      <c r="G1325" s="6"/>
    </row>
    <row r="1326" s="1" customFormat="1" ht="13.5">
      <c r="G1326" s="6"/>
    </row>
    <row r="1327" s="1" customFormat="1" ht="13.5">
      <c r="G1327" s="6"/>
    </row>
    <row r="1328" s="1" customFormat="1" ht="13.5">
      <c r="G1328" s="6"/>
    </row>
    <row r="1329" s="1" customFormat="1" ht="13.5">
      <c r="G1329" s="6"/>
    </row>
    <row r="1330" s="1" customFormat="1" ht="13.5">
      <c r="G1330" s="6"/>
    </row>
    <row r="1331" s="1" customFormat="1" ht="13.5">
      <c r="G1331" s="6"/>
    </row>
    <row r="1332" s="1" customFormat="1" ht="13.5">
      <c r="G1332" s="6"/>
    </row>
    <row r="1333" s="1" customFormat="1" ht="13.5">
      <c r="G1333" s="6"/>
    </row>
    <row r="1334" s="1" customFormat="1" ht="13.5">
      <c r="G1334" s="6"/>
    </row>
    <row r="1335" s="1" customFormat="1" ht="13.5">
      <c r="G1335" s="6"/>
    </row>
    <row r="1336" s="1" customFormat="1" ht="13.5">
      <c r="G1336" s="6"/>
    </row>
    <row r="1337" s="1" customFormat="1" ht="13.5">
      <c r="G1337" s="6"/>
    </row>
    <row r="1338" s="1" customFormat="1" ht="13.5">
      <c r="G1338" s="6"/>
    </row>
    <row r="1339" s="1" customFormat="1" ht="13.5">
      <c r="G1339" s="6"/>
    </row>
    <row r="1340" s="1" customFormat="1" ht="13.5">
      <c r="G1340" s="6"/>
    </row>
    <row r="1341" s="1" customFormat="1" ht="13.5">
      <c r="G1341" s="6"/>
    </row>
    <row r="1342" s="1" customFormat="1" ht="13.5">
      <c r="G1342" s="6"/>
    </row>
    <row r="1343" s="1" customFormat="1" ht="13.5">
      <c r="G1343" s="6"/>
    </row>
    <row r="1344" s="1" customFormat="1" ht="13.5">
      <c r="G1344" s="6"/>
    </row>
    <row r="1345" s="1" customFormat="1" ht="13.5">
      <c r="G1345" s="6"/>
    </row>
    <row r="1346" s="1" customFormat="1" ht="13.5">
      <c r="G1346" s="6"/>
    </row>
    <row r="1347" s="1" customFormat="1" ht="13.5">
      <c r="G1347" s="6"/>
    </row>
    <row r="1348" s="1" customFormat="1" ht="13.5">
      <c r="G1348" s="6"/>
    </row>
    <row r="1349" s="1" customFormat="1" ht="13.5">
      <c r="G1349" s="6"/>
    </row>
    <row r="1350" s="1" customFormat="1" ht="13.5">
      <c r="G1350" s="6"/>
    </row>
    <row r="1351" s="1" customFormat="1" ht="13.5">
      <c r="G1351" s="6"/>
    </row>
    <row r="1352" s="1" customFormat="1" ht="13.5">
      <c r="G1352" s="6"/>
    </row>
    <row r="1353" s="1" customFormat="1" ht="13.5">
      <c r="G1353" s="6"/>
    </row>
    <row r="1354" s="1" customFormat="1" ht="13.5">
      <c r="G1354" s="6"/>
    </row>
    <row r="1355" s="1" customFormat="1" ht="13.5">
      <c r="G1355" s="6"/>
    </row>
    <row r="1356" s="1" customFormat="1" ht="13.5">
      <c r="G1356" s="6"/>
    </row>
    <row r="1357" s="1" customFormat="1" ht="13.5">
      <c r="G1357" s="6"/>
    </row>
    <row r="1358" s="1" customFormat="1" ht="13.5">
      <c r="G1358" s="6"/>
    </row>
    <row r="1359" s="1" customFormat="1" ht="13.5">
      <c r="G1359" s="6"/>
    </row>
    <row r="1360" s="1" customFormat="1" ht="13.5">
      <c r="G1360" s="6"/>
    </row>
    <row r="1361" s="1" customFormat="1" ht="13.5">
      <c r="G1361" s="6"/>
    </row>
    <row r="1362" s="1" customFormat="1" ht="13.5">
      <c r="G1362" s="6"/>
    </row>
    <row r="1363" s="1" customFormat="1" ht="13.5">
      <c r="G1363" s="6"/>
    </row>
    <row r="1364" s="1" customFormat="1" ht="13.5">
      <c r="G1364" s="6"/>
    </row>
    <row r="1365" s="1" customFormat="1" ht="13.5">
      <c r="G1365" s="6"/>
    </row>
    <row r="1366" s="1" customFormat="1" ht="13.5">
      <c r="G1366" s="6"/>
    </row>
    <row r="1367" s="1" customFormat="1" ht="13.5">
      <c r="G1367" s="6"/>
    </row>
    <row r="1368" s="1" customFormat="1" ht="13.5">
      <c r="G1368" s="6"/>
    </row>
    <row r="1369" s="1" customFormat="1" ht="13.5">
      <c r="G1369" s="6"/>
    </row>
    <row r="1370" s="1" customFormat="1" ht="13.5">
      <c r="G1370" s="6"/>
    </row>
    <row r="1371" s="1" customFormat="1" ht="13.5">
      <c r="G1371" s="6"/>
    </row>
    <row r="1372" s="1" customFormat="1" ht="13.5">
      <c r="G1372" s="6"/>
    </row>
    <row r="1373" s="1" customFormat="1" ht="13.5">
      <c r="G1373" s="6"/>
    </row>
    <row r="1374" s="1" customFormat="1" ht="13.5">
      <c r="G1374" s="6"/>
    </row>
    <row r="1375" s="1" customFormat="1" ht="13.5">
      <c r="G1375" s="6"/>
    </row>
    <row r="1376" s="1" customFormat="1" ht="13.5">
      <c r="G1376" s="6"/>
    </row>
    <row r="1377" s="1" customFormat="1" ht="13.5">
      <c r="G1377" s="6"/>
    </row>
    <row r="1378" s="1" customFormat="1" ht="13.5">
      <c r="G1378" s="6"/>
    </row>
    <row r="1379" s="1" customFormat="1" ht="13.5">
      <c r="G1379" s="6"/>
    </row>
    <row r="1380" s="1" customFormat="1" ht="13.5">
      <c r="G1380" s="6"/>
    </row>
    <row r="1381" s="1" customFormat="1" ht="13.5">
      <c r="G1381" s="6"/>
    </row>
    <row r="1382" s="1" customFormat="1" ht="13.5">
      <c r="G1382" s="6"/>
    </row>
    <row r="1383" s="1" customFormat="1" ht="13.5">
      <c r="G1383" s="6"/>
    </row>
    <row r="1384" s="1" customFormat="1" ht="13.5">
      <c r="G1384" s="6"/>
    </row>
    <row r="1385" s="1" customFormat="1" ht="13.5">
      <c r="G1385" s="6"/>
    </row>
    <row r="1386" s="1" customFormat="1" ht="13.5">
      <c r="G1386" s="6"/>
    </row>
    <row r="1387" s="1" customFormat="1" ht="13.5">
      <c r="G1387" s="6"/>
    </row>
    <row r="1388" s="1" customFormat="1" ht="13.5">
      <c r="G1388" s="6"/>
    </row>
    <row r="1389" s="1" customFormat="1" ht="13.5">
      <c r="G1389" s="6"/>
    </row>
    <row r="1390" s="1" customFormat="1" ht="13.5">
      <c r="G1390" s="6"/>
    </row>
    <row r="1391" s="1" customFormat="1" ht="13.5">
      <c r="G1391" s="6"/>
    </row>
    <row r="1392" s="1" customFormat="1" ht="13.5">
      <c r="G1392" s="6"/>
    </row>
    <row r="1393" s="1" customFormat="1" ht="13.5">
      <c r="G1393" s="6"/>
    </row>
    <row r="1394" s="1" customFormat="1" ht="13.5">
      <c r="G1394" s="6"/>
    </row>
    <row r="1395" s="1" customFormat="1" ht="13.5">
      <c r="G1395" s="6"/>
    </row>
    <row r="1396" s="1" customFormat="1" ht="13.5">
      <c r="G1396" s="6"/>
    </row>
    <row r="1397" s="1" customFormat="1" ht="13.5">
      <c r="G1397" s="6"/>
    </row>
    <row r="1398" s="1" customFormat="1" ht="13.5">
      <c r="G1398" s="6"/>
    </row>
    <row r="1399" s="1" customFormat="1" ht="13.5">
      <c r="G1399" s="6"/>
    </row>
    <row r="1400" s="1" customFormat="1" ht="13.5">
      <c r="G1400" s="6"/>
    </row>
    <row r="1401" s="1" customFormat="1" ht="13.5">
      <c r="G1401" s="6"/>
    </row>
    <row r="1402" s="1" customFormat="1" ht="13.5">
      <c r="G1402" s="6"/>
    </row>
    <row r="1403" s="1" customFormat="1" ht="13.5">
      <c r="G1403" s="6"/>
    </row>
    <row r="1404" s="1" customFormat="1" ht="13.5">
      <c r="G1404" s="6"/>
    </row>
    <row r="1405" s="1" customFormat="1" ht="13.5">
      <c r="G1405" s="6"/>
    </row>
    <row r="1406" s="1" customFormat="1" ht="13.5">
      <c r="G1406" s="6"/>
    </row>
    <row r="1407" s="1" customFormat="1" ht="13.5">
      <c r="G1407" s="6"/>
    </row>
    <row r="1408" s="1" customFormat="1" ht="13.5">
      <c r="G1408" s="6"/>
    </row>
    <row r="1409" s="1" customFormat="1" ht="13.5">
      <c r="G1409" s="6"/>
    </row>
    <row r="1410" s="1" customFormat="1" ht="13.5">
      <c r="G1410" s="6"/>
    </row>
    <row r="1411" s="1" customFormat="1" ht="13.5">
      <c r="G1411" s="6"/>
    </row>
    <row r="1412" s="1" customFormat="1" ht="13.5">
      <c r="G1412" s="6"/>
    </row>
    <row r="1413" s="1" customFormat="1" ht="13.5">
      <c r="G1413" s="6"/>
    </row>
    <row r="1414" s="1" customFormat="1" ht="13.5">
      <c r="G1414" s="6"/>
    </row>
    <row r="1415" s="1" customFormat="1" ht="13.5">
      <c r="G1415" s="6"/>
    </row>
    <row r="1416" s="1" customFormat="1" ht="13.5">
      <c r="G1416" s="6"/>
    </row>
    <row r="1417" s="1" customFormat="1" ht="13.5">
      <c r="G1417" s="6"/>
    </row>
    <row r="1418" s="1" customFormat="1" ht="13.5">
      <c r="G1418" s="6"/>
    </row>
    <row r="1419" s="1" customFormat="1" ht="13.5">
      <c r="G1419" s="6"/>
    </row>
    <row r="1420" s="1" customFormat="1" ht="13.5">
      <c r="G1420" s="6"/>
    </row>
    <row r="1421" s="1" customFormat="1" ht="13.5">
      <c r="G1421" s="6"/>
    </row>
    <row r="1422" s="1" customFormat="1" ht="13.5">
      <c r="G1422" s="6"/>
    </row>
    <row r="1423" s="1" customFormat="1" ht="13.5">
      <c r="G1423" s="6"/>
    </row>
    <row r="1424" s="1" customFormat="1" ht="13.5">
      <c r="G1424" s="6"/>
    </row>
    <row r="1425" s="1" customFormat="1" ht="13.5">
      <c r="G1425" s="6"/>
    </row>
    <row r="1426" s="1" customFormat="1" ht="13.5">
      <c r="G1426" s="6"/>
    </row>
    <row r="1427" s="1" customFormat="1" ht="13.5">
      <c r="G1427" s="6"/>
    </row>
    <row r="1428" s="1" customFormat="1" ht="13.5">
      <c r="G1428" s="6"/>
    </row>
    <row r="1429" s="1" customFormat="1" ht="13.5">
      <c r="G1429" s="6"/>
    </row>
    <row r="1430" s="1" customFormat="1" ht="13.5">
      <c r="G1430" s="6"/>
    </row>
    <row r="1431" s="1" customFormat="1" ht="13.5">
      <c r="G1431" s="6"/>
    </row>
    <row r="1432" s="1" customFormat="1" ht="13.5">
      <c r="G1432" s="6"/>
    </row>
    <row r="1433" s="1" customFormat="1" ht="13.5">
      <c r="G1433" s="6"/>
    </row>
    <row r="1434" s="1" customFormat="1" ht="13.5">
      <c r="G1434" s="6"/>
    </row>
    <row r="1435" s="1" customFormat="1" ht="13.5">
      <c r="G1435" s="6"/>
    </row>
    <row r="1436" s="1" customFormat="1" ht="13.5">
      <c r="G1436" s="6"/>
    </row>
    <row r="1437" s="1" customFormat="1" ht="13.5">
      <c r="G1437" s="6"/>
    </row>
    <row r="1438" s="1" customFormat="1" ht="13.5">
      <c r="G1438" s="6"/>
    </row>
    <row r="1439" s="1" customFormat="1" ht="13.5">
      <c r="G1439" s="6"/>
    </row>
    <row r="1440" s="1" customFormat="1" ht="13.5">
      <c r="G1440" s="6"/>
    </row>
    <row r="1441" s="1" customFormat="1" ht="13.5">
      <c r="G1441" s="6"/>
    </row>
    <row r="1442" s="1" customFormat="1" ht="13.5">
      <c r="G1442" s="6"/>
    </row>
    <row r="1443" s="1" customFormat="1" ht="13.5">
      <c r="G1443" s="6"/>
    </row>
    <row r="1444" s="1" customFormat="1" ht="13.5">
      <c r="G1444" s="6"/>
    </row>
    <row r="1445" s="1" customFormat="1" ht="13.5">
      <c r="G1445" s="6"/>
    </row>
    <row r="1446" s="1" customFormat="1" ht="13.5">
      <c r="G1446" s="6"/>
    </row>
    <row r="1447" s="1" customFormat="1" ht="13.5">
      <c r="G1447" s="6"/>
    </row>
    <row r="1448" s="1" customFormat="1" ht="13.5">
      <c r="G1448" s="6"/>
    </row>
    <row r="1449" s="1" customFormat="1" ht="13.5">
      <c r="G1449" s="6"/>
    </row>
    <row r="1450" s="1" customFormat="1" ht="13.5">
      <c r="G1450" s="6"/>
    </row>
    <row r="1451" s="1" customFormat="1" ht="13.5">
      <c r="G1451" s="6"/>
    </row>
    <row r="1452" s="1" customFormat="1" ht="13.5">
      <c r="G1452" s="6"/>
    </row>
    <row r="1453" s="1" customFormat="1" ht="13.5">
      <c r="G1453" s="6"/>
    </row>
    <row r="1454" s="1" customFormat="1" ht="13.5">
      <c r="G1454" s="6"/>
    </row>
    <row r="1455" s="1" customFormat="1" ht="13.5">
      <c r="G1455" s="6"/>
    </row>
    <row r="1456" s="1" customFormat="1" ht="13.5">
      <c r="G1456" s="6"/>
    </row>
    <row r="1457" s="1" customFormat="1" ht="13.5">
      <c r="G1457" s="6"/>
    </row>
    <row r="1458" s="1" customFormat="1" ht="13.5">
      <c r="G1458" s="6"/>
    </row>
    <row r="1459" s="1" customFormat="1" ht="13.5">
      <c r="G1459" s="6"/>
    </row>
    <row r="1460" s="1" customFormat="1" ht="13.5">
      <c r="G1460" s="6"/>
    </row>
    <row r="1461" s="1" customFormat="1" ht="13.5">
      <c r="G1461" s="6"/>
    </row>
    <row r="1462" s="1" customFormat="1" ht="13.5">
      <c r="G1462" s="6"/>
    </row>
    <row r="1463" s="1" customFormat="1" ht="13.5">
      <c r="G1463" s="6"/>
    </row>
    <row r="1464" s="1" customFormat="1" ht="13.5">
      <c r="G1464" s="6"/>
    </row>
    <row r="1465" s="1" customFormat="1" ht="13.5">
      <c r="G1465" s="6"/>
    </row>
    <row r="1466" s="1" customFormat="1" ht="13.5">
      <c r="G1466" s="6"/>
    </row>
    <row r="1467" s="1" customFormat="1" ht="13.5">
      <c r="G1467" s="6"/>
    </row>
    <row r="1468" s="1" customFormat="1" ht="13.5">
      <c r="G1468" s="6"/>
    </row>
    <row r="1469" s="1" customFormat="1" ht="13.5">
      <c r="G1469" s="6"/>
    </row>
    <row r="1470" s="1" customFormat="1" ht="13.5">
      <c r="G1470" s="6"/>
    </row>
    <row r="1471" s="1" customFormat="1" ht="13.5">
      <c r="G1471" s="6"/>
    </row>
    <row r="1472" s="1" customFormat="1" ht="13.5">
      <c r="G1472" s="6"/>
    </row>
    <row r="1473" s="1" customFormat="1" ht="13.5">
      <c r="G1473" s="6"/>
    </row>
    <row r="1474" s="1" customFormat="1" ht="13.5">
      <c r="G1474" s="6"/>
    </row>
    <row r="1475" s="1" customFormat="1" ht="13.5">
      <c r="G1475" s="6"/>
    </row>
    <row r="1476" s="1" customFormat="1" ht="13.5">
      <c r="G1476" s="6"/>
    </row>
    <row r="1477" s="1" customFormat="1" ht="13.5">
      <c r="G1477" s="6"/>
    </row>
    <row r="1478" s="1" customFormat="1" ht="13.5">
      <c r="G1478" s="6"/>
    </row>
    <row r="1479" s="1" customFormat="1" ht="13.5">
      <c r="G1479" s="6"/>
    </row>
    <row r="1480" s="1" customFormat="1" ht="13.5">
      <c r="G1480" s="6"/>
    </row>
    <row r="1481" s="1" customFormat="1" ht="13.5">
      <c r="G1481" s="6"/>
    </row>
    <row r="1482" s="1" customFormat="1" ht="13.5">
      <c r="G1482" s="6"/>
    </row>
    <row r="1483" s="1" customFormat="1" ht="13.5">
      <c r="G1483" s="6"/>
    </row>
    <row r="1484" s="1" customFormat="1" ht="13.5">
      <c r="G1484" s="6"/>
    </row>
    <row r="1485" s="1" customFormat="1" ht="13.5">
      <c r="G1485" s="6"/>
    </row>
    <row r="1486" s="1" customFormat="1" ht="13.5">
      <c r="G1486" s="6"/>
    </row>
    <row r="1487" s="1" customFormat="1" ht="13.5">
      <c r="G1487" s="6"/>
    </row>
    <row r="1488" s="1" customFormat="1" ht="13.5">
      <c r="G1488" s="6"/>
    </row>
    <row r="1489" s="1" customFormat="1" ht="13.5">
      <c r="G1489" s="6"/>
    </row>
    <row r="1490" s="1" customFormat="1" ht="13.5">
      <c r="G1490" s="6"/>
    </row>
    <row r="1491" s="1" customFormat="1" ht="13.5">
      <c r="G1491" s="6"/>
    </row>
    <row r="1492" s="1" customFormat="1" ht="13.5">
      <c r="G1492" s="6"/>
    </row>
    <row r="1493" s="1" customFormat="1" ht="13.5">
      <c r="G1493" s="6"/>
    </row>
    <row r="1494" s="1" customFormat="1" ht="13.5">
      <c r="G1494" s="6"/>
    </row>
    <row r="1495" s="1" customFormat="1" ht="13.5">
      <c r="G1495" s="6"/>
    </row>
    <row r="1496" s="1" customFormat="1" ht="13.5">
      <c r="G1496" s="6"/>
    </row>
    <row r="1497" s="1" customFormat="1" ht="13.5">
      <c r="G1497" s="6"/>
    </row>
    <row r="1498" s="1" customFormat="1" ht="13.5">
      <c r="G1498" s="6"/>
    </row>
    <row r="1499" s="1" customFormat="1" ht="13.5">
      <c r="G1499" s="6"/>
    </row>
    <row r="1500" s="1" customFormat="1" ht="13.5">
      <c r="G1500" s="6"/>
    </row>
    <row r="1501" s="1" customFormat="1" ht="13.5">
      <c r="G1501" s="6"/>
    </row>
    <row r="1502" s="1" customFormat="1" ht="13.5">
      <c r="G1502" s="6"/>
    </row>
    <row r="1503" s="1" customFormat="1" ht="13.5">
      <c r="G1503" s="6"/>
    </row>
    <row r="1504" s="1" customFormat="1" ht="13.5">
      <c r="G1504" s="6"/>
    </row>
    <row r="1505" s="1" customFormat="1" ht="13.5">
      <c r="G1505" s="6"/>
    </row>
    <row r="1506" s="1" customFormat="1" ht="13.5">
      <c r="G1506" s="6"/>
    </row>
    <row r="1507" s="1" customFormat="1" ht="13.5">
      <c r="G1507" s="6"/>
    </row>
    <row r="1508" s="1" customFormat="1" ht="13.5">
      <c r="G1508" s="6"/>
    </row>
    <row r="1509" s="1" customFormat="1" ht="13.5">
      <c r="G1509" s="6"/>
    </row>
    <row r="1510" s="1" customFormat="1" ht="13.5">
      <c r="G1510" s="6"/>
    </row>
    <row r="1511" s="1" customFormat="1" ht="13.5">
      <c r="G1511" s="6"/>
    </row>
    <row r="1512" s="1" customFormat="1" ht="13.5">
      <c r="G1512" s="6"/>
    </row>
    <row r="1513" s="1" customFormat="1" ht="13.5">
      <c r="G1513" s="6"/>
    </row>
    <row r="1514" s="1" customFormat="1" ht="13.5">
      <c r="G1514" s="6"/>
    </row>
    <row r="1515" s="1" customFormat="1" ht="13.5">
      <c r="G1515" s="6"/>
    </row>
    <row r="1516" s="1" customFormat="1" ht="13.5">
      <c r="G1516" s="6"/>
    </row>
    <row r="1517" s="1" customFormat="1" ht="13.5">
      <c r="G1517" s="6"/>
    </row>
    <row r="1518" s="1" customFormat="1" ht="13.5">
      <c r="G1518" s="6"/>
    </row>
    <row r="1519" s="1" customFormat="1" ht="13.5">
      <c r="G1519" s="6"/>
    </row>
    <row r="1520" s="1" customFormat="1" ht="13.5">
      <c r="G1520" s="6"/>
    </row>
    <row r="1521" s="1" customFormat="1" ht="13.5">
      <c r="G1521" s="6"/>
    </row>
    <row r="1522" s="1" customFormat="1" ht="13.5">
      <c r="G1522" s="6"/>
    </row>
    <row r="1523" s="1" customFormat="1" ht="13.5">
      <c r="G1523" s="6"/>
    </row>
    <row r="1524" s="1" customFormat="1" ht="13.5">
      <c r="G1524" s="6"/>
    </row>
    <row r="1525" s="1" customFormat="1" ht="13.5">
      <c r="G1525" s="6"/>
    </row>
    <row r="1526" s="1" customFormat="1" ht="13.5">
      <c r="G1526" s="6"/>
    </row>
    <row r="1527" s="1" customFormat="1" ht="13.5">
      <c r="G1527" s="6"/>
    </row>
    <row r="1528" s="1" customFormat="1" ht="13.5">
      <c r="G1528" s="6"/>
    </row>
    <row r="1529" s="1" customFormat="1" ht="13.5">
      <c r="G1529" s="6"/>
    </row>
    <row r="1530" s="1" customFormat="1" ht="13.5">
      <c r="G1530" s="6"/>
    </row>
    <row r="1531" s="1" customFormat="1" ht="13.5">
      <c r="G1531" s="6"/>
    </row>
    <row r="1532" s="1" customFormat="1" ht="13.5">
      <c r="G1532" s="6"/>
    </row>
    <row r="1533" s="1" customFormat="1" ht="13.5">
      <c r="G1533" s="6"/>
    </row>
    <row r="1534" s="1" customFormat="1" ht="13.5">
      <c r="G1534" s="6"/>
    </row>
    <row r="1535" s="1" customFormat="1" ht="13.5">
      <c r="G1535" s="6"/>
    </row>
    <row r="1536" s="1" customFormat="1" ht="13.5">
      <c r="G1536" s="6"/>
    </row>
    <row r="1537" s="1" customFormat="1" ht="13.5">
      <c r="G1537" s="6"/>
    </row>
    <row r="1538" s="1" customFormat="1" ht="13.5">
      <c r="G1538" s="6"/>
    </row>
    <row r="1539" s="1" customFormat="1" ht="13.5">
      <c r="G1539" s="6"/>
    </row>
    <row r="1540" s="1" customFormat="1" ht="13.5">
      <c r="G1540" s="6"/>
    </row>
    <row r="1541" s="1" customFormat="1" ht="13.5">
      <c r="G1541" s="6"/>
    </row>
    <row r="1542" s="1" customFormat="1" ht="13.5">
      <c r="G1542" s="6"/>
    </row>
    <row r="1543" s="1" customFormat="1" ht="13.5">
      <c r="G1543" s="6"/>
    </row>
    <row r="1544" s="1" customFormat="1" ht="13.5">
      <c r="G1544" s="6"/>
    </row>
    <row r="1545" s="1" customFormat="1" ht="13.5">
      <c r="G1545" s="6"/>
    </row>
    <row r="1546" s="1" customFormat="1" ht="13.5">
      <c r="G1546" s="6"/>
    </row>
    <row r="1547" s="1" customFormat="1" ht="13.5">
      <c r="G1547" s="6"/>
    </row>
    <row r="1548" s="1" customFormat="1" ht="13.5">
      <c r="G1548" s="6"/>
    </row>
    <row r="1549" s="1" customFormat="1" ht="13.5">
      <c r="G1549" s="6"/>
    </row>
    <row r="1550" s="1" customFormat="1" ht="13.5">
      <c r="G1550" s="6"/>
    </row>
    <row r="1551" s="1" customFormat="1" ht="13.5">
      <c r="G1551" s="6"/>
    </row>
    <row r="1552" s="1" customFormat="1" ht="13.5">
      <c r="G1552" s="6"/>
    </row>
    <row r="1553" s="1" customFormat="1" ht="13.5">
      <c r="G1553" s="6"/>
    </row>
    <row r="1554" s="1" customFormat="1" ht="13.5">
      <c r="G1554" s="6"/>
    </row>
    <row r="1555" s="1" customFormat="1" ht="13.5">
      <c r="G1555" s="6"/>
    </row>
    <row r="1556" s="1" customFormat="1" ht="13.5">
      <c r="G1556" s="6"/>
    </row>
    <row r="1557" s="1" customFormat="1" ht="13.5">
      <c r="G1557" s="6"/>
    </row>
    <row r="1558" s="1" customFormat="1" ht="13.5">
      <c r="G1558" s="6"/>
    </row>
    <row r="1559" s="1" customFormat="1" ht="13.5">
      <c r="G1559" s="6"/>
    </row>
    <row r="1560" s="1" customFormat="1" ht="13.5">
      <c r="G1560" s="6"/>
    </row>
    <row r="1561" s="1" customFormat="1" ht="13.5">
      <c r="G1561" s="6"/>
    </row>
    <row r="1562" s="1" customFormat="1" ht="13.5">
      <c r="G1562" s="6"/>
    </row>
    <row r="1563" s="1" customFormat="1" ht="13.5">
      <c r="G1563" s="6"/>
    </row>
    <row r="1564" s="1" customFormat="1" ht="13.5">
      <c r="G1564" s="6"/>
    </row>
    <row r="1565" s="1" customFormat="1" ht="13.5">
      <c r="G1565" s="6"/>
    </row>
    <row r="1566" s="1" customFormat="1" ht="13.5">
      <c r="G1566" s="6"/>
    </row>
    <row r="1567" s="1" customFormat="1" ht="13.5">
      <c r="G1567" s="6"/>
    </row>
    <row r="1568" s="1" customFormat="1" ht="13.5">
      <c r="G1568" s="6"/>
    </row>
    <row r="1569" s="1" customFormat="1" ht="13.5">
      <c r="G1569" s="6"/>
    </row>
    <row r="1570" s="1" customFormat="1" ht="13.5">
      <c r="G1570" s="6"/>
    </row>
    <row r="1571" s="1" customFormat="1" ht="13.5">
      <c r="G1571" s="6"/>
    </row>
    <row r="1572" s="1" customFormat="1" ht="13.5">
      <c r="G1572" s="6"/>
    </row>
    <row r="1573" s="1" customFormat="1" ht="13.5">
      <c r="G1573" s="6"/>
    </row>
    <row r="1574" s="1" customFormat="1" ht="13.5">
      <c r="G1574" s="6"/>
    </row>
    <row r="1575" s="1" customFormat="1" ht="13.5">
      <c r="G1575" s="6"/>
    </row>
    <row r="1576" s="1" customFormat="1" ht="13.5">
      <c r="G1576" s="6"/>
    </row>
    <row r="1577" s="1" customFormat="1" ht="13.5">
      <c r="G1577" s="6"/>
    </row>
    <row r="1578" s="1" customFormat="1" ht="13.5">
      <c r="G1578" s="6"/>
    </row>
    <row r="1579" s="1" customFormat="1" ht="13.5">
      <c r="G1579" s="6"/>
    </row>
    <row r="1580" s="1" customFormat="1" ht="13.5">
      <c r="G1580" s="6"/>
    </row>
    <row r="1581" s="1" customFormat="1" ht="13.5">
      <c r="G1581" s="6"/>
    </row>
    <row r="1582" s="1" customFormat="1" ht="13.5">
      <c r="G1582" s="6"/>
    </row>
    <row r="1583" s="1" customFormat="1" ht="13.5">
      <c r="G1583" s="6"/>
    </row>
    <row r="1584" s="1" customFormat="1" ht="13.5">
      <c r="G1584" s="6"/>
    </row>
    <row r="1585" s="1" customFormat="1" ht="13.5">
      <c r="G1585" s="6"/>
    </row>
    <row r="1586" s="1" customFormat="1" ht="13.5">
      <c r="G1586" s="6"/>
    </row>
    <row r="1587" s="1" customFormat="1" ht="13.5">
      <c r="G1587" s="6"/>
    </row>
    <row r="1588" s="1" customFormat="1" ht="13.5">
      <c r="G1588" s="6"/>
    </row>
    <row r="1589" s="1" customFormat="1" ht="13.5">
      <c r="G1589" s="6"/>
    </row>
    <row r="1590" s="1" customFormat="1" ht="13.5">
      <c r="G1590" s="6"/>
    </row>
    <row r="1591" s="1" customFormat="1" ht="13.5">
      <c r="G1591" s="6"/>
    </row>
    <row r="1592" s="1" customFormat="1" ht="13.5">
      <c r="G1592" s="6"/>
    </row>
    <row r="1593" s="1" customFormat="1" ht="13.5">
      <c r="G1593" s="6"/>
    </row>
    <row r="1594" s="1" customFormat="1" ht="13.5">
      <c r="G1594" s="6"/>
    </row>
    <row r="1595" s="1" customFormat="1" ht="13.5">
      <c r="G1595" s="6"/>
    </row>
    <row r="1596" s="1" customFormat="1" ht="13.5">
      <c r="G1596" s="6"/>
    </row>
    <row r="1597" s="1" customFormat="1" ht="13.5">
      <c r="G1597" s="6"/>
    </row>
    <row r="1598" s="1" customFormat="1" ht="13.5">
      <c r="G1598" s="6"/>
    </row>
    <row r="1599" s="1" customFormat="1" ht="13.5">
      <c r="G1599" s="6"/>
    </row>
    <row r="1600" s="1" customFormat="1" ht="13.5">
      <c r="G1600" s="6"/>
    </row>
    <row r="1601" s="1" customFormat="1" ht="13.5">
      <c r="G1601" s="6"/>
    </row>
    <row r="1602" s="1" customFormat="1" ht="13.5">
      <c r="G1602" s="6"/>
    </row>
    <row r="1603" s="1" customFormat="1" ht="13.5">
      <c r="G1603" s="6"/>
    </row>
    <row r="1604" s="1" customFormat="1" ht="13.5">
      <c r="G1604" s="6"/>
    </row>
    <row r="1605" s="1" customFormat="1" ht="13.5">
      <c r="G1605" s="6"/>
    </row>
    <row r="1606" s="1" customFormat="1" ht="13.5">
      <c r="G1606" s="6"/>
    </row>
    <row r="1607" s="1" customFormat="1" ht="13.5">
      <c r="G1607" s="6"/>
    </row>
    <row r="1608" s="1" customFormat="1" ht="13.5">
      <c r="G1608" s="6"/>
    </row>
    <row r="1609" s="1" customFormat="1" ht="13.5">
      <c r="G1609" s="6"/>
    </row>
    <row r="1610" s="1" customFormat="1" ht="13.5">
      <c r="G1610" s="6"/>
    </row>
    <row r="1611" s="1" customFormat="1" ht="13.5">
      <c r="G1611" s="6"/>
    </row>
    <row r="1612" s="1" customFormat="1" ht="13.5">
      <c r="G1612" s="6"/>
    </row>
    <row r="1613" s="1" customFormat="1" ht="13.5">
      <c r="G1613" s="6"/>
    </row>
    <row r="1614" s="1" customFormat="1" ht="13.5">
      <c r="G1614" s="6"/>
    </row>
    <row r="1615" s="1" customFormat="1" ht="13.5">
      <c r="G1615" s="6"/>
    </row>
    <row r="1616" s="1" customFormat="1" ht="13.5">
      <c r="G1616" s="6"/>
    </row>
    <row r="1617" s="1" customFormat="1" ht="13.5">
      <c r="G1617" s="6"/>
    </row>
    <row r="1618" s="1" customFormat="1" ht="13.5">
      <c r="G1618" s="6"/>
    </row>
    <row r="1619" s="1" customFormat="1" ht="13.5">
      <c r="G1619" s="6"/>
    </row>
    <row r="1620" s="1" customFormat="1" ht="13.5">
      <c r="G1620" s="6"/>
    </row>
    <row r="1621" s="1" customFormat="1" ht="13.5">
      <c r="G1621" s="6"/>
    </row>
    <row r="1622" s="1" customFormat="1" ht="13.5">
      <c r="G1622" s="6"/>
    </row>
    <row r="1623" s="1" customFormat="1" ht="13.5">
      <c r="G1623" s="6"/>
    </row>
    <row r="1624" s="1" customFormat="1" ht="13.5">
      <c r="G1624" s="6"/>
    </row>
    <row r="1625" s="1" customFormat="1" ht="13.5">
      <c r="G1625" s="6"/>
    </row>
    <row r="1626" s="1" customFormat="1" ht="13.5">
      <c r="G1626" s="6"/>
    </row>
    <row r="1627" s="1" customFormat="1" ht="13.5">
      <c r="G1627" s="6"/>
    </row>
    <row r="1628" s="1" customFormat="1" ht="13.5">
      <c r="G1628" s="6"/>
    </row>
    <row r="1629" s="1" customFormat="1" ht="13.5">
      <c r="G1629" s="6"/>
    </row>
    <row r="1630" s="1" customFormat="1" ht="13.5">
      <c r="G1630" s="6"/>
    </row>
    <row r="1631" s="1" customFormat="1" ht="13.5">
      <c r="G1631" s="6"/>
    </row>
    <row r="1632" s="1" customFormat="1" ht="13.5">
      <c r="G1632" s="6"/>
    </row>
    <row r="1633" s="1" customFormat="1" ht="13.5">
      <c r="G1633" s="6"/>
    </row>
    <row r="1634" s="1" customFormat="1" ht="13.5">
      <c r="G1634" s="6"/>
    </row>
    <row r="1635" s="1" customFormat="1" ht="13.5">
      <c r="G1635" s="6"/>
    </row>
    <row r="1636" s="1" customFormat="1" ht="13.5">
      <c r="G1636" s="6"/>
    </row>
    <row r="1637" s="1" customFormat="1" ht="13.5">
      <c r="G1637" s="6"/>
    </row>
    <row r="1638" s="1" customFormat="1" ht="13.5">
      <c r="G1638" s="6"/>
    </row>
    <row r="1639" s="1" customFormat="1" ht="13.5">
      <c r="G1639" s="6"/>
    </row>
    <row r="1640" s="1" customFormat="1" ht="13.5">
      <c r="G1640" s="6"/>
    </row>
    <row r="1641" s="1" customFormat="1" ht="13.5">
      <c r="G1641" s="6"/>
    </row>
    <row r="1642" s="1" customFormat="1" ht="13.5">
      <c r="G1642" s="6"/>
    </row>
    <row r="1643" s="1" customFormat="1" ht="13.5">
      <c r="G1643" s="6"/>
    </row>
    <row r="1644" s="1" customFormat="1" ht="13.5">
      <c r="G1644" s="6"/>
    </row>
    <row r="1645" s="1" customFormat="1" ht="13.5">
      <c r="G1645" s="6"/>
    </row>
    <row r="1646" s="1" customFormat="1" ht="13.5">
      <c r="G1646" s="6"/>
    </row>
    <row r="1647" s="1" customFormat="1" ht="13.5">
      <c r="G1647" s="6"/>
    </row>
    <row r="1648" s="1" customFormat="1" ht="13.5">
      <c r="G1648" s="6"/>
    </row>
    <row r="1649" s="1" customFormat="1" ht="13.5">
      <c r="G1649" s="6"/>
    </row>
    <row r="1650" s="1" customFormat="1" ht="13.5">
      <c r="G1650" s="6"/>
    </row>
    <row r="1651" s="1" customFormat="1" ht="13.5">
      <c r="G1651" s="6"/>
    </row>
    <row r="1652" s="1" customFormat="1" ht="13.5">
      <c r="G1652" s="6"/>
    </row>
    <row r="1653" s="1" customFormat="1" ht="13.5">
      <c r="G1653" s="6"/>
    </row>
    <row r="1654" s="1" customFormat="1" ht="13.5">
      <c r="G1654" s="6"/>
    </row>
    <row r="1655" s="1" customFormat="1" ht="13.5">
      <c r="G1655" s="6"/>
    </row>
    <row r="1656" s="1" customFormat="1" ht="13.5">
      <c r="G1656" s="6"/>
    </row>
    <row r="1657" s="1" customFormat="1" ht="13.5">
      <c r="G1657" s="6"/>
    </row>
    <row r="1658" s="1" customFormat="1" ht="13.5">
      <c r="G1658" s="6"/>
    </row>
    <row r="1659" s="1" customFormat="1" ht="13.5">
      <c r="G1659" s="6"/>
    </row>
    <row r="1660" s="1" customFormat="1" ht="13.5">
      <c r="G1660" s="6"/>
    </row>
    <row r="1661" s="1" customFormat="1" ht="13.5">
      <c r="G1661" s="6"/>
    </row>
    <row r="1662" s="1" customFormat="1" ht="13.5">
      <c r="G1662" s="6"/>
    </row>
    <row r="1663" s="1" customFormat="1" ht="13.5">
      <c r="G1663" s="6"/>
    </row>
    <row r="1664" s="1" customFormat="1" ht="13.5">
      <c r="G1664" s="6"/>
    </row>
    <row r="1665" s="1" customFormat="1" ht="13.5">
      <c r="G1665" s="6"/>
    </row>
    <row r="1666" s="1" customFormat="1" ht="13.5">
      <c r="G1666" s="6"/>
    </row>
    <row r="1667" s="1" customFormat="1" ht="13.5">
      <c r="G1667" s="6"/>
    </row>
    <row r="1668" s="1" customFormat="1" ht="13.5">
      <c r="G1668" s="6"/>
    </row>
    <row r="1669" s="1" customFormat="1" ht="13.5">
      <c r="G1669" s="6"/>
    </row>
    <row r="1670" s="1" customFormat="1" ht="13.5">
      <c r="G1670" s="6"/>
    </row>
    <row r="1671" s="1" customFormat="1" ht="13.5">
      <c r="G1671" s="6"/>
    </row>
    <row r="1672" s="1" customFormat="1" ht="13.5">
      <c r="G1672" s="6"/>
    </row>
    <row r="1673" s="1" customFormat="1" ht="13.5">
      <c r="G1673" s="6"/>
    </row>
    <row r="1674" s="1" customFormat="1" ht="13.5">
      <c r="G1674" s="6"/>
    </row>
    <row r="1675" s="1" customFormat="1" ht="13.5">
      <c r="G1675" s="6"/>
    </row>
    <row r="1676" s="1" customFormat="1" ht="13.5">
      <c r="G1676" s="6"/>
    </row>
    <row r="1677" s="1" customFormat="1" ht="13.5">
      <c r="G1677" s="6"/>
    </row>
    <row r="1678" s="1" customFormat="1" ht="13.5">
      <c r="G1678" s="6"/>
    </row>
    <row r="1679" s="1" customFormat="1" ht="13.5">
      <c r="G1679" s="6"/>
    </row>
    <row r="1680" s="1" customFormat="1" ht="13.5">
      <c r="G1680" s="6"/>
    </row>
    <row r="1681" s="1" customFormat="1" ht="13.5">
      <c r="G1681" s="6"/>
    </row>
    <row r="1682" s="1" customFormat="1" ht="13.5">
      <c r="G1682" s="6"/>
    </row>
    <row r="1683" s="1" customFormat="1" ht="13.5">
      <c r="G1683" s="6"/>
    </row>
    <row r="1684" s="1" customFormat="1" ht="13.5">
      <c r="G1684" s="6"/>
    </row>
    <row r="1685" s="1" customFormat="1" ht="13.5">
      <c r="G1685" s="6"/>
    </row>
    <row r="1686" s="1" customFormat="1" ht="13.5">
      <c r="G1686" s="6"/>
    </row>
    <row r="1687" s="1" customFormat="1" ht="13.5">
      <c r="G1687" s="6"/>
    </row>
    <row r="1688" s="1" customFormat="1" ht="13.5">
      <c r="G1688" s="6"/>
    </row>
    <row r="1689" s="1" customFormat="1" ht="13.5">
      <c r="G1689" s="6"/>
    </row>
    <row r="1690" s="1" customFormat="1" ht="13.5">
      <c r="G1690" s="6"/>
    </row>
    <row r="1691" s="1" customFormat="1" ht="13.5">
      <c r="G1691" s="6"/>
    </row>
    <row r="1692" s="1" customFormat="1" ht="13.5">
      <c r="G1692" s="6"/>
    </row>
    <row r="1693" s="1" customFormat="1" ht="13.5">
      <c r="G1693" s="6"/>
    </row>
    <row r="1694" s="1" customFormat="1" ht="13.5">
      <c r="G1694" s="6"/>
    </row>
    <row r="1695" s="1" customFormat="1" ht="13.5">
      <c r="G1695" s="6"/>
    </row>
    <row r="1696" s="1" customFormat="1" ht="13.5">
      <c r="G1696" s="6"/>
    </row>
    <row r="1697" s="1" customFormat="1" ht="13.5">
      <c r="G1697" s="6"/>
    </row>
    <row r="1698" s="1" customFormat="1" ht="13.5">
      <c r="G1698" s="6"/>
    </row>
    <row r="1699" s="1" customFormat="1" ht="13.5">
      <c r="G1699" s="6"/>
    </row>
    <row r="1700" s="1" customFormat="1" ht="13.5">
      <c r="G1700" s="6"/>
    </row>
    <row r="1701" s="1" customFormat="1" ht="13.5">
      <c r="G1701" s="6"/>
    </row>
    <row r="1702" s="1" customFormat="1" ht="13.5">
      <c r="G1702" s="6"/>
    </row>
    <row r="1703" s="1" customFormat="1" ht="13.5">
      <c r="G1703" s="6"/>
    </row>
    <row r="1704" s="1" customFormat="1" ht="13.5">
      <c r="G1704" s="6"/>
    </row>
    <row r="1705" s="1" customFormat="1" ht="13.5">
      <c r="G1705" s="6"/>
    </row>
    <row r="1706" s="1" customFormat="1" ht="13.5">
      <c r="G1706" s="6"/>
    </row>
    <row r="1707" s="1" customFormat="1" ht="13.5">
      <c r="G1707" s="6"/>
    </row>
    <row r="1708" s="1" customFormat="1" ht="13.5">
      <c r="G1708" s="6"/>
    </row>
    <row r="1709" s="1" customFormat="1" ht="13.5">
      <c r="G1709" s="6"/>
    </row>
    <row r="1710" s="1" customFormat="1" ht="13.5">
      <c r="G1710" s="6"/>
    </row>
    <row r="1711" s="1" customFormat="1" ht="13.5">
      <c r="G1711" s="6"/>
    </row>
    <row r="1712" s="1" customFormat="1" ht="13.5">
      <c r="G1712" s="6"/>
    </row>
    <row r="1713" s="1" customFormat="1" ht="13.5">
      <c r="G1713" s="6"/>
    </row>
    <row r="1714" s="1" customFormat="1" ht="13.5">
      <c r="G1714" s="6"/>
    </row>
    <row r="1715" s="1" customFormat="1" ht="13.5">
      <c r="G1715" s="6"/>
    </row>
    <row r="1716" s="1" customFormat="1" ht="13.5">
      <c r="G1716" s="6"/>
    </row>
    <row r="1717" s="1" customFormat="1" ht="13.5">
      <c r="G1717" s="6"/>
    </row>
    <row r="1718" s="1" customFormat="1" ht="13.5">
      <c r="G1718" s="6"/>
    </row>
    <row r="1719" s="1" customFormat="1" ht="13.5">
      <c r="G1719" s="6"/>
    </row>
    <row r="1720" s="1" customFormat="1" ht="13.5">
      <c r="G1720" s="6"/>
    </row>
    <row r="1721" s="1" customFormat="1" ht="13.5">
      <c r="G1721" s="6"/>
    </row>
    <row r="1722" s="1" customFormat="1" ht="13.5">
      <c r="G1722" s="6"/>
    </row>
    <row r="1723" s="1" customFormat="1" ht="13.5">
      <c r="G1723" s="6"/>
    </row>
    <row r="1724" s="1" customFormat="1" ht="13.5">
      <c r="G1724" s="6"/>
    </row>
    <row r="1725" s="1" customFormat="1" ht="13.5">
      <c r="G1725" s="6"/>
    </row>
    <row r="1726" s="1" customFormat="1" ht="13.5">
      <c r="G1726" s="6"/>
    </row>
    <row r="1727" s="1" customFormat="1" ht="13.5">
      <c r="G1727" s="6"/>
    </row>
    <row r="1728" s="1" customFormat="1" ht="13.5">
      <c r="G1728" s="6"/>
    </row>
    <row r="1729" s="1" customFormat="1" ht="13.5">
      <c r="G1729" s="6"/>
    </row>
    <row r="1730" s="1" customFormat="1" ht="13.5">
      <c r="G1730" s="6"/>
    </row>
    <row r="1731" s="1" customFormat="1" ht="13.5">
      <c r="G1731" s="6"/>
    </row>
    <row r="1732" s="1" customFormat="1" ht="13.5">
      <c r="G1732" s="6"/>
    </row>
    <row r="1733" s="1" customFormat="1" ht="13.5">
      <c r="G1733" s="6"/>
    </row>
    <row r="1734" s="1" customFormat="1" ht="13.5">
      <c r="G1734" s="6"/>
    </row>
    <row r="1735" s="1" customFormat="1" ht="13.5">
      <c r="G1735" s="6"/>
    </row>
    <row r="1736" s="1" customFormat="1" ht="13.5">
      <c r="G1736" s="6"/>
    </row>
    <row r="1737" s="1" customFormat="1" ht="13.5">
      <c r="G1737" s="6"/>
    </row>
    <row r="1738" s="1" customFormat="1" ht="13.5">
      <c r="G1738" s="6"/>
    </row>
    <row r="1739" s="1" customFormat="1" ht="13.5">
      <c r="G1739" s="6"/>
    </row>
    <row r="1740" s="1" customFormat="1" ht="13.5">
      <c r="G1740" s="6"/>
    </row>
    <row r="1741" s="1" customFormat="1" ht="13.5">
      <c r="G1741" s="6"/>
    </row>
    <row r="1742" s="1" customFormat="1" ht="13.5">
      <c r="G1742" s="6"/>
    </row>
    <row r="1743" s="1" customFormat="1" ht="13.5">
      <c r="G1743" s="6"/>
    </row>
    <row r="1744" s="1" customFormat="1" ht="13.5">
      <c r="G1744" s="6"/>
    </row>
    <row r="1745" s="1" customFormat="1" ht="13.5">
      <c r="G1745" s="6"/>
    </row>
    <row r="1746" s="1" customFormat="1" ht="13.5">
      <c r="G1746" s="6"/>
    </row>
    <row r="1747" s="1" customFormat="1" ht="13.5">
      <c r="G1747" s="6"/>
    </row>
    <row r="1748" s="1" customFormat="1" ht="13.5">
      <c r="G1748" s="6"/>
    </row>
    <row r="1749" s="1" customFormat="1" ht="13.5">
      <c r="G1749" s="6"/>
    </row>
    <row r="1750" s="1" customFormat="1" ht="13.5">
      <c r="G1750" s="6"/>
    </row>
    <row r="1751" s="1" customFormat="1" ht="13.5">
      <c r="G1751" s="6"/>
    </row>
    <row r="1752" s="1" customFormat="1" ht="13.5">
      <c r="G1752" s="6"/>
    </row>
    <row r="1753" s="1" customFormat="1" ht="13.5">
      <c r="G1753" s="6"/>
    </row>
    <row r="1754" s="1" customFormat="1" ht="13.5">
      <c r="G1754" s="6"/>
    </row>
    <row r="1755" s="1" customFormat="1" ht="13.5">
      <c r="G1755" s="6"/>
    </row>
    <row r="1756" s="1" customFormat="1" ht="13.5">
      <c r="G1756" s="6"/>
    </row>
    <row r="1757" s="1" customFormat="1" ht="13.5">
      <c r="G1757" s="6"/>
    </row>
    <row r="1758" s="1" customFormat="1" ht="13.5">
      <c r="G1758" s="6"/>
    </row>
    <row r="1759" s="1" customFormat="1" ht="13.5">
      <c r="G1759" s="6"/>
    </row>
    <row r="1760" s="1" customFormat="1" ht="13.5">
      <c r="G1760" s="6"/>
    </row>
    <row r="1761" s="1" customFormat="1" ht="13.5">
      <c r="G1761" s="6"/>
    </row>
    <row r="1762" s="1" customFormat="1" ht="13.5">
      <c r="G1762" s="6"/>
    </row>
    <row r="1763" s="1" customFormat="1" ht="13.5">
      <c r="G1763" s="6"/>
    </row>
    <row r="1764" s="1" customFormat="1" ht="13.5">
      <c r="G1764" s="6"/>
    </row>
    <row r="1765" s="1" customFormat="1" ht="13.5">
      <c r="G1765" s="6"/>
    </row>
    <row r="1766" s="1" customFormat="1" ht="13.5">
      <c r="G1766" s="6"/>
    </row>
    <row r="1767" s="1" customFormat="1" ht="13.5">
      <c r="G1767" s="6"/>
    </row>
    <row r="1768" s="1" customFormat="1" ht="13.5">
      <c r="G1768" s="6"/>
    </row>
    <row r="1769" s="1" customFormat="1" ht="13.5">
      <c r="G1769" s="6"/>
    </row>
    <row r="1770" s="1" customFormat="1" ht="13.5">
      <c r="G1770" s="6"/>
    </row>
    <row r="1771" s="1" customFormat="1" ht="13.5">
      <c r="G1771" s="6"/>
    </row>
    <row r="1772" s="1" customFormat="1" ht="13.5">
      <c r="G1772" s="6"/>
    </row>
    <row r="1773" s="1" customFormat="1" ht="13.5">
      <c r="G1773" s="6"/>
    </row>
    <row r="1774" s="1" customFormat="1" ht="13.5">
      <c r="G1774" s="6"/>
    </row>
    <row r="1775" s="1" customFormat="1" ht="13.5">
      <c r="G1775" s="6"/>
    </row>
    <row r="1776" s="1" customFormat="1" ht="13.5">
      <c r="G1776" s="6"/>
    </row>
    <row r="1777" s="1" customFormat="1" ht="13.5">
      <c r="G1777" s="6"/>
    </row>
    <row r="1778" s="1" customFormat="1" ht="13.5">
      <c r="G1778" s="6"/>
    </row>
    <row r="1779" s="1" customFormat="1" ht="13.5">
      <c r="G1779" s="6"/>
    </row>
    <row r="1780" s="1" customFormat="1" ht="13.5">
      <c r="G1780" s="6"/>
    </row>
    <row r="1781" s="1" customFormat="1" ht="13.5">
      <c r="G1781" s="6"/>
    </row>
    <row r="1782" s="1" customFormat="1" ht="13.5">
      <c r="G1782" s="6"/>
    </row>
    <row r="1783" s="1" customFormat="1" ht="13.5">
      <c r="G1783" s="6"/>
    </row>
    <row r="1784" s="1" customFormat="1" ht="13.5">
      <c r="G1784" s="6"/>
    </row>
    <row r="1785" s="1" customFormat="1" ht="13.5">
      <c r="G1785" s="6"/>
    </row>
    <row r="1786" s="1" customFormat="1" ht="13.5">
      <c r="G1786" s="6"/>
    </row>
    <row r="1787" s="1" customFormat="1" ht="13.5">
      <c r="G1787" s="6"/>
    </row>
    <row r="1788" s="1" customFormat="1" ht="13.5">
      <c r="G1788" s="6"/>
    </row>
    <row r="1789" s="1" customFormat="1" ht="13.5">
      <c r="G1789" s="6"/>
    </row>
    <row r="1790" s="1" customFormat="1" ht="13.5">
      <c r="G1790" s="6"/>
    </row>
    <row r="1791" s="1" customFormat="1" ht="13.5">
      <c r="G1791" s="6"/>
    </row>
    <row r="1792" s="1" customFormat="1" ht="13.5">
      <c r="G1792" s="6"/>
    </row>
    <row r="1793" s="1" customFormat="1" ht="13.5">
      <c r="G1793" s="6"/>
    </row>
    <row r="1794" s="1" customFormat="1" ht="13.5">
      <c r="G1794" s="6"/>
    </row>
    <row r="1795" s="1" customFormat="1" ht="13.5">
      <c r="G1795" s="6"/>
    </row>
    <row r="1796" s="1" customFormat="1" ht="13.5">
      <c r="G1796" s="6"/>
    </row>
    <row r="1797" s="1" customFormat="1" ht="13.5">
      <c r="G1797" s="6"/>
    </row>
    <row r="1798" s="1" customFormat="1" ht="13.5">
      <c r="G1798" s="6"/>
    </row>
    <row r="1799" s="1" customFormat="1" ht="13.5">
      <c r="G1799" s="6"/>
    </row>
    <row r="1800" s="1" customFormat="1" ht="13.5">
      <c r="G1800" s="6"/>
    </row>
    <row r="1801" s="1" customFormat="1" ht="13.5">
      <c r="G1801" s="6"/>
    </row>
    <row r="1802" s="1" customFormat="1" ht="13.5">
      <c r="G1802" s="6"/>
    </row>
    <row r="1803" s="1" customFormat="1" ht="13.5">
      <c r="G1803" s="6"/>
    </row>
    <row r="1804" s="1" customFormat="1" ht="13.5">
      <c r="G1804" s="6"/>
    </row>
    <row r="1805" s="1" customFormat="1" ht="13.5">
      <c r="G1805" s="6"/>
    </row>
    <row r="1806" s="1" customFormat="1" ht="13.5">
      <c r="G1806" s="6"/>
    </row>
    <row r="1807" s="1" customFormat="1" ht="13.5">
      <c r="G1807" s="6"/>
    </row>
    <row r="1808" s="1" customFormat="1" ht="13.5">
      <c r="G1808" s="6"/>
    </row>
    <row r="1809" s="1" customFormat="1" ht="13.5">
      <c r="G1809" s="6"/>
    </row>
    <row r="1810" s="1" customFormat="1" ht="13.5">
      <c r="G1810" s="6"/>
    </row>
    <row r="1811" s="1" customFormat="1" ht="13.5">
      <c r="G1811" s="6"/>
    </row>
    <row r="1812" s="1" customFormat="1" ht="13.5">
      <c r="G1812" s="6"/>
    </row>
    <row r="1813" s="1" customFormat="1" ht="13.5">
      <c r="G1813" s="6"/>
    </row>
    <row r="1814" s="1" customFormat="1" ht="13.5">
      <c r="G1814" s="6"/>
    </row>
    <row r="1815" s="1" customFormat="1" ht="13.5">
      <c r="G1815" s="6"/>
    </row>
    <row r="1816" s="1" customFormat="1" ht="13.5">
      <c r="G1816" s="6"/>
    </row>
    <row r="1817" s="1" customFormat="1" ht="13.5">
      <c r="G1817" s="6"/>
    </row>
    <row r="1818" s="1" customFormat="1" ht="13.5">
      <c r="G1818" s="6"/>
    </row>
    <row r="1819" s="1" customFormat="1" ht="13.5">
      <c r="G1819" s="6"/>
    </row>
    <row r="1820" s="1" customFormat="1" ht="13.5">
      <c r="G1820" s="6"/>
    </row>
    <row r="1821" s="1" customFormat="1" ht="13.5">
      <c r="G1821" s="6"/>
    </row>
    <row r="1822" s="1" customFormat="1" ht="13.5">
      <c r="G1822" s="6"/>
    </row>
    <row r="1823" s="1" customFormat="1" ht="13.5">
      <c r="G1823" s="6"/>
    </row>
    <row r="1824" s="1" customFormat="1" ht="13.5">
      <c r="G1824" s="6"/>
    </row>
    <row r="1825" s="1" customFormat="1" ht="13.5">
      <c r="G1825" s="6"/>
    </row>
    <row r="1826" s="1" customFormat="1" ht="13.5">
      <c r="G1826" s="6"/>
    </row>
    <row r="1827" s="1" customFormat="1" ht="13.5">
      <c r="G1827" s="6"/>
    </row>
    <row r="1828" s="1" customFormat="1" ht="13.5">
      <c r="G1828" s="6"/>
    </row>
    <row r="1829" s="1" customFormat="1" ht="13.5">
      <c r="G1829" s="6"/>
    </row>
    <row r="1830" s="1" customFormat="1" ht="13.5">
      <c r="G1830" s="6"/>
    </row>
    <row r="1831" s="1" customFormat="1" ht="13.5">
      <c r="G1831" s="6"/>
    </row>
    <row r="1832" s="1" customFormat="1" ht="13.5">
      <c r="G1832" s="6"/>
    </row>
    <row r="1833" s="1" customFormat="1" ht="13.5">
      <c r="G1833" s="6"/>
    </row>
    <row r="1834" s="1" customFormat="1" ht="13.5">
      <c r="G1834" s="6"/>
    </row>
    <row r="1835" s="1" customFormat="1" ht="13.5">
      <c r="G1835" s="6"/>
    </row>
    <row r="1836" s="1" customFormat="1" ht="13.5">
      <c r="G1836" s="6"/>
    </row>
    <row r="1837" s="1" customFormat="1" ht="13.5">
      <c r="G1837" s="6"/>
    </row>
    <row r="1838" s="1" customFormat="1" ht="13.5">
      <c r="G1838" s="6"/>
    </row>
    <row r="1839" s="1" customFormat="1" ht="13.5">
      <c r="G1839" s="6"/>
    </row>
    <row r="1840" s="1" customFormat="1" ht="13.5">
      <c r="G1840" s="6"/>
    </row>
    <row r="1841" s="1" customFormat="1" ht="13.5">
      <c r="G1841" s="6"/>
    </row>
    <row r="1842" s="1" customFormat="1" ht="13.5">
      <c r="G1842" s="6"/>
    </row>
    <row r="1843" s="1" customFormat="1" ht="13.5">
      <c r="G1843" s="6"/>
    </row>
    <row r="1844" s="1" customFormat="1" ht="13.5">
      <c r="G1844" s="6"/>
    </row>
    <row r="1845" s="1" customFormat="1" ht="13.5">
      <c r="G1845" s="6"/>
    </row>
    <row r="1846" s="1" customFormat="1" ht="13.5">
      <c r="G1846" s="6"/>
    </row>
    <row r="1847" s="1" customFormat="1" ht="13.5">
      <c r="G1847" s="6"/>
    </row>
    <row r="1848" s="1" customFormat="1" ht="13.5">
      <c r="G1848" s="6"/>
    </row>
    <row r="1849" s="1" customFormat="1" ht="13.5">
      <c r="G1849" s="6"/>
    </row>
    <row r="1850" s="1" customFormat="1" ht="13.5">
      <c r="G1850" s="6"/>
    </row>
    <row r="1851" s="1" customFormat="1" ht="13.5">
      <c r="G1851" s="6"/>
    </row>
    <row r="1852" s="1" customFormat="1" ht="13.5">
      <c r="G1852" s="6"/>
    </row>
    <row r="1853" s="1" customFormat="1" ht="13.5">
      <c r="G1853" s="6"/>
    </row>
    <row r="1854" s="1" customFormat="1" ht="13.5">
      <c r="G1854" s="6"/>
    </row>
    <row r="1855" s="1" customFormat="1" ht="13.5">
      <c r="G1855" s="6"/>
    </row>
    <row r="1856" s="1" customFormat="1" ht="13.5">
      <c r="G1856" s="6"/>
    </row>
    <row r="1857" s="1" customFormat="1" ht="13.5">
      <c r="G1857" s="6"/>
    </row>
    <row r="1858" s="1" customFormat="1" ht="13.5">
      <c r="G1858" s="6"/>
    </row>
    <row r="1859" s="1" customFormat="1" ht="13.5">
      <c r="G1859" s="6"/>
    </row>
    <row r="1860" s="1" customFormat="1" ht="13.5">
      <c r="G1860" s="6"/>
    </row>
    <row r="1861" s="1" customFormat="1" ht="13.5">
      <c r="G1861" s="6"/>
    </row>
    <row r="1862" s="1" customFormat="1" ht="13.5">
      <c r="G1862" s="6"/>
    </row>
    <row r="1863" s="1" customFormat="1" ht="13.5">
      <c r="G1863" s="6"/>
    </row>
    <row r="1864" s="1" customFormat="1" ht="13.5">
      <c r="G1864" s="6"/>
    </row>
    <row r="1865" s="1" customFormat="1" ht="13.5">
      <c r="G1865" s="6"/>
    </row>
    <row r="1866" s="1" customFormat="1" ht="13.5">
      <c r="G1866" s="6"/>
    </row>
    <row r="1867" s="1" customFormat="1" ht="13.5">
      <c r="G1867" s="6"/>
    </row>
    <row r="1868" s="1" customFormat="1" ht="13.5">
      <c r="G1868" s="6"/>
    </row>
    <row r="1869" s="1" customFormat="1" ht="13.5">
      <c r="G1869" s="6"/>
    </row>
    <row r="1870" s="1" customFormat="1" ht="13.5">
      <c r="G1870" s="6"/>
    </row>
    <row r="1871" s="1" customFormat="1" ht="13.5">
      <c r="G1871" s="6"/>
    </row>
    <row r="1872" s="1" customFormat="1" ht="13.5">
      <c r="G1872" s="6"/>
    </row>
    <row r="1873" s="1" customFormat="1" ht="13.5">
      <c r="G1873" s="6"/>
    </row>
    <row r="1874" s="1" customFormat="1" ht="13.5">
      <c r="G1874" s="6"/>
    </row>
    <row r="1875" s="1" customFormat="1" ht="13.5">
      <c r="G1875" s="6"/>
    </row>
    <row r="1876" s="1" customFormat="1" ht="13.5">
      <c r="G1876" s="6"/>
    </row>
    <row r="1877" s="1" customFormat="1" ht="13.5">
      <c r="G1877" s="6"/>
    </row>
    <row r="1878" s="1" customFormat="1" ht="13.5">
      <c r="G1878" s="6"/>
    </row>
    <row r="1879" s="1" customFormat="1" ht="13.5">
      <c r="G1879" s="6"/>
    </row>
    <row r="1880" s="1" customFormat="1" ht="13.5">
      <c r="G1880" s="6"/>
    </row>
    <row r="1881" s="1" customFormat="1" ht="13.5">
      <c r="G1881" s="6"/>
    </row>
    <row r="1882" s="1" customFormat="1" ht="13.5">
      <c r="G1882" s="6"/>
    </row>
    <row r="1883" s="1" customFormat="1" ht="13.5">
      <c r="G1883" s="6"/>
    </row>
    <row r="1884" s="1" customFormat="1" ht="13.5">
      <c r="G1884" s="6"/>
    </row>
    <row r="1885" s="1" customFormat="1" ht="13.5">
      <c r="G1885" s="6"/>
    </row>
    <row r="1886" s="1" customFormat="1" ht="13.5">
      <c r="G1886" s="6"/>
    </row>
    <row r="1887" s="1" customFormat="1" ht="13.5">
      <c r="G1887" s="6"/>
    </row>
    <row r="1888" s="1" customFormat="1" ht="13.5">
      <c r="G1888" s="6"/>
    </row>
    <row r="1889" s="1" customFormat="1" ht="13.5">
      <c r="G1889" s="6"/>
    </row>
    <row r="1890" s="1" customFormat="1" ht="13.5">
      <c r="G1890" s="6"/>
    </row>
    <row r="1891" s="1" customFormat="1" ht="13.5">
      <c r="G1891" s="6"/>
    </row>
    <row r="1892" s="1" customFormat="1" ht="13.5">
      <c r="G1892" s="6"/>
    </row>
    <row r="1893" s="1" customFormat="1" ht="13.5">
      <c r="G1893" s="6"/>
    </row>
    <row r="1894" s="1" customFormat="1" ht="13.5">
      <c r="G1894" s="6"/>
    </row>
    <row r="1895" s="1" customFormat="1" ht="13.5">
      <c r="G1895" s="6"/>
    </row>
    <row r="1896" s="1" customFormat="1" ht="13.5">
      <c r="G1896" s="6"/>
    </row>
    <row r="1897" s="1" customFormat="1" ht="13.5">
      <c r="G1897" s="6"/>
    </row>
    <row r="1898" s="1" customFormat="1" ht="13.5">
      <c r="G1898" s="6"/>
    </row>
    <row r="1899" s="1" customFormat="1" ht="13.5">
      <c r="G1899" s="6"/>
    </row>
    <row r="1900" s="1" customFormat="1" ht="13.5">
      <c r="G1900" s="6"/>
    </row>
    <row r="1901" s="1" customFormat="1" ht="13.5">
      <c r="G1901" s="6"/>
    </row>
    <row r="1902" s="1" customFormat="1" ht="13.5">
      <c r="G1902" s="6"/>
    </row>
    <row r="1903" s="1" customFormat="1" ht="13.5">
      <c r="G1903" s="6"/>
    </row>
    <row r="1904" s="1" customFormat="1" ht="13.5">
      <c r="G1904" s="6"/>
    </row>
    <row r="1905" s="1" customFormat="1" ht="13.5">
      <c r="G1905" s="6"/>
    </row>
    <row r="1906" s="1" customFormat="1" ht="13.5">
      <c r="G1906" s="6"/>
    </row>
    <row r="1907" s="1" customFormat="1" ht="13.5">
      <c r="G1907" s="6"/>
    </row>
    <row r="1908" s="1" customFormat="1" ht="13.5">
      <c r="G1908" s="6"/>
    </row>
    <row r="1909" s="1" customFormat="1" ht="13.5">
      <c r="G1909" s="6"/>
    </row>
    <row r="1910" s="1" customFormat="1" ht="13.5">
      <c r="G1910" s="6"/>
    </row>
    <row r="1911" s="1" customFormat="1" ht="13.5">
      <c r="G1911" s="6"/>
    </row>
    <row r="1912" s="1" customFormat="1" ht="13.5">
      <c r="G1912" s="6"/>
    </row>
    <row r="1913" s="1" customFormat="1" ht="13.5">
      <c r="G1913" s="6"/>
    </row>
    <row r="1914" s="1" customFormat="1" ht="13.5">
      <c r="G1914" s="6"/>
    </row>
    <row r="1915" s="1" customFormat="1" ht="13.5">
      <c r="G1915" s="6"/>
    </row>
    <row r="1916" s="1" customFormat="1" ht="13.5">
      <c r="G1916" s="6"/>
    </row>
    <row r="1917" s="1" customFormat="1" ht="13.5">
      <c r="G1917" s="6"/>
    </row>
    <row r="1918" s="1" customFormat="1" ht="13.5">
      <c r="G1918" s="6"/>
    </row>
    <row r="1919" s="1" customFormat="1" ht="13.5">
      <c r="G1919" s="6"/>
    </row>
    <row r="1920" s="1" customFormat="1" ht="13.5">
      <c r="G1920" s="6"/>
    </row>
    <row r="1921" s="1" customFormat="1" ht="13.5">
      <c r="G1921" s="6"/>
    </row>
    <row r="1922" s="1" customFormat="1" ht="13.5">
      <c r="G1922" s="6"/>
    </row>
    <row r="1923" s="1" customFormat="1" ht="13.5">
      <c r="G1923" s="6"/>
    </row>
    <row r="1924" s="1" customFormat="1" ht="13.5">
      <c r="G1924" s="6"/>
    </row>
    <row r="1925" s="1" customFormat="1" ht="13.5">
      <c r="G1925" s="6"/>
    </row>
    <row r="1926" s="1" customFormat="1" ht="13.5">
      <c r="G1926" s="6"/>
    </row>
    <row r="1927" s="1" customFormat="1" ht="13.5">
      <c r="G1927" s="6"/>
    </row>
    <row r="1928" s="1" customFormat="1" ht="13.5">
      <c r="G1928" s="6"/>
    </row>
    <row r="1929" s="1" customFormat="1" ht="13.5">
      <c r="G1929" s="6"/>
    </row>
    <row r="1930" s="1" customFormat="1" ht="13.5">
      <c r="G1930" s="6"/>
    </row>
    <row r="1931" s="1" customFormat="1" ht="13.5">
      <c r="G1931" s="6"/>
    </row>
    <row r="1932" s="1" customFormat="1" ht="13.5">
      <c r="G1932" s="6"/>
    </row>
    <row r="1933" s="1" customFormat="1" ht="13.5">
      <c r="G1933" s="6"/>
    </row>
    <row r="1934" s="1" customFormat="1" ht="13.5">
      <c r="G1934" s="6"/>
    </row>
    <row r="1935" s="1" customFormat="1" ht="13.5">
      <c r="G1935" s="6"/>
    </row>
    <row r="1936" s="1" customFormat="1" ht="13.5">
      <c r="G1936" s="6"/>
    </row>
    <row r="1937" s="1" customFormat="1" ht="13.5">
      <c r="G1937" s="6"/>
    </row>
    <row r="1938" s="1" customFormat="1" ht="13.5">
      <c r="G1938" s="6"/>
    </row>
    <row r="1939" s="1" customFormat="1" ht="13.5">
      <c r="G1939" s="6"/>
    </row>
    <row r="1940" s="1" customFormat="1" ht="13.5">
      <c r="G1940" s="6"/>
    </row>
    <row r="1941" s="1" customFormat="1" ht="13.5">
      <c r="G1941" s="6"/>
    </row>
    <row r="1942" s="1" customFormat="1" ht="13.5">
      <c r="G1942" s="6"/>
    </row>
    <row r="1943" s="1" customFormat="1" ht="13.5">
      <c r="G1943" s="6"/>
    </row>
    <row r="1944" s="1" customFormat="1" ht="13.5">
      <c r="G1944" s="6"/>
    </row>
    <row r="1945" s="1" customFormat="1" ht="13.5">
      <c r="G1945" s="6"/>
    </row>
    <row r="1946" s="1" customFormat="1" ht="13.5">
      <c r="G1946" s="6"/>
    </row>
    <row r="1947" s="1" customFormat="1" ht="13.5">
      <c r="G1947" s="6"/>
    </row>
    <row r="1948" s="1" customFormat="1" ht="13.5">
      <c r="G1948" s="6"/>
    </row>
    <row r="1949" s="1" customFormat="1" ht="13.5">
      <c r="G1949" s="6"/>
    </row>
    <row r="1950" s="1" customFormat="1" ht="13.5">
      <c r="G1950" s="6"/>
    </row>
    <row r="1951" s="1" customFormat="1" ht="13.5">
      <c r="G1951" s="6"/>
    </row>
    <row r="1952" s="1" customFormat="1" ht="13.5">
      <c r="G1952" s="6"/>
    </row>
    <row r="1953" s="1" customFormat="1" ht="13.5">
      <c r="G1953" s="6"/>
    </row>
    <row r="1954" s="1" customFormat="1" ht="13.5">
      <c r="G1954" s="6"/>
    </row>
    <row r="1955" s="1" customFormat="1" ht="13.5">
      <c r="G1955" s="6"/>
    </row>
    <row r="1956" s="1" customFormat="1" ht="13.5">
      <c r="G1956" s="6"/>
    </row>
    <row r="1957" s="1" customFormat="1" ht="13.5">
      <c r="G1957" s="6"/>
    </row>
    <row r="1958" s="1" customFormat="1" ht="13.5">
      <c r="G1958" s="6"/>
    </row>
    <row r="1959" s="1" customFormat="1" ht="13.5">
      <c r="G1959" s="6"/>
    </row>
    <row r="1960" s="1" customFormat="1" ht="13.5">
      <c r="G1960" s="6"/>
    </row>
    <row r="1961" s="1" customFormat="1" ht="13.5">
      <c r="G1961" s="6"/>
    </row>
    <row r="1962" s="1" customFormat="1" ht="13.5">
      <c r="G1962" s="6"/>
    </row>
    <row r="1963" s="1" customFormat="1" ht="13.5">
      <c r="G1963" s="6"/>
    </row>
    <row r="1964" s="1" customFormat="1" ht="13.5">
      <c r="G1964" s="6"/>
    </row>
    <row r="1965" s="1" customFormat="1" ht="13.5">
      <c r="G1965" s="6"/>
    </row>
    <row r="1966" s="1" customFormat="1" ht="13.5">
      <c r="G1966" s="6"/>
    </row>
    <row r="1967" s="1" customFormat="1" ht="13.5">
      <c r="G1967" s="6"/>
    </row>
    <row r="1968" s="1" customFormat="1" ht="13.5">
      <c r="G1968" s="6"/>
    </row>
    <row r="1969" s="1" customFormat="1" ht="13.5">
      <c r="G1969" s="6"/>
    </row>
    <row r="1970" s="1" customFormat="1" ht="13.5">
      <c r="G1970" s="6"/>
    </row>
    <row r="1971" s="1" customFormat="1" ht="13.5">
      <c r="G1971" s="6"/>
    </row>
    <row r="1972" s="1" customFormat="1" ht="13.5">
      <c r="G1972" s="6"/>
    </row>
    <row r="1973" s="1" customFormat="1" ht="13.5">
      <c r="G1973" s="6"/>
    </row>
    <row r="1974" s="1" customFormat="1" ht="13.5">
      <c r="G1974" s="6"/>
    </row>
    <row r="1975" s="1" customFormat="1" ht="13.5">
      <c r="G1975" s="6"/>
    </row>
    <row r="1976" s="1" customFormat="1" ht="13.5">
      <c r="G1976" s="6"/>
    </row>
    <row r="1977" s="1" customFormat="1" ht="13.5">
      <c r="G1977" s="6"/>
    </row>
    <row r="1978" s="1" customFormat="1" ht="13.5">
      <c r="G1978" s="6"/>
    </row>
    <row r="1979" s="1" customFormat="1" ht="13.5">
      <c r="G1979" s="6"/>
    </row>
    <row r="1980" s="1" customFormat="1" ht="13.5">
      <c r="G1980" s="6"/>
    </row>
    <row r="1981" s="1" customFormat="1" ht="13.5">
      <c r="G1981" s="6"/>
    </row>
    <row r="1982" s="1" customFormat="1" ht="13.5">
      <c r="G1982" s="6"/>
    </row>
    <row r="1983" s="1" customFormat="1" ht="13.5">
      <c r="G1983" s="6"/>
    </row>
    <row r="1984" s="1" customFormat="1" ht="13.5">
      <c r="G1984" s="6"/>
    </row>
    <row r="1985" s="1" customFormat="1" ht="13.5">
      <c r="G1985" s="6"/>
    </row>
    <row r="1986" s="1" customFormat="1" ht="13.5">
      <c r="G1986" s="6"/>
    </row>
    <row r="1987" s="1" customFormat="1" ht="13.5">
      <c r="G1987" s="6"/>
    </row>
    <row r="1988" s="1" customFormat="1" ht="13.5">
      <c r="G1988" s="6"/>
    </row>
    <row r="1989" s="1" customFormat="1" ht="13.5">
      <c r="G1989" s="6"/>
    </row>
    <row r="1990" s="1" customFormat="1" ht="13.5">
      <c r="G1990" s="6"/>
    </row>
    <row r="1991" s="1" customFormat="1" ht="13.5">
      <c r="G1991" s="6"/>
    </row>
    <row r="1992" s="1" customFormat="1" ht="13.5">
      <c r="G1992" s="6"/>
    </row>
    <row r="1993" s="1" customFormat="1" ht="13.5">
      <c r="G1993" s="6"/>
    </row>
    <row r="1994" s="1" customFormat="1" ht="13.5">
      <c r="G1994" s="6"/>
    </row>
    <row r="1995" s="1" customFormat="1" ht="13.5">
      <c r="G1995" s="6"/>
    </row>
    <row r="1996" s="1" customFormat="1" ht="13.5">
      <c r="G1996" s="6"/>
    </row>
    <row r="1997" s="1" customFormat="1" ht="13.5">
      <c r="G1997" s="6"/>
    </row>
    <row r="1998" s="1" customFormat="1" ht="13.5">
      <c r="G1998" s="6"/>
    </row>
    <row r="1999" s="1" customFormat="1" ht="13.5">
      <c r="G1999" s="6"/>
    </row>
    <row r="2000" s="1" customFormat="1" ht="13.5">
      <c r="G2000" s="6"/>
    </row>
    <row r="2001" s="1" customFormat="1" ht="13.5">
      <c r="G2001" s="6"/>
    </row>
    <row r="2002" s="1" customFormat="1" ht="13.5">
      <c r="G2002" s="6"/>
    </row>
    <row r="2003" s="1" customFormat="1" ht="13.5">
      <c r="G2003" s="6"/>
    </row>
    <row r="2004" s="1" customFormat="1" ht="13.5">
      <c r="G2004" s="6"/>
    </row>
    <row r="2005" s="1" customFormat="1" ht="13.5">
      <c r="G2005" s="6"/>
    </row>
    <row r="2006" s="1" customFormat="1" ht="13.5">
      <c r="G2006" s="6"/>
    </row>
    <row r="2007" s="1" customFormat="1" ht="13.5">
      <c r="G2007" s="6"/>
    </row>
    <row r="2008" s="1" customFormat="1" ht="13.5">
      <c r="G2008" s="6"/>
    </row>
    <row r="2009" s="1" customFormat="1" ht="13.5">
      <c r="G2009" s="6"/>
    </row>
    <row r="2010" s="1" customFormat="1" ht="13.5">
      <c r="G2010" s="6"/>
    </row>
    <row r="2011" s="1" customFormat="1" ht="13.5">
      <c r="G2011" s="6"/>
    </row>
    <row r="2012" s="1" customFormat="1" ht="13.5">
      <c r="G2012" s="6"/>
    </row>
    <row r="2013" s="1" customFormat="1" ht="13.5">
      <c r="G2013" s="6"/>
    </row>
    <row r="2014" s="1" customFormat="1" ht="13.5">
      <c r="G2014" s="6"/>
    </row>
    <row r="2015" s="1" customFormat="1" ht="13.5">
      <c r="G2015" s="6"/>
    </row>
    <row r="2016" s="1" customFormat="1" ht="13.5">
      <c r="G2016" s="6"/>
    </row>
    <row r="2017" s="1" customFormat="1" ht="13.5">
      <c r="G2017" s="6"/>
    </row>
    <row r="2018" s="1" customFormat="1" ht="13.5">
      <c r="G2018" s="6"/>
    </row>
    <row r="2019" s="1" customFormat="1" ht="13.5">
      <c r="G2019" s="6"/>
    </row>
    <row r="2020" s="1" customFormat="1" ht="13.5">
      <c r="G2020" s="6"/>
    </row>
    <row r="2021" s="1" customFormat="1" ht="13.5">
      <c r="G2021" s="6"/>
    </row>
    <row r="2022" s="1" customFormat="1" ht="13.5">
      <c r="G2022" s="6"/>
    </row>
    <row r="2023" s="1" customFormat="1" ht="13.5">
      <c r="G2023" s="6"/>
    </row>
    <row r="2024" s="1" customFormat="1" ht="13.5">
      <c r="G2024" s="6"/>
    </row>
    <row r="2025" s="1" customFormat="1" ht="13.5">
      <c r="G2025" s="6"/>
    </row>
    <row r="2026" s="1" customFormat="1" ht="13.5">
      <c r="G2026" s="6"/>
    </row>
    <row r="2027" s="1" customFormat="1" ht="13.5">
      <c r="G2027" s="6"/>
    </row>
    <row r="2028" s="1" customFormat="1" ht="13.5">
      <c r="G2028" s="6"/>
    </row>
    <row r="2029" s="1" customFormat="1" ht="13.5">
      <c r="G2029" s="6"/>
    </row>
    <row r="2030" s="1" customFormat="1" ht="13.5">
      <c r="G2030" s="6"/>
    </row>
    <row r="2031" s="1" customFormat="1" ht="13.5">
      <c r="G2031" s="6"/>
    </row>
    <row r="2032" s="1" customFormat="1" ht="13.5">
      <c r="G2032" s="6"/>
    </row>
    <row r="2033" s="1" customFormat="1" ht="13.5">
      <c r="G2033" s="6"/>
    </row>
    <row r="2034" s="1" customFormat="1" ht="13.5">
      <c r="G2034" s="6"/>
    </row>
    <row r="2035" s="1" customFormat="1" ht="13.5">
      <c r="G2035" s="6"/>
    </row>
    <row r="2036" s="1" customFormat="1" ht="13.5">
      <c r="G2036" s="6"/>
    </row>
    <row r="2037" s="1" customFormat="1" ht="13.5">
      <c r="G2037" s="6"/>
    </row>
    <row r="2038" s="1" customFormat="1" ht="13.5">
      <c r="G2038" s="6"/>
    </row>
    <row r="2039" s="1" customFormat="1" ht="13.5">
      <c r="G2039" s="6"/>
    </row>
    <row r="2040" s="1" customFormat="1" ht="13.5">
      <c r="G2040" s="6"/>
    </row>
    <row r="2041" s="1" customFormat="1" ht="13.5">
      <c r="G2041" s="6"/>
    </row>
    <row r="2042" s="1" customFormat="1" ht="13.5">
      <c r="G2042" s="6"/>
    </row>
    <row r="2043" s="1" customFormat="1" ht="13.5">
      <c r="G2043" s="6"/>
    </row>
    <row r="2044" s="1" customFormat="1" ht="13.5">
      <c r="G2044" s="6"/>
    </row>
    <row r="2045" s="1" customFormat="1" ht="13.5">
      <c r="G2045" s="6"/>
    </row>
    <row r="2046" s="1" customFormat="1" ht="13.5">
      <c r="G2046" s="6"/>
    </row>
    <row r="2047" s="1" customFormat="1" ht="13.5">
      <c r="G2047" s="6"/>
    </row>
    <row r="2048" s="1" customFormat="1" ht="13.5">
      <c r="G2048" s="6"/>
    </row>
    <row r="2049" s="1" customFormat="1" ht="13.5">
      <c r="G2049" s="6"/>
    </row>
    <row r="2050" s="1" customFormat="1" ht="13.5">
      <c r="G2050" s="6"/>
    </row>
    <row r="2051" s="1" customFormat="1" ht="13.5">
      <c r="G2051" s="6"/>
    </row>
    <row r="2052" s="1" customFormat="1" ht="13.5">
      <c r="G2052" s="6"/>
    </row>
    <row r="2053" s="1" customFormat="1" ht="13.5">
      <c r="G2053" s="6"/>
    </row>
    <row r="2054" s="1" customFormat="1" ht="13.5">
      <c r="G2054" s="6"/>
    </row>
    <row r="2055" s="1" customFormat="1" ht="13.5">
      <c r="G2055" s="6"/>
    </row>
    <row r="2056" s="1" customFormat="1" ht="13.5">
      <c r="G2056" s="6"/>
    </row>
    <row r="2057" s="1" customFormat="1" ht="13.5">
      <c r="G2057" s="6"/>
    </row>
    <row r="2058" s="1" customFormat="1" ht="13.5">
      <c r="G2058" s="6"/>
    </row>
    <row r="2059" s="1" customFormat="1" ht="13.5">
      <c r="G2059" s="6"/>
    </row>
    <row r="2060" s="1" customFormat="1" ht="13.5">
      <c r="G2060" s="6"/>
    </row>
    <row r="2061" s="1" customFormat="1" ht="13.5">
      <c r="G2061" s="6"/>
    </row>
    <row r="2062" s="1" customFormat="1" ht="13.5">
      <c r="G2062" s="6"/>
    </row>
    <row r="2063" s="1" customFormat="1" ht="13.5">
      <c r="G2063" s="6"/>
    </row>
    <row r="2064" s="1" customFormat="1" ht="13.5">
      <c r="G2064" s="6"/>
    </row>
    <row r="2065" s="1" customFormat="1" ht="13.5">
      <c r="G2065" s="6"/>
    </row>
    <row r="2066" s="1" customFormat="1" ht="13.5">
      <c r="G2066" s="6"/>
    </row>
    <row r="2067" s="1" customFormat="1" ht="13.5">
      <c r="G2067" s="6"/>
    </row>
    <row r="2068" s="1" customFormat="1" ht="13.5">
      <c r="G2068" s="6"/>
    </row>
    <row r="2069" s="1" customFormat="1" ht="13.5">
      <c r="G2069" s="6"/>
    </row>
    <row r="2070" s="1" customFormat="1" ht="13.5">
      <c r="G2070" s="6"/>
    </row>
    <row r="2071" s="1" customFormat="1" ht="13.5">
      <c r="G2071" s="6"/>
    </row>
    <row r="2072" s="1" customFormat="1" ht="13.5">
      <c r="G2072" s="6"/>
    </row>
    <row r="2073" s="1" customFormat="1" ht="13.5">
      <c r="G2073" s="6"/>
    </row>
    <row r="2074" s="1" customFormat="1" ht="13.5">
      <c r="G2074" s="6"/>
    </row>
    <row r="2075" s="1" customFormat="1" ht="13.5">
      <c r="G2075" s="6"/>
    </row>
    <row r="2076" s="1" customFormat="1" ht="13.5">
      <c r="G2076" s="6"/>
    </row>
    <row r="2077" s="1" customFormat="1" ht="13.5">
      <c r="G2077" s="6"/>
    </row>
    <row r="2078" s="1" customFormat="1" ht="13.5">
      <c r="G2078" s="6"/>
    </row>
    <row r="2079" s="1" customFormat="1" ht="13.5">
      <c r="G2079" s="6"/>
    </row>
    <row r="2080" s="1" customFormat="1" ht="13.5">
      <c r="G2080" s="6"/>
    </row>
    <row r="2081" s="1" customFormat="1" ht="13.5">
      <c r="G2081" s="6"/>
    </row>
    <row r="2082" s="1" customFormat="1" ht="13.5">
      <c r="G2082" s="6"/>
    </row>
    <row r="2083" s="1" customFormat="1" ht="13.5">
      <c r="G2083" s="6"/>
    </row>
    <row r="2084" s="1" customFormat="1" ht="13.5">
      <c r="G2084" s="6"/>
    </row>
    <row r="2085" s="1" customFormat="1" ht="13.5">
      <c r="G2085" s="6"/>
    </row>
    <row r="2086" s="1" customFormat="1" ht="13.5">
      <c r="G2086" s="6"/>
    </row>
    <row r="2087" s="1" customFormat="1" ht="13.5">
      <c r="G2087" s="6"/>
    </row>
    <row r="2088" s="1" customFormat="1" ht="13.5">
      <c r="G2088" s="6"/>
    </row>
    <row r="2089" s="1" customFormat="1" ht="13.5">
      <c r="G2089" s="6"/>
    </row>
    <row r="2090" s="1" customFormat="1" ht="13.5">
      <c r="G2090" s="6"/>
    </row>
    <row r="2091" s="1" customFormat="1" ht="13.5">
      <c r="G2091" s="6"/>
    </row>
    <row r="2092" s="1" customFormat="1" ht="13.5">
      <c r="G2092" s="6"/>
    </row>
    <row r="2093" s="1" customFormat="1" ht="13.5">
      <c r="G2093" s="6"/>
    </row>
    <row r="2094" s="1" customFormat="1" ht="13.5">
      <c r="G2094" s="6"/>
    </row>
    <row r="2095" s="1" customFormat="1" ht="13.5">
      <c r="G2095" s="6"/>
    </row>
    <row r="2096" s="1" customFormat="1" ht="13.5">
      <c r="G2096" s="6"/>
    </row>
    <row r="2097" s="1" customFormat="1" ht="13.5">
      <c r="G2097" s="6"/>
    </row>
    <row r="2098" s="1" customFormat="1" ht="13.5">
      <c r="G2098" s="6"/>
    </row>
    <row r="2099" s="1" customFormat="1" ht="13.5">
      <c r="G2099" s="6"/>
    </row>
    <row r="2100" s="1" customFormat="1" ht="13.5">
      <c r="G2100" s="6"/>
    </row>
    <row r="2101" s="1" customFormat="1" ht="13.5">
      <c r="G2101" s="6"/>
    </row>
    <row r="2102" s="1" customFormat="1" ht="13.5">
      <c r="G2102" s="6"/>
    </row>
    <row r="2103" s="1" customFormat="1" ht="13.5">
      <c r="G2103" s="6"/>
    </row>
    <row r="2104" s="1" customFormat="1" ht="13.5">
      <c r="G2104" s="6"/>
    </row>
    <row r="2105" s="1" customFormat="1" ht="13.5">
      <c r="G2105" s="6"/>
    </row>
    <row r="2106" s="1" customFormat="1" ht="13.5">
      <c r="G2106" s="6"/>
    </row>
    <row r="2107" s="1" customFormat="1" ht="13.5">
      <c r="G2107" s="6"/>
    </row>
    <row r="2108" s="1" customFormat="1" ht="13.5">
      <c r="G2108" s="6"/>
    </row>
    <row r="2109" s="1" customFormat="1" ht="13.5">
      <c r="G2109" s="6"/>
    </row>
    <row r="2110" s="1" customFormat="1" ht="13.5">
      <c r="G2110" s="6"/>
    </row>
    <row r="2111" s="1" customFormat="1" ht="13.5">
      <c r="G2111" s="6"/>
    </row>
    <row r="2112" s="1" customFormat="1" ht="13.5">
      <c r="G2112" s="6"/>
    </row>
    <row r="2113" s="1" customFormat="1" ht="13.5">
      <c r="G2113" s="6"/>
    </row>
    <row r="2114" s="1" customFormat="1" ht="13.5">
      <c r="G2114" s="6"/>
    </row>
    <row r="2115" s="1" customFormat="1" ht="13.5">
      <c r="G2115" s="6"/>
    </row>
    <row r="2116" s="1" customFormat="1" ht="13.5">
      <c r="G2116" s="6"/>
    </row>
    <row r="2117" s="1" customFormat="1" ht="13.5">
      <c r="G2117" s="6"/>
    </row>
    <row r="2118" s="1" customFormat="1" ht="13.5">
      <c r="G2118" s="6"/>
    </row>
    <row r="2119" s="1" customFormat="1" ht="13.5">
      <c r="G2119" s="6"/>
    </row>
    <row r="2120" s="1" customFormat="1" ht="13.5">
      <c r="G2120" s="6"/>
    </row>
    <row r="2121" s="1" customFormat="1" ht="13.5">
      <c r="G2121" s="6"/>
    </row>
    <row r="2122" s="1" customFormat="1" ht="13.5">
      <c r="G2122" s="6"/>
    </row>
    <row r="2123" s="1" customFormat="1" ht="13.5">
      <c r="G2123" s="6"/>
    </row>
    <row r="2124" s="1" customFormat="1" ht="13.5">
      <c r="G2124" s="6"/>
    </row>
    <row r="2125" s="1" customFormat="1" ht="13.5">
      <c r="G2125" s="6"/>
    </row>
    <row r="2126" s="1" customFormat="1" ht="13.5">
      <c r="G2126" s="6"/>
    </row>
    <row r="2127" s="1" customFormat="1" ht="13.5">
      <c r="G2127" s="6"/>
    </row>
    <row r="2128" s="1" customFormat="1" ht="13.5">
      <c r="G2128" s="6"/>
    </row>
    <row r="2129" s="1" customFormat="1" ht="13.5">
      <c r="G2129" s="6"/>
    </row>
    <row r="2130" s="1" customFormat="1" ht="13.5">
      <c r="G2130" s="6"/>
    </row>
    <row r="2131" s="1" customFormat="1" ht="13.5">
      <c r="G2131" s="6"/>
    </row>
    <row r="2132" s="1" customFormat="1" ht="13.5">
      <c r="G2132" s="6"/>
    </row>
    <row r="2133" s="1" customFormat="1" ht="13.5">
      <c r="G2133" s="6"/>
    </row>
    <row r="2134" s="1" customFormat="1" ht="13.5">
      <c r="G2134" s="6"/>
    </row>
    <row r="2135" s="1" customFormat="1" ht="13.5">
      <c r="G2135" s="6"/>
    </row>
    <row r="2136" s="1" customFormat="1" ht="13.5">
      <c r="G2136" s="6"/>
    </row>
    <row r="2137" s="1" customFormat="1" ht="13.5">
      <c r="G2137" s="6"/>
    </row>
    <row r="2138" s="1" customFormat="1" ht="13.5">
      <c r="G2138" s="6"/>
    </row>
    <row r="2139" s="1" customFormat="1" ht="13.5">
      <c r="G2139" s="6"/>
    </row>
    <row r="2140" s="1" customFormat="1" ht="13.5">
      <c r="G2140" s="6"/>
    </row>
    <row r="2141" s="1" customFormat="1" ht="13.5">
      <c r="G2141" s="6"/>
    </row>
    <row r="2142" s="1" customFormat="1" ht="13.5">
      <c r="G2142" s="6"/>
    </row>
    <row r="2143" s="1" customFormat="1" ht="13.5">
      <c r="G2143" s="6"/>
    </row>
    <row r="2144" s="1" customFormat="1" ht="13.5">
      <c r="G2144" s="6"/>
    </row>
    <row r="2145" s="1" customFormat="1" ht="13.5">
      <c r="G2145" s="6"/>
    </row>
    <row r="2146" s="1" customFormat="1" ht="13.5">
      <c r="G2146" s="6"/>
    </row>
    <row r="2147" s="1" customFormat="1" ht="13.5">
      <c r="G2147" s="6"/>
    </row>
    <row r="2148" s="1" customFormat="1" ht="13.5">
      <c r="G2148" s="6"/>
    </row>
    <row r="2149" s="1" customFormat="1" ht="13.5">
      <c r="G2149" s="6"/>
    </row>
    <row r="2150" s="1" customFormat="1" ht="13.5">
      <c r="G2150" s="6"/>
    </row>
    <row r="2151" s="1" customFormat="1" ht="13.5">
      <c r="G2151" s="6"/>
    </row>
    <row r="2152" s="1" customFormat="1" ht="13.5">
      <c r="G2152" s="6"/>
    </row>
    <row r="2153" s="1" customFormat="1" ht="13.5">
      <c r="G2153" s="6"/>
    </row>
    <row r="2154" s="1" customFormat="1" ht="13.5">
      <c r="G2154" s="6"/>
    </row>
    <row r="2155" s="1" customFormat="1" ht="13.5">
      <c r="G2155" s="6"/>
    </row>
    <row r="2156" s="1" customFormat="1" ht="13.5">
      <c r="G2156" s="6"/>
    </row>
    <row r="2157" s="1" customFormat="1" ht="13.5">
      <c r="G2157" s="6"/>
    </row>
    <row r="2158" s="1" customFormat="1" ht="13.5">
      <c r="G2158" s="6"/>
    </row>
    <row r="2159" s="1" customFormat="1" ht="13.5">
      <c r="G2159" s="6"/>
    </row>
    <row r="2160" s="1" customFormat="1" ht="13.5">
      <c r="G2160" s="6"/>
    </row>
    <row r="2161" s="1" customFormat="1" ht="13.5">
      <c r="G2161" s="6"/>
    </row>
    <row r="2162" s="1" customFormat="1" ht="13.5">
      <c r="G2162" s="6"/>
    </row>
    <row r="2163" s="1" customFormat="1" ht="13.5">
      <c r="G2163" s="6"/>
    </row>
    <row r="2164" s="1" customFormat="1" ht="13.5">
      <c r="G2164" s="6"/>
    </row>
    <row r="2165" s="1" customFormat="1" ht="13.5">
      <c r="G2165" s="6"/>
    </row>
    <row r="2166" s="1" customFormat="1" ht="13.5">
      <c r="G2166" s="6"/>
    </row>
    <row r="2167" s="1" customFormat="1" ht="13.5">
      <c r="G2167" s="6"/>
    </row>
    <row r="2168" s="1" customFormat="1" ht="13.5">
      <c r="G2168" s="6"/>
    </row>
    <row r="2169" s="1" customFormat="1" ht="13.5">
      <c r="G2169" s="6"/>
    </row>
    <row r="2170" s="1" customFormat="1" ht="13.5">
      <c r="G2170" s="6"/>
    </row>
    <row r="2171" s="1" customFormat="1" ht="13.5">
      <c r="G2171" s="6"/>
    </row>
    <row r="2172" s="1" customFormat="1" ht="13.5">
      <c r="G2172" s="6"/>
    </row>
    <row r="2173" s="1" customFormat="1" ht="13.5">
      <c r="G2173" s="6"/>
    </row>
    <row r="2174" s="1" customFormat="1" ht="13.5">
      <c r="G2174" s="6"/>
    </row>
    <row r="2175" s="1" customFormat="1" ht="13.5">
      <c r="G2175" s="6"/>
    </row>
    <row r="2176" s="1" customFormat="1" ht="13.5">
      <c r="G2176" s="6"/>
    </row>
    <row r="2177" s="1" customFormat="1" ht="13.5">
      <c r="G2177" s="6"/>
    </row>
    <row r="2178" s="1" customFormat="1" ht="13.5">
      <c r="G2178" s="6"/>
    </row>
    <row r="2179" s="1" customFormat="1" ht="13.5">
      <c r="G2179" s="6"/>
    </row>
    <row r="2180" s="1" customFormat="1" ht="13.5">
      <c r="G2180" s="6"/>
    </row>
    <row r="2181" s="1" customFormat="1" ht="13.5">
      <c r="G2181" s="6"/>
    </row>
    <row r="2182" s="1" customFormat="1" ht="13.5">
      <c r="G2182" s="6"/>
    </row>
    <row r="2183" s="1" customFormat="1" ht="13.5">
      <c r="G2183" s="6"/>
    </row>
    <row r="2184" s="1" customFormat="1" ht="13.5">
      <c r="G2184" s="6"/>
    </row>
    <row r="2185" s="1" customFormat="1" ht="13.5">
      <c r="G2185" s="6"/>
    </row>
    <row r="2186" s="1" customFormat="1" ht="13.5">
      <c r="G2186" s="6"/>
    </row>
    <row r="2187" s="1" customFormat="1" ht="13.5">
      <c r="G2187" s="6"/>
    </row>
    <row r="2188" s="1" customFormat="1" ht="13.5">
      <c r="G2188" s="6"/>
    </row>
    <row r="2189" s="1" customFormat="1" ht="13.5">
      <c r="G2189" s="6"/>
    </row>
    <row r="2190" s="1" customFormat="1" ht="13.5">
      <c r="G2190" s="6"/>
    </row>
    <row r="2191" s="1" customFormat="1" ht="13.5">
      <c r="G2191" s="6"/>
    </row>
    <row r="2192" s="1" customFormat="1" ht="13.5">
      <c r="G2192" s="6"/>
    </row>
    <row r="2193" s="1" customFormat="1" ht="13.5">
      <c r="G2193" s="6"/>
    </row>
    <row r="2194" s="1" customFormat="1" ht="13.5">
      <c r="G2194" s="6"/>
    </row>
    <row r="2195" s="1" customFormat="1" ht="13.5">
      <c r="G2195" s="6"/>
    </row>
    <row r="2196" s="1" customFormat="1" ht="13.5">
      <c r="G2196" s="6"/>
    </row>
    <row r="2197" s="1" customFormat="1" ht="13.5">
      <c r="G2197" s="6"/>
    </row>
    <row r="2198" s="1" customFormat="1" ht="13.5">
      <c r="G2198" s="6"/>
    </row>
    <row r="2199" s="1" customFormat="1" ht="13.5">
      <c r="G2199" s="6"/>
    </row>
    <row r="2200" s="1" customFormat="1" ht="13.5">
      <c r="G2200" s="6"/>
    </row>
    <row r="2201" s="1" customFormat="1" ht="13.5">
      <c r="G2201" s="6"/>
    </row>
    <row r="2202" s="1" customFormat="1" ht="13.5">
      <c r="G2202" s="6"/>
    </row>
    <row r="2203" s="1" customFormat="1" ht="13.5">
      <c r="G2203" s="6"/>
    </row>
    <row r="2204" s="1" customFormat="1" ht="13.5">
      <c r="G2204" s="6"/>
    </row>
    <row r="2205" s="1" customFormat="1" ht="13.5">
      <c r="G2205" s="6"/>
    </row>
    <row r="2206" s="1" customFormat="1" ht="13.5">
      <c r="G2206" s="6"/>
    </row>
    <row r="2207" s="1" customFormat="1" ht="13.5">
      <c r="G2207" s="6"/>
    </row>
    <row r="2208" s="1" customFormat="1" ht="13.5">
      <c r="G2208" s="6"/>
    </row>
    <row r="2209" s="1" customFormat="1" ht="13.5">
      <c r="G2209" s="6"/>
    </row>
    <row r="2210" s="1" customFormat="1" ht="13.5">
      <c r="G2210" s="6"/>
    </row>
    <row r="2211" s="1" customFormat="1" ht="13.5">
      <c r="G2211" s="6"/>
    </row>
    <row r="2212" s="1" customFormat="1" ht="13.5">
      <c r="G2212" s="6"/>
    </row>
    <row r="2213" s="1" customFormat="1" ht="13.5">
      <c r="G2213" s="6"/>
    </row>
    <row r="2214" s="1" customFormat="1" ht="13.5">
      <c r="G2214" s="6"/>
    </row>
    <row r="2215" s="1" customFormat="1" ht="13.5">
      <c r="G2215" s="6"/>
    </row>
    <row r="2216" s="1" customFormat="1" ht="13.5">
      <c r="G2216" s="6"/>
    </row>
    <row r="2217" s="1" customFormat="1" ht="13.5">
      <c r="G2217" s="6"/>
    </row>
    <row r="2218" s="1" customFormat="1" ht="13.5">
      <c r="G2218" s="6"/>
    </row>
    <row r="2219" s="1" customFormat="1" ht="13.5">
      <c r="G2219" s="6"/>
    </row>
    <row r="2220" s="1" customFormat="1" ht="13.5">
      <c r="G2220" s="6"/>
    </row>
    <row r="2221" s="1" customFormat="1" ht="13.5">
      <c r="G2221" s="6"/>
    </row>
    <row r="2222" s="1" customFormat="1" ht="13.5">
      <c r="G2222" s="6"/>
    </row>
    <row r="2223" s="1" customFormat="1" ht="13.5">
      <c r="G2223" s="6"/>
    </row>
    <row r="2224" s="1" customFormat="1" ht="13.5">
      <c r="G2224" s="6"/>
    </row>
    <row r="2225" s="1" customFormat="1" ht="13.5">
      <c r="G2225" s="6"/>
    </row>
    <row r="2226" s="1" customFormat="1" ht="13.5">
      <c r="G2226" s="6"/>
    </row>
    <row r="2227" s="1" customFormat="1" ht="13.5">
      <c r="G2227" s="6"/>
    </row>
    <row r="2228" s="1" customFormat="1" ht="13.5">
      <c r="G2228" s="6"/>
    </row>
    <row r="2229" s="1" customFormat="1" ht="13.5">
      <c r="G2229" s="6"/>
    </row>
    <row r="2230" s="1" customFormat="1" ht="13.5">
      <c r="G2230" s="6"/>
    </row>
    <row r="2231" s="1" customFormat="1" ht="13.5">
      <c r="G2231" s="6"/>
    </row>
    <row r="2232" s="1" customFormat="1" ht="13.5">
      <c r="G2232" s="6"/>
    </row>
    <row r="2233" s="1" customFormat="1" ht="13.5">
      <c r="G2233" s="6"/>
    </row>
    <row r="2234" s="1" customFormat="1" ht="13.5">
      <c r="G2234" s="6"/>
    </row>
    <row r="2235" s="1" customFormat="1" ht="13.5">
      <c r="G2235" s="6"/>
    </row>
    <row r="2236" s="1" customFormat="1" ht="13.5">
      <c r="G2236" s="6"/>
    </row>
    <row r="2237" s="1" customFormat="1" ht="13.5">
      <c r="G2237" s="6"/>
    </row>
    <row r="2238" s="1" customFormat="1" ht="13.5">
      <c r="G2238" s="6"/>
    </row>
    <row r="2239" s="1" customFormat="1" ht="13.5">
      <c r="G2239" s="6"/>
    </row>
    <row r="2240" s="1" customFormat="1" ht="13.5">
      <c r="G2240" s="6"/>
    </row>
    <row r="2241" s="1" customFormat="1" ht="13.5">
      <c r="G2241" s="6"/>
    </row>
    <row r="2242" s="1" customFormat="1" ht="13.5">
      <c r="G2242" s="6"/>
    </row>
    <row r="2243" s="1" customFormat="1" ht="13.5">
      <c r="G2243" s="6"/>
    </row>
    <row r="2244" s="1" customFormat="1" ht="13.5">
      <c r="G2244" s="6"/>
    </row>
    <row r="2245" s="1" customFormat="1" ht="13.5">
      <c r="G2245" s="6"/>
    </row>
    <row r="2246" s="1" customFormat="1" ht="13.5">
      <c r="G2246" s="6"/>
    </row>
    <row r="2247" s="1" customFormat="1" ht="13.5">
      <c r="G2247" s="6"/>
    </row>
    <row r="2248" s="1" customFormat="1" ht="13.5">
      <c r="G2248" s="6"/>
    </row>
    <row r="2249" s="1" customFormat="1" ht="13.5">
      <c r="G2249" s="6"/>
    </row>
    <row r="2250" s="1" customFormat="1" ht="13.5">
      <c r="G2250" s="6"/>
    </row>
    <row r="2251" s="1" customFormat="1" ht="13.5">
      <c r="G2251" s="6"/>
    </row>
    <row r="2252" s="1" customFormat="1" ht="13.5">
      <c r="G2252" s="6"/>
    </row>
    <row r="2253" s="1" customFormat="1" ht="13.5">
      <c r="G2253" s="6"/>
    </row>
    <row r="2254" s="1" customFormat="1" ht="13.5">
      <c r="G2254" s="6"/>
    </row>
    <row r="2255" s="1" customFormat="1" ht="13.5">
      <c r="G2255" s="6"/>
    </row>
    <row r="2256" s="1" customFormat="1" ht="13.5">
      <c r="G2256" s="6"/>
    </row>
    <row r="2257" s="1" customFormat="1" ht="13.5">
      <c r="G2257" s="6"/>
    </row>
    <row r="2258" s="1" customFormat="1" ht="13.5">
      <c r="G2258" s="6"/>
    </row>
    <row r="2259" s="1" customFormat="1" ht="13.5">
      <c r="G2259" s="6"/>
    </row>
    <row r="2260" s="1" customFormat="1" ht="13.5">
      <c r="G2260" s="6"/>
    </row>
    <row r="2261" s="1" customFormat="1" ht="13.5">
      <c r="G2261" s="6"/>
    </row>
    <row r="2262" s="1" customFormat="1" ht="13.5">
      <c r="G2262" s="6"/>
    </row>
    <row r="2263" s="1" customFormat="1" ht="13.5">
      <c r="G2263" s="6"/>
    </row>
    <row r="2264" s="1" customFormat="1" ht="13.5">
      <c r="G2264" s="6"/>
    </row>
    <row r="2265" s="1" customFormat="1" ht="13.5">
      <c r="G2265" s="6"/>
    </row>
    <row r="2266" s="1" customFormat="1" ht="13.5">
      <c r="G2266" s="6"/>
    </row>
    <row r="2267" s="1" customFormat="1" ht="13.5">
      <c r="G2267" s="6"/>
    </row>
    <row r="2268" s="1" customFormat="1" ht="13.5">
      <c r="G2268" s="6"/>
    </row>
    <row r="2269" s="1" customFormat="1" ht="13.5">
      <c r="G2269" s="6"/>
    </row>
    <row r="2270" s="1" customFormat="1" ht="13.5">
      <c r="G2270" s="6"/>
    </row>
    <row r="2271" s="1" customFormat="1" ht="13.5">
      <c r="G2271" s="6"/>
    </row>
    <row r="2272" s="1" customFormat="1" ht="13.5">
      <c r="G2272" s="6"/>
    </row>
    <row r="2273" s="1" customFormat="1" ht="13.5">
      <c r="G2273" s="6"/>
    </row>
    <row r="2274" s="1" customFormat="1" ht="13.5">
      <c r="G2274" s="6"/>
    </row>
    <row r="2275" s="1" customFormat="1" ht="13.5">
      <c r="G2275" s="6"/>
    </row>
    <row r="2276" s="1" customFormat="1" ht="13.5">
      <c r="G2276" s="6"/>
    </row>
    <row r="2277" s="1" customFormat="1" ht="13.5">
      <c r="G2277" s="6"/>
    </row>
    <row r="2278" s="1" customFormat="1" ht="13.5">
      <c r="G2278" s="6"/>
    </row>
    <row r="2279" s="1" customFormat="1" ht="13.5">
      <c r="G2279" s="6"/>
    </row>
    <row r="2280" s="1" customFormat="1" ht="13.5">
      <c r="G2280" s="6"/>
    </row>
    <row r="2281" s="1" customFormat="1" ht="13.5">
      <c r="G2281" s="6"/>
    </row>
    <row r="2282" s="1" customFormat="1" ht="13.5">
      <c r="G2282" s="6"/>
    </row>
    <row r="2283" s="1" customFormat="1" ht="13.5">
      <c r="G2283" s="6"/>
    </row>
    <row r="2284" s="1" customFormat="1" ht="13.5">
      <c r="G2284" s="6"/>
    </row>
    <row r="2285" s="1" customFormat="1" ht="13.5">
      <c r="G2285" s="6"/>
    </row>
    <row r="2286" s="1" customFormat="1" ht="13.5">
      <c r="G2286" s="6"/>
    </row>
    <row r="2287" s="1" customFormat="1" ht="13.5">
      <c r="G2287" s="6"/>
    </row>
    <row r="2288" s="1" customFormat="1" ht="13.5">
      <c r="G2288" s="6"/>
    </row>
    <row r="2289" s="1" customFormat="1" ht="13.5">
      <c r="G2289" s="6"/>
    </row>
    <row r="2290" s="1" customFormat="1" ht="13.5">
      <c r="G2290" s="6"/>
    </row>
    <row r="2291" s="1" customFormat="1" ht="13.5">
      <c r="G2291" s="6"/>
    </row>
    <row r="2292" s="1" customFormat="1" ht="13.5">
      <c r="G2292" s="6"/>
    </row>
    <row r="2293" s="1" customFormat="1" ht="13.5">
      <c r="G2293" s="6"/>
    </row>
    <row r="2294" s="1" customFormat="1" ht="13.5">
      <c r="G2294" s="6"/>
    </row>
    <row r="2295" s="1" customFormat="1" ht="13.5">
      <c r="G2295" s="6"/>
    </row>
    <row r="2296" s="1" customFormat="1" ht="13.5">
      <c r="G2296" s="6"/>
    </row>
    <row r="2297" s="1" customFormat="1" ht="13.5">
      <c r="G2297" s="6"/>
    </row>
    <row r="2298" s="1" customFormat="1" ht="13.5">
      <c r="G2298" s="6"/>
    </row>
    <row r="2299" s="1" customFormat="1" ht="13.5">
      <c r="G2299" s="6"/>
    </row>
    <row r="2300" s="1" customFormat="1" ht="13.5">
      <c r="G2300" s="6"/>
    </row>
    <row r="2301" s="1" customFormat="1" ht="13.5">
      <c r="G2301" s="6"/>
    </row>
    <row r="2302" s="1" customFormat="1" ht="13.5">
      <c r="G2302" s="6"/>
    </row>
    <row r="2303" s="1" customFormat="1" ht="13.5">
      <c r="G2303" s="6"/>
    </row>
    <row r="2304" s="1" customFormat="1" ht="13.5">
      <c r="G2304" s="6"/>
    </row>
    <row r="2305" s="1" customFormat="1" ht="13.5">
      <c r="G2305" s="6"/>
    </row>
    <row r="2306" s="1" customFormat="1" ht="13.5">
      <c r="G2306" s="6"/>
    </row>
    <row r="2307" s="1" customFormat="1" ht="13.5">
      <c r="G2307" s="6"/>
    </row>
    <row r="2308" s="1" customFormat="1" ht="13.5">
      <c r="G2308" s="6"/>
    </row>
    <row r="2309" s="1" customFormat="1" ht="13.5">
      <c r="G2309" s="6"/>
    </row>
    <row r="2310" s="1" customFormat="1" ht="13.5">
      <c r="G2310" s="6"/>
    </row>
    <row r="2311" s="1" customFormat="1" ht="13.5">
      <c r="G2311" s="6"/>
    </row>
    <row r="2312" s="1" customFormat="1" ht="13.5">
      <c r="G2312" s="6"/>
    </row>
    <row r="2313" s="1" customFormat="1" ht="13.5">
      <c r="G2313" s="6"/>
    </row>
    <row r="2314" s="1" customFormat="1" ht="13.5">
      <c r="G2314" s="6"/>
    </row>
    <row r="2315" s="1" customFormat="1" ht="13.5">
      <c r="G2315" s="6"/>
    </row>
    <row r="2316" s="1" customFormat="1" ht="13.5">
      <c r="G2316" s="6"/>
    </row>
    <row r="2317" s="1" customFormat="1" ht="13.5">
      <c r="G2317" s="6"/>
    </row>
    <row r="2318" s="1" customFormat="1" ht="13.5">
      <c r="G2318" s="6"/>
    </row>
    <row r="2319" s="1" customFormat="1" ht="13.5">
      <c r="G2319" s="6"/>
    </row>
    <row r="2320" s="1" customFormat="1" ht="13.5">
      <c r="G2320" s="6"/>
    </row>
    <row r="2321" s="1" customFormat="1" ht="13.5">
      <c r="G2321" s="6"/>
    </row>
    <row r="2322" s="1" customFormat="1" ht="13.5">
      <c r="G2322" s="6"/>
    </row>
    <row r="2323" s="1" customFormat="1" ht="13.5">
      <c r="G2323" s="6"/>
    </row>
    <row r="2324" s="1" customFormat="1" ht="13.5">
      <c r="G2324" s="6"/>
    </row>
    <row r="2325" s="1" customFormat="1" ht="13.5">
      <c r="G2325" s="6"/>
    </row>
    <row r="2326" s="1" customFormat="1" ht="13.5">
      <c r="G2326" s="6"/>
    </row>
    <row r="2327" s="1" customFormat="1" ht="13.5">
      <c r="G2327" s="6"/>
    </row>
    <row r="2328" s="1" customFormat="1" ht="13.5">
      <c r="G2328" s="6"/>
    </row>
    <row r="2329" s="1" customFormat="1" ht="13.5">
      <c r="G2329" s="6"/>
    </row>
    <row r="2330" s="1" customFormat="1" ht="13.5">
      <c r="G2330" s="6"/>
    </row>
    <row r="2331" s="1" customFormat="1" ht="13.5">
      <c r="G2331" s="6"/>
    </row>
    <row r="2332" s="1" customFormat="1" ht="13.5">
      <c r="G2332" s="6"/>
    </row>
    <row r="2333" s="1" customFormat="1" ht="13.5">
      <c r="G2333" s="6"/>
    </row>
    <row r="2334" s="1" customFormat="1" ht="13.5">
      <c r="G2334" s="6"/>
    </row>
    <row r="2335" s="1" customFormat="1" ht="13.5">
      <c r="G2335" s="6"/>
    </row>
    <row r="2336" s="1" customFormat="1" ht="13.5">
      <c r="G2336" s="6"/>
    </row>
    <row r="2337" s="1" customFormat="1" ht="13.5">
      <c r="G2337" s="6"/>
    </row>
    <row r="2338" s="1" customFormat="1" ht="13.5">
      <c r="G2338" s="6"/>
    </row>
    <row r="2339" s="1" customFormat="1" ht="13.5">
      <c r="G2339" s="6"/>
    </row>
    <row r="2340" s="1" customFormat="1" ht="13.5">
      <c r="G2340" s="6"/>
    </row>
    <row r="2341" s="1" customFormat="1" ht="13.5">
      <c r="G2341" s="6"/>
    </row>
    <row r="2342" s="1" customFormat="1" ht="13.5">
      <c r="G2342" s="6"/>
    </row>
    <row r="2343" s="1" customFormat="1" ht="13.5">
      <c r="G2343" s="6"/>
    </row>
    <row r="2344" s="1" customFormat="1" ht="13.5">
      <c r="G2344" s="6"/>
    </row>
    <row r="2345" s="1" customFormat="1" ht="13.5">
      <c r="G2345" s="6"/>
    </row>
    <row r="2346" s="1" customFormat="1" ht="13.5">
      <c r="G2346" s="6"/>
    </row>
    <row r="2347" s="1" customFormat="1" ht="13.5">
      <c r="G2347" s="6"/>
    </row>
    <row r="2348" s="1" customFormat="1" ht="13.5">
      <c r="G2348" s="6"/>
    </row>
    <row r="2349" s="1" customFormat="1" ht="13.5">
      <c r="G2349" s="6"/>
    </row>
    <row r="2350" s="1" customFormat="1" ht="13.5">
      <c r="G2350" s="6"/>
    </row>
    <row r="2351" s="1" customFormat="1" ht="13.5">
      <c r="G2351" s="6"/>
    </row>
    <row r="2352" s="1" customFormat="1" ht="13.5">
      <c r="G2352" s="6"/>
    </row>
    <row r="2353" s="1" customFormat="1" ht="13.5">
      <c r="G2353" s="6"/>
    </row>
    <row r="2354" s="1" customFormat="1" ht="13.5">
      <c r="G2354" s="6"/>
    </row>
    <row r="2355" s="1" customFormat="1" ht="13.5">
      <c r="G2355" s="6"/>
    </row>
    <row r="2356" s="1" customFormat="1" ht="13.5">
      <c r="G2356" s="6"/>
    </row>
    <row r="2357" s="1" customFormat="1" ht="13.5">
      <c r="G2357" s="6"/>
    </row>
    <row r="2358" s="1" customFormat="1" ht="13.5">
      <c r="G2358" s="6"/>
    </row>
    <row r="2359" s="1" customFormat="1" ht="13.5">
      <c r="G2359" s="6"/>
    </row>
    <row r="2360" s="1" customFormat="1" ht="13.5">
      <c r="G2360" s="6"/>
    </row>
    <row r="2361" s="1" customFormat="1" ht="13.5">
      <c r="G2361" s="6"/>
    </row>
    <row r="2362" s="1" customFormat="1" ht="13.5">
      <c r="G2362" s="6"/>
    </row>
    <row r="2363" s="1" customFormat="1" ht="13.5">
      <c r="G2363" s="6"/>
    </row>
    <row r="2364" s="1" customFormat="1" ht="13.5">
      <c r="G2364" s="6"/>
    </row>
    <row r="2365" s="1" customFormat="1" ht="13.5">
      <c r="G2365" s="6"/>
    </row>
    <row r="2366" s="1" customFormat="1" ht="13.5">
      <c r="G2366" s="6"/>
    </row>
    <row r="2367" s="1" customFormat="1" ht="13.5">
      <c r="G2367" s="6"/>
    </row>
    <row r="2368" s="1" customFormat="1" ht="13.5">
      <c r="G2368" s="6"/>
    </row>
    <row r="2369" s="1" customFormat="1" ht="13.5">
      <c r="G2369" s="6"/>
    </row>
    <row r="2370" s="1" customFormat="1" ht="13.5">
      <c r="G2370" s="6"/>
    </row>
    <row r="2371" s="1" customFormat="1" ht="13.5">
      <c r="G2371" s="6"/>
    </row>
    <row r="2372" s="1" customFormat="1" ht="13.5">
      <c r="G2372" s="6"/>
    </row>
    <row r="2373" s="1" customFormat="1" ht="13.5">
      <c r="G2373" s="6"/>
    </row>
    <row r="2374" s="1" customFormat="1" ht="13.5">
      <c r="G2374" s="6"/>
    </row>
    <row r="2375" s="1" customFormat="1" ht="13.5">
      <c r="G2375" s="6"/>
    </row>
    <row r="2376" s="1" customFormat="1" ht="13.5">
      <c r="G2376" s="6"/>
    </row>
    <row r="2377" s="1" customFormat="1" ht="13.5">
      <c r="G2377" s="6"/>
    </row>
    <row r="2378" s="1" customFormat="1" ht="13.5">
      <c r="G2378" s="6"/>
    </row>
    <row r="2379" s="1" customFormat="1" ht="13.5">
      <c r="G2379" s="6"/>
    </row>
    <row r="2380" s="1" customFormat="1" ht="13.5">
      <c r="G2380" s="6"/>
    </row>
    <row r="2381" s="1" customFormat="1" ht="13.5">
      <c r="G2381" s="6"/>
    </row>
    <row r="2382" s="1" customFormat="1" ht="13.5">
      <c r="G2382" s="6"/>
    </row>
    <row r="2383" s="1" customFormat="1" ht="13.5">
      <c r="G2383" s="6"/>
    </row>
    <row r="2384" s="1" customFormat="1" ht="13.5">
      <c r="G2384" s="6"/>
    </row>
    <row r="2385" s="1" customFormat="1" ht="13.5">
      <c r="G2385" s="6"/>
    </row>
    <row r="2386" s="1" customFormat="1" ht="13.5">
      <c r="G2386" s="6"/>
    </row>
    <row r="2387" s="1" customFormat="1" ht="13.5">
      <c r="G2387" s="6"/>
    </row>
    <row r="2388" s="1" customFormat="1" ht="13.5">
      <c r="G2388" s="6"/>
    </row>
    <row r="2389" s="1" customFormat="1" ht="13.5">
      <c r="G2389" s="6"/>
    </row>
    <row r="2390" s="1" customFormat="1" ht="13.5">
      <c r="G2390" s="6"/>
    </row>
    <row r="2391" s="1" customFormat="1" ht="13.5">
      <c r="G2391" s="6"/>
    </row>
    <row r="2392" s="1" customFormat="1" ht="13.5">
      <c r="G2392" s="6"/>
    </row>
    <row r="2393" s="1" customFormat="1" ht="13.5">
      <c r="G2393" s="6"/>
    </row>
    <row r="2394" s="1" customFormat="1" ht="13.5">
      <c r="G2394" s="6"/>
    </row>
    <row r="2395" s="1" customFormat="1" ht="13.5">
      <c r="G2395" s="6"/>
    </row>
    <row r="2396" s="1" customFormat="1" ht="13.5">
      <c r="G2396" s="6"/>
    </row>
    <row r="2397" s="1" customFormat="1" ht="13.5">
      <c r="G2397" s="6"/>
    </row>
    <row r="2398" s="1" customFormat="1" ht="13.5">
      <c r="G2398" s="6"/>
    </row>
    <row r="2399" s="1" customFormat="1" ht="13.5">
      <c r="G2399" s="6"/>
    </row>
    <row r="2400" s="1" customFormat="1" ht="13.5">
      <c r="G2400" s="6"/>
    </row>
    <row r="2401" s="1" customFormat="1" ht="13.5">
      <c r="G2401" s="6"/>
    </row>
    <row r="2402" s="1" customFormat="1" ht="13.5">
      <c r="G2402" s="6"/>
    </row>
    <row r="2403" s="1" customFormat="1" ht="13.5">
      <c r="G2403" s="6"/>
    </row>
    <row r="2404" s="1" customFormat="1" ht="13.5">
      <c r="G2404" s="6"/>
    </row>
    <row r="2405" s="1" customFormat="1" ht="13.5">
      <c r="G2405" s="6"/>
    </row>
    <row r="2406" s="1" customFormat="1" ht="13.5">
      <c r="G2406" s="6"/>
    </row>
    <row r="2407" s="1" customFormat="1" ht="13.5">
      <c r="G2407" s="6"/>
    </row>
    <row r="2408" s="1" customFormat="1" ht="13.5">
      <c r="G2408" s="6"/>
    </row>
    <row r="2409" s="1" customFormat="1" ht="13.5">
      <c r="G2409" s="6"/>
    </row>
    <row r="2410" s="1" customFormat="1" ht="13.5">
      <c r="G2410" s="6"/>
    </row>
    <row r="2411" s="1" customFormat="1" ht="13.5">
      <c r="G2411" s="6"/>
    </row>
    <row r="2412" s="1" customFormat="1" ht="13.5">
      <c r="G2412" s="6"/>
    </row>
    <row r="2413" s="1" customFormat="1" ht="13.5">
      <c r="G2413" s="6"/>
    </row>
    <row r="2414" s="1" customFormat="1" ht="13.5">
      <c r="G2414" s="6"/>
    </row>
    <row r="2415" s="1" customFormat="1" ht="13.5">
      <c r="G2415" s="6"/>
    </row>
    <row r="2416" s="1" customFormat="1" ht="13.5">
      <c r="G2416" s="6"/>
    </row>
    <row r="2417" s="1" customFormat="1" ht="13.5">
      <c r="G2417" s="6"/>
    </row>
    <row r="2418" s="1" customFormat="1" ht="13.5">
      <c r="G2418" s="6"/>
    </row>
    <row r="2419" s="1" customFormat="1" ht="13.5">
      <c r="G2419" s="6"/>
    </row>
    <row r="2420" s="1" customFormat="1" ht="13.5">
      <c r="G2420" s="6"/>
    </row>
    <row r="2421" s="1" customFormat="1" ht="13.5">
      <c r="G2421" s="6"/>
    </row>
    <row r="2422" s="1" customFormat="1" ht="13.5">
      <c r="G2422" s="6"/>
    </row>
    <row r="2423" s="1" customFormat="1" ht="13.5">
      <c r="G2423" s="6"/>
    </row>
    <row r="2424" s="1" customFormat="1" ht="13.5">
      <c r="G2424" s="6"/>
    </row>
    <row r="2425" s="1" customFormat="1" ht="13.5">
      <c r="G2425" s="6"/>
    </row>
    <row r="2426" s="1" customFormat="1" ht="13.5">
      <c r="G2426" s="6"/>
    </row>
    <row r="2427" s="1" customFormat="1" ht="13.5">
      <c r="G2427" s="6"/>
    </row>
    <row r="2428" s="1" customFormat="1" ht="13.5">
      <c r="G2428" s="6"/>
    </row>
    <row r="2429" s="1" customFormat="1" ht="13.5">
      <c r="G2429" s="6"/>
    </row>
    <row r="2430" s="1" customFormat="1" ht="13.5">
      <c r="G2430" s="6"/>
    </row>
    <row r="2431" s="1" customFormat="1" ht="13.5">
      <c r="G2431" s="6"/>
    </row>
    <row r="2432" s="1" customFormat="1" ht="13.5">
      <c r="G2432" s="6"/>
    </row>
    <row r="2433" s="1" customFormat="1" ht="13.5">
      <c r="G2433" s="6"/>
    </row>
    <row r="2434" s="1" customFormat="1" ht="13.5">
      <c r="G2434" s="6"/>
    </row>
    <row r="2435" s="1" customFormat="1" ht="13.5">
      <c r="G2435" s="6"/>
    </row>
    <row r="2436" s="1" customFormat="1" ht="13.5">
      <c r="G2436" s="6"/>
    </row>
    <row r="2437" s="1" customFormat="1" ht="13.5">
      <c r="G2437" s="6"/>
    </row>
    <row r="2438" s="1" customFormat="1" ht="13.5">
      <c r="G2438" s="6"/>
    </row>
    <row r="2439" s="1" customFormat="1" ht="13.5">
      <c r="G2439" s="6"/>
    </row>
    <row r="2440" s="1" customFormat="1" ht="13.5">
      <c r="G2440" s="6"/>
    </row>
    <row r="2441" s="1" customFormat="1" ht="13.5">
      <c r="G2441" s="6"/>
    </row>
    <row r="2442" s="1" customFormat="1" ht="13.5">
      <c r="G2442" s="6"/>
    </row>
    <row r="2443" s="1" customFormat="1" ht="13.5">
      <c r="G2443" s="6"/>
    </row>
    <row r="2444" s="1" customFormat="1" ht="13.5">
      <c r="G2444" s="6"/>
    </row>
    <row r="2445" s="1" customFormat="1" ht="13.5">
      <c r="G2445" s="6"/>
    </row>
    <row r="2446" s="1" customFormat="1" ht="13.5">
      <c r="G2446" s="6"/>
    </row>
    <row r="2447" s="1" customFormat="1" ht="13.5">
      <c r="G2447" s="6"/>
    </row>
    <row r="2448" s="1" customFormat="1" ht="13.5">
      <c r="G2448" s="6"/>
    </row>
    <row r="2449" s="1" customFormat="1" ht="13.5">
      <c r="G2449" s="6"/>
    </row>
    <row r="2450" s="1" customFormat="1" ht="13.5">
      <c r="G2450" s="6"/>
    </row>
    <row r="2451" s="1" customFormat="1" ht="13.5">
      <c r="G2451" s="6"/>
    </row>
    <row r="2452" s="1" customFormat="1" ht="13.5">
      <c r="G2452" s="6"/>
    </row>
    <row r="2453" s="1" customFormat="1" ht="13.5">
      <c r="G2453" s="6"/>
    </row>
    <row r="2454" s="1" customFormat="1" ht="13.5">
      <c r="G2454" s="6"/>
    </row>
    <row r="2455" s="1" customFormat="1" ht="13.5">
      <c r="G2455" s="6"/>
    </row>
    <row r="2456" s="1" customFormat="1" ht="13.5">
      <c r="G2456" s="6"/>
    </row>
    <row r="2457" s="1" customFormat="1" ht="13.5">
      <c r="G2457" s="6"/>
    </row>
    <row r="2458" s="1" customFormat="1" ht="13.5">
      <c r="G2458" s="6"/>
    </row>
    <row r="2459" s="1" customFormat="1" ht="13.5">
      <c r="G2459" s="6"/>
    </row>
    <row r="2460" s="1" customFormat="1" ht="13.5">
      <c r="G2460" s="6"/>
    </row>
    <row r="2461" s="1" customFormat="1" ht="13.5">
      <c r="G2461" s="6"/>
    </row>
    <row r="2462" s="1" customFormat="1" ht="13.5">
      <c r="G2462" s="6"/>
    </row>
    <row r="2463" s="1" customFormat="1" ht="13.5">
      <c r="G2463" s="6"/>
    </row>
    <row r="2464" s="1" customFormat="1" ht="13.5">
      <c r="G2464" s="6"/>
    </row>
    <row r="2465" s="1" customFormat="1" ht="13.5">
      <c r="G2465" s="6"/>
    </row>
    <row r="2466" s="1" customFormat="1" ht="13.5">
      <c r="G2466" s="6"/>
    </row>
    <row r="2467" s="1" customFormat="1" ht="13.5">
      <c r="G2467" s="6"/>
    </row>
    <row r="2468" s="1" customFormat="1" ht="13.5">
      <c r="G2468" s="6"/>
    </row>
    <row r="2469" s="1" customFormat="1" ht="13.5">
      <c r="G2469" s="6"/>
    </row>
    <row r="2470" s="1" customFormat="1" ht="13.5">
      <c r="G2470" s="6"/>
    </row>
    <row r="2471" s="1" customFormat="1" ht="13.5">
      <c r="G2471" s="6"/>
    </row>
    <row r="2472" s="1" customFormat="1" ht="13.5">
      <c r="G2472" s="6"/>
    </row>
    <row r="2473" s="1" customFormat="1" ht="13.5">
      <c r="G2473" s="6"/>
    </row>
    <row r="2474" s="1" customFormat="1" ht="13.5">
      <c r="G2474" s="6"/>
    </row>
    <row r="2475" s="1" customFormat="1" ht="13.5">
      <c r="G2475" s="6"/>
    </row>
    <row r="2476" s="1" customFormat="1" ht="13.5">
      <c r="G2476" s="6"/>
    </row>
    <row r="2477" s="1" customFormat="1" ht="13.5">
      <c r="G2477" s="6"/>
    </row>
    <row r="2478" s="1" customFormat="1" ht="13.5">
      <c r="G2478" s="6"/>
    </row>
    <row r="2479" s="1" customFormat="1" ht="13.5">
      <c r="G2479" s="6"/>
    </row>
    <row r="2480" s="1" customFormat="1" ht="13.5">
      <c r="G2480" s="6"/>
    </row>
    <row r="2481" s="1" customFormat="1" ht="13.5">
      <c r="G2481" s="6"/>
    </row>
    <row r="2482" s="1" customFormat="1" ht="13.5">
      <c r="G2482" s="6"/>
    </row>
    <row r="2483" s="1" customFormat="1" ht="13.5">
      <c r="G2483" s="6"/>
    </row>
    <row r="2484" s="1" customFormat="1" ht="13.5">
      <c r="G2484" s="6"/>
    </row>
    <row r="2485" s="1" customFormat="1" ht="13.5">
      <c r="G2485" s="6"/>
    </row>
    <row r="2486" s="1" customFormat="1" ht="13.5">
      <c r="G2486" s="6"/>
    </row>
    <row r="2487" s="1" customFormat="1" ht="13.5">
      <c r="G2487" s="6"/>
    </row>
    <row r="2488" s="1" customFormat="1" ht="13.5">
      <c r="G2488" s="6"/>
    </row>
    <row r="2489" s="1" customFormat="1" ht="13.5">
      <c r="G2489" s="6"/>
    </row>
    <row r="2490" s="1" customFormat="1" ht="13.5">
      <c r="G2490" s="6"/>
    </row>
    <row r="2491" s="1" customFormat="1" ht="13.5">
      <c r="G2491" s="6"/>
    </row>
    <row r="2492" s="1" customFormat="1" ht="13.5">
      <c r="G2492" s="6"/>
    </row>
    <row r="2493" s="1" customFormat="1" ht="13.5">
      <c r="G2493" s="6"/>
    </row>
    <row r="2494" s="1" customFormat="1" ht="13.5">
      <c r="G2494" s="6"/>
    </row>
    <row r="2495" s="1" customFormat="1" ht="13.5">
      <c r="G2495" s="6"/>
    </row>
    <row r="2496" s="1" customFormat="1" ht="13.5">
      <c r="G2496" s="6"/>
    </row>
    <row r="2497" s="1" customFormat="1" ht="13.5">
      <c r="G2497" s="6"/>
    </row>
    <row r="2498" s="1" customFormat="1" ht="13.5">
      <c r="G2498" s="6"/>
    </row>
    <row r="2499" s="1" customFormat="1" ht="13.5">
      <c r="G2499" s="6"/>
    </row>
    <row r="2500" s="1" customFormat="1" ht="13.5">
      <c r="G2500" s="6"/>
    </row>
    <row r="2501" s="1" customFormat="1" ht="13.5">
      <c r="G2501" s="6"/>
    </row>
    <row r="2502" s="1" customFormat="1" ht="13.5">
      <c r="G2502" s="6"/>
    </row>
    <row r="2503" s="1" customFormat="1" ht="13.5">
      <c r="G2503" s="6"/>
    </row>
    <row r="2504" s="1" customFormat="1" ht="13.5">
      <c r="G2504" s="6"/>
    </row>
    <row r="2505" s="1" customFormat="1" ht="13.5">
      <c r="G2505" s="6"/>
    </row>
    <row r="2506" s="1" customFormat="1" ht="13.5">
      <c r="G2506" s="6"/>
    </row>
    <row r="2507" s="1" customFormat="1" ht="13.5">
      <c r="G2507" s="6"/>
    </row>
    <row r="2508" s="1" customFormat="1" ht="13.5">
      <c r="G2508" s="6"/>
    </row>
    <row r="2509" s="1" customFormat="1" ht="13.5">
      <c r="G2509" s="6"/>
    </row>
    <row r="2510" s="1" customFormat="1" ht="13.5">
      <c r="G2510" s="6"/>
    </row>
    <row r="2511" s="1" customFormat="1" ht="13.5">
      <c r="G2511" s="6"/>
    </row>
    <row r="2512" s="1" customFormat="1" ht="13.5">
      <c r="G2512" s="6"/>
    </row>
    <row r="2513" s="1" customFormat="1" ht="13.5">
      <c r="G2513" s="6"/>
    </row>
    <row r="2514" s="1" customFormat="1" ht="13.5">
      <c r="G2514" s="6"/>
    </row>
    <row r="2515" s="1" customFormat="1" ht="13.5">
      <c r="G2515" s="6"/>
    </row>
    <row r="2516" s="1" customFormat="1" ht="13.5">
      <c r="G2516" s="6"/>
    </row>
    <row r="2517" s="1" customFormat="1" ht="13.5">
      <c r="G2517" s="6"/>
    </row>
    <row r="2518" s="1" customFormat="1" ht="13.5">
      <c r="G2518" s="6"/>
    </row>
    <row r="2519" s="1" customFormat="1" ht="13.5">
      <c r="G2519" s="6"/>
    </row>
    <row r="2520" s="1" customFormat="1" ht="13.5">
      <c r="G2520" s="6"/>
    </row>
    <row r="2521" s="1" customFormat="1" ht="13.5">
      <c r="G2521" s="6"/>
    </row>
    <row r="2522" s="1" customFormat="1" ht="13.5">
      <c r="G2522" s="6"/>
    </row>
    <row r="2523" s="1" customFormat="1" ht="13.5">
      <c r="G2523" s="6"/>
    </row>
    <row r="2524" s="1" customFormat="1" ht="13.5">
      <c r="G2524" s="6"/>
    </row>
    <row r="2525" s="1" customFormat="1" ht="13.5">
      <c r="G2525" s="6"/>
    </row>
    <row r="2526" s="1" customFormat="1" ht="13.5">
      <c r="G2526" s="6"/>
    </row>
    <row r="2527" s="1" customFormat="1" ht="13.5">
      <c r="G2527" s="6"/>
    </row>
    <row r="2528" s="1" customFormat="1" ht="13.5">
      <c r="G2528" s="6"/>
    </row>
    <row r="2529" s="1" customFormat="1" ht="13.5">
      <c r="G2529" s="6"/>
    </row>
    <row r="2530" s="1" customFormat="1" ht="13.5">
      <c r="G2530" s="6"/>
    </row>
    <row r="2531" s="1" customFormat="1" ht="13.5">
      <c r="G2531" s="6"/>
    </row>
    <row r="2532" s="1" customFormat="1" ht="13.5">
      <c r="G2532" s="6"/>
    </row>
    <row r="2533" s="1" customFormat="1" ht="13.5">
      <c r="G2533" s="6"/>
    </row>
    <row r="2534" s="1" customFormat="1" ht="13.5">
      <c r="G2534" s="6"/>
    </row>
    <row r="2535" s="1" customFormat="1" ht="13.5">
      <c r="G2535" s="6"/>
    </row>
    <row r="2536" s="1" customFormat="1" ht="13.5">
      <c r="G2536" s="6"/>
    </row>
    <row r="2537" s="1" customFormat="1" ht="13.5">
      <c r="G2537" s="6"/>
    </row>
    <row r="2538" s="1" customFormat="1" ht="13.5">
      <c r="G2538" s="6"/>
    </row>
    <row r="2539" s="1" customFormat="1" ht="13.5">
      <c r="G2539" s="6"/>
    </row>
    <row r="2540" s="1" customFormat="1" ht="13.5">
      <c r="G2540" s="6"/>
    </row>
    <row r="2541" s="1" customFormat="1" ht="13.5">
      <c r="G2541" s="6"/>
    </row>
    <row r="2542" s="1" customFormat="1" ht="13.5">
      <c r="G2542" s="6"/>
    </row>
    <row r="2543" s="1" customFormat="1" ht="13.5">
      <c r="G2543" s="6"/>
    </row>
    <row r="2544" s="1" customFormat="1" ht="13.5">
      <c r="G2544" s="6"/>
    </row>
    <row r="2545" s="1" customFormat="1" ht="13.5">
      <c r="G2545" s="6"/>
    </row>
    <row r="2546" s="1" customFormat="1" ht="13.5">
      <c r="G2546" s="6"/>
    </row>
    <row r="2547" s="1" customFormat="1" ht="13.5">
      <c r="G2547" s="6"/>
    </row>
    <row r="2548" s="1" customFormat="1" ht="13.5">
      <c r="G2548" s="6"/>
    </row>
    <row r="2549" s="1" customFormat="1" ht="13.5">
      <c r="G2549" s="6"/>
    </row>
    <row r="2550" s="1" customFormat="1" ht="13.5">
      <c r="G2550" s="6"/>
    </row>
    <row r="2551" s="1" customFormat="1" ht="13.5">
      <c r="G2551" s="6"/>
    </row>
    <row r="2552" s="1" customFormat="1" ht="13.5">
      <c r="G2552" s="6"/>
    </row>
    <row r="2553" s="1" customFormat="1" ht="13.5">
      <c r="G2553" s="6"/>
    </row>
    <row r="2554" s="1" customFormat="1" ht="13.5">
      <c r="G2554" s="6"/>
    </row>
    <row r="2555" s="1" customFormat="1" ht="13.5">
      <c r="G2555" s="6"/>
    </row>
    <row r="2556" s="1" customFormat="1" ht="13.5">
      <c r="G2556" s="6"/>
    </row>
    <row r="2557" s="1" customFormat="1" ht="13.5">
      <c r="G2557" s="6"/>
    </row>
    <row r="2558" s="1" customFormat="1" ht="13.5">
      <c r="G2558" s="6"/>
    </row>
    <row r="2559" s="1" customFormat="1" ht="13.5">
      <c r="G2559" s="6"/>
    </row>
    <row r="2560" s="1" customFormat="1" ht="13.5">
      <c r="G2560" s="6"/>
    </row>
    <row r="2561" s="1" customFormat="1" ht="13.5">
      <c r="G2561" s="6"/>
    </row>
    <row r="2562" s="1" customFormat="1" ht="13.5">
      <c r="G2562" s="6"/>
    </row>
    <row r="2563" s="1" customFormat="1" ht="13.5">
      <c r="G2563" s="6"/>
    </row>
    <row r="2564" s="1" customFormat="1" ht="13.5">
      <c r="G2564" s="6"/>
    </row>
    <row r="2565" s="1" customFormat="1" ht="13.5">
      <c r="G2565" s="6"/>
    </row>
    <row r="2566" s="1" customFormat="1" ht="13.5">
      <c r="G2566" s="6"/>
    </row>
    <row r="2567" s="1" customFormat="1" ht="13.5">
      <c r="G2567" s="6"/>
    </row>
    <row r="2568" s="1" customFormat="1" ht="13.5">
      <c r="G2568" s="6"/>
    </row>
    <row r="2569" s="1" customFormat="1" ht="13.5">
      <c r="G2569" s="6"/>
    </row>
    <row r="2570" s="1" customFormat="1" ht="13.5">
      <c r="G2570" s="6"/>
    </row>
    <row r="2571" s="1" customFormat="1" ht="13.5">
      <c r="G2571" s="6"/>
    </row>
    <row r="2572" s="1" customFormat="1" ht="13.5">
      <c r="G2572" s="6"/>
    </row>
    <row r="2573" s="1" customFormat="1" ht="13.5">
      <c r="G2573" s="6"/>
    </row>
    <row r="2574" s="1" customFormat="1" ht="13.5">
      <c r="G2574" s="6"/>
    </row>
    <row r="2575" s="1" customFormat="1" ht="13.5">
      <c r="G2575" s="6"/>
    </row>
    <row r="2576" s="1" customFormat="1" ht="13.5">
      <c r="G2576" s="6"/>
    </row>
    <row r="2577" s="1" customFormat="1" ht="13.5">
      <c r="G2577" s="6"/>
    </row>
    <row r="2578" s="1" customFormat="1" ht="13.5">
      <c r="G2578" s="6"/>
    </row>
    <row r="2579" s="1" customFormat="1" ht="13.5">
      <c r="G2579" s="6"/>
    </row>
    <row r="2580" s="1" customFormat="1" ht="13.5">
      <c r="G2580" s="6"/>
    </row>
    <row r="2581" s="1" customFormat="1" ht="13.5">
      <c r="G2581" s="6"/>
    </row>
    <row r="2582" s="1" customFormat="1" ht="13.5">
      <c r="G2582" s="6"/>
    </row>
    <row r="2583" s="1" customFormat="1" ht="13.5">
      <c r="G2583" s="6"/>
    </row>
    <row r="2584" s="1" customFormat="1" ht="13.5">
      <c r="G2584" s="6"/>
    </row>
    <row r="2585" s="1" customFormat="1" ht="13.5">
      <c r="G2585" s="6"/>
    </row>
    <row r="2586" s="1" customFormat="1" ht="13.5">
      <c r="G2586" s="6"/>
    </row>
    <row r="2587" s="1" customFormat="1" ht="13.5">
      <c r="G2587" s="6"/>
    </row>
    <row r="2588" s="1" customFormat="1" ht="13.5">
      <c r="G2588" s="6"/>
    </row>
    <row r="2589" s="1" customFormat="1" ht="13.5">
      <c r="G2589" s="6"/>
    </row>
    <row r="2590" s="1" customFormat="1" ht="13.5">
      <c r="G2590" s="6"/>
    </row>
    <row r="2591" s="1" customFormat="1" ht="13.5">
      <c r="G2591" s="6"/>
    </row>
    <row r="2592" s="1" customFormat="1" ht="13.5">
      <c r="G2592" s="6"/>
    </row>
    <row r="2593" s="1" customFormat="1" ht="13.5">
      <c r="G2593" s="6"/>
    </row>
    <row r="2594" s="1" customFormat="1" ht="13.5">
      <c r="G2594" s="6"/>
    </row>
    <row r="2595" s="1" customFormat="1" ht="13.5">
      <c r="G2595" s="6"/>
    </row>
    <row r="2596" s="1" customFormat="1" ht="13.5">
      <c r="G2596" s="6"/>
    </row>
    <row r="2597" s="1" customFormat="1" ht="13.5">
      <c r="G2597" s="6"/>
    </row>
    <row r="2598" s="1" customFormat="1" ht="13.5">
      <c r="G2598" s="6"/>
    </row>
    <row r="2599" s="1" customFormat="1" ht="13.5">
      <c r="G2599" s="6"/>
    </row>
    <row r="2600" s="1" customFormat="1" ht="13.5">
      <c r="G2600" s="6"/>
    </row>
    <row r="2601" s="1" customFormat="1" ht="13.5">
      <c r="G2601" s="6"/>
    </row>
    <row r="2602" s="1" customFormat="1" ht="13.5">
      <c r="G2602" s="6"/>
    </row>
    <row r="2603" s="1" customFormat="1" ht="13.5">
      <c r="G2603" s="6"/>
    </row>
    <row r="2604" s="1" customFormat="1" ht="13.5">
      <c r="G2604" s="6"/>
    </row>
    <row r="2605" s="1" customFormat="1" ht="13.5">
      <c r="G2605" s="6"/>
    </row>
    <row r="2606" s="1" customFormat="1" ht="13.5">
      <c r="G2606" s="6"/>
    </row>
    <row r="2607" s="1" customFormat="1" ht="13.5">
      <c r="G2607" s="6"/>
    </row>
    <row r="2608" s="1" customFormat="1" ht="13.5">
      <c r="G2608" s="6"/>
    </row>
    <row r="2609" s="1" customFormat="1" ht="13.5">
      <c r="G2609" s="6"/>
    </row>
    <row r="2610" s="1" customFormat="1" ht="13.5">
      <c r="G2610" s="6"/>
    </row>
    <row r="2611" s="1" customFormat="1" ht="13.5">
      <c r="G2611" s="6"/>
    </row>
    <row r="2612" s="1" customFormat="1" ht="13.5">
      <c r="G2612" s="6"/>
    </row>
    <row r="2613" s="1" customFormat="1" ht="13.5">
      <c r="G2613" s="6"/>
    </row>
    <row r="2614" s="1" customFormat="1" ht="13.5">
      <c r="G2614" s="6"/>
    </row>
    <row r="2615" s="1" customFormat="1" ht="13.5">
      <c r="G2615" s="6"/>
    </row>
    <row r="2616" s="1" customFormat="1" ht="13.5">
      <c r="G2616" s="6"/>
    </row>
    <row r="2617" s="1" customFormat="1" ht="13.5">
      <c r="G2617" s="6"/>
    </row>
    <row r="2618" s="1" customFormat="1" ht="13.5">
      <c r="G2618" s="6"/>
    </row>
    <row r="2619" s="1" customFormat="1" ht="13.5">
      <c r="G2619" s="6"/>
    </row>
    <row r="2620" s="1" customFormat="1" ht="13.5">
      <c r="G2620" s="6"/>
    </row>
    <row r="2621" s="1" customFormat="1" ht="13.5">
      <c r="G2621" s="6"/>
    </row>
    <row r="2622" s="1" customFormat="1" ht="13.5">
      <c r="G2622" s="6"/>
    </row>
    <row r="2623" s="1" customFormat="1" ht="13.5">
      <c r="G2623" s="6"/>
    </row>
    <row r="2624" s="1" customFormat="1" ht="13.5">
      <c r="G2624" s="6"/>
    </row>
    <row r="2625" s="1" customFormat="1" ht="13.5">
      <c r="G2625" s="6"/>
    </row>
    <row r="2626" s="1" customFormat="1" ht="13.5">
      <c r="G2626" s="6"/>
    </row>
    <row r="2627" s="1" customFormat="1" ht="13.5">
      <c r="G2627" s="6"/>
    </row>
    <row r="2628" s="1" customFormat="1" ht="13.5">
      <c r="G2628" s="6"/>
    </row>
    <row r="2629" s="1" customFormat="1" ht="13.5">
      <c r="G2629" s="6"/>
    </row>
    <row r="2630" s="1" customFormat="1" ht="13.5">
      <c r="G2630" s="6"/>
    </row>
    <row r="2631" s="1" customFormat="1" ht="13.5">
      <c r="G2631" s="6"/>
    </row>
    <row r="2632" s="1" customFormat="1" ht="13.5">
      <c r="G2632" s="6"/>
    </row>
    <row r="2633" s="1" customFormat="1" ht="13.5">
      <c r="G2633" s="6"/>
    </row>
    <row r="2634" s="1" customFormat="1" ht="13.5">
      <c r="G2634" s="6"/>
    </row>
    <row r="2635" s="1" customFormat="1" ht="13.5">
      <c r="G2635" s="6"/>
    </row>
    <row r="2636" s="1" customFormat="1" ht="13.5">
      <c r="G2636" s="6"/>
    </row>
    <row r="2637" s="1" customFormat="1" ht="13.5">
      <c r="G2637" s="6"/>
    </row>
    <row r="2638" s="1" customFormat="1" ht="13.5">
      <c r="G2638" s="6"/>
    </row>
    <row r="2639" s="1" customFormat="1" ht="13.5">
      <c r="G2639" s="6"/>
    </row>
    <row r="2640" s="1" customFormat="1" ht="13.5">
      <c r="G2640" s="6"/>
    </row>
    <row r="2641" s="1" customFormat="1" ht="13.5">
      <c r="G2641" s="6"/>
    </row>
    <row r="2642" s="1" customFormat="1" ht="13.5">
      <c r="G2642" s="6"/>
    </row>
    <row r="2643" s="1" customFormat="1" ht="13.5">
      <c r="G2643" s="6"/>
    </row>
    <row r="2644" s="1" customFormat="1" ht="13.5">
      <c r="G2644" s="6"/>
    </row>
    <row r="2645" s="1" customFormat="1" ht="13.5">
      <c r="G2645" s="6"/>
    </row>
    <row r="2646" s="1" customFormat="1" ht="13.5">
      <c r="G2646" s="6"/>
    </row>
    <row r="2647" s="1" customFormat="1" ht="13.5">
      <c r="G2647" s="6"/>
    </row>
    <row r="2648" s="1" customFormat="1" ht="13.5">
      <c r="G2648" s="6"/>
    </row>
    <row r="2649" s="1" customFormat="1" ht="13.5">
      <c r="G2649" s="6"/>
    </row>
    <row r="2650" s="1" customFormat="1" ht="13.5">
      <c r="G2650" s="6"/>
    </row>
    <row r="2651" s="1" customFormat="1" ht="13.5">
      <c r="G2651" s="6"/>
    </row>
    <row r="2652" s="1" customFormat="1" ht="13.5">
      <c r="G2652" s="6"/>
    </row>
    <row r="2653" s="1" customFormat="1" ht="13.5">
      <c r="G2653" s="6"/>
    </row>
    <row r="2654" s="1" customFormat="1" ht="13.5">
      <c r="G2654" s="6"/>
    </row>
    <row r="2655" s="1" customFormat="1" ht="13.5">
      <c r="G2655" s="6"/>
    </row>
    <row r="2656" s="1" customFormat="1" ht="13.5">
      <c r="G2656" s="6"/>
    </row>
    <row r="2657" s="1" customFormat="1" ht="13.5">
      <c r="G2657" s="6"/>
    </row>
    <row r="2658" s="1" customFormat="1" ht="13.5">
      <c r="G2658" s="6"/>
    </row>
    <row r="2659" s="1" customFormat="1" ht="13.5">
      <c r="G2659" s="6"/>
    </row>
    <row r="2660" s="1" customFormat="1" ht="13.5">
      <c r="G2660" s="6"/>
    </row>
    <row r="2661" s="1" customFormat="1" ht="13.5">
      <c r="G2661" s="6"/>
    </row>
    <row r="2662" s="1" customFormat="1" ht="13.5">
      <c r="G2662" s="6"/>
    </row>
    <row r="2663" s="1" customFormat="1" ht="13.5">
      <c r="G2663" s="6"/>
    </row>
    <row r="2664" s="1" customFormat="1" ht="13.5">
      <c r="G2664" s="6"/>
    </row>
    <row r="2665" s="1" customFormat="1" ht="13.5">
      <c r="G2665" s="6"/>
    </row>
    <row r="2666" s="1" customFormat="1" ht="13.5">
      <c r="G2666" s="6"/>
    </row>
    <row r="2667" s="1" customFormat="1" ht="13.5">
      <c r="G2667" s="6"/>
    </row>
    <row r="2668" s="1" customFormat="1" ht="13.5">
      <c r="G2668" s="6"/>
    </row>
    <row r="2669" s="1" customFormat="1" ht="13.5">
      <c r="G2669" s="6"/>
    </row>
    <row r="2670" s="1" customFormat="1" ht="13.5">
      <c r="G2670" s="6"/>
    </row>
    <row r="2671" s="1" customFormat="1" ht="13.5">
      <c r="G2671" s="6"/>
    </row>
    <row r="2672" s="1" customFormat="1" ht="13.5">
      <c r="G2672" s="6"/>
    </row>
    <row r="2673" s="1" customFormat="1" ht="13.5">
      <c r="G2673" s="6"/>
    </row>
    <row r="2674" s="1" customFormat="1" ht="13.5">
      <c r="G2674" s="6"/>
    </row>
    <row r="2675" s="1" customFormat="1" ht="13.5">
      <c r="G2675" s="6"/>
    </row>
    <row r="2676" s="1" customFormat="1" ht="13.5">
      <c r="G2676" s="6"/>
    </row>
    <row r="2677" s="1" customFormat="1" ht="13.5">
      <c r="G2677" s="6"/>
    </row>
    <row r="2678" s="1" customFormat="1" ht="13.5">
      <c r="G2678" s="6"/>
    </row>
    <row r="2679" s="1" customFormat="1" ht="13.5">
      <c r="G2679" s="6"/>
    </row>
    <row r="2680" s="1" customFormat="1" ht="13.5">
      <c r="G2680" s="6"/>
    </row>
    <row r="2681" s="1" customFormat="1" ht="13.5">
      <c r="G2681" s="6"/>
    </row>
    <row r="2682" s="1" customFormat="1" ht="13.5">
      <c r="G2682" s="6"/>
    </row>
    <row r="2683" s="1" customFormat="1" ht="13.5">
      <c r="G2683" s="6"/>
    </row>
    <row r="2684" s="1" customFormat="1" ht="13.5">
      <c r="G2684" s="6"/>
    </row>
    <row r="2685" s="1" customFormat="1" ht="13.5">
      <c r="G2685" s="6"/>
    </row>
    <row r="2686" s="1" customFormat="1" ht="13.5">
      <c r="G2686" s="6"/>
    </row>
    <row r="2687" s="1" customFormat="1" ht="13.5">
      <c r="G2687" s="6"/>
    </row>
    <row r="2688" s="1" customFormat="1" ht="13.5">
      <c r="G2688" s="6"/>
    </row>
    <row r="2689" s="1" customFormat="1" ht="13.5">
      <c r="G2689" s="6"/>
    </row>
    <row r="2690" s="1" customFormat="1" ht="13.5">
      <c r="G2690" s="6"/>
    </row>
    <row r="2691" s="1" customFormat="1" ht="13.5">
      <c r="G2691" s="6"/>
    </row>
    <row r="2692" s="1" customFormat="1" ht="13.5">
      <c r="G2692" s="6"/>
    </row>
    <row r="2693" s="1" customFormat="1" ht="13.5">
      <c r="G2693" s="6"/>
    </row>
    <row r="2694" s="1" customFormat="1" ht="13.5">
      <c r="G2694" s="6"/>
    </row>
    <row r="2695" s="1" customFormat="1" ht="13.5">
      <c r="G2695" s="6"/>
    </row>
    <row r="2696" s="1" customFormat="1" ht="13.5">
      <c r="G2696" s="6"/>
    </row>
    <row r="2697" s="1" customFormat="1" ht="13.5">
      <c r="G2697" s="6"/>
    </row>
    <row r="2698" s="1" customFormat="1" ht="13.5">
      <c r="G2698" s="6"/>
    </row>
    <row r="2699" s="1" customFormat="1" ht="13.5">
      <c r="G2699" s="6"/>
    </row>
    <row r="2700" s="1" customFormat="1" ht="13.5">
      <c r="G2700" s="6"/>
    </row>
    <row r="2701" s="1" customFormat="1" ht="13.5">
      <c r="G2701" s="6"/>
    </row>
    <row r="2702" s="1" customFormat="1" ht="13.5">
      <c r="G2702" s="6"/>
    </row>
    <row r="2703" s="1" customFormat="1" ht="13.5">
      <c r="G2703" s="6"/>
    </row>
    <row r="2704" s="1" customFormat="1" ht="13.5">
      <c r="G2704" s="6"/>
    </row>
    <row r="2705" s="1" customFormat="1" ht="13.5">
      <c r="G2705" s="6"/>
    </row>
    <row r="2706" s="1" customFormat="1" ht="13.5">
      <c r="G2706" s="6"/>
    </row>
    <row r="2707" s="1" customFormat="1" ht="13.5">
      <c r="G2707" s="6"/>
    </row>
    <row r="2708" s="1" customFormat="1" ht="13.5">
      <c r="G2708" s="6"/>
    </row>
    <row r="2709" s="1" customFormat="1" ht="13.5">
      <c r="G2709" s="6"/>
    </row>
    <row r="2710" s="1" customFormat="1" ht="13.5">
      <c r="G2710" s="6"/>
    </row>
    <row r="2711" s="1" customFormat="1" ht="13.5">
      <c r="G2711" s="6"/>
    </row>
    <row r="2712" s="1" customFormat="1" ht="13.5">
      <c r="G2712" s="6"/>
    </row>
    <row r="2713" s="1" customFormat="1" ht="13.5">
      <c r="G2713" s="6"/>
    </row>
    <row r="2714" s="1" customFormat="1" ht="13.5">
      <c r="G2714" s="6"/>
    </row>
    <row r="2715" s="1" customFormat="1" ht="13.5">
      <c r="G2715" s="6"/>
    </row>
    <row r="2716" s="1" customFormat="1" ht="13.5">
      <c r="G2716" s="6"/>
    </row>
    <row r="2717" s="1" customFormat="1" ht="13.5">
      <c r="G2717" s="6"/>
    </row>
    <row r="2718" s="1" customFormat="1" ht="13.5">
      <c r="G2718" s="6"/>
    </row>
    <row r="2719" s="1" customFormat="1" ht="13.5">
      <c r="G2719" s="6"/>
    </row>
    <row r="2720" s="1" customFormat="1" ht="13.5">
      <c r="G2720" s="6"/>
    </row>
    <row r="2721" s="1" customFormat="1" ht="13.5">
      <c r="G2721" s="6"/>
    </row>
    <row r="2722" s="1" customFormat="1" ht="13.5">
      <c r="G2722" s="6"/>
    </row>
    <row r="2723" s="1" customFormat="1" ht="13.5">
      <c r="G2723" s="6"/>
    </row>
    <row r="2724" s="1" customFormat="1" ht="13.5">
      <c r="G2724" s="6"/>
    </row>
    <row r="2725" s="1" customFormat="1" ht="13.5">
      <c r="G2725" s="6"/>
    </row>
    <row r="2726" s="1" customFormat="1" ht="13.5">
      <c r="G2726" s="6"/>
    </row>
    <row r="2727" s="1" customFormat="1" ht="13.5">
      <c r="G2727" s="6"/>
    </row>
    <row r="2728" s="1" customFormat="1" ht="13.5">
      <c r="G2728" s="6"/>
    </row>
    <row r="2729" s="1" customFormat="1" ht="13.5">
      <c r="G2729" s="6"/>
    </row>
    <row r="2730" s="1" customFormat="1" ht="13.5">
      <c r="G2730" s="6"/>
    </row>
    <row r="2731" s="1" customFormat="1" ht="13.5">
      <c r="G2731" s="6"/>
    </row>
    <row r="2732" s="1" customFormat="1" ht="13.5">
      <c r="G2732" s="6"/>
    </row>
    <row r="2733" s="1" customFormat="1" ht="13.5">
      <c r="G2733" s="6"/>
    </row>
    <row r="2734" s="1" customFormat="1" ht="13.5">
      <c r="G2734" s="6"/>
    </row>
    <row r="2735" s="1" customFormat="1" ht="13.5">
      <c r="G2735" s="6"/>
    </row>
    <row r="2736" s="1" customFormat="1" ht="13.5">
      <c r="G2736" s="6"/>
    </row>
    <row r="2737" s="1" customFormat="1" ht="13.5">
      <c r="G2737" s="6"/>
    </row>
    <row r="2738" s="1" customFormat="1" ht="13.5">
      <c r="G2738" s="6"/>
    </row>
    <row r="2739" s="1" customFormat="1" ht="13.5">
      <c r="G2739" s="6"/>
    </row>
    <row r="2740" s="1" customFormat="1" ht="13.5">
      <c r="G2740" s="6"/>
    </row>
    <row r="2741" s="1" customFormat="1" ht="13.5">
      <c r="G2741" s="6"/>
    </row>
    <row r="2742" s="1" customFormat="1" ht="13.5">
      <c r="G2742" s="6"/>
    </row>
    <row r="2743" s="1" customFormat="1" ht="13.5">
      <c r="G2743" s="6"/>
    </row>
    <row r="2744" s="1" customFormat="1" ht="13.5">
      <c r="G2744" s="6"/>
    </row>
    <row r="2745" s="1" customFormat="1" ht="13.5">
      <c r="G2745" s="6"/>
    </row>
    <row r="2746" s="1" customFormat="1" ht="13.5">
      <c r="G2746" s="6"/>
    </row>
    <row r="2747" s="1" customFormat="1" ht="13.5">
      <c r="G2747" s="6"/>
    </row>
    <row r="2748" s="1" customFormat="1" ht="13.5">
      <c r="G2748" s="6"/>
    </row>
    <row r="2749" s="1" customFormat="1" ht="13.5">
      <c r="G2749" s="6"/>
    </row>
    <row r="2750" s="1" customFormat="1" ht="13.5">
      <c r="G2750" s="6"/>
    </row>
    <row r="2751" s="1" customFormat="1" ht="13.5">
      <c r="G2751" s="6"/>
    </row>
    <row r="2752" s="1" customFormat="1" ht="13.5">
      <c r="G2752" s="6"/>
    </row>
    <row r="2753" s="1" customFormat="1" ht="13.5">
      <c r="G2753" s="6"/>
    </row>
    <row r="2754" s="1" customFormat="1" ht="13.5">
      <c r="G2754" s="6"/>
    </row>
    <row r="2755" s="1" customFormat="1" ht="13.5">
      <c r="G2755" s="6"/>
    </row>
    <row r="2756" s="1" customFormat="1" ht="13.5">
      <c r="G2756" s="6"/>
    </row>
    <row r="2757" s="1" customFormat="1" ht="13.5">
      <c r="G2757" s="6"/>
    </row>
    <row r="2758" s="1" customFormat="1" ht="13.5">
      <c r="G2758" s="6"/>
    </row>
    <row r="2759" s="1" customFormat="1" ht="13.5">
      <c r="G2759" s="6"/>
    </row>
    <row r="2760" s="1" customFormat="1" ht="13.5">
      <c r="G2760" s="6"/>
    </row>
    <row r="2761" s="1" customFormat="1" ht="13.5">
      <c r="G2761" s="6"/>
    </row>
    <row r="2762" s="1" customFormat="1" ht="13.5">
      <c r="G2762" s="6"/>
    </row>
    <row r="2763" s="1" customFormat="1" ht="13.5">
      <c r="G2763" s="6"/>
    </row>
    <row r="2764" s="1" customFormat="1" ht="13.5">
      <c r="G2764" s="6"/>
    </row>
    <row r="2765" s="1" customFormat="1" ht="13.5">
      <c r="G2765" s="6"/>
    </row>
    <row r="2766" s="1" customFormat="1" ht="13.5">
      <c r="G2766" s="6"/>
    </row>
    <row r="2767" s="1" customFormat="1" ht="13.5">
      <c r="G2767" s="6"/>
    </row>
    <row r="2768" s="1" customFormat="1" ht="13.5">
      <c r="G2768" s="6"/>
    </row>
    <row r="2769" s="1" customFormat="1" ht="13.5">
      <c r="G2769" s="6"/>
    </row>
    <row r="2770" s="1" customFormat="1" ht="13.5">
      <c r="G2770" s="6"/>
    </row>
    <row r="2771" s="1" customFormat="1" ht="13.5">
      <c r="G2771" s="6"/>
    </row>
    <row r="2772" s="1" customFormat="1" ht="13.5">
      <c r="G2772" s="6"/>
    </row>
    <row r="2773" s="1" customFormat="1" ht="13.5">
      <c r="G2773" s="6"/>
    </row>
    <row r="2774" s="1" customFormat="1" ht="13.5">
      <c r="G2774" s="6"/>
    </row>
    <row r="2775" s="1" customFormat="1" ht="13.5">
      <c r="G2775" s="6"/>
    </row>
    <row r="2776" s="1" customFormat="1" ht="13.5">
      <c r="G2776" s="6"/>
    </row>
    <row r="2777" s="1" customFormat="1" ht="13.5">
      <c r="G2777" s="6"/>
    </row>
    <row r="2778" s="1" customFormat="1" ht="13.5">
      <c r="G2778" s="6"/>
    </row>
    <row r="2779" s="1" customFormat="1" ht="13.5">
      <c r="G2779" s="6"/>
    </row>
    <row r="2780" s="1" customFormat="1" ht="13.5">
      <c r="G2780" s="6"/>
    </row>
    <row r="2781" s="1" customFormat="1" ht="13.5">
      <c r="G2781" s="6"/>
    </row>
    <row r="2782" s="1" customFormat="1" ht="13.5">
      <c r="G2782" s="6"/>
    </row>
    <row r="2783" s="1" customFormat="1" ht="13.5">
      <c r="G2783" s="6"/>
    </row>
    <row r="2784" s="1" customFormat="1" ht="13.5">
      <c r="G2784" s="6"/>
    </row>
    <row r="2785" s="1" customFormat="1" ht="13.5">
      <c r="G2785" s="6"/>
    </row>
    <row r="2786" s="1" customFormat="1" ht="13.5">
      <c r="G2786" s="6"/>
    </row>
    <row r="2787" s="1" customFormat="1" ht="13.5">
      <c r="G2787" s="6"/>
    </row>
    <row r="2788" s="1" customFormat="1" ht="13.5">
      <c r="G2788" s="6"/>
    </row>
    <row r="2789" s="1" customFormat="1" ht="13.5">
      <c r="G2789" s="6"/>
    </row>
    <row r="2790" s="1" customFormat="1" ht="13.5">
      <c r="G2790" s="6"/>
    </row>
    <row r="2791" s="1" customFormat="1" ht="13.5">
      <c r="G2791" s="6"/>
    </row>
    <row r="2792" s="1" customFormat="1" ht="13.5">
      <c r="G2792" s="6"/>
    </row>
    <row r="2793" s="1" customFormat="1" ht="13.5">
      <c r="G2793" s="6"/>
    </row>
    <row r="2794" s="1" customFormat="1" ht="13.5">
      <c r="G2794" s="6"/>
    </row>
    <row r="2795" s="1" customFormat="1" ht="13.5">
      <c r="G2795" s="6"/>
    </row>
    <row r="2796" s="1" customFormat="1" ht="13.5">
      <c r="G2796" s="6"/>
    </row>
    <row r="2797" s="1" customFormat="1" ht="13.5">
      <c r="G2797" s="6"/>
    </row>
    <row r="2798" s="1" customFormat="1" ht="13.5">
      <c r="G2798" s="6"/>
    </row>
    <row r="2799" s="1" customFormat="1" ht="13.5">
      <c r="G2799" s="6"/>
    </row>
    <row r="2800" s="1" customFormat="1" ht="13.5">
      <c r="G2800" s="6"/>
    </row>
    <row r="2801" s="1" customFormat="1" ht="13.5">
      <c r="G2801" s="6"/>
    </row>
    <row r="2802" s="1" customFormat="1" ht="13.5">
      <c r="G2802" s="6"/>
    </row>
    <row r="2803" s="1" customFormat="1" ht="13.5">
      <c r="G2803" s="6"/>
    </row>
    <row r="2804" s="1" customFormat="1" ht="13.5">
      <c r="G2804" s="6"/>
    </row>
    <row r="2805" s="1" customFormat="1" ht="13.5">
      <c r="G2805" s="6"/>
    </row>
    <row r="2806" s="1" customFormat="1" ht="13.5">
      <c r="G2806" s="6"/>
    </row>
    <row r="2807" s="1" customFormat="1" ht="13.5">
      <c r="G2807" s="6"/>
    </row>
    <row r="2808" s="1" customFormat="1" ht="13.5">
      <c r="G2808" s="6"/>
    </row>
    <row r="2809" s="1" customFormat="1" ht="13.5">
      <c r="G2809" s="6"/>
    </row>
    <row r="2810" s="1" customFormat="1" ht="13.5">
      <c r="G2810" s="6"/>
    </row>
    <row r="2811" s="1" customFormat="1" ht="13.5">
      <c r="G2811" s="6"/>
    </row>
    <row r="2812" s="1" customFormat="1" ht="13.5">
      <c r="G2812" s="6"/>
    </row>
    <row r="2813" s="1" customFormat="1" ht="13.5">
      <c r="G2813" s="6"/>
    </row>
    <row r="2814" s="1" customFormat="1" ht="13.5">
      <c r="G2814" s="6"/>
    </row>
    <row r="2815" s="1" customFormat="1" ht="13.5">
      <c r="G2815" s="6"/>
    </row>
    <row r="2816" s="1" customFormat="1" ht="13.5">
      <c r="G2816" s="6"/>
    </row>
    <row r="2817" s="1" customFormat="1" ht="13.5">
      <c r="G2817" s="6"/>
    </row>
    <row r="2818" s="1" customFormat="1" ht="13.5">
      <c r="G2818" s="6"/>
    </row>
    <row r="2819" s="1" customFormat="1" ht="13.5">
      <c r="G2819" s="6"/>
    </row>
    <row r="2820" s="1" customFormat="1" ht="13.5">
      <c r="G2820" s="6"/>
    </row>
    <row r="2821" s="1" customFormat="1" ht="13.5">
      <c r="G2821" s="6"/>
    </row>
    <row r="2822" s="1" customFormat="1" ht="13.5">
      <c r="G2822" s="6"/>
    </row>
    <row r="2823" s="1" customFormat="1" ht="13.5">
      <c r="G2823" s="6"/>
    </row>
    <row r="2824" s="1" customFormat="1" ht="13.5">
      <c r="G2824" s="6"/>
    </row>
    <row r="2825" s="1" customFormat="1" ht="13.5">
      <c r="G2825" s="6"/>
    </row>
    <row r="2826" s="1" customFormat="1" ht="13.5">
      <c r="G2826" s="6"/>
    </row>
    <row r="2827" s="1" customFormat="1" ht="13.5">
      <c r="G2827" s="6"/>
    </row>
    <row r="2828" s="1" customFormat="1" ht="13.5">
      <c r="G2828" s="6"/>
    </row>
    <row r="2829" s="1" customFormat="1" ht="13.5">
      <c r="G2829" s="6"/>
    </row>
    <row r="2830" s="1" customFormat="1" ht="13.5">
      <c r="G2830" s="6"/>
    </row>
    <row r="2831" s="1" customFormat="1" ht="13.5">
      <c r="G2831" s="6"/>
    </row>
    <row r="2832" s="1" customFormat="1" ht="13.5">
      <c r="G2832" s="6"/>
    </row>
    <row r="2833" s="1" customFormat="1" ht="13.5">
      <c r="G2833" s="6"/>
    </row>
    <row r="2834" s="1" customFormat="1" ht="13.5">
      <c r="G2834" s="6"/>
    </row>
    <row r="2835" s="1" customFormat="1" ht="13.5">
      <c r="G2835" s="6"/>
    </row>
    <row r="2836" s="1" customFormat="1" ht="13.5">
      <c r="G2836" s="6"/>
    </row>
    <row r="2837" s="1" customFormat="1" ht="13.5">
      <c r="G2837" s="6"/>
    </row>
    <row r="2838" s="1" customFormat="1" ht="13.5">
      <c r="G2838" s="6"/>
    </row>
    <row r="2839" s="1" customFormat="1" ht="13.5">
      <c r="G2839" s="6"/>
    </row>
    <row r="2840" s="1" customFormat="1" ht="13.5">
      <c r="G2840" s="6"/>
    </row>
    <row r="2841" s="1" customFormat="1" ht="13.5">
      <c r="G2841" s="6"/>
    </row>
    <row r="2842" s="1" customFormat="1" ht="13.5">
      <c r="G2842" s="6"/>
    </row>
    <row r="2843" s="1" customFormat="1" ht="13.5">
      <c r="G2843" s="6"/>
    </row>
    <row r="2844" s="1" customFormat="1" ht="13.5">
      <c r="G2844" s="6"/>
    </row>
    <row r="2845" s="1" customFormat="1" ht="13.5">
      <c r="G2845" s="6"/>
    </row>
    <row r="2846" s="1" customFormat="1" ht="13.5">
      <c r="G2846" s="6"/>
    </row>
    <row r="2847" s="1" customFormat="1" ht="13.5">
      <c r="G2847" s="6"/>
    </row>
    <row r="2848" s="1" customFormat="1" ht="13.5">
      <c r="G2848" s="6"/>
    </row>
    <row r="2849" s="1" customFormat="1" ht="13.5">
      <c r="G2849" s="6"/>
    </row>
    <row r="2850" s="1" customFormat="1" ht="13.5">
      <c r="G2850" s="6"/>
    </row>
    <row r="2851" s="1" customFormat="1" ht="13.5">
      <c r="G2851" s="6"/>
    </row>
    <row r="2852" s="1" customFormat="1" ht="13.5">
      <c r="G2852" s="6"/>
    </row>
    <row r="2853" s="1" customFormat="1" ht="13.5">
      <c r="G2853" s="6"/>
    </row>
    <row r="2854" s="1" customFormat="1" ht="13.5">
      <c r="G2854" s="6"/>
    </row>
    <row r="2855" s="1" customFormat="1" ht="13.5">
      <c r="G2855" s="6"/>
    </row>
    <row r="2856" s="1" customFormat="1" ht="13.5">
      <c r="G2856" s="6"/>
    </row>
    <row r="2857" s="1" customFormat="1" ht="13.5">
      <c r="G2857" s="6"/>
    </row>
    <row r="2858" s="1" customFormat="1" ht="13.5">
      <c r="G2858" s="6"/>
    </row>
    <row r="2859" s="1" customFormat="1" ht="13.5">
      <c r="G2859" s="6"/>
    </row>
    <row r="2860" s="1" customFormat="1" ht="13.5">
      <c r="G2860" s="6"/>
    </row>
    <row r="2861" s="1" customFormat="1" ht="13.5">
      <c r="G2861" s="6"/>
    </row>
    <row r="2862" s="1" customFormat="1" ht="13.5">
      <c r="G2862" s="6"/>
    </row>
    <row r="2863" s="1" customFormat="1" ht="13.5">
      <c r="G2863" s="6"/>
    </row>
    <row r="2864" s="1" customFormat="1" ht="13.5">
      <c r="G2864" s="6"/>
    </row>
    <row r="2865" s="1" customFormat="1" ht="13.5">
      <c r="G2865" s="6"/>
    </row>
    <row r="2866" s="1" customFormat="1" ht="13.5">
      <c r="G2866" s="6"/>
    </row>
    <row r="2867" s="1" customFormat="1" ht="13.5">
      <c r="G2867" s="6"/>
    </row>
    <row r="2868" s="1" customFormat="1" ht="13.5">
      <c r="G2868" s="6"/>
    </row>
    <row r="2869" s="1" customFormat="1" ht="13.5">
      <c r="G2869" s="6"/>
    </row>
    <row r="2870" s="1" customFormat="1" ht="13.5">
      <c r="G2870" s="6"/>
    </row>
    <row r="2871" s="1" customFormat="1" ht="13.5">
      <c r="G2871" s="6"/>
    </row>
    <row r="2872" s="1" customFormat="1" ht="13.5">
      <c r="G2872" s="6"/>
    </row>
    <row r="2873" s="1" customFormat="1" ht="13.5">
      <c r="G2873" s="6"/>
    </row>
    <row r="2874" s="1" customFormat="1" ht="13.5">
      <c r="G2874" s="6"/>
    </row>
    <row r="2875" s="1" customFormat="1" ht="13.5">
      <c r="G2875" s="6"/>
    </row>
    <row r="2876" s="1" customFormat="1" ht="13.5">
      <c r="G2876" s="6"/>
    </row>
    <row r="2877" s="1" customFormat="1" ht="13.5">
      <c r="G2877" s="6"/>
    </row>
    <row r="2878" s="1" customFormat="1" ht="13.5">
      <c r="G2878" s="6"/>
    </row>
    <row r="2879" s="1" customFormat="1" ht="13.5">
      <c r="G2879" s="6"/>
    </row>
    <row r="2880" s="1" customFormat="1" ht="13.5">
      <c r="G2880" s="6"/>
    </row>
    <row r="2881" s="1" customFormat="1" ht="13.5">
      <c r="G2881" s="6"/>
    </row>
    <row r="2882" s="1" customFormat="1" ht="13.5">
      <c r="G2882" s="6"/>
    </row>
    <row r="2883" s="1" customFormat="1" ht="13.5">
      <c r="G2883" s="6"/>
    </row>
    <row r="2884" s="1" customFormat="1" ht="13.5">
      <c r="G2884" s="6"/>
    </row>
    <row r="2885" s="1" customFormat="1" ht="13.5">
      <c r="G2885" s="6"/>
    </row>
    <row r="2886" s="1" customFormat="1" ht="13.5">
      <c r="G2886" s="6"/>
    </row>
    <row r="2887" s="1" customFormat="1" ht="13.5">
      <c r="G2887" s="6"/>
    </row>
    <row r="2888" s="1" customFormat="1" ht="13.5">
      <c r="G2888" s="6"/>
    </row>
    <row r="2889" s="1" customFormat="1" ht="13.5">
      <c r="G2889" s="6"/>
    </row>
    <row r="2890" s="1" customFormat="1" ht="13.5">
      <c r="G2890" s="6"/>
    </row>
    <row r="2891" s="1" customFormat="1" ht="13.5">
      <c r="G2891" s="6"/>
    </row>
    <row r="2892" s="1" customFormat="1" ht="13.5">
      <c r="G2892" s="6"/>
    </row>
    <row r="2893" s="1" customFormat="1" ht="13.5">
      <c r="G2893" s="6"/>
    </row>
    <row r="2894" s="1" customFormat="1" ht="13.5">
      <c r="G2894" s="6"/>
    </row>
    <row r="2895" s="1" customFormat="1" ht="13.5">
      <c r="G2895" s="6"/>
    </row>
    <row r="2896" s="1" customFormat="1" ht="13.5">
      <c r="G2896" s="6"/>
    </row>
    <row r="2897" s="1" customFormat="1" ht="13.5">
      <c r="G2897" s="6"/>
    </row>
    <row r="2898" s="1" customFormat="1" ht="13.5">
      <c r="G2898" s="6"/>
    </row>
    <row r="2899" s="1" customFormat="1" ht="13.5">
      <c r="G2899" s="6"/>
    </row>
    <row r="2900" s="1" customFormat="1" ht="13.5">
      <c r="G2900" s="6"/>
    </row>
    <row r="2901" s="1" customFormat="1" ht="13.5">
      <c r="G2901" s="6"/>
    </row>
    <row r="2902" s="1" customFormat="1" ht="13.5">
      <c r="G2902" s="6"/>
    </row>
    <row r="2903" s="1" customFormat="1" ht="13.5">
      <c r="G2903" s="6"/>
    </row>
    <row r="2904" s="1" customFormat="1" ht="13.5">
      <c r="G2904" s="6"/>
    </row>
    <row r="2905" s="1" customFormat="1" ht="13.5">
      <c r="G2905" s="6"/>
    </row>
    <row r="2906" s="1" customFormat="1" ht="13.5">
      <c r="G2906" s="6"/>
    </row>
    <row r="2907" s="1" customFormat="1" ht="13.5">
      <c r="G2907" s="6"/>
    </row>
    <row r="2908" s="1" customFormat="1" ht="13.5">
      <c r="G2908" s="6"/>
    </row>
    <row r="2909" s="1" customFormat="1" ht="13.5">
      <c r="G2909" s="6"/>
    </row>
    <row r="2910" s="1" customFormat="1" ht="13.5">
      <c r="G2910" s="6"/>
    </row>
    <row r="2911" s="1" customFormat="1" ht="13.5">
      <c r="G2911" s="6"/>
    </row>
    <row r="2912" s="1" customFormat="1" ht="13.5">
      <c r="G2912" s="6"/>
    </row>
    <row r="2913" s="1" customFormat="1" ht="13.5">
      <c r="G2913" s="6"/>
    </row>
    <row r="2914" s="1" customFormat="1" ht="13.5">
      <c r="G2914" s="6"/>
    </row>
    <row r="2915" s="1" customFormat="1" ht="13.5">
      <c r="G2915" s="6"/>
    </row>
    <row r="2916" s="1" customFormat="1" ht="13.5">
      <c r="G2916" s="6"/>
    </row>
    <row r="2917" s="1" customFormat="1" ht="13.5">
      <c r="G2917" s="6"/>
    </row>
    <row r="2918" s="1" customFormat="1" ht="13.5">
      <c r="G2918" s="6"/>
    </row>
    <row r="2919" s="1" customFormat="1" ht="13.5">
      <c r="G2919" s="6"/>
    </row>
    <row r="2920" s="1" customFormat="1" ht="13.5">
      <c r="G2920" s="6"/>
    </row>
    <row r="2921" s="1" customFormat="1" ht="13.5">
      <c r="G2921" s="6"/>
    </row>
    <row r="2922" s="1" customFormat="1" ht="13.5">
      <c r="G2922" s="6"/>
    </row>
    <row r="2923" s="1" customFormat="1" ht="13.5">
      <c r="G2923" s="6"/>
    </row>
    <row r="2924" s="1" customFormat="1" ht="13.5">
      <c r="G2924" s="6"/>
    </row>
    <row r="2925" s="1" customFormat="1" ht="13.5">
      <c r="G2925" s="6"/>
    </row>
    <row r="2926" s="1" customFormat="1" ht="13.5">
      <c r="G2926" s="6"/>
    </row>
    <row r="2927" s="1" customFormat="1" ht="13.5">
      <c r="G2927" s="6"/>
    </row>
    <row r="2928" s="1" customFormat="1" ht="13.5">
      <c r="G2928" s="6"/>
    </row>
    <row r="2929" s="1" customFormat="1" ht="13.5">
      <c r="G2929" s="6"/>
    </row>
    <row r="2930" s="1" customFormat="1" ht="13.5">
      <c r="G2930" s="6"/>
    </row>
    <row r="2931" s="1" customFormat="1" ht="13.5">
      <c r="G2931" s="6"/>
    </row>
    <row r="2932" s="1" customFormat="1" ht="13.5">
      <c r="G2932" s="6"/>
    </row>
    <row r="2933" s="1" customFormat="1" ht="13.5">
      <c r="G2933" s="6"/>
    </row>
    <row r="2934" s="1" customFormat="1" ht="13.5">
      <c r="G2934" s="6"/>
    </row>
    <row r="2935" s="1" customFormat="1" ht="13.5">
      <c r="G2935" s="6"/>
    </row>
    <row r="2936" s="1" customFormat="1" ht="13.5">
      <c r="G2936" s="6"/>
    </row>
    <row r="2937" s="1" customFormat="1" ht="13.5">
      <c r="G2937" s="6"/>
    </row>
    <row r="2938" s="1" customFormat="1" ht="13.5">
      <c r="G2938" s="6"/>
    </row>
    <row r="2939" s="1" customFormat="1" ht="13.5">
      <c r="G2939" s="6"/>
    </row>
    <row r="2940" s="1" customFormat="1" ht="13.5">
      <c r="G2940" s="6"/>
    </row>
    <row r="2941" s="1" customFormat="1" ht="13.5">
      <c r="G2941" s="6"/>
    </row>
    <row r="2942" s="1" customFormat="1" ht="13.5">
      <c r="G2942" s="6"/>
    </row>
    <row r="2943" s="1" customFormat="1" ht="13.5">
      <c r="G2943" s="6"/>
    </row>
    <row r="2944" s="1" customFormat="1" ht="13.5">
      <c r="G2944" s="6"/>
    </row>
    <row r="2945" s="1" customFormat="1" ht="13.5">
      <c r="G2945" s="6"/>
    </row>
    <row r="2946" s="1" customFormat="1" ht="13.5">
      <c r="G2946" s="6"/>
    </row>
    <row r="2947" s="1" customFormat="1" ht="13.5">
      <c r="G2947" s="6"/>
    </row>
    <row r="2948" s="1" customFormat="1" ht="13.5">
      <c r="G2948" s="6"/>
    </row>
    <row r="2949" s="1" customFormat="1" ht="13.5">
      <c r="G2949" s="6"/>
    </row>
    <row r="2950" s="1" customFormat="1" ht="13.5">
      <c r="G2950" s="6"/>
    </row>
    <row r="2951" s="1" customFormat="1" ht="13.5">
      <c r="G2951" s="6"/>
    </row>
    <row r="2952" s="1" customFormat="1" ht="13.5">
      <c r="G2952" s="6"/>
    </row>
    <row r="2953" s="1" customFormat="1" ht="13.5">
      <c r="G2953" s="6"/>
    </row>
    <row r="2954" s="1" customFormat="1" ht="13.5">
      <c r="G2954" s="6"/>
    </row>
    <row r="2955" s="1" customFormat="1" ht="13.5">
      <c r="G2955" s="6"/>
    </row>
    <row r="2956" s="1" customFormat="1" ht="13.5">
      <c r="G2956" s="6"/>
    </row>
    <row r="2957" s="1" customFormat="1" ht="13.5">
      <c r="G2957" s="6"/>
    </row>
    <row r="2958" s="1" customFormat="1" ht="13.5">
      <c r="G2958" s="6"/>
    </row>
    <row r="2959" s="1" customFormat="1" ht="13.5">
      <c r="G2959" s="6"/>
    </row>
    <row r="2960" s="1" customFormat="1" ht="13.5">
      <c r="G2960" s="6"/>
    </row>
    <row r="2961" s="1" customFormat="1" ht="13.5">
      <c r="G2961" s="6"/>
    </row>
    <row r="2962" s="1" customFormat="1" ht="13.5">
      <c r="G2962" s="6"/>
    </row>
    <row r="2963" s="1" customFormat="1" ht="13.5">
      <c r="G2963" s="6"/>
    </row>
    <row r="2964" s="1" customFormat="1" ht="13.5">
      <c r="G2964" s="6"/>
    </row>
    <row r="2965" s="1" customFormat="1" ht="13.5">
      <c r="G2965" s="6"/>
    </row>
    <row r="2966" s="1" customFormat="1" ht="13.5">
      <c r="G2966" s="6"/>
    </row>
    <row r="2967" s="1" customFormat="1" ht="13.5">
      <c r="G2967" s="6"/>
    </row>
    <row r="2968" s="1" customFormat="1" ht="13.5">
      <c r="G2968" s="6"/>
    </row>
    <row r="2969" s="1" customFormat="1" ht="13.5">
      <c r="G2969" s="6"/>
    </row>
    <row r="2970" s="1" customFormat="1" ht="13.5">
      <c r="G2970" s="6"/>
    </row>
    <row r="2971" s="1" customFormat="1" ht="13.5">
      <c r="G2971" s="6"/>
    </row>
    <row r="2972" s="1" customFormat="1" ht="13.5">
      <c r="G2972" s="6"/>
    </row>
    <row r="2973" s="1" customFormat="1" ht="13.5">
      <c r="G2973" s="6"/>
    </row>
    <row r="2974" s="1" customFormat="1" ht="13.5">
      <c r="G2974" s="6"/>
    </row>
    <row r="2975" s="1" customFormat="1" ht="13.5">
      <c r="G2975" s="6"/>
    </row>
    <row r="2976" s="1" customFormat="1" ht="13.5">
      <c r="G2976" s="6"/>
    </row>
    <row r="2977" s="1" customFormat="1" ht="13.5">
      <c r="G2977" s="6"/>
    </row>
    <row r="2978" s="1" customFormat="1" ht="13.5">
      <c r="G2978" s="6"/>
    </row>
    <row r="2979" s="1" customFormat="1" ht="13.5">
      <c r="G2979" s="6"/>
    </row>
    <row r="2980" s="1" customFormat="1" ht="13.5">
      <c r="G2980" s="6"/>
    </row>
    <row r="2981" s="1" customFormat="1" ht="13.5">
      <c r="G2981" s="6"/>
    </row>
    <row r="2982" s="1" customFormat="1" ht="13.5">
      <c r="G2982" s="6"/>
    </row>
    <row r="2983" s="1" customFormat="1" ht="13.5">
      <c r="G2983" s="6"/>
    </row>
    <row r="2984" s="1" customFormat="1" ht="13.5">
      <c r="G2984" s="6"/>
    </row>
    <row r="2985" s="1" customFormat="1" ht="13.5">
      <c r="G2985" s="6"/>
    </row>
    <row r="2986" s="1" customFormat="1" ht="13.5">
      <c r="G2986" s="6"/>
    </row>
    <row r="2987" s="1" customFormat="1" ht="13.5">
      <c r="G2987" s="6"/>
    </row>
    <row r="2988" s="1" customFormat="1" ht="13.5">
      <c r="G2988" s="6"/>
    </row>
    <row r="2989" s="1" customFormat="1" ht="13.5">
      <c r="G2989" s="6"/>
    </row>
    <row r="2990" s="1" customFormat="1" ht="13.5">
      <c r="G2990" s="6"/>
    </row>
    <row r="2991" s="1" customFormat="1" ht="13.5">
      <c r="G2991" s="6"/>
    </row>
    <row r="2992" s="1" customFormat="1" ht="13.5">
      <c r="G2992" s="6"/>
    </row>
    <row r="2993" s="1" customFormat="1" ht="13.5">
      <c r="G2993" s="6"/>
    </row>
    <row r="2994" s="1" customFormat="1" ht="13.5">
      <c r="G2994" s="6"/>
    </row>
    <row r="2995" s="1" customFormat="1" ht="13.5">
      <c r="G2995" s="6"/>
    </row>
    <row r="2996" s="1" customFormat="1" ht="13.5">
      <c r="G2996" s="6"/>
    </row>
    <row r="2997" s="1" customFormat="1" ht="13.5">
      <c r="G2997" s="6"/>
    </row>
    <row r="2998" s="1" customFormat="1" ht="13.5">
      <c r="G2998" s="6"/>
    </row>
    <row r="2999" s="1" customFormat="1" ht="13.5">
      <c r="G2999" s="6"/>
    </row>
    <row r="3000" s="1" customFormat="1" ht="13.5">
      <c r="G3000" s="6"/>
    </row>
    <row r="3001" s="1" customFormat="1" ht="13.5">
      <c r="G3001" s="6"/>
    </row>
    <row r="3002" s="1" customFormat="1" ht="13.5">
      <c r="G3002" s="6"/>
    </row>
    <row r="3003" s="1" customFormat="1" ht="13.5">
      <c r="G3003" s="6"/>
    </row>
    <row r="3004" s="1" customFormat="1" ht="13.5">
      <c r="G3004" s="6"/>
    </row>
    <row r="3005" s="1" customFormat="1" ht="13.5">
      <c r="G3005" s="6"/>
    </row>
    <row r="3006" s="1" customFormat="1" ht="13.5">
      <c r="G3006" s="6"/>
    </row>
    <row r="3007" s="1" customFormat="1" ht="13.5">
      <c r="G3007" s="6"/>
    </row>
    <row r="3008" s="1" customFormat="1" ht="13.5">
      <c r="G3008" s="6"/>
    </row>
    <row r="3009" s="1" customFormat="1" ht="13.5">
      <c r="G3009" s="6"/>
    </row>
    <row r="3010" s="1" customFormat="1" ht="13.5">
      <c r="G3010" s="6"/>
    </row>
    <row r="3011" s="1" customFormat="1" ht="13.5">
      <c r="G3011" s="6"/>
    </row>
    <row r="3012" s="1" customFormat="1" ht="13.5">
      <c r="G3012" s="6"/>
    </row>
    <row r="3013" s="1" customFormat="1" ht="13.5">
      <c r="G3013" s="6"/>
    </row>
    <row r="3014" s="1" customFormat="1" ht="13.5">
      <c r="G3014" s="6"/>
    </row>
    <row r="3015" s="1" customFormat="1" ht="13.5">
      <c r="G3015" s="6"/>
    </row>
    <row r="3016" s="1" customFormat="1" ht="13.5">
      <c r="G3016" s="6"/>
    </row>
    <row r="3017" s="1" customFormat="1" ht="13.5">
      <c r="G3017" s="6"/>
    </row>
    <row r="3018" s="1" customFormat="1" ht="13.5">
      <c r="G3018" s="6"/>
    </row>
    <row r="3019" s="1" customFormat="1" ht="13.5">
      <c r="G3019" s="6"/>
    </row>
    <row r="3020" s="1" customFormat="1" ht="13.5">
      <c r="G3020" s="6"/>
    </row>
    <row r="3021" s="1" customFormat="1" ht="13.5">
      <c r="G3021" s="6"/>
    </row>
    <row r="3022" s="1" customFormat="1" ht="13.5">
      <c r="G3022" s="6"/>
    </row>
    <row r="3023" s="1" customFormat="1" ht="13.5">
      <c r="G3023" s="6"/>
    </row>
    <row r="3024" s="1" customFormat="1" ht="13.5">
      <c r="G3024" s="6"/>
    </row>
    <row r="3025" s="1" customFormat="1" ht="13.5">
      <c r="G3025" s="6"/>
    </row>
    <row r="3026" s="1" customFormat="1" ht="13.5">
      <c r="G3026" s="6"/>
    </row>
    <row r="3027" s="1" customFormat="1" ht="13.5">
      <c r="G3027" s="6"/>
    </row>
    <row r="3028" s="1" customFormat="1" ht="13.5">
      <c r="G3028" s="6"/>
    </row>
    <row r="3029" s="1" customFormat="1" ht="13.5">
      <c r="G3029" s="6"/>
    </row>
    <row r="3030" s="1" customFormat="1" ht="13.5">
      <c r="G3030" s="6"/>
    </row>
    <row r="3031" s="1" customFormat="1" ht="13.5">
      <c r="G3031" s="6"/>
    </row>
    <row r="3032" s="1" customFormat="1" ht="13.5">
      <c r="G3032" s="6"/>
    </row>
    <row r="3033" s="1" customFormat="1" ht="13.5">
      <c r="G3033" s="6"/>
    </row>
    <row r="3034" s="1" customFormat="1" ht="13.5">
      <c r="G3034" s="6"/>
    </row>
    <row r="3035" s="1" customFormat="1" ht="13.5">
      <c r="G3035" s="6"/>
    </row>
    <row r="3036" s="1" customFormat="1" ht="13.5">
      <c r="G3036" s="6"/>
    </row>
    <row r="3037" s="1" customFormat="1" ht="13.5">
      <c r="G3037" s="6"/>
    </row>
    <row r="3038" s="1" customFormat="1" ht="13.5">
      <c r="G3038" s="6"/>
    </row>
    <row r="3039" s="1" customFormat="1" ht="13.5">
      <c r="G3039" s="6"/>
    </row>
    <row r="3040" s="1" customFormat="1" ht="13.5">
      <c r="G3040" s="6"/>
    </row>
    <row r="3041" s="1" customFormat="1" ht="13.5">
      <c r="G3041" s="6"/>
    </row>
    <row r="3042" s="1" customFormat="1" ht="13.5">
      <c r="G3042" s="6"/>
    </row>
    <row r="3043" s="1" customFormat="1" ht="13.5">
      <c r="G3043" s="6"/>
    </row>
    <row r="3044" s="1" customFormat="1" ht="13.5">
      <c r="G3044" s="6"/>
    </row>
    <row r="3045" s="1" customFormat="1" ht="13.5">
      <c r="G3045" s="6"/>
    </row>
    <row r="3046" s="1" customFormat="1" ht="13.5">
      <c r="G3046" s="6"/>
    </row>
    <row r="3047" s="1" customFormat="1" ht="13.5">
      <c r="G3047" s="6"/>
    </row>
    <row r="3048" s="1" customFormat="1" ht="13.5">
      <c r="G3048" s="6"/>
    </row>
    <row r="3049" s="1" customFormat="1" ht="13.5">
      <c r="G3049" s="6"/>
    </row>
    <row r="3050" s="1" customFormat="1" ht="13.5">
      <c r="G3050" s="6"/>
    </row>
    <row r="3051" s="1" customFormat="1" ht="13.5">
      <c r="G3051" s="6"/>
    </row>
    <row r="3052" s="1" customFormat="1" ht="13.5">
      <c r="G3052" s="6"/>
    </row>
    <row r="3053" s="1" customFormat="1" ht="13.5">
      <c r="G3053" s="6"/>
    </row>
    <row r="3054" s="1" customFormat="1" ht="13.5">
      <c r="G3054" s="6"/>
    </row>
    <row r="3055" s="1" customFormat="1" ht="13.5">
      <c r="G3055" s="6"/>
    </row>
    <row r="3056" s="1" customFormat="1" ht="13.5">
      <c r="G3056" s="6"/>
    </row>
    <row r="3057" s="1" customFormat="1" ht="13.5">
      <c r="G3057" s="6"/>
    </row>
    <row r="3058" s="1" customFormat="1" ht="13.5">
      <c r="G3058" s="6"/>
    </row>
    <row r="3059" s="1" customFormat="1" ht="13.5">
      <c r="G3059" s="6"/>
    </row>
    <row r="3060" s="1" customFormat="1" ht="13.5">
      <c r="G3060" s="6"/>
    </row>
    <row r="3061" s="1" customFormat="1" ht="13.5">
      <c r="G3061" s="6"/>
    </row>
    <row r="3062" s="1" customFormat="1" ht="13.5">
      <c r="G3062" s="6"/>
    </row>
    <row r="3063" s="1" customFormat="1" ht="13.5">
      <c r="G3063" s="6"/>
    </row>
    <row r="3064" s="1" customFormat="1" ht="13.5">
      <c r="G3064" s="6"/>
    </row>
    <row r="3065" s="1" customFormat="1" ht="13.5">
      <c r="G3065" s="6"/>
    </row>
    <row r="3066" s="1" customFormat="1" ht="13.5">
      <c r="G3066" s="6"/>
    </row>
    <row r="3067" s="1" customFormat="1" ht="13.5">
      <c r="G3067" s="6"/>
    </row>
    <row r="3068" s="1" customFormat="1" ht="13.5">
      <c r="G3068" s="6"/>
    </row>
    <row r="3069" s="1" customFormat="1" ht="13.5">
      <c r="G3069" s="6"/>
    </row>
    <row r="3070" s="1" customFormat="1" ht="13.5">
      <c r="G3070" s="6"/>
    </row>
    <row r="3071" s="1" customFormat="1" ht="13.5">
      <c r="G3071" s="6"/>
    </row>
    <row r="3072" s="1" customFormat="1" ht="13.5">
      <c r="G3072" s="6"/>
    </row>
    <row r="3073" s="1" customFormat="1" ht="13.5">
      <c r="G3073" s="6"/>
    </row>
    <row r="3074" s="1" customFormat="1" ht="13.5">
      <c r="G3074" s="6"/>
    </row>
    <row r="3075" s="1" customFormat="1" ht="13.5">
      <c r="G3075" s="6"/>
    </row>
    <row r="3076" s="1" customFormat="1" ht="13.5">
      <c r="G3076" s="6"/>
    </row>
    <row r="3077" s="1" customFormat="1" ht="13.5">
      <c r="G3077" s="6"/>
    </row>
    <row r="3078" s="1" customFormat="1" ht="13.5">
      <c r="G3078" s="6"/>
    </row>
    <row r="3079" s="1" customFormat="1" ht="13.5">
      <c r="G3079" s="6"/>
    </row>
    <row r="3080" s="1" customFormat="1" ht="13.5">
      <c r="G3080" s="6"/>
    </row>
    <row r="3081" s="1" customFormat="1" ht="13.5">
      <c r="G3081" s="6"/>
    </row>
    <row r="3082" s="1" customFormat="1" ht="13.5">
      <c r="G3082" s="6"/>
    </row>
    <row r="3083" s="1" customFormat="1" ht="13.5">
      <c r="G3083" s="6"/>
    </row>
    <row r="3084" s="1" customFormat="1" ht="13.5">
      <c r="G3084" s="6"/>
    </row>
    <row r="3085" s="1" customFormat="1" ht="13.5">
      <c r="G3085" s="6"/>
    </row>
    <row r="3086" s="1" customFormat="1" ht="13.5">
      <c r="G3086" s="6"/>
    </row>
    <row r="3087" s="1" customFormat="1" ht="13.5">
      <c r="G3087" s="6"/>
    </row>
    <row r="3088" s="1" customFormat="1" ht="13.5">
      <c r="G3088" s="6"/>
    </row>
    <row r="3089" s="1" customFormat="1" ht="13.5">
      <c r="G3089" s="6"/>
    </row>
    <row r="3090" s="1" customFormat="1" ht="13.5">
      <c r="G3090" s="6"/>
    </row>
    <row r="3091" s="1" customFormat="1" ht="13.5">
      <c r="G3091" s="6"/>
    </row>
    <row r="3092" s="1" customFormat="1" ht="13.5">
      <c r="G3092" s="6"/>
    </row>
    <row r="3093" s="1" customFormat="1" ht="13.5">
      <c r="G3093" s="6"/>
    </row>
    <row r="3094" s="1" customFormat="1" ht="13.5">
      <c r="G3094" s="6"/>
    </row>
    <row r="3095" s="1" customFormat="1" ht="13.5">
      <c r="G3095" s="6"/>
    </row>
    <row r="3096" s="1" customFormat="1" ht="13.5">
      <c r="G3096" s="6"/>
    </row>
    <row r="3097" s="1" customFormat="1" ht="13.5">
      <c r="G3097" s="6"/>
    </row>
    <row r="3098" s="1" customFormat="1" ht="13.5">
      <c r="G3098" s="6"/>
    </row>
    <row r="3099" s="1" customFormat="1" ht="13.5">
      <c r="G3099" s="6"/>
    </row>
    <row r="3100" s="1" customFormat="1" ht="13.5">
      <c r="G3100" s="6"/>
    </row>
    <row r="3101" s="1" customFormat="1" ht="13.5">
      <c r="G3101" s="6"/>
    </row>
    <row r="3102" s="1" customFormat="1" ht="13.5">
      <c r="G3102" s="6"/>
    </row>
    <row r="3103" s="1" customFormat="1" ht="13.5">
      <c r="G3103" s="6"/>
    </row>
    <row r="3104" s="1" customFormat="1" ht="13.5">
      <c r="G3104" s="6"/>
    </row>
    <row r="3105" s="1" customFormat="1" ht="13.5">
      <c r="G3105" s="6"/>
    </row>
    <row r="3106" s="1" customFormat="1" ht="13.5">
      <c r="G3106" s="6"/>
    </row>
    <row r="3107" s="1" customFormat="1" ht="13.5">
      <c r="G3107" s="6"/>
    </row>
    <row r="3108" s="1" customFormat="1" ht="13.5">
      <c r="G3108" s="6"/>
    </row>
    <row r="3109" s="1" customFormat="1" ht="13.5">
      <c r="G3109" s="6"/>
    </row>
    <row r="3110" s="1" customFormat="1" ht="13.5">
      <c r="G3110" s="6"/>
    </row>
    <row r="3111" s="1" customFormat="1" ht="13.5">
      <c r="G3111" s="6"/>
    </row>
    <row r="3112" s="1" customFormat="1" ht="13.5">
      <c r="G3112" s="6"/>
    </row>
    <row r="3113" s="1" customFormat="1" ht="13.5">
      <c r="G3113" s="6"/>
    </row>
    <row r="3114" s="1" customFormat="1" ht="13.5">
      <c r="G3114" s="6"/>
    </row>
    <row r="3115" s="1" customFormat="1" ht="13.5">
      <c r="G3115" s="6"/>
    </row>
    <row r="3116" s="1" customFormat="1" ht="13.5">
      <c r="G3116" s="6"/>
    </row>
    <row r="3117" s="1" customFormat="1" ht="13.5">
      <c r="G3117" s="6"/>
    </row>
    <row r="3118" s="1" customFormat="1" ht="13.5">
      <c r="G3118" s="6"/>
    </row>
    <row r="3119" s="1" customFormat="1" ht="13.5">
      <c r="G3119" s="6"/>
    </row>
    <row r="3120" s="1" customFormat="1" ht="13.5">
      <c r="G3120" s="6"/>
    </row>
    <row r="3121" s="1" customFormat="1" ht="13.5">
      <c r="G3121" s="6"/>
    </row>
    <row r="3122" s="1" customFormat="1" ht="13.5">
      <c r="G3122" s="6"/>
    </row>
    <row r="3123" s="1" customFormat="1" ht="13.5">
      <c r="G3123" s="6"/>
    </row>
    <row r="3124" s="1" customFormat="1" ht="13.5">
      <c r="G3124" s="6"/>
    </row>
    <row r="3125" s="1" customFormat="1" ht="13.5">
      <c r="G3125" s="6"/>
    </row>
    <row r="3126" s="1" customFormat="1" ht="13.5">
      <c r="G3126" s="6"/>
    </row>
    <row r="3127" s="1" customFormat="1" ht="13.5">
      <c r="G3127" s="6"/>
    </row>
    <row r="3128" s="1" customFormat="1" ht="13.5">
      <c r="G3128" s="6"/>
    </row>
    <row r="3129" s="1" customFormat="1" ht="13.5">
      <c r="G3129" s="6"/>
    </row>
    <row r="3130" s="1" customFormat="1" ht="13.5">
      <c r="G3130" s="6"/>
    </row>
    <row r="3131" s="1" customFormat="1" ht="13.5">
      <c r="G3131" s="6"/>
    </row>
    <row r="3132" s="1" customFormat="1" ht="13.5">
      <c r="G3132" s="6"/>
    </row>
    <row r="3133" s="1" customFormat="1" ht="13.5">
      <c r="G3133" s="6"/>
    </row>
    <row r="3134" s="1" customFormat="1" ht="13.5">
      <c r="G3134" s="6"/>
    </row>
    <row r="3135" s="1" customFormat="1" ht="13.5">
      <c r="G3135" s="6"/>
    </row>
    <row r="3136" s="1" customFormat="1" ht="13.5">
      <c r="G3136" s="6"/>
    </row>
    <row r="3137" s="1" customFormat="1" ht="13.5">
      <c r="G3137" s="6"/>
    </row>
    <row r="3138" s="1" customFormat="1" ht="13.5">
      <c r="G3138" s="6"/>
    </row>
    <row r="3139" s="1" customFormat="1" ht="13.5">
      <c r="G3139" s="6"/>
    </row>
    <row r="3140" s="1" customFormat="1" ht="13.5">
      <c r="G3140" s="6"/>
    </row>
    <row r="3141" s="1" customFormat="1" ht="13.5">
      <c r="G3141" s="6"/>
    </row>
    <row r="3142" s="1" customFormat="1" ht="13.5">
      <c r="G3142" s="6"/>
    </row>
    <row r="3143" s="1" customFormat="1" ht="13.5">
      <c r="G3143" s="6"/>
    </row>
    <row r="3144" s="1" customFormat="1" ht="13.5">
      <c r="G3144" s="6"/>
    </row>
    <row r="3145" s="1" customFormat="1" ht="13.5">
      <c r="G3145" s="6"/>
    </row>
    <row r="3146" s="1" customFormat="1" ht="13.5">
      <c r="G3146" s="6"/>
    </row>
    <row r="3147" s="1" customFormat="1" ht="13.5">
      <c r="G3147" s="6"/>
    </row>
    <row r="3148" s="1" customFormat="1" ht="13.5">
      <c r="G3148" s="6"/>
    </row>
    <row r="3149" s="1" customFormat="1" ht="13.5">
      <c r="G3149" s="6"/>
    </row>
    <row r="3150" s="1" customFormat="1" ht="13.5">
      <c r="G3150" s="6"/>
    </row>
    <row r="3151" s="1" customFormat="1" ht="13.5">
      <c r="G3151" s="6"/>
    </row>
    <row r="3152" s="1" customFormat="1" ht="13.5">
      <c r="G3152" s="6"/>
    </row>
    <row r="3153" s="1" customFormat="1" ht="13.5">
      <c r="G3153" s="6"/>
    </row>
    <row r="3154" s="1" customFormat="1" ht="13.5">
      <c r="G3154" s="6"/>
    </row>
    <row r="3155" s="1" customFormat="1" ht="13.5">
      <c r="G3155" s="6"/>
    </row>
    <row r="3156" s="1" customFormat="1" ht="13.5">
      <c r="G3156" s="6"/>
    </row>
    <row r="3157" s="1" customFormat="1" ht="13.5">
      <c r="G3157" s="6"/>
    </row>
    <row r="3158" s="1" customFormat="1" ht="13.5">
      <c r="G3158" s="6"/>
    </row>
    <row r="3159" s="1" customFormat="1" ht="13.5">
      <c r="G3159" s="6"/>
    </row>
    <row r="3160" s="1" customFormat="1" ht="13.5">
      <c r="G3160" s="6"/>
    </row>
    <row r="3161" s="1" customFormat="1" ht="13.5">
      <c r="G3161" s="6"/>
    </row>
    <row r="3162" s="1" customFormat="1" ht="13.5">
      <c r="G3162" s="6"/>
    </row>
    <row r="3163" s="1" customFormat="1" ht="13.5">
      <c r="G3163" s="6"/>
    </row>
    <row r="3164" s="1" customFormat="1" ht="13.5">
      <c r="G3164" s="6"/>
    </row>
    <row r="3165" s="1" customFormat="1" ht="13.5">
      <c r="G3165" s="6"/>
    </row>
    <row r="3166" s="1" customFormat="1" ht="13.5">
      <c r="G3166" s="6"/>
    </row>
    <row r="3167" s="1" customFormat="1" ht="13.5">
      <c r="G3167" s="6"/>
    </row>
    <row r="3168" s="1" customFormat="1" ht="13.5">
      <c r="G3168" s="6"/>
    </row>
    <row r="3169" s="1" customFormat="1" ht="13.5">
      <c r="G3169" s="6"/>
    </row>
    <row r="3170" s="1" customFormat="1" ht="13.5">
      <c r="G3170" s="6"/>
    </row>
    <row r="3171" s="1" customFormat="1" ht="13.5">
      <c r="G3171" s="6"/>
    </row>
    <row r="3172" s="1" customFormat="1" ht="13.5">
      <c r="G3172" s="6"/>
    </row>
    <row r="3173" s="1" customFormat="1" ht="13.5">
      <c r="G3173" s="6"/>
    </row>
    <row r="3174" s="1" customFormat="1" ht="13.5">
      <c r="G3174" s="6"/>
    </row>
    <row r="3175" s="1" customFormat="1" ht="13.5">
      <c r="G3175" s="6"/>
    </row>
    <row r="3176" s="1" customFormat="1" ht="13.5">
      <c r="G3176" s="6"/>
    </row>
    <row r="3177" s="1" customFormat="1" ht="13.5">
      <c r="G3177" s="6"/>
    </row>
    <row r="3178" s="1" customFormat="1" ht="13.5">
      <c r="G3178" s="6"/>
    </row>
    <row r="3179" s="1" customFormat="1" ht="13.5">
      <c r="G3179" s="6"/>
    </row>
    <row r="3180" s="1" customFormat="1" ht="13.5">
      <c r="G3180" s="6"/>
    </row>
    <row r="3181" s="1" customFormat="1" ht="13.5">
      <c r="G3181" s="6"/>
    </row>
    <row r="3182" s="1" customFormat="1" ht="13.5">
      <c r="G3182" s="6"/>
    </row>
    <row r="3183" s="1" customFormat="1" ht="13.5">
      <c r="G3183" s="6"/>
    </row>
    <row r="3184" s="1" customFormat="1" ht="13.5">
      <c r="G3184" s="6"/>
    </row>
    <row r="3185" s="1" customFormat="1" ht="13.5">
      <c r="G3185" s="6"/>
    </row>
    <row r="3186" s="1" customFormat="1" ht="13.5">
      <c r="G3186" s="6"/>
    </row>
    <row r="3187" s="1" customFormat="1" ht="13.5">
      <c r="G3187" s="6"/>
    </row>
    <row r="3188" s="1" customFormat="1" ht="13.5">
      <c r="G3188" s="6"/>
    </row>
    <row r="3189" s="1" customFormat="1" ht="13.5">
      <c r="G3189" s="6"/>
    </row>
    <row r="3190" s="1" customFormat="1" ht="13.5">
      <c r="G3190" s="6"/>
    </row>
    <row r="3191" s="1" customFormat="1" ht="13.5">
      <c r="G3191" s="6"/>
    </row>
    <row r="3192" s="1" customFormat="1" ht="13.5">
      <c r="G3192" s="6"/>
    </row>
    <row r="3193" s="1" customFormat="1" ht="13.5">
      <c r="G3193" s="6"/>
    </row>
    <row r="3194" s="1" customFormat="1" ht="13.5">
      <c r="G3194" s="6"/>
    </row>
    <row r="3195" s="1" customFormat="1" ht="13.5">
      <c r="G3195" s="6"/>
    </row>
    <row r="3196" s="1" customFormat="1" ht="13.5">
      <c r="G3196" s="6"/>
    </row>
    <row r="3197" s="1" customFormat="1" ht="13.5">
      <c r="G3197" s="6"/>
    </row>
    <row r="3198" s="1" customFormat="1" ht="13.5">
      <c r="G3198" s="6"/>
    </row>
    <row r="3199" s="1" customFormat="1" ht="13.5">
      <c r="G3199" s="6"/>
    </row>
    <row r="3200" s="1" customFormat="1" ht="13.5">
      <c r="G3200" s="6"/>
    </row>
    <row r="3201" s="1" customFormat="1" ht="13.5">
      <c r="G3201" s="6"/>
    </row>
    <row r="3202" s="1" customFormat="1" ht="13.5">
      <c r="G3202" s="6"/>
    </row>
    <row r="3203" s="1" customFormat="1" ht="13.5">
      <c r="G3203" s="6"/>
    </row>
    <row r="3204" s="1" customFormat="1" ht="13.5">
      <c r="G3204" s="6"/>
    </row>
    <row r="3205" s="1" customFormat="1" ht="13.5">
      <c r="G3205" s="6"/>
    </row>
    <row r="3206" s="1" customFormat="1" ht="13.5">
      <c r="G3206" s="6"/>
    </row>
    <row r="3207" s="1" customFormat="1" ht="13.5">
      <c r="G3207" s="6"/>
    </row>
    <row r="3208" s="1" customFormat="1" ht="13.5">
      <c r="G3208" s="6"/>
    </row>
    <row r="3209" s="1" customFormat="1" ht="13.5">
      <c r="G3209" s="6"/>
    </row>
    <row r="3210" s="1" customFormat="1" ht="13.5">
      <c r="G3210" s="6"/>
    </row>
    <row r="3211" s="1" customFormat="1" ht="13.5">
      <c r="G3211" s="6"/>
    </row>
    <row r="3212" s="1" customFormat="1" ht="13.5">
      <c r="G3212" s="6"/>
    </row>
    <row r="3213" s="1" customFormat="1" ht="13.5">
      <c r="G3213" s="6"/>
    </row>
    <row r="3214" s="1" customFormat="1" ht="13.5">
      <c r="G3214" s="6"/>
    </row>
    <row r="3215" s="1" customFormat="1" ht="13.5">
      <c r="G3215" s="6"/>
    </row>
    <row r="3216" s="1" customFormat="1" ht="13.5">
      <c r="G3216" s="6"/>
    </row>
    <row r="3217" s="1" customFormat="1" ht="13.5">
      <c r="G3217" s="6"/>
    </row>
    <row r="3218" s="1" customFormat="1" ht="13.5">
      <c r="G3218" s="6"/>
    </row>
    <row r="3219" s="1" customFormat="1" ht="13.5">
      <c r="G3219" s="6"/>
    </row>
    <row r="3220" s="1" customFormat="1" ht="13.5">
      <c r="G3220" s="6"/>
    </row>
    <row r="3221" s="1" customFormat="1" ht="13.5">
      <c r="G3221" s="6"/>
    </row>
    <row r="3222" s="1" customFormat="1" ht="13.5">
      <c r="G3222" s="6"/>
    </row>
    <row r="3223" s="1" customFormat="1" ht="13.5">
      <c r="G3223" s="6"/>
    </row>
    <row r="3224" s="1" customFormat="1" ht="13.5">
      <c r="G3224" s="6"/>
    </row>
    <row r="3225" s="1" customFormat="1" ht="13.5">
      <c r="G3225" s="6"/>
    </row>
    <row r="3226" s="1" customFormat="1" ht="13.5">
      <c r="G3226" s="6"/>
    </row>
    <row r="3227" s="1" customFormat="1" ht="13.5">
      <c r="G3227" s="6"/>
    </row>
    <row r="3228" s="1" customFormat="1" ht="13.5">
      <c r="G3228" s="6"/>
    </row>
    <row r="3229" s="1" customFormat="1" ht="13.5">
      <c r="G3229" s="6"/>
    </row>
    <row r="3230" s="1" customFormat="1" ht="13.5">
      <c r="G3230" s="6"/>
    </row>
    <row r="3231" s="1" customFormat="1" ht="13.5">
      <c r="G3231" s="6"/>
    </row>
    <row r="3232" s="1" customFormat="1" ht="13.5">
      <c r="G3232" s="6"/>
    </row>
    <row r="3233" s="1" customFormat="1" ht="13.5">
      <c r="G3233" s="6"/>
    </row>
    <row r="3234" s="1" customFormat="1" ht="13.5">
      <c r="G3234" s="6"/>
    </row>
    <row r="3235" s="1" customFormat="1" ht="13.5">
      <c r="G3235" s="6"/>
    </row>
    <row r="3236" s="1" customFormat="1" ht="13.5">
      <c r="G3236" s="6"/>
    </row>
    <row r="3237" s="1" customFormat="1" ht="13.5">
      <c r="G3237" s="6"/>
    </row>
    <row r="3238" s="1" customFormat="1" ht="13.5">
      <c r="G3238" s="6"/>
    </row>
    <row r="3239" s="1" customFormat="1" ht="13.5">
      <c r="G3239" s="6"/>
    </row>
    <row r="3240" s="1" customFormat="1" ht="13.5">
      <c r="G3240" s="6"/>
    </row>
    <row r="3241" s="1" customFormat="1" ht="13.5">
      <c r="G3241" s="6"/>
    </row>
    <row r="3242" s="1" customFormat="1" ht="13.5">
      <c r="G3242" s="6"/>
    </row>
    <row r="3243" s="1" customFormat="1" ht="13.5">
      <c r="G3243" s="6"/>
    </row>
    <row r="3244" s="1" customFormat="1" ht="13.5">
      <c r="G3244" s="6"/>
    </row>
    <row r="3245" s="1" customFormat="1" ht="13.5">
      <c r="G3245" s="6"/>
    </row>
    <row r="3246" s="1" customFormat="1" ht="13.5">
      <c r="G3246" s="6"/>
    </row>
    <row r="3247" s="1" customFormat="1" ht="13.5">
      <c r="G3247" s="6"/>
    </row>
    <row r="3248" s="1" customFormat="1" ht="13.5">
      <c r="G3248" s="6"/>
    </row>
    <row r="3249" s="1" customFormat="1" ht="13.5">
      <c r="G3249" s="6"/>
    </row>
    <row r="3250" s="1" customFormat="1" ht="13.5">
      <c r="G3250" s="6"/>
    </row>
    <row r="3251" s="1" customFormat="1" ht="13.5">
      <c r="G3251" s="6"/>
    </row>
    <row r="3252" s="1" customFormat="1" ht="13.5">
      <c r="G3252" s="6"/>
    </row>
    <row r="3253" s="1" customFormat="1" ht="13.5">
      <c r="G3253" s="6"/>
    </row>
    <row r="3254" s="1" customFormat="1" ht="13.5">
      <c r="G3254" s="6"/>
    </row>
    <row r="3255" s="1" customFormat="1" ht="13.5">
      <c r="G3255" s="6"/>
    </row>
    <row r="3256" s="1" customFormat="1" ht="13.5">
      <c r="G3256" s="6"/>
    </row>
    <row r="3257" s="1" customFormat="1" ht="13.5">
      <c r="G3257" s="6"/>
    </row>
    <row r="3258" s="1" customFormat="1" ht="13.5">
      <c r="G3258" s="6"/>
    </row>
    <row r="3259" s="1" customFormat="1" ht="13.5">
      <c r="G3259" s="6"/>
    </row>
    <row r="3260" s="1" customFormat="1" ht="13.5">
      <c r="G3260" s="6"/>
    </row>
    <row r="3261" s="1" customFormat="1" ht="13.5">
      <c r="G3261" s="6"/>
    </row>
    <row r="3262" s="1" customFormat="1" ht="13.5">
      <c r="G3262" s="6"/>
    </row>
    <row r="3263" s="1" customFormat="1" ht="13.5">
      <c r="G3263" s="6"/>
    </row>
    <row r="3264" s="1" customFormat="1" ht="13.5">
      <c r="G3264" s="6"/>
    </row>
    <row r="3265" s="1" customFormat="1" ht="13.5">
      <c r="G3265" s="6"/>
    </row>
    <row r="3266" s="1" customFormat="1" ht="13.5">
      <c r="G3266" s="6"/>
    </row>
    <row r="3267" s="1" customFormat="1" ht="13.5">
      <c r="G3267" s="6"/>
    </row>
    <row r="3268" s="1" customFormat="1" ht="13.5">
      <c r="G3268" s="6"/>
    </row>
    <row r="3269" s="1" customFormat="1" ht="13.5">
      <c r="G3269" s="6"/>
    </row>
    <row r="3270" s="1" customFormat="1" ht="13.5">
      <c r="G3270" s="6"/>
    </row>
    <row r="3271" s="1" customFormat="1" ht="13.5">
      <c r="G3271" s="6"/>
    </row>
    <row r="3272" s="1" customFormat="1" ht="13.5">
      <c r="G3272" s="6"/>
    </row>
    <row r="3273" s="1" customFormat="1" ht="13.5">
      <c r="G3273" s="6"/>
    </row>
    <row r="3274" s="1" customFormat="1" ht="13.5">
      <c r="G3274" s="6"/>
    </row>
    <row r="3275" s="1" customFormat="1" ht="13.5">
      <c r="G3275" s="6"/>
    </row>
    <row r="3276" s="1" customFormat="1" ht="13.5">
      <c r="G3276" s="6"/>
    </row>
    <row r="3277" s="1" customFormat="1" ht="13.5">
      <c r="G3277" s="6"/>
    </row>
    <row r="3278" s="1" customFormat="1" ht="13.5">
      <c r="G3278" s="6"/>
    </row>
    <row r="3279" s="1" customFormat="1" ht="13.5">
      <c r="G3279" s="6"/>
    </row>
    <row r="3280" s="1" customFormat="1" ht="13.5">
      <c r="G3280" s="6"/>
    </row>
    <row r="3281" s="1" customFormat="1" ht="13.5">
      <c r="G3281" s="6"/>
    </row>
    <row r="3282" s="1" customFormat="1" ht="13.5">
      <c r="G3282" s="6"/>
    </row>
    <row r="3283" s="1" customFormat="1" ht="13.5">
      <c r="G3283" s="6"/>
    </row>
    <row r="3284" s="1" customFormat="1" ht="13.5">
      <c r="G3284" s="6"/>
    </row>
    <row r="3285" s="1" customFormat="1" ht="13.5">
      <c r="G3285" s="6"/>
    </row>
    <row r="3286" s="1" customFormat="1" ht="13.5">
      <c r="G3286" s="6"/>
    </row>
    <row r="3287" s="1" customFormat="1" ht="13.5">
      <c r="G3287" s="6"/>
    </row>
    <row r="3288" s="1" customFormat="1" ht="13.5">
      <c r="G3288" s="6"/>
    </row>
    <row r="3289" s="1" customFormat="1" ht="13.5">
      <c r="G3289" s="6"/>
    </row>
    <row r="3290" s="1" customFormat="1" ht="13.5">
      <c r="G3290" s="6"/>
    </row>
    <row r="3291" s="1" customFormat="1" ht="13.5">
      <c r="G3291" s="6"/>
    </row>
    <row r="3292" s="1" customFormat="1" ht="13.5">
      <c r="G3292" s="6"/>
    </row>
    <row r="3293" s="1" customFormat="1" ht="13.5">
      <c r="G3293" s="6"/>
    </row>
    <row r="3294" s="1" customFormat="1" ht="13.5">
      <c r="G3294" s="6"/>
    </row>
    <row r="3295" s="1" customFormat="1" ht="13.5">
      <c r="G3295" s="6"/>
    </row>
    <row r="3296" s="1" customFormat="1" ht="13.5">
      <c r="G3296" s="6"/>
    </row>
    <row r="3297" s="1" customFormat="1" ht="13.5">
      <c r="G3297" s="6"/>
    </row>
    <row r="3298" s="1" customFormat="1" ht="13.5">
      <c r="G3298" s="6"/>
    </row>
    <row r="3299" s="1" customFormat="1" ht="13.5">
      <c r="G3299" s="6"/>
    </row>
    <row r="3300" s="1" customFormat="1" ht="13.5">
      <c r="G3300" s="6"/>
    </row>
    <row r="3301" s="1" customFormat="1" ht="13.5">
      <c r="G3301" s="6"/>
    </row>
    <row r="3302" s="1" customFormat="1" ht="13.5">
      <c r="G3302" s="6"/>
    </row>
    <row r="3303" s="1" customFormat="1" ht="13.5">
      <c r="G3303" s="6"/>
    </row>
    <row r="3304" s="1" customFormat="1" ht="13.5">
      <c r="G3304" s="6"/>
    </row>
    <row r="3305" s="1" customFormat="1" ht="13.5">
      <c r="G3305" s="6"/>
    </row>
    <row r="3306" s="1" customFormat="1" ht="13.5">
      <c r="G3306" s="6"/>
    </row>
    <row r="3307" s="1" customFormat="1" ht="13.5">
      <c r="G3307" s="6"/>
    </row>
    <row r="3308" s="1" customFormat="1" ht="13.5">
      <c r="G3308" s="6"/>
    </row>
    <row r="3309" s="1" customFormat="1" ht="13.5">
      <c r="G3309" s="6"/>
    </row>
    <row r="3310" s="1" customFormat="1" ht="13.5">
      <c r="G3310" s="6"/>
    </row>
    <row r="3311" s="1" customFormat="1" ht="13.5">
      <c r="G3311" s="6"/>
    </row>
    <row r="3312" s="1" customFormat="1" ht="13.5">
      <c r="G3312" s="6"/>
    </row>
    <row r="3313" s="1" customFormat="1" ht="13.5">
      <c r="G3313" s="6"/>
    </row>
    <row r="3314" s="1" customFormat="1" ht="13.5">
      <c r="G3314" s="6"/>
    </row>
    <row r="3315" s="1" customFormat="1" ht="13.5">
      <c r="G3315" s="6"/>
    </row>
    <row r="3316" s="1" customFormat="1" ht="13.5">
      <c r="G3316" s="6"/>
    </row>
    <row r="3317" s="1" customFormat="1" ht="13.5">
      <c r="G3317" s="6"/>
    </row>
    <row r="3318" s="1" customFormat="1" ht="13.5">
      <c r="G3318" s="6"/>
    </row>
    <row r="3319" s="1" customFormat="1" ht="13.5">
      <c r="G3319" s="6"/>
    </row>
    <row r="3320" s="1" customFormat="1" ht="13.5">
      <c r="G3320" s="6"/>
    </row>
    <row r="3321" s="1" customFormat="1" ht="13.5">
      <c r="G3321" s="6"/>
    </row>
    <row r="3322" s="1" customFormat="1" ht="13.5">
      <c r="G3322" s="6"/>
    </row>
    <row r="3323" s="1" customFormat="1" ht="13.5">
      <c r="G3323" s="6"/>
    </row>
    <row r="3324" s="1" customFormat="1" ht="13.5">
      <c r="G3324" s="6"/>
    </row>
    <row r="3325" s="1" customFormat="1" ht="13.5">
      <c r="G3325" s="6"/>
    </row>
    <row r="3326" s="1" customFormat="1" ht="13.5">
      <c r="G3326" s="6"/>
    </row>
    <row r="3327" s="1" customFormat="1" ht="13.5">
      <c r="G3327" s="6"/>
    </row>
    <row r="3328" s="1" customFormat="1" ht="13.5">
      <c r="G3328" s="6"/>
    </row>
    <row r="3329" s="1" customFormat="1" ht="13.5">
      <c r="G3329" s="6"/>
    </row>
    <row r="3330" s="1" customFormat="1" ht="13.5">
      <c r="G3330" s="6"/>
    </row>
    <row r="3331" s="1" customFormat="1" ht="13.5">
      <c r="G3331" s="6"/>
    </row>
    <row r="3332" s="1" customFormat="1" ht="13.5">
      <c r="G3332" s="6"/>
    </row>
    <row r="3333" s="1" customFormat="1" ht="13.5">
      <c r="G3333" s="6"/>
    </row>
    <row r="3334" s="1" customFormat="1" ht="13.5">
      <c r="G3334" s="6"/>
    </row>
    <row r="3335" s="1" customFormat="1" ht="13.5">
      <c r="G3335" s="6"/>
    </row>
    <row r="3336" s="1" customFormat="1" ht="13.5">
      <c r="G3336" s="6"/>
    </row>
    <row r="3337" s="1" customFormat="1" ht="13.5">
      <c r="G3337" s="6"/>
    </row>
    <row r="3338" s="1" customFormat="1" ht="13.5">
      <c r="G3338" s="6"/>
    </row>
    <row r="3339" s="1" customFormat="1" ht="13.5">
      <c r="G3339" s="6"/>
    </row>
    <row r="3340" s="1" customFormat="1" ht="13.5">
      <c r="G3340" s="6"/>
    </row>
    <row r="3341" s="1" customFormat="1" ht="13.5">
      <c r="G3341" s="6"/>
    </row>
    <row r="3342" s="1" customFormat="1" ht="13.5">
      <c r="G3342" s="6"/>
    </row>
    <row r="3343" s="1" customFormat="1" ht="13.5">
      <c r="G3343" s="6"/>
    </row>
    <row r="3344" s="1" customFormat="1" ht="13.5">
      <c r="G3344" s="6"/>
    </row>
    <row r="3345" s="1" customFormat="1" ht="13.5">
      <c r="G3345" s="6"/>
    </row>
    <row r="3346" s="1" customFormat="1" ht="13.5">
      <c r="G3346" s="6"/>
    </row>
    <row r="3347" s="1" customFormat="1" ht="13.5">
      <c r="G3347" s="6"/>
    </row>
    <row r="3348" s="1" customFormat="1" ht="13.5">
      <c r="G3348" s="6"/>
    </row>
    <row r="3349" s="1" customFormat="1" ht="13.5">
      <c r="G3349" s="6"/>
    </row>
    <row r="3350" s="1" customFormat="1" ht="13.5">
      <c r="G3350" s="6"/>
    </row>
    <row r="3351" s="1" customFormat="1" ht="13.5">
      <c r="G3351" s="6"/>
    </row>
    <row r="3352" s="1" customFormat="1" ht="13.5">
      <c r="G3352" s="6"/>
    </row>
    <row r="3353" s="1" customFormat="1" ht="13.5">
      <c r="G3353" s="6"/>
    </row>
    <row r="3354" s="1" customFormat="1" ht="13.5">
      <c r="G3354" s="6"/>
    </row>
    <row r="3355" s="1" customFormat="1" ht="13.5">
      <c r="G3355" s="6"/>
    </row>
    <row r="3356" s="1" customFormat="1" ht="13.5">
      <c r="G3356" s="6"/>
    </row>
    <row r="3357" s="1" customFormat="1" ht="13.5">
      <c r="G3357" s="6"/>
    </row>
    <row r="3358" s="1" customFormat="1" ht="13.5">
      <c r="G3358" s="6"/>
    </row>
    <row r="3359" s="1" customFormat="1" ht="13.5">
      <c r="G3359" s="6"/>
    </row>
    <row r="3360" s="1" customFormat="1" ht="13.5">
      <c r="G3360" s="6"/>
    </row>
    <row r="3361" s="1" customFormat="1" ht="13.5">
      <c r="G3361" s="6"/>
    </row>
    <row r="3362" s="1" customFormat="1" ht="13.5">
      <c r="G3362" s="6"/>
    </row>
    <row r="3363" s="1" customFormat="1" ht="13.5">
      <c r="G3363" s="6"/>
    </row>
    <row r="3364" s="1" customFormat="1" ht="13.5">
      <c r="G3364" s="6"/>
    </row>
    <row r="3365" s="1" customFormat="1" ht="13.5">
      <c r="G3365" s="6"/>
    </row>
    <row r="3366" s="1" customFormat="1" ht="13.5">
      <c r="G3366" s="6"/>
    </row>
    <row r="3367" s="1" customFormat="1" ht="13.5">
      <c r="G3367" s="6"/>
    </row>
    <row r="3368" s="1" customFormat="1" ht="13.5">
      <c r="G3368" s="6"/>
    </row>
    <row r="3369" s="1" customFormat="1" ht="13.5">
      <c r="G3369" s="6"/>
    </row>
    <row r="3370" s="1" customFormat="1" ht="13.5">
      <c r="G3370" s="6"/>
    </row>
    <row r="3371" s="1" customFormat="1" ht="13.5">
      <c r="G3371" s="6"/>
    </row>
    <row r="3372" s="1" customFormat="1" ht="13.5">
      <c r="G3372" s="6"/>
    </row>
    <row r="3373" s="1" customFormat="1" ht="13.5">
      <c r="G3373" s="6"/>
    </row>
    <row r="3374" s="1" customFormat="1" ht="13.5">
      <c r="G3374" s="6"/>
    </row>
    <row r="3375" s="1" customFormat="1" ht="13.5">
      <c r="G3375" s="6"/>
    </row>
    <row r="3376" s="1" customFormat="1" ht="13.5">
      <c r="G3376" s="6"/>
    </row>
    <row r="3377" s="1" customFormat="1" ht="13.5">
      <c r="G3377" s="6"/>
    </row>
    <row r="3378" s="1" customFormat="1" ht="13.5">
      <c r="G3378" s="6"/>
    </row>
    <row r="3379" s="1" customFormat="1" ht="13.5">
      <c r="G3379" s="6"/>
    </row>
    <row r="3380" s="1" customFormat="1" ht="13.5">
      <c r="G3380" s="6"/>
    </row>
    <row r="3381" s="1" customFormat="1" ht="13.5">
      <c r="G3381" s="6"/>
    </row>
    <row r="3382" s="1" customFormat="1" ht="13.5">
      <c r="G3382" s="6"/>
    </row>
    <row r="3383" s="1" customFormat="1" ht="13.5">
      <c r="G3383" s="6"/>
    </row>
    <row r="3384" s="1" customFormat="1" ht="13.5">
      <c r="G3384" s="6"/>
    </row>
    <row r="3385" s="1" customFormat="1" ht="13.5">
      <c r="G3385" s="6"/>
    </row>
    <row r="3386" s="1" customFormat="1" ht="13.5">
      <c r="G3386" s="6"/>
    </row>
    <row r="3387" s="1" customFormat="1" ht="13.5">
      <c r="G3387" s="6"/>
    </row>
    <row r="3388" s="1" customFormat="1" ht="13.5">
      <c r="G3388" s="6"/>
    </row>
    <row r="3389" s="1" customFormat="1" ht="13.5">
      <c r="G3389" s="6"/>
    </row>
    <row r="3390" s="1" customFormat="1" ht="13.5">
      <c r="G3390" s="6"/>
    </row>
    <row r="3391" s="1" customFormat="1" ht="13.5">
      <c r="G3391" s="6"/>
    </row>
    <row r="3392" s="1" customFormat="1" ht="13.5">
      <c r="G3392" s="6"/>
    </row>
    <row r="3393" s="1" customFormat="1" ht="13.5">
      <c r="G3393" s="6"/>
    </row>
    <row r="3394" s="1" customFormat="1" ht="13.5">
      <c r="G3394" s="6"/>
    </row>
    <row r="3395" s="1" customFormat="1" ht="13.5">
      <c r="G3395" s="6"/>
    </row>
    <row r="3396" s="1" customFormat="1" ht="13.5">
      <c r="G3396" s="6"/>
    </row>
    <row r="3397" s="1" customFormat="1" ht="13.5">
      <c r="G3397" s="6"/>
    </row>
    <row r="3398" s="1" customFormat="1" ht="13.5">
      <c r="G3398" s="6"/>
    </row>
    <row r="3399" s="1" customFormat="1" ht="13.5">
      <c r="G3399" s="6"/>
    </row>
    <row r="3400" s="1" customFormat="1" ht="13.5">
      <c r="G3400" s="6"/>
    </row>
    <row r="3401" s="1" customFormat="1" ht="13.5">
      <c r="G3401" s="6"/>
    </row>
    <row r="3402" s="1" customFormat="1" ht="13.5">
      <c r="G3402" s="6"/>
    </row>
    <row r="3403" s="1" customFormat="1" ht="13.5">
      <c r="G3403" s="6"/>
    </row>
    <row r="3404" s="1" customFormat="1" ht="13.5">
      <c r="G3404" s="6"/>
    </row>
    <row r="3405" s="1" customFormat="1" ht="13.5">
      <c r="G3405" s="6"/>
    </row>
    <row r="3406" s="1" customFormat="1" ht="13.5">
      <c r="G3406" s="6"/>
    </row>
    <row r="3407" s="1" customFormat="1" ht="13.5">
      <c r="G3407" s="6"/>
    </row>
    <row r="3408" s="1" customFormat="1" ht="13.5">
      <c r="G3408" s="6"/>
    </row>
    <row r="3409" s="1" customFormat="1" ht="13.5">
      <c r="G3409" s="6"/>
    </row>
    <row r="3410" s="1" customFormat="1" ht="13.5">
      <c r="G3410" s="6"/>
    </row>
    <row r="3411" s="1" customFormat="1" ht="13.5">
      <c r="G3411" s="6"/>
    </row>
    <row r="3412" s="1" customFormat="1" ht="13.5">
      <c r="G3412" s="6"/>
    </row>
    <row r="3413" s="1" customFormat="1" ht="13.5">
      <c r="G3413" s="6"/>
    </row>
    <row r="3414" s="1" customFormat="1" ht="13.5">
      <c r="G3414" s="6"/>
    </row>
    <row r="3415" s="1" customFormat="1" ht="13.5">
      <c r="G3415" s="6"/>
    </row>
    <row r="3416" s="1" customFormat="1" ht="13.5">
      <c r="G3416" s="6"/>
    </row>
    <row r="3417" s="1" customFormat="1" ht="13.5">
      <c r="G3417" s="6"/>
    </row>
    <row r="3418" s="1" customFormat="1" ht="13.5">
      <c r="G3418" s="6"/>
    </row>
    <row r="3419" s="1" customFormat="1" ht="13.5">
      <c r="G3419" s="6"/>
    </row>
    <row r="3420" s="1" customFormat="1" ht="13.5">
      <c r="G3420" s="6"/>
    </row>
    <row r="3421" s="1" customFormat="1" ht="13.5">
      <c r="G3421" s="6"/>
    </row>
    <row r="3422" s="1" customFormat="1" ht="13.5">
      <c r="G3422" s="6"/>
    </row>
    <row r="3423" s="1" customFormat="1" ht="13.5">
      <c r="G3423" s="6"/>
    </row>
    <row r="3424" s="1" customFormat="1" ht="13.5">
      <c r="G3424" s="6"/>
    </row>
    <row r="3425" s="1" customFormat="1" ht="13.5">
      <c r="G3425" s="6"/>
    </row>
    <row r="3426" s="1" customFormat="1" ht="13.5">
      <c r="G3426" s="6"/>
    </row>
    <row r="3427" s="1" customFormat="1" ht="13.5">
      <c r="G3427" s="6"/>
    </row>
    <row r="3428" s="1" customFormat="1" ht="13.5">
      <c r="G3428" s="6"/>
    </row>
    <row r="3429" s="1" customFormat="1" ht="13.5">
      <c r="G3429" s="6"/>
    </row>
    <row r="3430" s="1" customFormat="1" ht="13.5">
      <c r="G3430" s="6"/>
    </row>
    <row r="3431" s="1" customFormat="1" ht="13.5">
      <c r="G3431" s="6"/>
    </row>
    <row r="3432" s="1" customFormat="1" ht="13.5">
      <c r="G3432" s="6"/>
    </row>
    <row r="3433" s="1" customFormat="1" ht="13.5">
      <c r="G3433" s="6"/>
    </row>
    <row r="3434" s="1" customFormat="1" ht="13.5">
      <c r="G3434" s="6"/>
    </row>
    <row r="3435" s="1" customFormat="1" ht="13.5">
      <c r="G3435" s="6"/>
    </row>
    <row r="3436" s="1" customFormat="1" ht="13.5">
      <c r="G3436" s="6"/>
    </row>
    <row r="3437" s="1" customFormat="1" ht="13.5">
      <c r="G3437" s="6"/>
    </row>
    <row r="3438" s="1" customFormat="1" ht="13.5">
      <c r="G3438" s="6"/>
    </row>
    <row r="3439" s="1" customFormat="1" ht="13.5">
      <c r="G3439" s="6"/>
    </row>
    <row r="3440" s="1" customFormat="1" ht="13.5">
      <c r="G3440" s="6"/>
    </row>
    <row r="3441" s="1" customFormat="1" ht="13.5">
      <c r="G3441" s="6"/>
    </row>
    <row r="3442" s="1" customFormat="1" ht="13.5">
      <c r="G3442" s="6"/>
    </row>
    <row r="3443" s="1" customFormat="1" ht="13.5">
      <c r="G3443" s="6"/>
    </row>
    <row r="3444" s="1" customFormat="1" ht="13.5">
      <c r="G3444" s="6"/>
    </row>
    <row r="3445" s="1" customFormat="1" ht="13.5">
      <c r="G3445" s="6"/>
    </row>
    <row r="3446" s="1" customFormat="1" ht="13.5">
      <c r="G3446" s="6"/>
    </row>
    <row r="3447" s="1" customFormat="1" ht="13.5">
      <c r="G3447" s="6"/>
    </row>
    <row r="3448" s="1" customFormat="1" ht="13.5">
      <c r="G3448" s="6"/>
    </row>
    <row r="3449" s="1" customFormat="1" ht="13.5">
      <c r="G3449" s="6"/>
    </row>
    <row r="3450" s="1" customFormat="1" ht="13.5">
      <c r="G3450" s="6"/>
    </row>
    <row r="3451" s="1" customFormat="1" ht="13.5">
      <c r="G3451" s="6"/>
    </row>
    <row r="3452" s="1" customFormat="1" ht="13.5">
      <c r="G3452" s="6"/>
    </row>
    <row r="3453" s="1" customFormat="1" ht="13.5">
      <c r="G3453" s="6"/>
    </row>
    <row r="3454" s="1" customFormat="1" ht="13.5">
      <c r="G3454" s="6"/>
    </row>
    <row r="3455" s="1" customFormat="1" ht="13.5">
      <c r="G3455" s="6"/>
    </row>
    <row r="3456" s="1" customFormat="1" ht="13.5">
      <c r="G3456" s="6"/>
    </row>
    <row r="3457" s="1" customFormat="1" ht="13.5">
      <c r="G3457" s="6"/>
    </row>
    <row r="3458" s="1" customFormat="1" ht="13.5">
      <c r="G3458" s="6"/>
    </row>
    <row r="3459" s="1" customFormat="1" ht="13.5">
      <c r="G3459" s="6"/>
    </row>
    <row r="3460" s="1" customFormat="1" ht="13.5">
      <c r="G3460" s="6"/>
    </row>
    <row r="3461" s="1" customFormat="1" ht="13.5">
      <c r="G3461" s="6"/>
    </row>
    <row r="3462" s="1" customFormat="1" ht="13.5">
      <c r="G3462" s="6"/>
    </row>
    <row r="3463" s="1" customFormat="1" ht="13.5">
      <c r="G3463" s="6"/>
    </row>
    <row r="3464" s="1" customFormat="1" ht="13.5">
      <c r="G3464" s="6"/>
    </row>
    <row r="3465" s="1" customFormat="1" ht="13.5">
      <c r="G3465" s="6"/>
    </row>
    <row r="3466" s="1" customFormat="1" ht="13.5">
      <c r="G3466" s="6"/>
    </row>
    <row r="3467" s="1" customFormat="1" ht="13.5">
      <c r="G3467" s="6"/>
    </row>
    <row r="3468" s="1" customFormat="1" ht="13.5">
      <c r="G3468" s="6"/>
    </row>
    <row r="3469" s="1" customFormat="1" ht="13.5">
      <c r="G3469" s="6"/>
    </row>
    <row r="3470" s="1" customFormat="1" ht="13.5">
      <c r="G3470" s="6"/>
    </row>
    <row r="3471" s="1" customFormat="1" ht="13.5">
      <c r="G3471" s="6"/>
    </row>
    <row r="3472" s="1" customFormat="1" ht="13.5">
      <c r="G3472" s="6"/>
    </row>
    <row r="3473" s="1" customFormat="1" ht="13.5">
      <c r="G3473" s="6"/>
    </row>
    <row r="3474" s="1" customFormat="1" ht="13.5">
      <c r="G3474" s="6"/>
    </row>
    <row r="3475" s="1" customFormat="1" ht="13.5">
      <c r="G3475" s="6"/>
    </row>
    <row r="3476" s="1" customFormat="1" ht="13.5">
      <c r="G3476" s="6"/>
    </row>
    <row r="3477" s="1" customFormat="1" ht="13.5">
      <c r="G3477" s="6"/>
    </row>
    <row r="3478" s="1" customFormat="1" ht="13.5">
      <c r="G3478" s="6"/>
    </row>
    <row r="3479" s="1" customFormat="1" ht="13.5">
      <c r="G3479" s="6"/>
    </row>
    <row r="3480" s="1" customFormat="1" ht="13.5">
      <c r="G3480" s="6"/>
    </row>
    <row r="3481" s="1" customFormat="1" ht="13.5">
      <c r="G3481" s="6"/>
    </row>
    <row r="3482" s="1" customFormat="1" ht="13.5">
      <c r="G3482" s="6"/>
    </row>
    <row r="3483" s="1" customFormat="1" ht="13.5">
      <c r="G3483" s="6"/>
    </row>
    <row r="3484" s="1" customFormat="1" ht="13.5">
      <c r="G3484" s="6"/>
    </row>
    <row r="3485" s="1" customFormat="1" ht="13.5">
      <c r="G3485" s="6"/>
    </row>
    <row r="3486" s="1" customFormat="1" ht="13.5">
      <c r="G3486" s="6"/>
    </row>
    <row r="3487" s="1" customFormat="1" ht="13.5">
      <c r="G3487" s="6"/>
    </row>
    <row r="3488" s="1" customFormat="1" ht="13.5">
      <c r="G3488" s="6"/>
    </row>
    <row r="3489" s="1" customFormat="1" ht="13.5">
      <c r="G3489" s="6"/>
    </row>
    <row r="3490" s="1" customFormat="1" ht="13.5">
      <c r="G3490" s="6"/>
    </row>
    <row r="3491" s="1" customFormat="1" ht="13.5">
      <c r="G3491" s="6"/>
    </row>
    <row r="3492" s="1" customFormat="1" ht="13.5">
      <c r="G3492" s="6"/>
    </row>
    <row r="3493" s="1" customFormat="1" ht="13.5">
      <c r="G3493" s="6"/>
    </row>
    <row r="3494" s="1" customFormat="1" ht="13.5">
      <c r="G3494" s="6"/>
    </row>
    <row r="3495" s="1" customFormat="1" ht="13.5">
      <c r="G3495" s="6"/>
    </row>
    <row r="3496" s="1" customFormat="1" ht="13.5">
      <c r="G3496" s="6"/>
    </row>
    <row r="3497" s="1" customFormat="1" ht="13.5">
      <c r="G3497" s="6"/>
    </row>
    <row r="3498" s="1" customFormat="1" ht="13.5">
      <c r="G3498" s="6"/>
    </row>
    <row r="3499" s="1" customFormat="1" ht="13.5">
      <c r="G3499" s="6"/>
    </row>
    <row r="3500" s="1" customFormat="1" ht="13.5">
      <c r="G3500" s="6"/>
    </row>
    <row r="3501" s="1" customFormat="1" ht="13.5">
      <c r="G3501" s="6"/>
    </row>
    <row r="3502" s="1" customFormat="1" ht="13.5">
      <c r="G3502" s="6"/>
    </row>
    <row r="3503" s="1" customFormat="1" ht="13.5">
      <c r="G3503" s="6"/>
    </row>
    <row r="3504" s="1" customFormat="1" ht="13.5">
      <c r="G3504" s="6"/>
    </row>
    <row r="3505" s="1" customFormat="1" ht="13.5">
      <c r="G3505" s="6"/>
    </row>
    <row r="3506" s="1" customFormat="1" ht="13.5">
      <c r="G3506" s="6"/>
    </row>
    <row r="3507" s="1" customFormat="1" ht="13.5">
      <c r="G3507" s="6"/>
    </row>
    <row r="3508" s="1" customFormat="1" ht="13.5">
      <c r="G3508" s="6"/>
    </row>
    <row r="3509" s="1" customFormat="1" ht="13.5">
      <c r="G3509" s="6"/>
    </row>
    <row r="3510" s="1" customFormat="1" ht="13.5">
      <c r="G3510" s="6"/>
    </row>
    <row r="3511" s="1" customFormat="1" ht="13.5">
      <c r="G3511" s="6"/>
    </row>
    <row r="3512" s="1" customFormat="1" ht="13.5">
      <c r="G3512" s="6"/>
    </row>
    <row r="3513" s="1" customFormat="1" ht="13.5">
      <c r="G3513" s="6"/>
    </row>
    <row r="3514" s="1" customFormat="1" ht="13.5">
      <c r="G3514" s="6"/>
    </row>
    <row r="3515" s="1" customFormat="1" ht="13.5">
      <c r="G3515" s="6"/>
    </row>
    <row r="3516" s="1" customFormat="1" ht="13.5">
      <c r="G3516" s="6"/>
    </row>
    <row r="3517" s="1" customFormat="1" ht="13.5">
      <c r="G3517" s="6"/>
    </row>
    <row r="3518" s="1" customFormat="1" ht="13.5">
      <c r="G3518" s="6"/>
    </row>
    <row r="3519" s="1" customFormat="1" ht="13.5">
      <c r="G3519" s="6"/>
    </row>
    <row r="3520" s="1" customFormat="1" ht="13.5">
      <c r="G3520" s="6"/>
    </row>
    <row r="3521" s="1" customFormat="1" ht="13.5">
      <c r="G3521" s="6"/>
    </row>
    <row r="3522" s="1" customFormat="1" ht="13.5">
      <c r="G3522" s="6"/>
    </row>
    <row r="3523" s="1" customFormat="1" ht="13.5">
      <c r="G3523" s="6"/>
    </row>
    <row r="3524" s="1" customFormat="1" ht="13.5">
      <c r="G3524" s="6"/>
    </row>
    <row r="3525" s="1" customFormat="1" ht="13.5">
      <c r="G3525" s="6"/>
    </row>
    <row r="3526" s="1" customFormat="1" ht="13.5">
      <c r="G3526" s="6"/>
    </row>
    <row r="3527" s="1" customFormat="1" ht="13.5">
      <c r="G3527" s="6"/>
    </row>
    <row r="3528" s="1" customFormat="1" ht="13.5">
      <c r="G3528" s="6"/>
    </row>
    <row r="3529" s="1" customFormat="1" ht="13.5">
      <c r="G3529" s="6"/>
    </row>
    <row r="3530" s="1" customFormat="1" ht="13.5">
      <c r="G3530" s="6"/>
    </row>
    <row r="3531" s="1" customFormat="1" ht="13.5">
      <c r="G3531" s="6"/>
    </row>
    <row r="3532" s="1" customFormat="1" ht="13.5">
      <c r="G3532" s="6"/>
    </row>
    <row r="3533" s="1" customFormat="1" ht="13.5">
      <c r="G3533" s="6"/>
    </row>
    <row r="3534" s="1" customFormat="1" ht="13.5">
      <c r="G3534" s="6"/>
    </row>
    <row r="3535" s="1" customFormat="1" ht="13.5">
      <c r="G3535" s="6"/>
    </row>
    <row r="3536" s="1" customFormat="1" ht="13.5">
      <c r="G3536" s="6"/>
    </row>
    <row r="3537" s="1" customFormat="1" ht="13.5">
      <c r="G3537" s="6"/>
    </row>
    <row r="3538" s="1" customFormat="1" ht="13.5">
      <c r="G3538" s="6"/>
    </row>
    <row r="3539" s="1" customFormat="1" ht="13.5">
      <c r="G3539" s="6"/>
    </row>
    <row r="3540" s="1" customFormat="1" ht="13.5">
      <c r="G3540" s="6"/>
    </row>
    <row r="3541" s="1" customFormat="1" ht="13.5">
      <c r="G3541" s="6"/>
    </row>
    <row r="3542" s="1" customFormat="1" ht="13.5">
      <c r="G3542" s="6"/>
    </row>
    <row r="3543" s="1" customFormat="1" ht="13.5">
      <c r="G3543" s="6"/>
    </row>
    <row r="3544" s="1" customFormat="1" ht="13.5">
      <c r="G3544" s="6"/>
    </row>
    <row r="3545" s="1" customFormat="1" ht="13.5">
      <c r="G3545" s="6"/>
    </row>
    <row r="3546" s="1" customFormat="1" ht="13.5">
      <c r="G3546" s="6"/>
    </row>
    <row r="3547" s="1" customFormat="1" ht="13.5">
      <c r="G3547" s="6"/>
    </row>
    <row r="3548" s="1" customFormat="1" ht="13.5">
      <c r="G3548" s="6"/>
    </row>
    <row r="3549" s="1" customFormat="1" ht="13.5">
      <c r="G3549" s="6"/>
    </row>
    <row r="3550" s="1" customFormat="1" ht="13.5">
      <c r="G3550" s="6"/>
    </row>
    <row r="3551" s="1" customFormat="1" ht="13.5">
      <c r="G3551" s="6"/>
    </row>
    <row r="3552" s="1" customFormat="1" ht="13.5">
      <c r="G3552" s="6"/>
    </row>
    <row r="3553" s="1" customFormat="1" ht="13.5">
      <c r="G3553" s="6"/>
    </row>
    <row r="3554" s="1" customFormat="1" ht="13.5">
      <c r="G3554" s="6"/>
    </row>
    <row r="3555" s="1" customFormat="1" ht="13.5">
      <c r="G3555" s="6"/>
    </row>
    <row r="3556" s="1" customFormat="1" ht="13.5">
      <c r="G3556" s="6"/>
    </row>
    <row r="3557" s="1" customFormat="1" ht="13.5">
      <c r="G3557" s="6"/>
    </row>
    <row r="3558" s="1" customFormat="1" ht="13.5">
      <c r="G3558" s="6"/>
    </row>
    <row r="3559" s="1" customFormat="1" ht="13.5">
      <c r="G3559" s="6"/>
    </row>
    <row r="3560" s="1" customFormat="1" ht="13.5">
      <c r="G3560" s="6"/>
    </row>
    <row r="3561" s="1" customFormat="1" ht="13.5">
      <c r="G3561" s="6"/>
    </row>
    <row r="3562" s="1" customFormat="1" ht="13.5">
      <c r="G3562" s="6"/>
    </row>
    <row r="3563" s="1" customFormat="1" ht="13.5">
      <c r="G3563" s="6"/>
    </row>
    <row r="3564" s="1" customFormat="1" ht="13.5">
      <c r="G3564" s="6"/>
    </row>
    <row r="3565" s="1" customFormat="1" ht="13.5">
      <c r="G3565" s="6"/>
    </row>
    <row r="3566" s="1" customFormat="1" ht="13.5">
      <c r="G3566" s="6"/>
    </row>
    <row r="3567" s="1" customFormat="1" ht="13.5">
      <c r="G3567" s="6"/>
    </row>
    <row r="3568" s="1" customFormat="1" ht="13.5">
      <c r="G3568" s="6"/>
    </row>
    <row r="3569" s="1" customFormat="1" ht="13.5">
      <c r="G3569" s="6"/>
    </row>
    <row r="3570" s="1" customFormat="1" ht="13.5">
      <c r="G3570" s="6"/>
    </row>
    <row r="3571" s="1" customFormat="1" ht="13.5">
      <c r="G3571" s="6"/>
    </row>
    <row r="3572" s="1" customFormat="1" ht="13.5">
      <c r="G3572" s="6"/>
    </row>
    <row r="3573" s="1" customFormat="1" ht="13.5">
      <c r="G3573" s="6"/>
    </row>
    <row r="3574" s="1" customFormat="1" ht="13.5">
      <c r="G3574" s="6"/>
    </row>
    <row r="3575" s="1" customFormat="1" ht="13.5">
      <c r="G3575" s="6"/>
    </row>
    <row r="3576" s="1" customFormat="1" ht="13.5">
      <c r="G3576" s="6"/>
    </row>
    <row r="3577" s="1" customFormat="1" ht="13.5">
      <c r="G3577" s="6"/>
    </row>
    <row r="3578" s="1" customFormat="1" ht="13.5">
      <c r="G3578" s="6"/>
    </row>
    <row r="3579" s="1" customFormat="1" ht="13.5">
      <c r="G3579" s="6"/>
    </row>
    <row r="3580" s="1" customFormat="1" ht="13.5">
      <c r="G3580" s="6"/>
    </row>
    <row r="3581" s="1" customFormat="1" ht="13.5">
      <c r="G3581" s="6"/>
    </row>
    <row r="3582" s="1" customFormat="1" ht="13.5">
      <c r="G3582" s="6"/>
    </row>
    <row r="3583" s="1" customFormat="1" ht="13.5">
      <c r="G3583" s="6"/>
    </row>
    <row r="3584" s="1" customFormat="1" ht="13.5">
      <c r="G3584" s="6"/>
    </row>
    <row r="3585" s="1" customFormat="1" ht="13.5">
      <c r="G3585" s="6"/>
    </row>
    <row r="3586" s="1" customFormat="1" ht="13.5">
      <c r="G3586" s="6"/>
    </row>
    <row r="3587" s="1" customFormat="1" ht="13.5">
      <c r="G3587" s="6"/>
    </row>
    <row r="3588" s="1" customFormat="1" ht="13.5">
      <c r="G3588" s="6"/>
    </row>
    <row r="3589" s="1" customFormat="1" ht="13.5">
      <c r="G3589" s="6"/>
    </row>
    <row r="3590" s="1" customFormat="1" ht="13.5">
      <c r="G3590" s="6"/>
    </row>
    <row r="3591" s="1" customFormat="1" ht="13.5">
      <c r="G3591" s="6"/>
    </row>
    <row r="3592" s="1" customFormat="1" ht="13.5">
      <c r="G3592" s="6"/>
    </row>
    <row r="3593" s="1" customFormat="1" ht="13.5">
      <c r="G3593" s="6"/>
    </row>
    <row r="3594" s="1" customFormat="1" ht="13.5">
      <c r="G3594" s="6"/>
    </row>
    <row r="3595" s="1" customFormat="1" ht="13.5">
      <c r="G3595" s="6"/>
    </row>
    <row r="3596" s="1" customFormat="1" ht="13.5">
      <c r="G3596" s="6"/>
    </row>
    <row r="3597" s="1" customFormat="1" ht="13.5">
      <c r="G3597" s="6"/>
    </row>
    <row r="3598" s="1" customFormat="1" ht="13.5">
      <c r="G3598" s="6"/>
    </row>
    <row r="3599" s="1" customFormat="1" ht="13.5">
      <c r="G3599" s="6"/>
    </row>
    <row r="3600" s="1" customFormat="1" ht="13.5">
      <c r="G3600" s="6"/>
    </row>
    <row r="3601" s="1" customFormat="1" ht="13.5">
      <c r="G3601" s="6"/>
    </row>
    <row r="3602" s="1" customFormat="1" ht="13.5">
      <c r="G3602" s="6"/>
    </row>
    <row r="3603" s="1" customFormat="1" ht="13.5">
      <c r="G3603" s="6"/>
    </row>
    <row r="3604" s="1" customFormat="1" ht="13.5">
      <c r="G3604" s="6"/>
    </row>
    <row r="3605" s="1" customFormat="1" ht="13.5">
      <c r="G3605" s="6"/>
    </row>
    <row r="3606" s="1" customFormat="1" ht="13.5">
      <c r="G3606" s="6"/>
    </row>
    <row r="3607" s="1" customFormat="1" ht="13.5">
      <c r="G3607" s="6"/>
    </row>
    <row r="3608" s="1" customFormat="1" ht="13.5">
      <c r="G3608" s="6"/>
    </row>
    <row r="3609" s="1" customFormat="1" ht="13.5">
      <c r="G3609" s="6"/>
    </row>
    <row r="3610" s="1" customFormat="1" ht="13.5">
      <c r="G3610" s="6"/>
    </row>
    <row r="3611" s="1" customFormat="1" ht="13.5">
      <c r="G3611" s="6"/>
    </row>
    <row r="3612" s="1" customFormat="1" ht="13.5">
      <c r="G3612" s="6"/>
    </row>
    <row r="3613" s="1" customFormat="1" ht="13.5">
      <c r="G3613" s="6"/>
    </row>
    <row r="3614" s="1" customFormat="1" ht="13.5">
      <c r="G3614" s="6"/>
    </row>
    <row r="3615" s="1" customFormat="1" ht="13.5">
      <c r="G3615" s="6"/>
    </row>
    <row r="3616" s="1" customFormat="1" ht="13.5">
      <c r="G3616" s="6"/>
    </row>
    <row r="3617" s="1" customFormat="1" ht="13.5">
      <c r="G3617" s="6"/>
    </row>
    <row r="3618" s="1" customFormat="1" ht="13.5">
      <c r="G3618" s="6"/>
    </row>
    <row r="3619" s="1" customFormat="1" ht="13.5">
      <c r="G3619" s="6"/>
    </row>
    <row r="3620" s="1" customFormat="1" ht="13.5">
      <c r="G3620" s="6"/>
    </row>
    <row r="3621" s="1" customFormat="1" ht="13.5">
      <c r="G3621" s="6"/>
    </row>
    <row r="3622" s="1" customFormat="1" ht="13.5">
      <c r="G3622" s="6"/>
    </row>
    <row r="3623" s="1" customFormat="1" ht="13.5">
      <c r="G3623" s="6"/>
    </row>
    <row r="3624" s="1" customFormat="1" ht="13.5">
      <c r="G3624" s="6"/>
    </row>
    <row r="3625" s="1" customFormat="1" ht="13.5">
      <c r="G3625" s="6"/>
    </row>
    <row r="3626" s="1" customFormat="1" ht="13.5">
      <c r="G3626" s="6"/>
    </row>
    <row r="3627" s="1" customFormat="1" ht="13.5">
      <c r="G3627" s="6"/>
    </row>
    <row r="3628" s="1" customFormat="1" ht="13.5">
      <c r="G3628" s="6"/>
    </row>
    <row r="3629" s="1" customFormat="1" ht="13.5">
      <c r="G3629" s="6"/>
    </row>
    <row r="3630" s="1" customFormat="1" ht="13.5">
      <c r="G3630" s="6"/>
    </row>
    <row r="3631" s="1" customFormat="1" ht="13.5">
      <c r="G3631" s="6"/>
    </row>
    <row r="3632" s="1" customFormat="1" ht="13.5">
      <c r="G3632" s="6"/>
    </row>
    <row r="3633" s="1" customFormat="1" ht="13.5">
      <c r="G3633" s="6"/>
    </row>
    <row r="3634" s="1" customFormat="1" ht="13.5">
      <c r="G3634" s="6"/>
    </row>
    <row r="3635" s="1" customFormat="1" ht="13.5">
      <c r="G3635" s="6"/>
    </row>
    <row r="3636" s="1" customFormat="1" ht="13.5">
      <c r="G3636" s="6"/>
    </row>
    <row r="3637" s="1" customFormat="1" ht="13.5">
      <c r="G3637" s="6"/>
    </row>
    <row r="3638" s="1" customFormat="1" ht="13.5">
      <c r="G3638" s="6"/>
    </row>
    <row r="3639" s="1" customFormat="1" ht="13.5">
      <c r="G3639" s="6"/>
    </row>
    <row r="3640" s="1" customFormat="1" ht="13.5">
      <c r="G3640" s="6"/>
    </row>
    <row r="3641" s="1" customFormat="1" ht="13.5">
      <c r="G3641" s="6"/>
    </row>
    <row r="3642" s="1" customFormat="1" ht="13.5">
      <c r="G3642" s="6"/>
    </row>
    <row r="3643" s="1" customFormat="1" ht="13.5">
      <c r="G3643" s="6"/>
    </row>
    <row r="3644" s="1" customFormat="1" ht="13.5">
      <c r="G3644" s="6"/>
    </row>
    <row r="3645" s="1" customFormat="1" ht="13.5">
      <c r="G3645" s="6"/>
    </row>
    <row r="3646" s="1" customFormat="1" ht="13.5">
      <c r="G3646" s="6"/>
    </row>
    <row r="3647" s="1" customFormat="1" ht="13.5">
      <c r="G3647" s="6"/>
    </row>
    <row r="3648" s="1" customFormat="1" ht="13.5">
      <c r="G3648" s="6"/>
    </row>
    <row r="3649" s="1" customFormat="1" ht="13.5">
      <c r="G3649" s="6"/>
    </row>
    <row r="3650" s="1" customFormat="1" ht="13.5">
      <c r="G3650" s="6"/>
    </row>
    <row r="3651" s="1" customFormat="1" ht="13.5">
      <c r="G3651" s="6"/>
    </row>
    <row r="3652" s="1" customFormat="1" ht="13.5">
      <c r="G3652" s="6"/>
    </row>
    <row r="3653" s="1" customFormat="1" ht="13.5">
      <c r="G3653" s="6"/>
    </row>
    <row r="3654" s="1" customFormat="1" ht="13.5">
      <c r="G3654" s="6"/>
    </row>
    <row r="3655" s="1" customFormat="1" ht="13.5">
      <c r="G3655" s="6"/>
    </row>
    <row r="3656" s="1" customFormat="1" ht="13.5">
      <c r="G3656" s="6"/>
    </row>
    <row r="3657" s="1" customFormat="1" ht="13.5">
      <c r="G3657" s="6"/>
    </row>
    <row r="3658" s="1" customFormat="1" ht="13.5">
      <c r="G3658" s="6"/>
    </row>
    <row r="3659" s="1" customFormat="1" ht="13.5">
      <c r="G3659" s="6"/>
    </row>
    <row r="3660" s="1" customFormat="1" ht="13.5">
      <c r="G3660" s="6"/>
    </row>
    <row r="3661" s="1" customFormat="1" ht="13.5">
      <c r="G3661" s="6"/>
    </row>
    <row r="3662" s="1" customFormat="1" ht="13.5">
      <c r="G3662" s="6"/>
    </row>
    <row r="3663" s="1" customFormat="1" ht="13.5">
      <c r="G3663" s="6"/>
    </row>
    <row r="3664" s="1" customFormat="1" ht="13.5">
      <c r="G3664" s="6"/>
    </row>
    <row r="3665" s="1" customFormat="1" ht="13.5">
      <c r="G3665" s="6"/>
    </row>
    <row r="3666" s="1" customFormat="1" ht="13.5">
      <c r="G3666" s="6"/>
    </row>
    <row r="3667" s="1" customFormat="1" ht="13.5">
      <c r="G3667" s="6"/>
    </row>
    <row r="3668" s="1" customFormat="1" ht="13.5">
      <c r="G3668" s="6"/>
    </row>
    <row r="3669" s="1" customFormat="1" ht="13.5">
      <c r="G3669" s="6"/>
    </row>
    <row r="3670" s="1" customFormat="1" ht="13.5">
      <c r="G3670" s="6"/>
    </row>
    <row r="3671" s="1" customFormat="1" ht="13.5">
      <c r="G3671" s="6"/>
    </row>
    <row r="3672" s="1" customFormat="1" ht="13.5">
      <c r="G3672" s="6"/>
    </row>
    <row r="3673" s="1" customFormat="1" ht="13.5">
      <c r="G3673" s="6"/>
    </row>
    <row r="3674" s="1" customFormat="1" ht="13.5">
      <c r="G3674" s="6"/>
    </row>
    <row r="3675" s="1" customFormat="1" ht="13.5">
      <c r="G3675" s="6"/>
    </row>
    <row r="3676" s="1" customFormat="1" ht="13.5">
      <c r="G3676" s="6"/>
    </row>
    <row r="3677" s="1" customFormat="1" ht="13.5">
      <c r="G3677" s="6"/>
    </row>
    <row r="3678" s="1" customFormat="1" ht="13.5">
      <c r="G3678" s="6"/>
    </row>
    <row r="3679" s="1" customFormat="1" ht="13.5">
      <c r="G3679" s="6"/>
    </row>
    <row r="3680" s="1" customFormat="1" ht="13.5">
      <c r="G3680" s="6"/>
    </row>
    <row r="3681" s="1" customFormat="1" ht="13.5">
      <c r="G3681" s="6"/>
    </row>
    <row r="3682" s="1" customFormat="1" ht="13.5">
      <c r="G3682" s="6"/>
    </row>
    <row r="3683" s="1" customFormat="1" ht="13.5">
      <c r="G3683" s="6"/>
    </row>
    <row r="3684" s="1" customFormat="1" ht="13.5">
      <c r="G3684" s="6"/>
    </row>
    <row r="3685" s="1" customFormat="1" ht="13.5">
      <c r="G3685" s="6"/>
    </row>
    <row r="3686" s="1" customFormat="1" ht="13.5">
      <c r="G3686" s="6"/>
    </row>
    <row r="3687" s="1" customFormat="1" ht="13.5">
      <c r="G3687" s="6"/>
    </row>
    <row r="3688" s="1" customFormat="1" ht="13.5">
      <c r="G3688" s="6"/>
    </row>
    <row r="3689" s="1" customFormat="1" ht="13.5">
      <c r="G3689" s="6"/>
    </row>
    <row r="3690" s="1" customFormat="1" ht="13.5">
      <c r="G3690" s="6"/>
    </row>
    <row r="3691" s="1" customFormat="1" ht="13.5">
      <c r="G3691" s="6"/>
    </row>
    <row r="3692" s="1" customFormat="1" ht="13.5">
      <c r="G3692" s="6"/>
    </row>
    <row r="3693" s="1" customFormat="1" ht="13.5">
      <c r="G3693" s="6"/>
    </row>
    <row r="3694" s="1" customFormat="1" ht="13.5">
      <c r="G3694" s="6"/>
    </row>
    <row r="3695" s="1" customFormat="1" ht="13.5">
      <c r="G3695" s="6"/>
    </row>
    <row r="3696" s="1" customFormat="1" ht="13.5">
      <c r="G3696" s="6"/>
    </row>
    <row r="3697" s="1" customFormat="1" ht="13.5">
      <c r="G3697" s="6"/>
    </row>
    <row r="3698" s="1" customFormat="1" ht="13.5">
      <c r="G3698" s="6"/>
    </row>
    <row r="3699" s="1" customFormat="1" ht="13.5">
      <c r="G3699" s="6"/>
    </row>
    <row r="3700" s="1" customFormat="1" ht="13.5">
      <c r="G3700" s="6"/>
    </row>
    <row r="3701" s="1" customFormat="1" ht="13.5">
      <c r="G3701" s="6"/>
    </row>
    <row r="3702" s="1" customFormat="1" ht="13.5">
      <c r="G3702" s="6"/>
    </row>
    <row r="3703" s="1" customFormat="1" ht="13.5">
      <c r="G3703" s="6"/>
    </row>
    <row r="3704" s="1" customFormat="1" ht="13.5">
      <c r="G3704" s="6"/>
    </row>
    <row r="3705" s="1" customFormat="1" ht="13.5">
      <c r="G3705" s="6"/>
    </row>
    <row r="3706" s="1" customFormat="1" ht="13.5">
      <c r="G3706" s="6"/>
    </row>
    <row r="3707" s="1" customFormat="1" ht="13.5">
      <c r="G3707" s="6"/>
    </row>
    <row r="3708" s="1" customFormat="1" ht="13.5">
      <c r="G3708" s="6"/>
    </row>
    <row r="3709" s="1" customFormat="1" ht="13.5">
      <c r="G3709" s="6"/>
    </row>
    <row r="3710" s="1" customFormat="1" ht="13.5">
      <c r="G3710" s="6"/>
    </row>
    <row r="3711" s="1" customFormat="1" ht="13.5">
      <c r="G3711" s="6"/>
    </row>
    <row r="3712" s="1" customFormat="1" ht="13.5">
      <c r="G3712" s="6"/>
    </row>
    <row r="3713" s="1" customFormat="1" ht="13.5">
      <c r="G3713" s="6"/>
    </row>
    <row r="3714" s="1" customFormat="1" ht="13.5">
      <c r="G3714" s="6"/>
    </row>
    <row r="3715" s="1" customFormat="1" ht="13.5">
      <c r="G3715" s="6"/>
    </row>
    <row r="3716" s="1" customFormat="1" ht="13.5">
      <c r="G3716" s="6"/>
    </row>
    <row r="3717" s="1" customFormat="1" ht="13.5">
      <c r="G3717" s="6"/>
    </row>
    <row r="3718" s="1" customFormat="1" ht="13.5">
      <c r="G3718" s="6"/>
    </row>
    <row r="3719" s="1" customFormat="1" ht="13.5">
      <c r="G3719" s="6"/>
    </row>
    <row r="3720" s="1" customFormat="1" ht="13.5">
      <c r="G3720" s="6"/>
    </row>
    <row r="3721" s="1" customFormat="1" ht="13.5">
      <c r="G3721" s="6"/>
    </row>
    <row r="3722" s="1" customFormat="1" ht="13.5">
      <c r="G3722" s="6"/>
    </row>
    <row r="3723" s="1" customFormat="1" ht="13.5">
      <c r="G3723" s="6"/>
    </row>
    <row r="3724" s="1" customFormat="1" ht="13.5">
      <c r="G3724" s="6"/>
    </row>
    <row r="3725" s="1" customFormat="1" ht="13.5">
      <c r="G3725" s="6"/>
    </row>
    <row r="3726" s="1" customFormat="1" ht="13.5">
      <c r="G3726" s="6"/>
    </row>
    <row r="3727" s="1" customFormat="1" ht="13.5">
      <c r="G3727" s="6"/>
    </row>
    <row r="3728" s="1" customFormat="1" ht="13.5">
      <c r="G3728" s="6"/>
    </row>
    <row r="3729" s="1" customFormat="1" ht="13.5">
      <c r="G3729" s="6"/>
    </row>
    <row r="3730" s="1" customFormat="1" ht="13.5">
      <c r="G3730" s="6"/>
    </row>
    <row r="3731" s="1" customFormat="1" ht="13.5">
      <c r="G3731" s="6"/>
    </row>
    <row r="3732" s="1" customFormat="1" ht="13.5">
      <c r="G3732" s="6"/>
    </row>
    <row r="3733" s="1" customFormat="1" ht="13.5">
      <c r="G3733" s="6"/>
    </row>
    <row r="3734" s="1" customFormat="1" ht="13.5">
      <c r="G3734" s="6"/>
    </row>
    <row r="3735" s="1" customFormat="1" ht="13.5">
      <c r="G3735" s="6"/>
    </row>
    <row r="3736" s="1" customFormat="1" ht="13.5">
      <c r="G3736" s="6"/>
    </row>
    <row r="3737" s="1" customFormat="1" ht="13.5">
      <c r="G3737" s="6"/>
    </row>
    <row r="3738" s="1" customFormat="1" ht="13.5">
      <c r="G3738" s="6"/>
    </row>
    <row r="3739" s="1" customFormat="1" ht="13.5">
      <c r="G3739" s="6"/>
    </row>
    <row r="3740" s="1" customFormat="1" ht="13.5">
      <c r="G3740" s="6"/>
    </row>
    <row r="3741" s="1" customFormat="1" ht="13.5">
      <c r="G3741" s="6"/>
    </row>
    <row r="3742" s="1" customFormat="1" ht="13.5">
      <c r="G3742" s="6"/>
    </row>
    <row r="3743" s="1" customFormat="1" ht="13.5">
      <c r="G3743" s="6"/>
    </row>
    <row r="3744" s="1" customFormat="1" ht="13.5">
      <c r="G3744" s="6"/>
    </row>
    <row r="3745" s="1" customFormat="1" ht="13.5">
      <c r="G3745" s="6"/>
    </row>
    <row r="3746" s="1" customFormat="1" ht="13.5">
      <c r="G3746" s="6"/>
    </row>
    <row r="3747" s="1" customFormat="1" ht="13.5">
      <c r="G3747" s="6"/>
    </row>
    <row r="3748" s="1" customFormat="1" ht="13.5">
      <c r="G3748" s="6"/>
    </row>
    <row r="3749" s="1" customFormat="1" ht="13.5">
      <c r="G3749" s="6"/>
    </row>
    <row r="3750" s="1" customFormat="1" ht="13.5">
      <c r="G3750" s="6"/>
    </row>
    <row r="3751" s="1" customFormat="1" ht="13.5">
      <c r="G3751" s="6"/>
    </row>
    <row r="3752" s="1" customFormat="1" ht="13.5">
      <c r="G3752" s="6"/>
    </row>
    <row r="3753" s="1" customFormat="1" ht="13.5">
      <c r="G3753" s="6"/>
    </row>
    <row r="3754" s="1" customFormat="1" ht="13.5">
      <c r="G3754" s="6"/>
    </row>
    <row r="3755" s="1" customFormat="1" ht="13.5">
      <c r="G3755" s="6"/>
    </row>
    <row r="3756" s="1" customFormat="1" ht="13.5">
      <c r="G3756" s="6"/>
    </row>
    <row r="3757" s="1" customFormat="1" ht="13.5">
      <c r="G3757" s="6"/>
    </row>
    <row r="3758" s="1" customFormat="1" ht="13.5">
      <c r="G3758" s="6"/>
    </row>
    <row r="3759" s="1" customFormat="1" ht="13.5">
      <c r="G3759" s="6"/>
    </row>
    <row r="3760" s="1" customFormat="1" ht="13.5">
      <c r="G3760" s="6"/>
    </row>
    <row r="3761" s="1" customFormat="1" ht="13.5">
      <c r="G3761" s="6"/>
    </row>
    <row r="3762" s="1" customFormat="1" ht="13.5">
      <c r="G3762" s="6"/>
    </row>
    <row r="3763" s="1" customFormat="1" ht="13.5">
      <c r="G3763" s="6"/>
    </row>
    <row r="3764" s="1" customFormat="1" ht="13.5">
      <c r="G3764" s="6"/>
    </row>
    <row r="3765" s="1" customFormat="1" ht="13.5">
      <c r="G3765" s="6"/>
    </row>
    <row r="3766" s="1" customFormat="1" ht="13.5">
      <c r="G3766" s="6"/>
    </row>
    <row r="3767" s="1" customFormat="1" ht="13.5">
      <c r="G3767" s="6"/>
    </row>
    <row r="3768" s="1" customFormat="1" ht="13.5">
      <c r="G3768" s="6"/>
    </row>
    <row r="3769" s="1" customFormat="1" ht="13.5">
      <c r="G3769" s="6"/>
    </row>
    <row r="3770" s="1" customFormat="1" ht="13.5">
      <c r="G3770" s="6"/>
    </row>
    <row r="3771" s="1" customFormat="1" ht="13.5">
      <c r="G3771" s="6"/>
    </row>
    <row r="3772" s="1" customFormat="1" ht="13.5">
      <c r="G3772" s="6"/>
    </row>
    <row r="3773" s="1" customFormat="1" ht="13.5">
      <c r="G3773" s="6"/>
    </row>
    <row r="3774" s="1" customFormat="1" ht="13.5">
      <c r="G3774" s="6"/>
    </row>
    <row r="3775" s="1" customFormat="1" ht="13.5">
      <c r="G3775" s="6"/>
    </row>
    <row r="3776" s="1" customFormat="1" ht="13.5">
      <c r="G3776" s="6"/>
    </row>
    <row r="3777" s="1" customFormat="1" ht="13.5">
      <c r="G3777" s="6"/>
    </row>
    <row r="3778" s="1" customFormat="1" ht="13.5">
      <c r="G3778" s="6"/>
    </row>
    <row r="3779" s="1" customFormat="1" ht="13.5">
      <c r="G3779" s="6"/>
    </row>
    <row r="3780" s="1" customFormat="1" ht="13.5">
      <c r="G3780" s="6"/>
    </row>
    <row r="3781" s="1" customFormat="1" ht="13.5">
      <c r="G3781" s="6"/>
    </row>
    <row r="3782" s="1" customFormat="1" ht="13.5">
      <c r="G3782" s="6"/>
    </row>
    <row r="3783" s="1" customFormat="1" ht="13.5">
      <c r="G3783" s="6"/>
    </row>
    <row r="3784" s="1" customFormat="1" ht="13.5">
      <c r="G3784" s="6"/>
    </row>
    <row r="3785" s="1" customFormat="1" ht="13.5">
      <c r="G3785" s="6"/>
    </row>
    <row r="3786" s="1" customFormat="1" ht="13.5">
      <c r="G3786" s="6"/>
    </row>
    <row r="3787" s="1" customFormat="1" ht="13.5">
      <c r="G3787" s="6"/>
    </row>
    <row r="3788" s="1" customFormat="1" ht="13.5">
      <c r="G3788" s="6"/>
    </row>
    <row r="3789" s="1" customFormat="1" ht="13.5">
      <c r="G3789" s="6"/>
    </row>
    <row r="3790" s="1" customFormat="1" ht="13.5">
      <c r="G3790" s="6"/>
    </row>
    <row r="3791" s="1" customFormat="1" ht="13.5">
      <c r="G3791" s="6"/>
    </row>
    <row r="3792" s="1" customFormat="1" ht="13.5">
      <c r="G3792" s="6"/>
    </row>
    <row r="3793" s="1" customFormat="1" ht="13.5">
      <c r="G3793" s="6"/>
    </row>
    <row r="3794" s="1" customFormat="1" ht="13.5">
      <c r="G3794" s="6"/>
    </row>
    <row r="3795" s="1" customFormat="1" ht="13.5">
      <c r="G3795" s="6"/>
    </row>
    <row r="3796" s="1" customFormat="1" ht="13.5">
      <c r="G3796" s="6"/>
    </row>
    <row r="3797" s="1" customFormat="1" ht="13.5">
      <c r="G3797" s="6"/>
    </row>
    <row r="3798" s="1" customFormat="1" ht="13.5">
      <c r="G3798" s="6"/>
    </row>
    <row r="3799" s="1" customFormat="1" ht="13.5">
      <c r="G3799" s="6"/>
    </row>
    <row r="3800" s="1" customFormat="1" ht="13.5">
      <c r="G3800" s="6"/>
    </row>
    <row r="3801" s="1" customFormat="1" ht="13.5">
      <c r="G3801" s="6"/>
    </row>
    <row r="3802" s="1" customFormat="1" ht="13.5">
      <c r="G3802" s="6"/>
    </row>
    <row r="3803" s="1" customFormat="1" ht="13.5">
      <c r="G3803" s="6"/>
    </row>
    <row r="3804" s="1" customFormat="1" ht="13.5">
      <c r="G3804" s="6"/>
    </row>
    <row r="3805" s="1" customFormat="1" ht="13.5">
      <c r="G3805" s="6"/>
    </row>
    <row r="3806" s="1" customFormat="1" ht="13.5">
      <c r="G3806" s="6"/>
    </row>
    <row r="3807" s="1" customFormat="1" ht="13.5">
      <c r="G3807" s="6"/>
    </row>
    <row r="3808" s="1" customFormat="1" ht="13.5">
      <c r="G3808" s="6"/>
    </row>
    <row r="3809" s="1" customFormat="1" ht="13.5">
      <c r="G3809" s="6"/>
    </row>
    <row r="3810" s="1" customFormat="1" ht="13.5">
      <c r="G3810" s="6"/>
    </row>
    <row r="3811" s="1" customFormat="1" ht="13.5">
      <c r="G3811" s="6"/>
    </row>
    <row r="3812" s="1" customFormat="1" ht="13.5">
      <c r="G3812" s="6"/>
    </row>
    <row r="3813" s="1" customFormat="1" ht="13.5">
      <c r="G3813" s="6"/>
    </row>
    <row r="3814" s="1" customFormat="1" ht="13.5">
      <c r="G3814" s="6"/>
    </row>
    <row r="3815" s="1" customFormat="1" ht="13.5">
      <c r="G3815" s="6"/>
    </row>
    <row r="3816" s="1" customFormat="1" ht="13.5">
      <c r="G3816" s="6"/>
    </row>
    <row r="3817" s="1" customFormat="1" ht="13.5">
      <c r="G3817" s="6"/>
    </row>
    <row r="3818" s="1" customFormat="1" ht="13.5">
      <c r="G3818" s="6"/>
    </row>
    <row r="3819" s="1" customFormat="1" ht="13.5">
      <c r="G3819" s="6"/>
    </row>
    <row r="3820" s="1" customFormat="1" ht="13.5">
      <c r="G3820" s="6"/>
    </row>
    <row r="3821" s="1" customFormat="1" ht="13.5">
      <c r="G3821" s="6"/>
    </row>
    <row r="3822" s="1" customFormat="1" ht="13.5">
      <c r="G3822" s="6"/>
    </row>
    <row r="3823" s="1" customFormat="1" ht="13.5">
      <c r="G3823" s="6"/>
    </row>
    <row r="3824" s="1" customFormat="1" ht="13.5">
      <c r="G3824" s="6"/>
    </row>
    <row r="3825" s="1" customFormat="1" ht="13.5">
      <c r="G3825" s="6"/>
    </row>
    <row r="3826" s="1" customFormat="1" ht="13.5">
      <c r="G3826" s="6"/>
    </row>
    <row r="3827" s="1" customFormat="1" ht="13.5">
      <c r="G3827" s="6"/>
    </row>
    <row r="3828" s="1" customFormat="1" ht="13.5">
      <c r="G3828" s="6"/>
    </row>
    <row r="3829" s="1" customFormat="1" ht="13.5">
      <c r="G3829" s="6"/>
    </row>
    <row r="3830" s="1" customFormat="1" ht="13.5">
      <c r="G3830" s="6"/>
    </row>
    <row r="3831" s="1" customFormat="1" ht="13.5">
      <c r="G3831" s="6"/>
    </row>
    <row r="3832" s="1" customFormat="1" ht="13.5">
      <c r="G3832" s="6"/>
    </row>
    <row r="3833" s="1" customFormat="1" ht="13.5">
      <c r="G3833" s="6"/>
    </row>
    <row r="3834" s="1" customFormat="1" ht="13.5">
      <c r="G3834" s="6"/>
    </row>
    <row r="3835" s="1" customFormat="1" ht="13.5">
      <c r="G3835" s="6"/>
    </row>
    <row r="3836" s="1" customFormat="1" ht="13.5">
      <c r="G3836" s="6"/>
    </row>
    <row r="3837" s="1" customFormat="1" ht="13.5">
      <c r="G3837" s="6"/>
    </row>
    <row r="3838" s="1" customFormat="1" ht="13.5">
      <c r="G3838" s="6"/>
    </row>
    <row r="3839" s="1" customFormat="1" ht="13.5">
      <c r="G3839" s="6"/>
    </row>
    <row r="3840" s="1" customFormat="1" ht="13.5">
      <c r="G3840" s="6"/>
    </row>
    <row r="3841" s="1" customFormat="1" ht="13.5">
      <c r="G3841" s="6"/>
    </row>
    <row r="3842" s="1" customFormat="1" ht="13.5">
      <c r="G3842" s="6"/>
    </row>
    <row r="3843" s="1" customFormat="1" ht="13.5">
      <c r="G3843" s="6"/>
    </row>
    <row r="3844" s="1" customFormat="1" ht="13.5">
      <c r="G3844" s="6"/>
    </row>
    <row r="3845" s="1" customFormat="1" ht="13.5">
      <c r="G3845" s="6"/>
    </row>
    <row r="3846" s="1" customFormat="1" ht="13.5">
      <c r="G3846" s="6"/>
    </row>
    <row r="3847" s="1" customFormat="1" ht="13.5">
      <c r="G3847" s="6"/>
    </row>
    <row r="3848" s="1" customFormat="1" ht="13.5">
      <c r="G3848" s="6"/>
    </row>
    <row r="3849" s="1" customFormat="1" ht="13.5">
      <c r="G3849" s="6"/>
    </row>
    <row r="3850" s="1" customFormat="1" ht="13.5">
      <c r="G3850" s="6"/>
    </row>
    <row r="3851" s="1" customFormat="1" ht="13.5">
      <c r="G3851" s="6"/>
    </row>
    <row r="3852" s="1" customFormat="1" ht="13.5">
      <c r="G3852" s="6"/>
    </row>
    <row r="3853" s="1" customFormat="1" ht="13.5">
      <c r="G3853" s="6"/>
    </row>
    <row r="3854" s="1" customFormat="1" ht="13.5">
      <c r="G3854" s="6"/>
    </row>
    <row r="3855" s="1" customFormat="1" ht="13.5">
      <c r="G3855" s="6"/>
    </row>
    <row r="3856" s="1" customFormat="1" ht="13.5">
      <c r="G3856" s="6"/>
    </row>
    <row r="3857" s="1" customFormat="1" ht="13.5">
      <c r="G3857" s="6"/>
    </row>
    <row r="3858" s="1" customFormat="1" ht="13.5">
      <c r="G3858" s="6"/>
    </row>
    <row r="3859" s="1" customFormat="1" ht="13.5">
      <c r="G3859" s="6"/>
    </row>
    <row r="3860" s="1" customFormat="1" ht="13.5">
      <c r="G3860" s="6"/>
    </row>
    <row r="3861" s="1" customFormat="1" ht="13.5">
      <c r="G3861" s="6"/>
    </row>
    <row r="3862" s="1" customFormat="1" ht="13.5">
      <c r="G3862" s="6"/>
    </row>
    <row r="3863" s="1" customFormat="1" ht="13.5">
      <c r="G3863" s="6"/>
    </row>
    <row r="3864" s="1" customFormat="1" ht="13.5">
      <c r="G3864" s="6"/>
    </row>
    <row r="3865" s="1" customFormat="1" ht="13.5">
      <c r="G3865" s="6"/>
    </row>
    <row r="3866" s="1" customFormat="1" ht="13.5">
      <c r="G3866" s="6"/>
    </row>
    <row r="3867" s="1" customFormat="1" ht="13.5">
      <c r="G3867" s="6"/>
    </row>
    <row r="3868" s="1" customFormat="1" ht="13.5">
      <c r="G3868" s="6"/>
    </row>
    <row r="3869" s="1" customFormat="1" ht="13.5">
      <c r="G3869" s="6"/>
    </row>
    <row r="3870" s="1" customFormat="1" ht="13.5">
      <c r="G3870" s="6"/>
    </row>
    <row r="3871" s="1" customFormat="1" ht="13.5">
      <c r="G3871" s="6"/>
    </row>
    <row r="3872" s="1" customFormat="1" ht="13.5">
      <c r="G3872" s="6"/>
    </row>
    <row r="3873" s="1" customFormat="1" ht="13.5">
      <c r="G3873" s="6"/>
    </row>
    <row r="3874" s="1" customFormat="1" ht="13.5">
      <c r="G3874" s="6"/>
    </row>
    <row r="3875" s="1" customFormat="1" ht="13.5">
      <c r="G3875" s="6"/>
    </row>
    <row r="3876" s="1" customFormat="1" ht="13.5">
      <c r="G3876" s="6"/>
    </row>
    <row r="3877" s="1" customFormat="1" ht="13.5">
      <c r="G3877" s="6"/>
    </row>
    <row r="3878" s="1" customFormat="1" ht="13.5">
      <c r="G3878" s="6"/>
    </row>
    <row r="3879" s="1" customFormat="1" ht="13.5">
      <c r="G3879" s="6"/>
    </row>
    <row r="3880" s="1" customFormat="1" ht="13.5">
      <c r="G3880" s="6"/>
    </row>
    <row r="3881" s="1" customFormat="1" ht="13.5">
      <c r="G3881" s="6"/>
    </row>
    <row r="3882" s="1" customFormat="1" ht="13.5">
      <c r="G3882" s="6"/>
    </row>
    <row r="3883" s="1" customFormat="1" ht="13.5">
      <c r="G3883" s="6"/>
    </row>
    <row r="3884" s="1" customFormat="1" ht="13.5">
      <c r="G3884" s="6"/>
    </row>
    <row r="3885" s="1" customFormat="1" ht="13.5">
      <c r="G3885" s="6"/>
    </row>
    <row r="3886" s="1" customFormat="1" ht="13.5">
      <c r="G3886" s="6"/>
    </row>
    <row r="3887" s="1" customFormat="1" ht="13.5">
      <c r="G3887" s="6"/>
    </row>
    <row r="3888" s="1" customFormat="1" ht="13.5">
      <c r="G3888" s="6"/>
    </row>
    <row r="3889" s="1" customFormat="1" ht="13.5">
      <c r="G3889" s="6"/>
    </row>
    <row r="3890" s="1" customFormat="1" ht="13.5">
      <c r="G3890" s="6"/>
    </row>
    <row r="3891" s="1" customFormat="1" ht="13.5">
      <c r="G3891" s="6"/>
    </row>
    <row r="3892" s="1" customFormat="1" ht="13.5">
      <c r="G3892" s="6"/>
    </row>
    <row r="3893" s="1" customFormat="1" ht="13.5">
      <c r="G3893" s="6"/>
    </row>
    <row r="3894" s="1" customFormat="1" ht="13.5">
      <c r="G3894" s="6"/>
    </row>
    <row r="3895" s="1" customFormat="1" ht="13.5">
      <c r="G3895" s="6"/>
    </row>
    <row r="3896" s="1" customFormat="1" ht="13.5">
      <c r="G3896" s="6"/>
    </row>
    <row r="3897" s="1" customFormat="1" ht="13.5">
      <c r="G3897" s="6"/>
    </row>
    <row r="3898" s="1" customFormat="1" ht="13.5">
      <c r="G3898" s="6"/>
    </row>
    <row r="3899" s="1" customFormat="1" ht="13.5">
      <c r="G3899" s="6"/>
    </row>
    <row r="3900" s="1" customFormat="1" ht="13.5">
      <c r="G3900" s="6"/>
    </row>
    <row r="3901" s="1" customFormat="1" ht="13.5">
      <c r="G3901" s="6"/>
    </row>
    <row r="3902" s="1" customFormat="1" ht="13.5">
      <c r="G3902" s="6"/>
    </row>
    <row r="3903" s="1" customFormat="1" ht="13.5">
      <c r="G3903" s="6"/>
    </row>
    <row r="3904" s="1" customFormat="1" ht="13.5">
      <c r="G3904" s="6"/>
    </row>
    <row r="3905" s="1" customFormat="1" ht="13.5">
      <c r="G3905" s="6"/>
    </row>
    <row r="3906" s="1" customFormat="1" ht="13.5">
      <c r="G3906" s="6"/>
    </row>
    <row r="3907" s="1" customFormat="1" ht="13.5">
      <c r="G3907" s="6"/>
    </row>
    <row r="3908" s="1" customFormat="1" ht="13.5">
      <c r="G3908" s="6"/>
    </row>
    <row r="3909" s="1" customFormat="1" ht="13.5">
      <c r="G3909" s="6"/>
    </row>
    <row r="3910" s="1" customFormat="1" ht="13.5">
      <c r="G3910" s="6"/>
    </row>
    <row r="3911" s="1" customFormat="1" ht="13.5">
      <c r="G3911" s="6"/>
    </row>
    <row r="3912" s="1" customFormat="1" ht="13.5">
      <c r="G3912" s="6"/>
    </row>
    <row r="3913" s="1" customFormat="1" ht="13.5">
      <c r="G3913" s="6"/>
    </row>
    <row r="3914" s="1" customFormat="1" ht="13.5">
      <c r="G3914" s="6"/>
    </row>
    <row r="3915" s="1" customFormat="1" ht="13.5">
      <c r="G3915" s="6"/>
    </row>
    <row r="3916" s="1" customFormat="1" ht="13.5">
      <c r="G3916" s="6"/>
    </row>
    <row r="3917" s="1" customFormat="1" ht="13.5">
      <c r="G3917" s="6"/>
    </row>
    <row r="3918" s="1" customFormat="1" ht="13.5">
      <c r="G3918" s="6"/>
    </row>
    <row r="3919" s="1" customFormat="1" ht="13.5">
      <c r="G3919" s="6"/>
    </row>
    <row r="3920" s="1" customFormat="1" ht="13.5">
      <c r="G3920" s="6"/>
    </row>
    <row r="3921" s="1" customFormat="1" ht="13.5">
      <c r="G3921" s="6"/>
    </row>
    <row r="3922" s="1" customFormat="1" ht="13.5">
      <c r="G3922" s="6"/>
    </row>
    <row r="3923" s="1" customFormat="1" ht="13.5">
      <c r="G3923" s="6"/>
    </row>
    <row r="3924" s="1" customFormat="1" ht="13.5">
      <c r="G3924" s="6"/>
    </row>
    <row r="3925" s="1" customFormat="1" ht="13.5">
      <c r="G3925" s="6"/>
    </row>
    <row r="3926" s="1" customFormat="1" ht="13.5">
      <c r="G3926" s="6"/>
    </row>
    <row r="3927" s="1" customFormat="1" ht="13.5">
      <c r="G3927" s="6"/>
    </row>
    <row r="3928" s="1" customFormat="1" ht="13.5">
      <c r="G3928" s="6"/>
    </row>
    <row r="3929" s="1" customFormat="1" ht="13.5">
      <c r="G3929" s="6"/>
    </row>
    <row r="3930" s="1" customFormat="1" ht="13.5">
      <c r="G3930" s="6"/>
    </row>
    <row r="3931" s="1" customFormat="1" ht="13.5">
      <c r="G3931" s="6"/>
    </row>
    <row r="3932" s="1" customFormat="1" ht="13.5">
      <c r="G3932" s="6"/>
    </row>
    <row r="3933" s="1" customFormat="1" ht="13.5">
      <c r="G3933" s="6"/>
    </row>
    <row r="3934" s="1" customFormat="1" ht="13.5">
      <c r="G3934" s="6"/>
    </row>
    <row r="3935" s="1" customFormat="1" ht="13.5">
      <c r="G3935" s="6"/>
    </row>
    <row r="3936" s="1" customFormat="1" ht="13.5">
      <c r="G3936" s="6"/>
    </row>
    <row r="3937" s="1" customFormat="1" ht="13.5">
      <c r="G3937" s="6"/>
    </row>
    <row r="3938" s="1" customFormat="1" ht="13.5">
      <c r="G3938" s="6"/>
    </row>
    <row r="3939" s="1" customFormat="1" ht="13.5">
      <c r="G3939" s="6"/>
    </row>
    <row r="3940" s="1" customFormat="1" ht="13.5">
      <c r="G3940" s="6"/>
    </row>
    <row r="3941" s="1" customFormat="1" ht="13.5">
      <c r="G3941" s="6"/>
    </row>
    <row r="3942" s="1" customFormat="1" ht="13.5">
      <c r="G3942" s="6"/>
    </row>
    <row r="3943" s="1" customFormat="1" ht="13.5">
      <c r="G3943" s="6"/>
    </row>
    <row r="3944" s="1" customFormat="1" ht="13.5">
      <c r="G3944" s="6"/>
    </row>
    <row r="3945" s="1" customFormat="1" ht="13.5">
      <c r="G3945" s="6"/>
    </row>
    <row r="3946" s="1" customFormat="1" ht="13.5">
      <c r="G3946" s="6"/>
    </row>
    <row r="3947" s="1" customFormat="1" ht="13.5">
      <c r="G3947" s="6"/>
    </row>
    <row r="3948" s="1" customFormat="1" ht="13.5">
      <c r="G3948" s="6"/>
    </row>
    <row r="3949" s="1" customFormat="1" ht="13.5">
      <c r="G3949" s="6"/>
    </row>
    <row r="3950" s="1" customFormat="1" ht="13.5">
      <c r="G3950" s="6"/>
    </row>
    <row r="3951" s="1" customFormat="1" ht="13.5">
      <c r="G3951" s="6"/>
    </row>
    <row r="3952" s="1" customFormat="1" ht="13.5">
      <c r="G3952" s="6"/>
    </row>
    <row r="3953" s="1" customFormat="1" ht="13.5">
      <c r="G3953" s="6"/>
    </row>
    <row r="3954" s="1" customFormat="1" ht="13.5">
      <c r="G3954" s="6"/>
    </row>
    <row r="3955" s="1" customFormat="1" ht="13.5">
      <c r="G3955" s="6"/>
    </row>
    <row r="3956" s="1" customFormat="1" ht="13.5">
      <c r="G3956" s="6"/>
    </row>
    <row r="3957" s="1" customFormat="1" ht="13.5">
      <c r="G3957" s="6"/>
    </row>
    <row r="3958" s="1" customFormat="1" ht="13.5">
      <c r="G3958" s="6"/>
    </row>
    <row r="3959" s="1" customFormat="1" ht="13.5">
      <c r="G3959" s="6"/>
    </row>
    <row r="3960" s="1" customFormat="1" ht="13.5">
      <c r="G3960" s="6"/>
    </row>
    <row r="3961" s="1" customFormat="1" ht="13.5">
      <c r="G3961" s="6"/>
    </row>
    <row r="3962" s="1" customFormat="1" ht="13.5">
      <c r="G3962" s="6"/>
    </row>
    <row r="3963" s="1" customFormat="1" ht="13.5">
      <c r="G3963" s="6"/>
    </row>
    <row r="3964" s="1" customFormat="1" ht="13.5">
      <c r="G3964" s="6"/>
    </row>
    <row r="3965" s="1" customFormat="1" ht="13.5">
      <c r="G3965" s="6"/>
    </row>
    <row r="3966" s="1" customFormat="1" ht="13.5">
      <c r="G3966" s="6"/>
    </row>
    <row r="3967" s="1" customFormat="1" ht="13.5">
      <c r="G3967" s="6"/>
    </row>
    <row r="3968" s="1" customFormat="1" ht="13.5">
      <c r="G3968" s="6"/>
    </row>
    <row r="3969" s="1" customFormat="1" ht="13.5">
      <c r="G3969" s="6"/>
    </row>
    <row r="3970" s="1" customFormat="1" ht="13.5">
      <c r="G3970" s="6"/>
    </row>
    <row r="3971" s="1" customFormat="1" ht="13.5">
      <c r="G3971" s="6"/>
    </row>
    <row r="3972" s="1" customFormat="1" ht="13.5">
      <c r="G3972" s="6"/>
    </row>
    <row r="3973" s="1" customFormat="1" ht="13.5">
      <c r="G3973" s="6"/>
    </row>
    <row r="3974" s="1" customFormat="1" ht="13.5">
      <c r="G3974" s="6"/>
    </row>
    <row r="3975" s="1" customFormat="1" ht="13.5">
      <c r="G3975" s="6"/>
    </row>
    <row r="3976" s="1" customFormat="1" ht="13.5">
      <c r="G3976" s="6"/>
    </row>
    <row r="3977" s="1" customFormat="1" ht="13.5">
      <c r="G3977" s="6"/>
    </row>
    <row r="3978" s="1" customFormat="1" ht="13.5">
      <c r="G3978" s="6"/>
    </row>
    <row r="3979" s="1" customFormat="1" ht="13.5">
      <c r="G3979" s="6"/>
    </row>
    <row r="3980" s="1" customFormat="1" ht="13.5">
      <c r="G3980" s="6"/>
    </row>
    <row r="3981" s="1" customFormat="1" ht="13.5">
      <c r="G3981" s="6"/>
    </row>
    <row r="3982" s="1" customFormat="1" ht="13.5">
      <c r="G3982" s="6"/>
    </row>
    <row r="3983" s="1" customFormat="1" ht="13.5">
      <c r="G3983" s="6"/>
    </row>
    <row r="3984" s="1" customFormat="1" ht="13.5">
      <c r="G3984" s="6"/>
    </row>
    <row r="3985" s="1" customFormat="1" ht="13.5">
      <c r="G3985" s="6"/>
    </row>
    <row r="3986" s="1" customFormat="1" ht="13.5">
      <c r="G3986" s="6"/>
    </row>
    <row r="3987" s="1" customFormat="1" ht="13.5">
      <c r="G3987" s="6"/>
    </row>
    <row r="3988" s="1" customFormat="1" ht="13.5">
      <c r="G3988" s="6"/>
    </row>
    <row r="3989" s="1" customFormat="1" ht="13.5">
      <c r="G3989" s="6"/>
    </row>
    <row r="3990" s="1" customFormat="1" ht="13.5">
      <c r="G3990" s="6"/>
    </row>
    <row r="3991" s="1" customFormat="1" ht="13.5">
      <c r="G3991" s="6"/>
    </row>
    <row r="3992" s="1" customFormat="1" ht="13.5">
      <c r="G3992" s="6"/>
    </row>
    <row r="3993" s="1" customFormat="1" ht="13.5">
      <c r="G3993" s="6"/>
    </row>
    <row r="3994" s="1" customFormat="1" ht="13.5">
      <c r="G3994" s="6"/>
    </row>
    <row r="3995" s="1" customFormat="1" ht="13.5">
      <c r="G3995" s="6"/>
    </row>
    <row r="3996" s="1" customFormat="1" ht="13.5">
      <c r="G3996" s="6"/>
    </row>
    <row r="3997" s="1" customFormat="1" ht="13.5">
      <c r="G3997" s="6"/>
    </row>
    <row r="3998" s="1" customFormat="1" ht="13.5">
      <c r="G3998" s="6"/>
    </row>
    <row r="3999" s="1" customFormat="1" ht="13.5">
      <c r="G3999" s="6"/>
    </row>
    <row r="4000" s="1" customFormat="1" ht="13.5">
      <c r="G4000" s="6"/>
    </row>
    <row r="4001" s="1" customFormat="1" ht="13.5">
      <c r="G4001" s="6"/>
    </row>
    <row r="4002" s="1" customFormat="1" ht="13.5">
      <c r="G4002" s="6"/>
    </row>
    <row r="4003" s="1" customFormat="1" ht="13.5">
      <c r="G4003" s="6"/>
    </row>
    <row r="4004" s="1" customFormat="1" ht="13.5">
      <c r="G4004" s="6"/>
    </row>
    <row r="4005" s="1" customFormat="1" ht="13.5">
      <c r="G4005" s="6"/>
    </row>
    <row r="4006" s="1" customFormat="1" ht="13.5">
      <c r="G4006" s="6"/>
    </row>
    <row r="4007" s="1" customFormat="1" ht="13.5">
      <c r="G4007" s="6"/>
    </row>
    <row r="4008" s="1" customFormat="1" ht="13.5">
      <c r="G4008" s="6"/>
    </row>
    <row r="4009" s="1" customFormat="1" ht="13.5">
      <c r="G4009" s="6"/>
    </row>
    <row r="4010" s="1" customFormat="1" ht="13.5">
      <c r="G4010" s="6"/>
    </row>
    <row r="4011" s="1" customFormat="1" ht="13.5">
      <c r="G4011" s="6"/>
    </row>
    <row r="4012" s="1" customFormat="1" ht="13.5">
      <c r="G4012" s="6"/>
    </row>
    <row r="4013" s="1" customFormat="1" ht="13.5">
      <c r="G4013" s="6"/>
    </row>
    <row r="4014" s="1" customFormat="1" ht="13.5">
      <c r="G4014" s="6"/>
    </row>
    <row r="4015" s="1" customFormat="1" ht="13.5">
      <c r="G4015" s="6"/>
    </row>
    <row r="4016" s="1" customFormat="1" ht="13.5">
      <c r="G4016" s="6"/>
    </row>
    <row r="4017" s="1" customFormat="1" ht="13.5">
      <c r="G4017" s="6"/>
    </row>
    <row r="4018" s="1" customFormat="1" ht="13.5">
      <c r="G4018" s="6"/>
    </row>
    <row r="4019" s="1" customFormat="1" ht="13.5">
      <c r="G4019" s="6"/>
    </row>
    <row r="4020" s="1" customFormat="1" ht="13.5">
      <c r="G4020" s="6"/>
    </row>
    <row r="4021" s="1" customFormat="1" ht="13.5">
      <c r="G4021" s="6"/>
    </row>
    <row r="4022" s="1" customFormat="1" ht="13.5">
      <c r="G4022" s="6"/>
    </row>
    <row r="4023" s="1" customFormat="1" ht="13.5">
      <c r="G4023" s="6"/>
    </row>
    <row r="4024" s="1" customFormat="1" ht="13.5">
      <c r="G4024" s="6"/>
    </row>
    <row r="4025" s="1" customFormat="1" ht="13.5">
      <c r="G4025" s="6"/>
    </row>
    <row r="4026" s="1" customFormat="1" ht="13.5">
      <c r="G4026" s="6"/>
    </row>
    <row r="4027" s="1" customFormat="1" ht="13.5">
      <c r="G4027" s="6"/>
    </row>
    <row r="4028" s="1" customFormat="1" ht="13.5">
      <c r="G4028" s="6"/>
    </row>
    <row r="4029" s="1" customFormat="1" ht="13.5">
      <c r="G4029" s="6"/>
    </row>
    <row r="4030" s="1" customFormat="1" ht="13.5">
      <c r="G4030" s="6"/>
    </row>
    <row r="4031" s="1" customFormat="1" ht="13.5">
      <c r="G4031" s="6"/>
    </row>
    <row r="4032" s="1" customFormat="1" ht="13.5">
      <c r="G4032" s="6"/>
    </row>
    <row r="4033" s="1" customFormat="1" ht="13.5">
      <c r="G4033" s="6"/>
    </row>
    <row r="4034" s="1" customFormat="1" ht="13.5">
      <c r="G4034" s="6"/>
    </row>
    <row r="4035" s="1" customFormat="1" ht="13.5">
      <c r="G4035" s="6"/>
    </row>
    <row r="4036" s="1" customFormat="1" ht="13.5">
      <c r="G4036" s="6"/>
    </row>
    <row r="4037" s="1" customFormat="1" ht="13.5">
      <c r="G4037" s="6"/>
    </row>
    <row r="4038" s="1" customFormat="1" ht="13.5">
      <c r="G4038" s="6"/>
    </row>
    <row r="4039" s="1" customFormat="1" ht="13.5">
      <c r="G4039" s="6"/>
    </row>
    <row r="4040" s="1" customFormat="1" ht="13.5">
      <c r="G4040" s="6"/>
    </row>
    <row r="4041" s="1" customFormat="1" ht="13.5">
      <c r="G4041" s="6"/>
    </row>
    <row r="4042" s="1" customFormat="1" ht="13.5">
      <c r="G4042" s="6"/>
    </row>
    <row r="4043" s="1" customFormat="1" ht="13.5">
      <c r="G4043" s="6"/>
    </row>
    <row r="4044" s="1" customFormat="1" ht="13.5">
      <c r="G4044" s="6"/>
    </row>
    <row r="4045" s="1" customFormat="1" ht="13.5">
      <c r="G4045" s="6"/>
    </row>
    <row r="4046" s="1" customFormat="1" ht="13.5">
      <c r="G4046" s="6"/>
    </row>
    <row r="4047" s="1" customFormat="1" ht="13.5">
      <c r="G4047" s="6"/>
    </row>
    <row r="4048" s="1" customFormat="1" ht="13.5">
      <c r="G4048" s="6"/>
    </row>
    <row r="4049" s="1" customFormat="1" ht="13.5">
      <c r="G4049" s="6"/>
    </row>
    <row r="4050" s="1" customFormat="1" ht="13.5">
      <c r="G4050" s="6"/>
    </row>
    <row r="4051" s="1" customFormat="1" ht="13.5">
      <c r="G4051" s="6"/>
    </row>
    <row r="4052" s="1" customFormat="1" ht="13.5">
      <c r="G4052" s="6"/>
    </row>
    <row r="4053" s="1" customFormat="1" ht="13.5">
      <c r="G4053" s="6"/>
    </row>
    <row r="4054" s="1" customFormat="1" ht="13.5">
      <c r="G4054" s="6"/>
    </row>
    <row r="4055" s="1" customFormat="1" ht="13.5">
      <c r="G4055" s="6"/>
    </row>
    <row r="4056" s="1" customFormat="1" ht="13.5">
      <c r="G4056" s="6"/>
    </row>
    <row r="4057" s="1" customFormat="1" ht="13.5">
      <c r="G4057" s="6"/>
    </row>
    <row r="4058" s="1" customFormat="1" ht="13.5">
      <c r="G4058" s="6"/>
    </row>
    <row r="4059" s="1" customFormat="1" ht="13.5">
      <c r="G4059" s="6"/>
    </row>
    <row r="4060" s="1" customFormat="1" ht="13.5">
      <c r="G4060" s="6"/>
    </row>
    <row r="4061" s="1" customFormat="1" ht="13.5">
      <c r="G4061" s="6"/>
    </row>
    <row r="4062" s="1" customFormat="1" ht="13.5">
      <c r="G4062" s="6"/>
    </row>
    <row r="4063" s="1" customFormat="1" ht="13.5">
      <c r="G4063" s="6"/>
    </row>
    <row r="4064" s="1" customFormat="1" ht="13.5">
      <c r="G4064" s="6"/>
    </row>
    <row r="4065" s="1" customFormat="1" ht="13.5">
      <c r="G4065" s="6"/>
    </row>
    <row r="4066" s="1" customFormat="1" ht="13.5">
      <c r="G4066" s="6"/>
    </row>
    <row r="4067" s="1" customFormat="1" ht="13.5">
      <c r="G4067" s="6"/>
    </row>
    <row r="4068" s="1" customFormat="1" ht="13.5">
      <c r="G4068" s="6"/>
    </row>
    <row r="4069" s="1" customFormat="1" ht="13.5">
      <c r="G4069" s="6"/>
    </row>
    <row r="4070" s="1" customFormat="1" ht="13.5">
      <c r="G4070" s="6"/>
    </row>
    <row r="4071" s="1" customFormat="1" ht="13.5">
      <c r="G4071" s="6"/>
    </row>
    <row r="4072" s="1" customFormat="1" ht="13.5">
      <c r="G4072" s="6"/>
    </row>
    <row r="4073" s="1" customFormat="1" ht="13.5">
      <c r="G4073" s="6"/>
    </row>
    <row r="4074" s="1" customFormat="1" ht="13.5">
      <c r="G4074" s="6"/>
    </row>
    <row r="4075" s="1" customFormat="1" ht="13.5">
      <c r="G4075" s="6"/>
    </row>
    <row r="4076" s="1" customFormat="1" ht="13.5">
      <c r="G4076" s="6"/>
    </row>
    <row r="4077" s="1" customFormat="1" ht="13.5">
      <c r="G4077" s="6"/>
    </row>
    <row r="4078" s="1" customFormat="1" ht="13.5">
      <c r="G4078" s="6"/>
    </row>
    <row r="4079" s="1" customFormat="1" ht="13.5">
      <c r="G4079" s="6"/>
    </row>
    <row r="4080" s="1" customFormat="1" ht="13.5">
      <c r="G4080" s="6"/>
    </row>
    <row r="4081" s="1" customFormat="1" ht="13.5">
      <c r="G4081" s="6"/>
    </row>
    <row r="4082" s="1" customFormat="1" ht="13.5">
      <c r="G4082" s="6"/>
    </row>
    <row r="4083" s="1" customFormat="1" ht="13.5">
      <c r="G4083" s="6"/>
    </row>
    <row r="4084" s="1" customFormat="1" ht="13.5">
      <c r="G4084" s="6"/>
    </row>
    <row r="4085" s="1" customFormat="1" ht="13.5">
      <c r="G4085" s="6"/>
    </row>
    <row r="4086" s="1" customFormat="1" ht="13.5">
      <c r="G4086" s="6"/>
    </row>
    <row r="4087" s="1" customFormat="1" ht="13.5">
      <c r="G4087" s="6"/>
    </row>
    <row r="4088" s="1" customFormat="1" ht="13.5">
      <c r="G4088" s="6"/>
    </row>
    <row r="4089" s="1" customFormat="1" ht="13.5">
      <c r="G4089" s="6"/>
    </row>
    <row r="4090" s="1" customFormat="1" ht="13.5">
      <c r="G4090" s="6"/>
    </row>
    <row r="4091" s="1" customFormat="1" ht="13.5">
      <c r="G4091" s="6"/>
    </row>
    <row r="4092" s="1" customFormat="1" ht="13.5">
      <c r="G4092" s="6"/>
    </row>
    <row r="4093" s="1" customFormat="1" ht="13.5">
      <c r="G4093" s="6"/>
    </row>
    <row r="4094" s="1" customFormat="1" ht="13.5">
      <c r="G4094" s="6"/>
    </row>
    <row r="4095" s="1" customFormat="1" ht="13.5">
      <c r="G4095" s="6"/>
    </row>
    <row r="4096" s="1" customFormat="1" ht="13.5">
      <c r="G4096" s="6"/>
    </row>
    <row r="4097" s="1" customFormat="1" ht="13.5">
      <c r="G4097" s="6"/>
    </row>
    <row r="4098" s="1" customFormat="1" ht="13.5">
      <c r="G4098" s="6"/>
    </row>
    <row r="4099" s="1" customFormat="1" ht="13.5">
      <c r="G4099" s="6"/>
    </row>
    <row r="4100" s="1" customFormat="1" ht="13.5">
      <c r="G4100" s="6"/>
    </row>
    <row r="4101" s="1" customFormat="1" ht="13.5">
      <c r="G4101" s="6"/>
    </row>
    <row r="4102" s="1" customFormat="1" ht="13.5">
      <c r="G4102" s="6"/>
    </row>
    <row r="4103" s="1" customFormat="1" ht="13.5">
      <c r="G4103" s="6"/>
    </row>
    <row r="4104" s="1" customFormat="1" ht="13.5">
      <c r="G4104" s="6"/>
    </row>
    <row r="4105" s="1" customFormat="1" ht="13.5">
      <c r="G4105" s="6"/>
    </row>
    <row r="4106" s="1" customFormat="1" ht="13.5">
      <c r="G4106" s="6"/>
    </row>
    <row r="4107" s="1" customFormat="1" ht="13.5">
      <c r="G4107" s="6"/>
    </row>
    <row r="4108" s="1" customFormat="1" ht="13.5">
      <c r="G4108" s="6"/>
    </row>
    <row r="4109" s="1" customFormat="1" ht="13.5">
      <c r="G4109" s="6"/>
    </row>
    <row r="4110" s="1" customFormat="1" ht="13.5">
      <c r="G4110" s="6"/>
    </row>
    <row r="4111" s="1" customFormat="1" ht="13.5">
      <c r="G4111" s="6"/>
    </row>
    <row r="4112" s="1" customFormat="1" ht="13.5">
      <c r="G4112" s="6"/>
    </row>
    <row r="4113" s="1" customFormat="1" ht="13.5">
      <c r="G4113" s="6"/>
    </row>
    <row r="4114" s="1" customFormat="1" ht="13.5">
      <c r="G4114" s="6"/>
    </row>
    <row r="4115" s="1" customFormat="1" ht="13.5">
      <c r="G4115" s="6"/>
    </row>
    <row r="4116" s="1" customFormat="1" ht="13.5">
      <c r="G4116" s="6"/>
    </row>
    <row r="4117" s="1" customFormat="1" ht="13.5">
      <c r="G4117" s="6"/>
    </row>
    <row r="4118" s="1" customFormat="1" ht="13.5">
      <c r="G4118" s="6"/>
    </row>
    <row r="4119" s="1" customFormat="1" ht="13.5">
      <c r="G4119" s="6"/>
    </row>
    <row r="4120" s="1" customFormat="1" ht="13.5">
      <c r="G4120" s="6"/>
    </row>
    <row r="4121" s="1" customFormat="1" ht="13.5">
      <c r="G4121" s="6"/>
    </row>
    <row r="4122" s="1" customFormat="1" ht="13.5">
      <c r="G4122" s="6"/>
    </row>
    <row r="4123" s="1" customFormat="1" ht="13.5">
      <c r="G4123" s="6"/>
    </row>
    <row r="4124" s="1" customFormat="1" ht="13.5">
      <c r="G4124" s="6"/>
    </row>
    <row r="4125" s="1" customFormat="1" ht="13.5">
      <c r="G4125" s="6"/>
    </row>
    <row r="4126" s="1" customFormat="1" ht="13.5">
      <c r="G4126" s="6"/>
    </row>
    <row r="4127" s="1" customFormat="1" ht="13.5">
      <c r="G4127" s="6"/>
    </row>
    <row r="4128" s="1" customFormat="1" ht="13.5">
      <c r="G4128" s="6"/>
    </row>
    <row r="4129" s="1" customFormat="1" ht="13.5">
      <c r="G4129" s="6"/>
    </row>
    <row r="4130" s="1" customFormat="1" ht="13.5">
      <c r="G4130" s="6"/>
    </row>
    <row r="4131" s="1" customFormat="1" ht="13.5">
      <c r="G4131" s="6"/>
    </row>
    <row r="4132" s="1" customFormat="1" ht="13.5">
      <c r="G4132" s="6"/>
    </row>
    <row r="4133" s="1" customFormat="1" ht="13.5">
      <c r="G4133" s="6"/>
    </row>
    <row r="4134" s="1" customFormat="1" ht="13.5">
      <c r="G4134" s="6"/>
    </row>
    <row r="4135" s="1" customFormat="1" ht="13.5">
      <c r="G4135" s="6"/>
    </row>
    <row r="4136" s="1" customFormat="1" ht="13.5">
      <c r="G4136" s="6"/>
    </row>
    <row r="4137" s="1" customFormat="1" ht="13.5">
      <c r="G4137" s="6"/>
    </row>
    <row r="4138" s="1" customFormat="1" ht="13.5">
      <c r="G4138" s="6"/>
    </row>
    <row r="4139" s="1" customFormat="1" ht="13.5">
      <c r="G4139" s="6"/>
    </row>
    <row r="4140" s="1" customFormat="1" ht="13.5">
      <c r="G4140" s="6"/>
    </row>
    <row r="4141" s="1" customFormat="1" ht="13.5">
      <c r="G4141" s="6"/>
    </row>
    <row r="4142" s="1" customFormat="1" ht="13.5">
      <c r="G4142" s="6"/>
    </row>
    <row r="4143" s="1" customFormat="1" ht="13.5">
      <c r="G4143" s="6"/>
    </row>
    <row r="4144" s="1" customFormat="1" ht="13.5">
      <c r="G4144" s="6"/>
    </row>
    <row r="4145" s="1" customFormat="1" ht="13.5">
      <c r="G4145" s="6"/>
    </row>
    <row r="4146" s="1" customFormat="1" ht="13.5">
      <c r="G4146" s="6"/>
    </row>
    <row r="4147" s="1" customFormat="1" ht="13.5">
      <c r="G4147" s="6"/>
    </row>
    <row r="4148" s="1" customFormat="1" ht="13.5">
      <c r="G4148" s="6"/>
    </row>
    <row r="4149" s="1" customFormat="1" ht="13.5">
      <c r="G4149" s="6"/>
    </row>
    <row r="4150" s="1" customFormat="1" ht="13.5">
      <c r="G4150" s="6"/>
    </row>
    <row r="4151" s="1" customFormat="1" ht="13.5">
      <c r="G4151" s="6"/>
    </row>
    <row r="4152" s="1" customFormat="1" ht="13.5">
      <c r="G4152" s="6"/>
    </row>
    <row r="4153" s="1" customFormat="1" ht="13.5">
      <c r="G4153" s="6"/>
    </row>
    <row r="4154" s="1" customFormat="1" ht="13.5">
      <c r="G4154" s="6"/>
    </row>
    <row r="4155" s="1" customFormat="1" ht="13.5">
      <c r="G4155" s="6"/>
    </row>
    <row r="4156" s="1" customFormat="1" ht="13.5">
      <c r="G4156" s="6"/>
    </row>
    <row r="4157" s="1" customFormat="1" ht="13.5">
      <c r="G4157" s="6"/>
    </row>
    <row r="4158" s="1" customFormat="1" ht="13.5">
      <c r="G4158" s="6"/>
    </row>
    <row r="4159" s="1" customFormat="1" ht="13.5">
      <c r="G4159" s="6"/>
    </row>
    <row r="4160" s="1" customFormat="1" ht="13.5">
      <c r="G4160" s="6"/>
    </row>
    <row r="4161" s="1" customFormat="1" ht="13.5">
      <c r="G4161" s="6"/>
    </row>
    <row r="4162" s="1" customFormat="1" ht="13.5">
      <c r="G4162" s="6"/>
    </row>
    <row r="4163" s="1" customFormat="1" ht="13.5">
      <c r="G4163" s="6"/>
    </row>
    <row r="4164" s="1" customFormat="1" ht="13.5">
      <c r="G4164" s="6"/>
    </row>
    <row r="4165" s="1" customFormat="1" ht="13.5">
      <c r="G4165" s="6"/>
    </row>
    <row r="4166" s="1" customFormat="1" ht="13.5">
      <c r="G4166" s="6"/>
    </row>
    <row r="4167" s="1" customFormat="1" ht="13.5">
      <c r="G4167" s="6"/>
    </row>
    <row r="4168" s="1" customFormat="1" ht="13.5">
      <c r="G4168" s="6"/>
    </row>
    <row r="4169" s="1" customFormat="1" ht="13.5">
      <c r="G4169" s="6"/>
    </row>
    <row r="4170" s="1" customFormat="1" ht="13.5">
      <c r="G4170" s="6"/>
    </row>
    <row r="4171" s="1" customFormat="1" ht="13.5">
      <c r="G4171" s="6"/>
    </row>
    <row r="4172" s="1" customFormat="1" ht="13.5">
      <c r="G4172" s="6"/>
    </row>
    <row r="4173" s="1" customFormat="1" ht="13.5">
      <c r="G4173" s="6"/>
    </row>
    <row r="4174" s="1" customFormat="1" ht="13.5">
      <c r="G4174" s="6"/>
    </row>
    <row r="4175" s="1" customFormat="1" ht="13.5">
      <c r="G4175" s="6"/>
    </row>
    <row r="4176" s="1" customFormat="1" ht="13.5">
      <c r="G4176" s="6"/>
    </row>
    <row r="4177" s="1" customFormat="1" ht="13.5">
      <c r="G4177" s="6"/>
    </row>
    <row r="4178" s="1" customFormat="1" ht="13.5">
      <c r="G4178" s="6"/>
    </row>
    <row r="4179" s="1" customFormat="1" ht="13.5">
      <c r="G4179" s="6"/>
    </row>
    <row r="4180" s="1" customFormat="1" ht="13.5">
      <c r="G4180" s="6"/>
    </row>
    <row r="4181" s="1" customFormat="1" ht="13.5">
      <c r="G4181" s="6"/>
    </row>
    <row r="4182" s="1" customFormat="1" ht="13.5">
      <c r="G4182" s="6"/>
    </row>
    <row r="4183" s="1" customFormat="1" ht="13.5">
      <c r="G4183" s="6"/>
    </row>
    <row r="4184" s="1" customFormat="1" ht="13.5">
      <c r="G4184" s="6"/>
    </row>
    <row r="4185" s="1" customFormat="1" ht="13.5">
      <c r="G4185" s="6"/>
    </row>
    <row r="4186" s="1" customFormat="1" ht="13.5">
      <c r="G4186" s="6"/>
    </row>
    <row r="4187" s="1" customFormat="1" ht="13.5">
      <c r="G4187" s="6"/>
    </row>
    <row r="4188" s="1" customFormat="1" ht="13.5">
      <c r="G4188" s="6"/>
    </row>
    <row r="4189" s="1" customFormat="1" ht="13.5">
      <c r="G4189" s="6"/>
    </row>
    <row r="4190" s="1" customFormat="1" ht="13.5">
      <c r="G4190" s="6"/>
    </row>
    <row r="4191" s="1" customFormat="1" ht="13.5">
      <c r="G4191" s="6"/>
    </row>
    <row r="4192" s="1" customFormat="1" ht="13.5">
      <c r="G4192" s="6"/>
    </row>
    <row r="4193" s="1" customFormat="1" ht="13.5">
      <c r="G4193" s="6"/>
    </row>
    <row r="4194" s="1" customFormat="1" ht="13.5">
      <c r="G4194" s="6"/>
    </row>
    <row r="4195" s="1" customFormat="1" ht="13.5">
      <c r="G4195" s="6"/>
    </row>
    <row r="4196" s="1" customFormat="1" ht="13.5">
      <c r="G4196" s="6"/>
    </row>
    <row r="4197" s="1" customFormat="1" ht="13.5">
      <c r="G4197" s="6"/>
    </row>
    <row r="4198" s="1" customFormat="1" ht="13.5">
      <c r="G4198" s="6"/>
    </row>
    <row r="4199" s="1" customFormat="1" ht="13.5">
      <c r="G4199" s="6"/>
    </row>
    <row r="4200" s="1" customFormat="1" ht="13.5">
      <c r="G4200" s="6"/>
    </row>
    <row r="4201" s="1" customFormat="1" ht="13.5">
      <c r="G4201" s="6"/>
    </row>
    <row r="4202" s="1" customFormat="1" ht="13.5">
      <c r="G4202" s="6"/>
    </row>
    <row r="4203" s="1" customFormat="1" ht="13.5">
      <c r="G4203" s="6"/>
    </row>
    <row r="4204" s="1" customFormat="1" ht="13.5">
      <c r="G4204" s="6"/>
    </row>
    <row r="4205" s="1" customFormat="1" ht="13.5">
      <c r="G4205" s="6"/>
    </row>
    <row r="4206" s="1" customFormat="1" ht="13.5">
      <c r="G4206" s="6"/>
    </row>
    <row r="4207" s="1" customFormat="1" ht="13.5">
      <c r="G4207" s="6"/>
    </row>
    <row r="4208" s="1" customFormat="1" ht="13.5">
      <c r="G4208" s="6"/>
    </row>
    <row r="4209" s="1" customFormat="1" ht="13.5">
      <c r="G4209" s="6"/>
    </row>
    <row r="4210" s="1" customFormat="1" ht="13.5">
      <c r="G4210" s="6"/>
    </row>
    <row r="4211" s="1" customFormat="1" ht="13.5">
      <c r="G4211" s="6"/>
    </row>
    <row r="4212" s="1" customFormat="1" ht="13.5">
      <c r="G4212" s="6"/>
    </row>
    <row r="4213" s="1" customFormat="1" ht="13.5">
      <c r="G4213" s="6"/>
    </row>
    <row r="4214" s="1" customFormat="1" ht="13.5">
      <c r="G4214" s="6"/>
    </row>
    <row r="4215" s="1" customFormat="1" ht="13.5">
      <c r="G4215" s="6"/>
    </row>
    <row r="4216" s="1" customFormat="1" ht="13.5">
      <c r="G4216" s="6"/>
    </row>
    <row r="4217" s="1" customFormat="1" ht="13.5">
      <c r="G4217" s="6"/>
    </row>
    <row r="4218" s="1" customFormat="1" ht="13.5">
      <c r="G4218" s="6"/>
    </row>
    <row r="4219" s="1" customFormat="1" ht="13.5">
      <c r="G4219" s="6"/>
    </row>
    <row r="4220" s="1" customFormat="1" ht="13.5">
      <c r="G4220" s="6"/>
    </row>
    <row r="4221" s="1" customFormat="1" ht="13.5">
      <c r="G4221" s="6"/>
    </row>
    <row r="4222" s="1" customFormat="1" ht="13.5">
      <c r="G4222" s="6"/>
    </row>
    <row r="4223" s="1" customFormat="1" ht="13.5">
      <c r="G4223" s="6"/>
    </row>
    <row r="4224" s="1" customFormat="1" ht="13.5">
      <c r="G4224" s="6"/>
    </row>
    <row r="4225" s="1" customFormat="1" ht="13.5">
      <c r="G4225" s="6"/>
    </row>
    <row r="4226" s="1" customFormat="1" ht="13.5">
      <c r="G4226" s="6"/>
    </row>
    <row r="4227" s="1" customFormat="1" ht="13.5">
      <c r="G4227" s="6"/>
    </row>
    <row r="4228" s="1" customFormat="1" ht="13.5">
      <c r="G4228" s="6"/>
    </row>
    <row r="4229" s="1" customFormat="1" ht="13.5">
      <c r="G4229" s="6"/>
    </row>
    <row r="4230" s="1" customFormat="1" ht="13.5">
      <c r="G4230" s="6"/>
    </row>
    <row r="4231" s="1" customFormat="1" ht="13.5">
      <c r="G4231" s="6"/>
    </row>
    <row r="4232" s="1" customFormat="1" ht="13.5">
      <c r="G4232" s="6"/>
    </row>
    <row r="4233" s="1" customFormat="1" ht="13.5">
      <c r="G4233" s="6"/>
    </row>
    <row r="4234" s="1" customFormat="1" ht="13.5">
      <c r="G4234" s="6"/>
    </row>
    <row r="4235" s="1" customFormat="1" ht="13.5">
      <c r="G4235" s="6"/>
    </row>
    <row r="4236" s="1" customFormat="1" ht="13.5">
      <c r="G4236" s="6"/>
    </row>
    <row r="4237" s="1" customFormat="1" ht="13.5">
      <c r="G4237" s="6"/>
    </row>
    <row r="4238" s="1" customFormat="1" ht="13.5">
      <c r="G4238" s="6"/>
    </row>
    <row r="4239" s="1" customFormat="1" ht="13.5">
      <c r="G4239" s="6"/>
    </row>
    <row r="4240" s="1" customFormat="1" ht="13.5">
      <c r="G4240" s="6"/>
    </row>
    <row r="4241" s="1" customFormat="1" ht="13.5">
      <c r="G4241" s="6"/>
    </row>
    <row r="4242" s="1" customFormat="1" ht="13.5">
      <c r="G4242" s="6"/>
    </row>
    <row r="4243" s="1" customFormat="1" ht="13.5">
      <c r="G4243" s="6"/>
    </row>
    <row r="4244" s="1" customFormat="1" ht="13.5">
      <c r="G4244" s="6"/>
    </row>
    <row r="4245" s="1" customFormat="1" ht="13.5">
      <c r="G4245" s="6"/>
    </row>
    <row r="4246" s="1" customFormat="1" ht="13.5">
      <c r="G4246" s="6"/>
    </row>
    <row r="4247" s="1" customFormat="1" ht="13.5">
      <c r="G4247" s="6"/>
    </row>
    <row r="4248" s="1" customFormat="1" ht="13.5">
      <c r="G4248" s="6"/>
    </row>
    <row r="4249" s="1" customFormat="1" ht="13.5">
      <c r="G4249" s="6"/>
    </row>
    <row r="4250" s="1" customFormat="1" ht="13.5">
      <c r="G4250" s="6"/>
    </row>
    <row r="4251" s="1" customFormat="1" ht="13.5">
      <c r="G4251" s="6"/>
    </row>
    <row r="4252" s="1" customFormat="1" ht="13.5">
      <c r="G4252" s="6"/>
    </row>
    <row r="4253" s="1" customFormat="1" ht="13.5">
      <c r="G4253" s="6"/>
    </row>
    <row r="4254" s="1" customFormat="1" ht="13.5">
      <c r="G4254" s="6"/>
    </row>
    <row r="4255" s="1" customFormat="1" ht="13.5">
      <c r="G4255" s="6"/>
    </row>
    <row r="4256" s="1" customFormat="1" ht="13.5">
      <c r="G4256" s="6"/>
    </row>
    <row r="4257" s="1" customFormat="1" ht="13.5">
      <c r="G4257" s="6"/>
    </row>
    <row r="4258" s="1" customFormat="1" ht="13.5">
      <c r="G4258" s="6"/>
    </row>
    <row r="4259" s="1" customFormat="1" ht="13.5">
      <c r="G4259" s="6"/>
    </row>
    <row r="4260" s="1" customFormat="1" ht="13.5">
      <c r="G4260" s="6"/>
    </row>
    <row r="4261" s="1" customFormat="1" ht="13.5">
      <c r="G4261" s="6"/>
    </row>
    <row r="4262" s="1" customFormat="1" ht="13.5">
      <c r="G4262" s="6"/>
    </row>
    <row r="4263" s="1" customFormat="1" ht="13.5">
      <c r="G4263" s="6"/>
    </row>
    <row r="4264" s="1" customFormat="1" ht="13.5">
      <c r="G4264" s="6"/>
    </row>
    <row r="4265" s="1" customFormat="1" ht="13.5">
      <c r="G4265" s="6"/>
    </row>
    <row r="4266" s="1" customFormat="1" ht="13.5">
      <c r="G4266" s="6"/>
    </row>
    <row r="4267" s="1" customFormat="1" ht="13.5">
      <c r="G4267" s="6"/>
    </row>
    <row r="4268" s="1" customFormat="1" ht="13.5">
      <c r="G4268" s="6"/>
    </row>
    <row r="4269" s="1" customFormat="1" ht="13.5">
      <c r="G4269" s="6"/>
    </row>
    <row r="4270" s="1" customFormat="1" ht="13.5">
      <c r="G4270" s="6"/>
    </row>
    <row r="4271" s="1" customFormat="1" ht="13.5">
      <c r="G4271" s="6"/>
    </row>
    <row r="4272" s="1" customFormat="1" ht="13.5">
      <c r="G4272" s="6"/>
    </row>
    <row r="4273" s="1" customFormat="1" ht="13.5">
      <c r="G4273" s="6"/>
    </row>
    <row r="4274" s="1" customFormat="1" ht="13.5">
      <c r="G4274" s="6"/>
    </row>
    <row r="4275" s="1" customFormat="1" ht="13.5">
      <c r="G4275" s="6"/>
    </row>
    <row r="4276" s="1" customFormat="1" ht="13.5">
      <c r="G4276" s="6"/>
    </row>
    <row r="4277" s="1" customFormat="1" ht="13.5">
      <c r="G4277" s="6"/>
    </row>
    <row r="4278" s="1" customFormat="1" ht="13.5">
      <c r="G4278" s="6"/>
    </row>
    <row r="4279" s="1" customFormat="1" ht="13.5">
      <c r="G4279" s="6"/>
    </row>
    <row r="4280" s="1" customFormat="1" ht="13.5">
      <c r="G4280" s="6"/>
    </row>
    <row r="4281" s="1" customFormat="1" ht="13.5">
      <c r="G4281" s="6"/>
    </row>
    <row r="4282" s="1" customFormat="1" ht="13.5">
      <c r="G4282" s="6"/>
    </row>
    <row r="4283" s="1" customFormat="1" ht="13.5">
      <c r="G4283" s="6"/>
    </row>
    <row r="4284" s="1" customFormat="1" ht="13.5">
      <c r="G4284" s="6"/>
    </row>
    <row r="4285" s="1" customFormat="1" ht="13.5">
      <c r="G4285" s="6"/>
    </row>
    <row r="4286" s="1" customFormat="1" ht="13.5">
      <c r="G4286" s="6"/>
    </row>
    <row r="4287" s="1" customFormat="1" ht="13.5">
      <c r="G4287" s="6"/>
    </row>
    <row r="4288" s="1" customFormat="1" ht="13.5">
      <c r="G4288" s="6"/>
    </row>
    <row r="4289" s="1" customFormat="1" ht="13.5">
      <c r="G4289" s="6"/>
    </row>
    <row r="4290" s="1" customFormat="1" ht="13.5">
      <c r="G4290" s="6"/>
    </row>
    <row r="4291" s="1" customFormat="1" ht="13.5">
      <c r="G4291" s="6"/>
    </row>
    <row r="4292" s="1" customFormat="1" ht="13.5">
      <c r="G4292" s="6"/>
    </row>
    <row r="4293" s="1" customFormat="1" ht="13.5">
      <c r="G4293" s="6"/>
    </row>
    <row r="4294" s="1" customFormat="1" ht="13.5">
      <c r="G4294" s="6"/>
    </row>
    <row r="4295" s="1" customFormat="1" ht="13.5">
      <c r="G4295" s="6"/>
    </row>
    <row r="4296" s="1" customFormat="1" ht="13.5">
      <c r="G4296" s="6"/>
    </row>
    <row r="4297" s="1" customFormat="1" ht="13.5">
      <c r="G4297" s="6"/>
    </row>
    <row r="4298" s="1" customFormat="1" ht="13.5">
      <c r="G4298" s="6"/>
    </row>
    <row r="4299" s="1" customFormat="1" ht="13.5">
      <c r="G4299" s="6"/>
    </row>
    <row r="4300" s="1" customFormat="1" ht="13.5">
      <c r="G4300" s="6"/>
    </row>
    <row r="4301" s="1" customFormat="1" ht="13.5">
      <c r="G4301" s="6"/>
    </row>
    <row r="4302" s="1" customFormat="1" ht="13.5">
      <c r="G4302" s="6"/>
    </row>
    <row r="4303" s="1" customFormat="1" ht="13.5">
      <c r="G4303" s="6"/>
    </row>
    <row r="4304" s="1" customFormat="1" ht="13.5">
      <c r="G4304" s="6"/>
    </row>
    <row r="4305" s="1" customFormat="1" ht="13.5">
      <c r="G4305" s="6"/>
    </row>
    <row r="4306" s="1" customFormat="1" ht="13.5">
      <c r="G4306" s="6"/>
    </row>
    <row r="4307" s="1" customFormat="1" ht="13.5">
      <c r="G4307" s="6"/>
    </row>
    <row r="4308" s="1" customFormat="1" ht="13.5">
      <c r="G4308" s="6"/>
    </row>
    <row r="4309" s="1" customFormat="1" ht="13.5">
      <c r="G4309" s="6"/>
    </row>
    <row r="4310" s="1" customFormat="1" ht="13.5">
      <c r="G4310" s="6"/>
    </row>
    <row r="4311" s="1" customFormat="1" ht="13.5">
      <c r="G4311" s="6"/>
    </row>
    <row r="4312" s="1" customFormat="1" ht="13.5">
      <c r="G4312" s="6"/>
    </row>
    <row r="4313" s="1" customFormat="1" ht="13.5">
      <c r="G4313" s="6"/>
    </row>
    <row r="4314" s="1" customFormat="1" ht="13.5">
      <c r="G4314" s="6"/>
    </row>
    <row r="4315" s="1" customFormat="1" ht="13.5">
      <c r="G4315" s="6"/>
    </row>
    <row r="4316" s="1" customFormat="1" ht="13.5">
      <c r="G4316" s="6"/>
    </row>
    <row r="4317" s="1" customFormat="1" ht="13.5">
      <c r="G4317" s="6"/>
    </row>
    <row r="4318" s="1" customFormat="1" ht="13.5">
      <c r="G4318" s="6"/>
    </row>
    <row r="4319" s="1" customFormat="1" ht="13.5">
      <c r="G4319" s="6"/>
    </row>
    <row r="4320" s="1" customFormat="1" ht="13.5">
      <c r="G4320" s="6"/>
    </row>
    <row r="4321" s="1" customFormat="1" ht="13.5">
      <c r="G4321" s="6"/>
    </row>
    <row r="4322" s="1" customFormat="1" ht="13.5">
      <c r="G4322" s="6"/>
    </row>
    <row r="4323" s="1" customFormat="1" ht="13.5">
      <c r="G4323" s="6"/>
    </row>
    <row r="4324" s="1" customFormat="1" ht="13.5">
      <c r="G4324" s="6"/>
    </row>
    <row r="4325" s="1" customFormat="1" ht="13.5">
      <c r="G4325" s="6"/>
    </row>
    <row r="4326" s="1" customFormat="1" ht="13.5">
      <c r="G4326" s="6"/>
    </row>
    <row r="4327" s="1" customFormat="1" ht="13.5">
      <c r="G4327" s="6"/>
    </row>
    <row r="4328" s="1" customFormat="1" ht="13.5">
      <c r="G4328" s="6"/>
    </row>
    <row r="4329" s="1" customFormat="1" ht="13.5">
      <c r="G4329" s="6"/>
    </row>
    <row r="4330" s="1" customFormat="1" ht="13.5">
      <c r="G4330" s="6"/>
    </row>
    <row r="4331" s="1" customFormat="1" ht="13.5">
      <c r="G4331" s="6"/>
    </row>
    <row r="4332" s="1" customFormat="1" ht="13.5">
      <c r="G4332" s="6"/>
    </row>
    <row r="4333" s="1" customFormat="1" ht="13.5">
      <c r="G4333" s="6"/>
    </row>
    <row r="4334" s="1" customFormat="1" ht="13.5">
      <c r="G4334" s="6"/>
    </row>
    <row r="4335" s="1" customFormat="1" ht="13.5">
      <c r="G4335" s="6"/>
    </row>
    <row r="4336" s="1" customFormat="1" ht="13.5">
      <c r="G4336" s="6"/>
    </row>
    <row r="4337" s="1" customFormat="1" ht="13.5">
      <c r="G4337" s="6"/>
    </row>
    <row r="4338" s="1" customFormat="1" ht="13.5">
      <c r="G4338" s="6"/>
    </row>
    <row r="4339" s="1" customFormat="1" ht="13.5">
      <c r="G4339" s="6"/>
    </row>
    <row r="4340" s="1" customFormat="1" ht="13.5">
      <c r="G4340" s="6"/>
    </row>
    <row r="4341" s="1" customFormat="1" ht="13.5">
      <c r="G4341" s="6"/>
    </row>
    <row r="4342" s="1" customFormat="1" ht="13.5">
      <c r="G4342" s="6"/>
    </row>
    <row r="4343" s="1" customFormat="1" ht="13.5">
      <c r="G4343" s="6"/>
    </row>
    <row r="4344" s="1" customFormat="1" ht="13.5">
      <c r="G4344" s="6"/>
    </row>
    <row r="4345" s="1" customFormat="1" ht="13.5">
      <c r="G4345" s="6"/>
    </row>
    <row r="4346" s="1" customFormat="1" ht="13.5">
      <c r="G4346" s="6"/>
    </row>
    <row r="4347" s="1" customFormat="1" ht="13.5">
      <c r="G4347" s="6"/>
    </row>
    <row r="4348" s="1" customFormat="1" ht="13.5">
      <c r="G4348" s="6"/>
    </row>
    <row r="4349" s="1" customFormat="1" ht="13.5">
      <c r="G4349" s="6"/>
    </row>
    <row r="4350" s="1" customFormat="1" ht="13.5">
      <c r="G4350" s="6"/>
    </row>
    <row r="4351" s="1" customFormat="1" ht="13.5">
      <c r="G4351" s="6"/>
    </row>
    <row r="4352" s="1" customFormat="1" ht="13.5">
      <c r="G4352" s="6"/>
    </row>
    <row r="4353" s="1" customFormat="1" ht="13.5">
      <c r="G4353" s="6"/>
    </row>
    <row r="4354" s="1" customFormat="1" ht="13.5">
      <c r="G4354" s="6"/>
    </row>
    <row r="4355" s="1" customFormat="1" ht="13.5">
      <c r="G4355" s="6"/>
    </row>
    <row r="4356" s="1" customFormat="1" ht="13.5">
      <c r="G4356" s="6"/>
    </row>
    <row r="4357" s="1" customFormat="1" ht="13.5">
      <c r="G4357" s="6"/>
    </row>
    <row r="4358" s="1" customFormat="1" ht="13.5">
      <c r="G4358" s="6"/>
    </row>
    <row r="4359" s="1" customFormat="1" ht="13.5">
      <c r="G4359" s="6"/>
    </row>
    <row r="4360" s="1" customFormat="1" ht="13.5">
      <c r="G4360" s="6"/>
    </row>
    <row r="4361" s="1" customFormat="1" ht="13.5">
      <c r="G4361" s="6"/>
    </row>
    <row r="4362" s="1" customFormat="1" ht="13.5">
      <c r="G4362" s="6"/>
    </row>
    <row r="4363" s="1" customFormat="1" ht="13.5">
      <c r="G4363" s="6"/>
    </row>
    <row r="4364" s="1" customFormat="1" ht="13.5">
      <c r="G4364" s="6"/>
    </row>
    <row r="4365" s="1" customFormat="1" ht="13.5">
      <c r="G4365" s="6"/>
    </row>
    <row r="4366" s="1" customFormat="1" ht="13.5">
      <c r="G4366" s="6"/>
    </row>
    <row r="4367" s="1" customFormat="1" ht="13.5">
      <c r="G4367" s="6"/>
    </row>
    <row r="4368" s="1" customFormat="1" ht="13.5">
      <c r="G4368" s="6"/>
    </row>
    <row r="4369" s="1" customFormat="1" ht="13.5">
      <c r="G4369" s="6"/>
    </row>
    <row r="4370" s="1" customFormat="1" ht="13.5">
      <c r="G4370" s="6"/>
    </row>
    <row r="4371" s="1" customFormat="1" ht="13.5">
      <c r="G4371" s="6"/>
    </row>
    <row r="4372" s="1" customFormat="1" ht="13.5">
      <c r="G4372" s="6"/>
    </row>
    <row r="4373" s="1" customFormat="1" ht="13.5">
      <c r="G4373" s="6"/>
    </row>
    <row r="4374" s="1" customFormat="1" ht="13.5">
      <c r="G4374" s="6"/>
    </row>
    <row r="4375" s="1" customFormat="1" ht="13.5">
      <c r="G4375" s="6"/>
    </row>
    <row r="4376" s="1" customFormat="1" ht="13.5">
      <c r="G4376" s="6"/>
    </row>
    <row r="4377" s="1" customFormat="1" ht="13.5">
      <c r="G4377" s="6"/>
    </row>
    <row r="4378" s="1" customFormat="1" ht="13.5">
      <c r="G4378" s="6"/>
    </row>
    <row r="4379" s="1" customFormat="1" ht="13.5">
      <c r="G4379" s="6"/>
    </row>
    <row r="4380" s="1" customFormat="1" ht="13.5">
      <c r="G4380" s="6"/>
    </row>
    <row r="4381" s="1" customFormat="1" ht="13.5">
      <c r="G4381" s="6"/>
    </row>
    <row r="4382" s="1" customFormat="1" ht="13.5">
      <c r="G4382" s="6"/>
    </row>
    <row r="4383" s="1" customFormat="1" ht="13.5">
      <c r="G4383" s="6"/>
    </row>
    <row r="4384" s="1" customFormat="1" ht="13.5">
      <c r="G4384" s="6"/>
    </row>
    <row r="4385" s="1" customFormat="1" ht="13.5">
      <c r="G4385" s="6"/>
    </row>
    <row r="4386" s="1" customFormat="1" ht="13.5">
      <c r="G4386" s="6"/>
    </row>
    <row r="4387" s="1" customFormat="1" ht="13.5">
      <c r="G4387" s="6"/>
    </row>
    <row r="4388" s="1" customFormat="1" ht="13.5">
      <c r="G4388" s="6"/>
    </row>
    <row r="4389" s="1" customFormat="1" ht="13.5">
      <c r="G4389" s="6"/>
    </row>
    <row r="4390" s="1" customFormat="1" ht="13.5">
      <c r="G4390" s="6"/>
    </row>
    <row r="4391" s="1" customFormat="1" ht="13.5">
      <c r="G4391" s="6"/>
    </row>
    <row r="4392" s="1" customFormat="1" ht="13.5">
      <c r="G4392" s="6"/>
    </row>
    <row r="4393" s="1" customFormat="1" ht="13.5">
      <c r="G4393" s="6"/>
    </row>
    <row r="4394" s="1" customFormat="1" ht="13.5">
      <c r="G4394" s="6"/>
    </row>
    <row r="4395" s="1" customFormat="1" ht="13.5">
      <c r="G4395" s="6"/>
    </row>
    <row r="4396" s="1" customFormat="1" ht="13.5">
      <c r="G4396" s="6"/>
    </row>
    <row r="4397" s="1" customFormat="1" ht="13.5">
      <c r="G4397" s="6"/>
    </row>
    <row r="4398" s="1" customFormat="1" ht="13.5">
      <c r="G4398" s="6"/>
    </row>
    <row r="4399" s="1" customFormat="1" ht="13.5">
      <c r="G4399" s="6"/>
    </row>
    <row r="4400" s="1" customFormat="1" ht="13.5">
      <c r="G4400" s="6"/>
    </row>
    <row r="4401" s="1" customFormat="1" ht="13.5">
      <c r="G4401" s="6"/>
    </row>
    <row r="4402" s="1" customFormat="1" ht="13.5">
      <c r="G4402" s="6"/>
    </row>
    <row r="4403" s="1" customFormat="1" ht="13.5">
      <c r="G4403" s="6"/>
    </row>
    <row r="4404" s="1" customFormat="1" ht="13.5">
      <c r="G4404" s="6"/>
    </row>
    <row r="4405" s="1" customFormat="1" ht="13.5">
      <c r="G4405" s="6"/>
    </row>
    <row r="4406" s="1" customFormat="1" ht="13.5">
      <c r="G4406" s="6"/>
    </row>
    <row r="4407" s="1" customFormat="1" ht="13.5">
      <c r="G4407" s="6"/>
    </row>
    <row r="4408" s="1" customFormat="1" ht="13.5">
      <c r="G4408" s="6"/>
    </row>
    <row r="4409" s="1" customFormat="1" ht="13.5">
      <c r="G4409" s="6"/>
    </row>
    <row r="4410" s="1" customFormat="1" ht="13.5">
      <c r="G4410" s="6"/>
    </row>
    <row r="4411" s="1" customFormat="1" ht="13.5">
      <c r="G4411" s="6"/>
    </row>
    <row r="4412" s="1" customFormat="1" ht="13.5">
      <c r="G4412" s="6"/>
    </row>
    <row r="4413" s="1" customFormat="1" ht="13.5">
      <c r="G4413" s="6"/>
    </row>
    <row r="4414" s="1" customFormat="1" ht="13.5">
      <c r="G4414" s="6"/>
    </row>
    <row r="4415" s="1" customFormat="1" ht="13.5">
      <c r="G4415" s="6"/>
    </row>
    <row r="4416" s="1" customFormat="1" ht="13.5">
      <c r="G4416" s="6"/>
    </row>
    <row r="4417" s="1" customFormat="1" ht="13.5">
      <c r="G4417" s="6"/>
    </row>
    <row r="4418" s="1" customFormat="1" ht="13.5">
      <c r="G4418" s="6"/>
    </row>
    <row r="4419" s="1" customFormat="1" ht="13.5">
      <c r="G4419" s="6"/>
    </row>
    <row r="4420" s="1" customFormat="1" ht="13.5">
      <c r="G4420" s="6"/>
    </row>
    <row r="4421" s="1" customFormat="1" ht="13.5">
      <c r="G4421" s="6"/>
    </row>
    <row r="4422" s="1" customFormat="1" ht="13.5">
      <c r="G4422" s="6"/>
    </row>
    <row r="4423" s="1" customFormat="1" ht="13.5">
      <c r="G4423" s="6"/>
    </row>
    <row r="4424" s="1" customFormat="1" ht="13.5">
      <c r="G4424" s="6"/>
    </row>
    <row r="4425" s="1" customFormat="1" ht="13.5">
      <c r="G4425" s="6"/>
    </row>
    <row r="4426" s="1" customFormat="1" ht="13.5">
      <c r="G4426" s="6"/>
    </row>
    <row r="4427" s="1" customFormat="1" ht="13.5">
      <c r="G4427" s="6"/>
    </row>
    <row r="4428" s="1" customFormat="1" ht="13.5">
      <c r="G4428" s="6"/>
    </row>
    <row r="4429" s="1" customFormat="1" ht="13.5">
      <c r="G4429" s="6"/>
    </row>
    <row r="4430" s="1" customFormat="1" ht="13.5">
      <c r="G4430" s="6"/>
    </row>
    <row r="4431" s="1" customFormat="1" ht="13.5">
      <c r="G4431" s="6"/>
    </row>
    <row r="4432" s="1" customFormat="1" ht="13.5">
      <c r="G4432" s="6"/>
    </row>
    <row r="4433" s="1" customFormat="1" ht="13.5">
      <c r="G4433" s="6"/>
    </row>
    <row r="4434" s="1" customFormat="1" ht="13.5">
      <c r="G4434" s="6"/>
    </row>
    <row r="4435" s="1" customFormat="1" ht="13.5">
      <c r="G4435" s="6"/>
    </row>
    <row r="4436" s="1" customFormat="1" ht="13.5">
      <c r="G4436" s="6"/>
    </row>
    <row r="4437" s="1" customFormat="1" ht="13.5">
      <c r="G4437" s="6"/>
    </row>
    <row r="4438" s="1" customFormat="1" ht="13.5">
      <c r="G4438" s="6"/>
    </row>
    <row r="4439" s="1" customFormat="1" ht="13.5">
      <c r="G4439" s="6"/>
    </row>
    <row r="4440" s="1" customFormat="1" ht="13.5">
      <c r="G4440" s="6"/>
    </row>
    <row r="4441" s="1" customFormat="1" ht="13.5">
      <c r="G4441" s="6"/>
    </row>
    <row r="4442" s="1" customFormat="1" ht="13.5">
      <c r="G4442" s="6"/>
    </row>
    <row r="4443" s="1" customFormat="1" ht="13.5">
      <c r="G4443" s="6"/>
    </row>
    <row r="4444" s="1" customFormat="1" ht="13.5">
      <c r="G4444" s="6"/>
    </row>
    <row r="4445" s="1" customFormat="1" ht="13.5">
      <c r="G4445" s="6"/>
    </row>
    <row r="4446" s="1" customFormat="1" ht="13.5">
      <c r="G4446" s="6"/>
    </row>
    <row r="4447" s="1" customFormat="1" ht="13.5">
      <c r="G4447" s="6"/>
    </row>
    <row r="4448" s="1" customFormat="1" ht="13.5">
      <c r="G4448" s="6"/>
    </row>
    <row r="4449" s="1" customFormat="1" ht="13.5">
      <c r="G4449" s="6"/>
    </row>
    <row r="4450" s="1" customFormat="1" ht="13.5">
      <c r="G4450" s="6"/>
    </row>
    <row r="4451" s="1" customFormat="1" ht="13.5">
      <c r="G4451" s="6"/>
    </row>
    <row r="4452" s="1" customFormat="1" ht="13.5">
      <c r="G4452" s="6"/>
    </row>
    <row r="4453" s="1" customFormat="1" ht="13.5">
      <c r="G4453" s="6"/>
    </row>
    <row r="4454" s="1" customFormat="1" ht="13.5">
      <c r="G4454" s="6"/>
    </row>
    <row r="4455" s="1" customFormat="1" ht="13.5">
      <c r="G4455" s="6"/>
    </row>
    <row r="4456" s="1" customFormat="1" ht="13.5">
      <c r="G4456" s="6"/>
    </row>
    <row r="4457" s="1" customFormat="1" ht="13.5">
      <c r="G4457" s="6"/>
    </row>
    <row r="4458" s="1" customFormat="1" ht="13.5">
      <c r="G4458" s="6"/>
    </row>
    <row r="4459" s="1" customFormat="1" ht="13.5">
      <c r="G4459" s="6"/>
    </row>
    <row r="4460" s="1" customFormat="1" ht="13.5">
      <c r="G4460" s="6"/>
    </row>
    <row r="4461" s="1" customFormat="1" ht="13.5">
      <c r="G4461" s="6"/>
    </row>
    <row r="4462" s="1" customFormat="1" ht="13.5">
      <c r="G4462" s="6"/>
    </row>
    <row r="4463" s="1" customFormat="1" ht="13.5">
      <c r="G4463" s="6"/>
    </row>
    <row r="4464" s="1" customFormat="1" ht="13.5">
      <c r="G4464" s="6"/>
    </row>
    <row r="4465" s="1" customFormat="1" ht="13.5">
      <c r="G4465" s="6"/>
    </row>
    <row r="4466" s="1" customFormat="1" ht="13.5">
      <c r="G4466" s="6"/>
    </row>
    <row r="4467" s="1" customFormat="1" ht="13.5">
      <c r="G4467" s="6"/>
    </row>
    <row r="4468" s="1" customFormat="1" ht="13.5">
      <c r="G4468" s="6"/>
    </row>
    <row r="4469" s="1" customFormat="1" ht="13.5">
      <c r="G4469" s="6"/>
    </row>
    <row r="4470" s="1" customFormat="1" ht="13.5">
      <c r="G4470" s="6"/>
    </row>
    <row r="4471" s="1" customFormat="1" ht="13.5">
      <c r="G4471" s="6"/>
    </row>
    <row r="4472" s="1" customFormat="1" ht="13.5">
      <c r="G4472" s="6"/>
    </row>
    <row r="4473" s="1" customFormat="1" ht="13.5">
      <c r="G4473" s="6"/>
    </row>
    <row r="4474" s="1" customFormat="1" ht="13.5">
      <c r="G4474" s="6"/>
    </row>
    <row r="4475" s="1" customFormat="1" ht="13.5">
      <c r="G4475" s="6"/>
    </row>
    <row r="4476" s="1" customFormat="1" ht="13.5">
      <c r="G4476" s="6"/>
    </row>
    <row r="4477" s="1" customFormat="1" ht="13.5">
      <c r="G4477" s="6"/>
    </row>
    <row r="4478" s="1" customFormat="1" ht="13.5">
      <c r="G4478" s="6"/>
    </row>
    <row r="4479" s="1" customFormat="1" ht="13.5">
      <c r="G4479" s="6"/>
    </row>
    <row r="4480" s="1" customFormat="1" ht="13.5">
      <c r="G4480" s="6"/>
    </row>
    <row r="4481" s="1" customFormat="1" ht="13.5">
      <c r="G4481" s="6"/>
    </row>
    <row r="4482" s="1" customFormat="1" ht="13.5">
      <c r="G4482" s="6"/>
    </row>
    <row r="4483" s="1" customFormat="1" ht="13.5">
      <c r="G4483" s="6"/>
    </row>
    <row r="4484" s="1" customFormat="1" ht="13.5">
      <c r="G4484" s="6"/>
    </row>
    <row r="4485" s="1" customFormat="1" ht="13.5">
      <c r="G4485" s="6"/>
    </row>
    <row r="4486" s="1" customFormat="1" ht="13.5">
      <c r="G4486" s="6"/>
    </row>
    <row r="4487" s="1" customFormat="1" ht="13.5">
      <c r="G4487" s="6"/>
    </row>
    <row r="4488" s="1" customFormat="1" ht="13.5">
      <c r="G4488" s="6"/>
    </row>
    <row r="4489" s="1" customFormat="1" ht="13.5">
      <c r="G4489" s="6"/>
    </row>
    <row r="4490" s="1" customFormat="1" ht="13.5">
      <c r="G4490" s="6"/>
    </row>
    <row r="4491" s="1" customFormat="1" ht="13.5">
      <c r="G4491" s="6"/>
    </row>
    <row r="4492" s="1" customFormat="1" ht="13.5">
      <c r="G4492" s="6"/>
    </row>
    <row r="4493" s="1" customFormat="1" ht="13.5">
      <c r="G4493" s="6"/>
    </row>
    <row r="4494" s="1" customFormat="1" ht="13.5">
      <c r="G4494" s="6"/>
    </row>
    <row r="4495" s="1" customFormat="1" ht="13.5">
      <c r="G4495" s="6"/>
    </row>
    <row r="4496" s="1" customFormat="1" ht="13.5">
      <c r="G4496" s="6"/>
    </row>
    <row r="4497" s="1" customFormat="1" ht="13.5">
      <c r="G4497" s="6"/>
    </row>
    <row r="4498" s="1" customFormat="1" ht="13.5">
      <c r="G4498" s="6"/>
    </row>
    <row r="4499" s="1" customFormat="1" ht="13.5">
      <c r="G4499" s="6"/>
    </row>
    <row r="4500" s="1" customFormat="1" ht="13.5">
      <c r="G4500" s="6"/>
    </row>
    <row r="4501" s="1" customFormat="1" ht="13.5">
      <c r="G4501" s="6"/>
    </row>
    <row r="4502" s="1" customFormat="1" ht="13.5">
      <c r="G4502" s="6"/>
    </row>
    <row r="4503" s="1" customFormat="1" ht="13.5">
      <c r="G4503" s="6"/>
    </row>
    <row r="4504" s="1" customFormat="1" ht="13.5">
      <c r="G4504" s="6"/>
    </row>
    <row r="4505" s="1" customFormat="1" ht="13.5">
      <c r="G4505" s="6"/>
    </row>
    <row r="4506" s="1" customFormat="1" ht="13.5">
      <c r="G4506" s="6"/>
    </row>
    <row r="4507" s="1" customFormat="1" ht="13.5">
      <c r="G4507" s="6"/>
    </row>
    <row r="4508" s="1" customFormat="1" ht="13.5">
      <c r="G4508" s="6"/>
    </row>
    <row r="4509" s="1" customFormat="1" ht="13.5">
      <c r="G4509" s="6"/>
    </row>
    <row r="4510" s="1" customFormat="1" ht="13.5">
      <c r="G4510" s="6"/>
    </row>
    <row r="4511" s="1" customFormat="1" ht="13.5">
      <c r="G4511" s="6"/>
    </row>
    <row r="4512" s="1" customFormat="1" ht="13.5">
      <c r="G4512" s="6"/>
    </row>
    <row r="4513" s="1" customFormat="1" ht="13.5">
      <c r="G4513" s="6"/>
    </row>
    <row r="4514" s="1" customFormat="1" ht="13.5">
      <c r="G4514" s="6"/>
    </row>
    <row r="4515" s="1" customFormat="1" ht="13.5">
      <c r="G4515" s="6"/>
    </row>
    <row r="4516" s="1" customFormat="1" ht="13.5">
      <c r="G4516" s="6"/>
    </row>
    <row r="4517" s="1" customFormat="1" ht="13.5">
      <c r="G4517" s="6"/>
    </row>
    <row r="4518" s="1" customFormat="1" ht="13.5">
      <c r="G4518" s="6"/>
    </row>
    <row r="4519" s="1" customFormat="1" ht="13.5">
      <c r="G4519" s="6"/>
    </row>
    <row r="4520" s="1" customFormat="1" ht="13.5">
      <c r="G4520" s="6"/>
    </row>
    <row r="4521" s="1" customFormat="1" ht="13.5">
      <c r="G4521" s="6"/>
    </row>
    <row r="4522" s="1" customFormat="1" ht="13.5">
      <c r="G4522" s="6"/>
    </row>
    <row r="4523" s="1" customFormat="1" ht="13.5">
      <c r="G4523" s="6"/>
    </row>
    <row r="4524" s="1" customFormat="1" ht="13.5">
      <c r="G4524" s="6"/>
    </row>
    <row r="4525" s="1" customFormat="1" ht="13.5">
      <c r="G4525" s="6"/>
    </row>
    <row r="4526" s="1" customFormat="1" ht="13.5">
      <c r="G4526" s="6"/>
    </row>
    <row r="4527" s="1" customFormat="1" ht="13.5">
      <c r="G4527" s="6"/>
    </row>
    <row r="4528" s="1" customFormat="1" ht="13.5">
      <c r="G4528" s="6"/>
    </row>
    <row r="4529" s="1" customFormat="1" ht="13.5">
      <c r="G4529" s="6"/>
    </row>
    <row r="4530" s="1" customFormat="1" ht="13.5">
      <c r="G4530" s="6"/>
    </row>
    <row r="4531" s="1" customFormat="1" ht="13.5">
      <c r="G4531" s="6"/>
    </row>
    <row r="4532" s="1" customFormat="1" ht="13.5">
      <c r="G4532" s="6"/>
    </row>
    <row r="4533" s="1" customFormat="1" ht="13.5">
      <c r="G4533" s="6"/>
    </row>
    <row r="4534" s="1" customFormat="1" ht="13.5">
      <c r="G4534" s="6"/>
    </row>
    <row r="4535" s="1" customFormat="1" ht="13.5">
      <c r="G4535" s="6"/>
    </row>
    <row r="4536" s="1" customFormat="1" ht="13.5">
      <c r="G4536" s="6"/>
    </row>
    <row r="4537" s="1" customFormat="1" ht="13.5">
      <c r="G4537" s="6"/>
    </row>
    <row r="4538" s="1" customFormat="1" ht="13.5">
      <c r="G4538" s="6"/>
    </row>
    <row r="4539" s="1" customFormat="1" ht="13.5">
      <c r="G4539" s="6"/>
    </row>
    <row r="4540" s="1" customFormat="1" ht="13.5">
      <c r="G4540" s="6"/>
    </row>
    <row r="4541" s="1" customFormat="1" ht="13.5">
      <c r="G4541" s="6"/>
    </row>
    <row r="4542" s="1" customFormat="1" ht="13.5">
      <c r="G4542" s="6"/>
    </row>
    <row r="4543" s="1" customFormat="1" ht="13.5">
      <c r="G4543" s="6"/>
    </row>
    <row r="4544" s="1" customFormat="1" ht="13.5">
      <c r="G4544" s="6"/>
    </row>
    <row r="4545" s="1" customFormat="1" ht="13.5">
      <c r="G4545" s="6"/>
    </row>
    <row r="4546" s="1" customFormat="1" ht="13.5">
      <c r="G4546" s="6"/>
    </row>
    <row r="4547" s="1" customFormat="1" ht="13.5">
      <c r="G4547" s="6"/>
    </row>
    <row r="4548" s="1" customFormat="1" ht="13.5">
      <c r="G4548" s="6"/>
    </row>
    <row r="4549" s="1" customFormat="1" ht="13.5">
      <c r="G4549" s="6"/>
    </row>
    <row r="4550" s="1" customFormat="1" ht="13.5">
      <c r="G4550" s="6"/>
    </row>
    <row r="4551" s="1" customFormat="1" ht="13.5">
      <c r="G4551" s="6"/>
    </row>
    <row r="4552" s="1" customFormat="1" ht="13.5">
      <c r="G4552" s="6"/>
    </row>
    <row r="4553" s="1" customFormat="1" ht="13.5">
      <c r="G4553" s="6"/>
    </row>
    <row r="4554" s="1" customFormat="1" ht="13.5">
      <c r="G4554" s="6"/>
    </row>
    <row r="4555" s="1" customFormat="1" ht="13.5">
      <c r="G4555" s="6"/>
    </row>
    <row r="4556" s="1" customFormat="1" ht="13.5">
      <c r="G4556" s="6"/>
    </row>
    <row r="4557" s="1" customFormat="1" ht="13.5">
      <c r="G4557" s="6"/>
    </row>
    <row r="4558" s="1" customFormat="1" ht="13.5">
      <c r="G4558" s="6"/>
    </row>
    <row r="4559" s="1" customFormat="1" ht="13.5">
      <c r="G4559" s="6"/>
    </row>
    <row r="4560" s="1" customFormat="1" ht="13.5">
      <c r="G4560" s="6"/>
    </row>
    <row r="4561" s="1" customFormat="1" ht="13.5">
      <c r="G4561" s="6"/>
    </row>
    <row r="4562" s="1" customFormat="1" ht="13.5">
      <c r="G4562" s="6"/>
    </row>
    <row r="4563" s="1" customFormat="1" ht="13.5">
      <c r="G4563" s="6"/>
    </row>
    <row r="4564" s="1" customFormat="1" ht="13.5">
      <c r="G4564" s="6"/>
    </row>
    <row r="4565" s="1" customFormat="1" ht="13.5">
      <c r="G4565" s="6"/>
    </row>
    <row r="4566" s="1" customFormat="1" ht="13.5">
      <c r="G4566" s="6"/>
    </row>
    <row r="4567" s="1" customFormat="1" ht="13.5">
      <c r="G4567" s="6"/>
    </row>
    <row r="4568" s="1" customFormat="1" ht="13.5">
      <c r="G4568" s="6"/>
    </row>
    <row r="4569" s="1" customFormat="1" ht="13.5">
      <c r="G4569" s="6"/>
    </row>
    <row r="4570" s="1" customFormat="1" ht="13.5">
      <c r="G4570" s="6"/>
    </row>
    <row r="4571" s="1" customFormat="1" ht="13.5">
      <c r="G4571" s="6"/>
    </row>
    <row r="4572" s="1" customFormat="1" ht="13.5">
      <c r="G4572" s="6"/>
    </row>
    <row r="4573" s="1" customFormat="1" ht="13.5">
      <c r="G4573" s="6"/>
    </row>
    <row r="4574" s="1" customFormat="1" ht="13.5">
      <c r="G4574" s="6"/>
    </row>
    <row r="4575" s="1" customFormat="1" ht="13.5">
      <c r="G4575" s="6"/>
    </row>
    <row r="4576" s="1" customFormat="1" ht="13.5">
      <c r="G4576" s="6"/>
    </row>
    <row r="4577" s="1" customFormat="1" ht="13.5">
      <c r="G4577" s="6"/>
    </row>
    <row r="4578" s="1" customFormat="1" ht="13.5">
      <c r="G4578" s="6"/>
    </row>
    <row r="4579" s="1" customFormat="1" ht="13.5">
      <c r="G4579" s="6"/>
    </row>
    <row r="4580" s="1" customFormat="1" ht="13.5">
      <c r="G4580" s="6"/>
    </row>
    <row r="4581" s="1" customFormat="1" ht="13.5">
      <c r="G4581" s="6"/>
    </row>
    <row r="4582" s="1" customFormat="1" ht="13.5">
      <c r="G4582" s="6"/>
    </row>
    <row r="4583" s="1" customFormat="1" ht="13.5">
      <c r="G4583" s="6"/>
    </row>
    <row r="4584" s="1" customFormat="1" ht="13.5">
      <c r="G4584" s="6"/>
    </row>
    <row r="4585" s="1" customFormat="1" ht="13.5">
      <c r="G4585" s="6"/>
    </row>
    <row r="4586" s="1" customFormat="1" ht="13.5">
      <c r="G4586" s="6"/>
    </row>
    <row r="4587" s="1" customFormat="1" ht="13.5">
      <c r="G4587" s="6"/>
    </row>
    <row r="4588" s="1" customFormat="1" ht="13.5">
      <c r="G4588" s="6"/>
    </row>
    <row r="4589" s="1" customFormat="1" ht="13.5">
      <c r="G4589" s="6"/>
    </row>
    <row r="4590" s="1" customFormat="1" ht="13.5">
      <c r="G4590" s="6"/>
    </row>
    <row r="4591" s="1" customFormat="1" ht="13.5">
      <c r="G4591" s="6"/>
    </row>
    <row r="4592" s="1" customFormat="1" ht="13.5">
      <c r="G4592" s="6"/>
    </row>
    <row r="4593" s="1" customFormat="1" ht="13.5">
      <c r="G4593" s="6"/>
    </row>
    <row r="4594" s="1" customFormat="1" ht="13.5">
      <c r="G4594" s="6"/>
    </row>
    <row r="4595" s="1" customFormat="1" ht="13.5">
      <c r="G4595" s="6"/>
    </row>
    <row r="4596" s="1" customFormat="1" ht="13.5">
      <c r="G4596" s="6"/>
    </row>
    <row r="4597" s="1" customFormat="1" ht="13.5">
      <c r="G4597" s="6"/>
    </row>
    <row r="4598" s="1" customFormat="1" ht="13.5">
      <c r="G4598" s="6"/>
    </row>
    <row r="4599" s="1" customFormat="1" ht="13.5">
      <c r="G4599" s="6"/>
    </row>
    <row r="4600" s="1" customFormat="1" ht="13.5">
      <c r="G4600" s="6"/>
    </row>
    <row r="4601" s="1" customFormat="1" ht="13.5">
      <c r="G4601" s="6"/>
    </row>
    <row r="4602" s="1" customFormat="1" ht="13.5">
      <c r="G4602" s="6"/>
    </row>
    <row r="4603" s="1" customFormat="1" ht="13.5">
      <c r="G4603" s="6"/>
    </row>
    <row r="4604" s="1" customFormat="1" ht="13.5">
      <c r="G4604" s="6"/>
    </row>
    <row r="4605" s="1" customFormat="1" ht="13.5">
      <c r="G4605" s="6"/>
    </row>
    <row r="4606" s="1" customFormat="1" ht="13.5">
      <c r="G4606" s="6"/>
    </row>
    <row r="4607" s="1" customFormat="1" ht="13.5">
      <c r="G4607" s="6"/>
    </row>
    <row r="4608" s="1" customFormat="1" ht="13.5">
      <c r="G4608" s="6"/>
    </row>
    <row r="4609" s="1" customFormat="1" ht="13.5">
      <c r="G4609" s="6"/>
    </row>
    <row r="4610" s="1" customFormat="1" ht="13.5">
      <c r="G4610" s="6"/>
    </row>
    <row r="4611" s="1" customFormat="1" ht="13.5">
      <c r="G4611" s="6"/>
    </row>
    <row r="4612" s="1" customFormat="1" ht="13.5">
      <c r="G4612" s="6"/>
    </row>
    <row r="4613" s="1" customFormat="1" ht="13.5">
      <c r="G4613" s="6"/>
    </row>
    <row r="4614" s="1" customFormat="1" ht="13.5">
      <c r="G4614" s="6"/>
    </row>
    <row r="4615" s="1" customFormat="1" ht="13.5">
      <c r="G4615" s="6"/>
    </row>
    <row r="4616" s="1" customFormat="1" ht="13.5">
      <c r="G4616" s="6"/>
    </row>
    <row r="4617" s="1" customFormat="1" ht="13.5">
      <c r="G4617" s="6"/>
    </row>
    <row r="4618" s="1" customFormat="1" ht="13.5">
      <c r="G4618" s="6"/>
    </row>
    <row r="4619" s="1" customFormat="1" ht="13.5">
      <c r="G4619" s="6"/>
    </row>
    <row r="4620" s="1" customFormat="1" ht="13.5">
      <c r="G4620" s="6"/>
    </row>
    <row r="4621" s="1" customFormat="1" ht="13.5">
      <c r="G4621" s="6"/>
    </row>
    <row r="4622" s="1" customFormat="1" ht="13.5">
      <c r="G4622" s="6"/>
    </row>
    <row r="4623" s="1" customFormat="1" ht="13.5">
      <c r="G4623" s="6"/>
    </row>
    <row r="4624" s="1" customFormat="1" ht="13.5">
      <c r="G4624" s="6"/>
    </row>
    <row r="4625" s="1" customFormat="1" ht="13.5">
      <c r="G4625" s="6"/>
    </row>
    <row r="4626" s="1" customFormat="1" ht="13.5">
      <c r="G4626" s="6"/>
    </row>
    <row r="4627" s="1" customFormat="1" ht="13.5">
      <c r="G4627" s="6"/>
    </row>
    <row r="4628" s="1" customFormat="1" ht="13.5">
      <c r="G4628" s="6"/>
    </row>
    <row r="4629" s="1" customFormat="1" ht="13.5">
      <c r="G4629" s="6"/>
    </row>
    <row r="4630" s="1" customFormat="1" ht="13.5">
      <c r="G4630" s="6"/>
    </row>
    <row r="4631" s="1" customFormat="1" ht="13.5">
      <c r="G4631" s="6"/>
    </row>
    <row r="4632" s="1" customFormat="1" ht="13.5">
      <c r="G4632" s="6"/>
    </row>
    <row r="4633" s="1" customFormat="1" ht="13.5">
      <c r="G4633" s="6"/>
    </row>
    <row r="4634" s="1" customFormat="1" ht="13.5">
      <c r="G4634" s="6"/>
    </row>
    <row r="4635" s="1" customFormat="1" ht="13.5">
      <c r="G4635" s="6"/>
    </row>
    <row r="4636" s="1" customFormat="1" ht="13.5">
      <c r="G4636" s="6"/>
    </row>
    <row r="4637" s="1" customFormat="1" ht="13.5">
      <c r="G4637" s="6"/>
    </row>
    <row r="4638" s="1" customFormat="1" ht="13.5">
      <c r="G4638" s="6"/>
    </row>
    <row r="4639" s="1" customFormat="1" ht="13.5">
      <c r="G4639" s="6"/>
    </row>
    <row r="4640" s="1" customFormat="1" ht="13.5">
      <c r="G4640" s="6"/>
    </row>
    <row r="4641" s="1" customFormat="1" ht="13.5">
      <c r="G4641" s="6"/>
    </row>
    <row r="4642" s="1" customFormat="1" ht="13.5">
      <c r="G4642" s="6"/>
    </row>
    <row r="4643" s="1" customFormat="1" ht="13.5">
      <c r="G4643" s="6"/>
    </row>
    <row r="4644" s="1" customFormat="1" ht="13.5">
      <c r="G4644" s="6"/>
    </row>
    <row r="4645" s="1" customFormat="1" ht="13.5">
      <c r="G4645" s="6"/>
    </row>
    <row r="4646" s="1" customFormat="1" ht="13.5">
      <c r="G4646" s="6"/>
    </row>
    <row r="4647" s="1" customFormat="1" ht="13.5">
      <c r="G4647" s="6"/>
    </row>
    <row r="4648" s="1" customFormat="1" ht="13.5">
      <c r="G4648" s="6"/>
    </row>
    <row r="4649" s="1" customFormat="1" ht="13.5">
      <c r="G4649" s="6"/>
    </row>
    <row r="4650" s="1" customFormat="1" ht="13.5">
      <c r="G4650" s="6"/>
    </row>
    <row r="4651" s="1" customFormat="1" ht="13.5">
      <c r="G4651" s="6"/>
    </row>
    <row r="4652" s="1" customFormat="1" ht="13.5">
      <c r="G4652" s="6"/>
    </row>
    <row r="4653" s="1" customFormat="1" ht="13.5">
      <c r="G4653" s="6"/>
    </row>
    <row r="4654" s="1" customFormat="1" ht="13.5">
      <c r="G4654" s="6"/>
    </row>
    <row r="4655" s="1" customFormat="1" ht="13.5">
      <c r="G4655" s="6"/>
    </row>
    <row r="4656" s="1" customFormat="1" ht="13.5">
      <c r="G4656" s="6"/>
    </row>
    <row r="4657" s="1" customFormat="1" ht="13.5">
      <c r="G4657" s="6"/>
    </row>
    <row r="4658" s="1" customFormat="1" ht="13.5">
      <c r="G4658" s="6"/>
    </row>
    <row r="4659" s="1" customFormat="1" ht="13.5">
      <c r="G4659" s="6"/>
    </row>
    <row r="4660" s="1" customFormat="1" ht="13.5">
      <c r="G4660" s="6"/>
    </row>
    <row r="4661" s="1" customFormat="1" ht="13.5">
      <c r="G4661" s="6"/>
    </row>
    <row r="4662" s="1" customFormat="1" ht="13.5">
      <c r="G4662" s="6"/>
    </row>
    <row r="4663" s="1" customFormat="1" ht="13.5">
      <c r="G4663" s="6"/>
    </row>
    <row r="4664" s="1" customFormat="1" ht="13.5">
      <c r="G4664" s="6"/>
    </row>
    <row r="4665" s="1" customFormat="1" ht="13.5">
      <c r="G4665" s="6"/>
    </row>
    <row r="4666" s="1" customFormat="1" ht="13.5">
      <c r="G4666" s="6"/>
    </row>
    <row r="4667" s="1" customFormat="1" ht="13.5">
      <c r="G4667" s="6"/>
    </row>
    <row r="4668" s="1" customFormat="1" ht="13.5">
      <c r="G4668" s="6"/>
    </row>
    <row r="4669" s="1" customFormat="1" ht="13.5">
      <c r="G4669" s="6"/>
    </row>
    <row r="4670" s="1" customFormat="1" ht="13.5">
      <c r="G4670" s="6"/>
    </row>
    <row r="4671" s="1" customFormat="1" ht="13.5">
      <c r="G4671" s="6"/>
    </row>
    <row r="4672" s="1" customFormat="1" ht="13.5">
      <c r="G4672" s="6"/>
    </row>
    <row r="4673" s="1" customFormat="1" ht="13.5">
      <c r="G4673" s="6"/>
    </row>
    <row r="4674" s="1" customFormat="1" ht="13.5">
      <c r="G4674" s="6"/>
    </row>
    <row r="4675" s="1" customFormat="1" ht="13.5">
      <c r="G4675" s="6"/>
    </row>
    <row r="4676" s="1" customFormat="1" ht="13.5">
      <c r="G4676" s="6"/>
    </row>
    <row r="4677" s="1" customFormat="1" ht="13.5">
      <c r="G4677" s="6"/>
    </row>
    <row r="4678" s="1" customFormat="1" ht="13.5">
      <c r="G4678" s="6"/>
    </row>
    <row r="4679" s="1" customFormat="1" ht="13.5">
      <c r="G4679" s="6"/>
    </row>
    <row r="4680" s="1" customFormat="1" ht="13.5">
      <c r="G4680" s="6"/>
    </row>
    <row r="4681" s="1" customFormat="1" ht="13.5">
      <c r="G4681" s="6"/>
    </row>
    <row r="4682" s="1" customFormat="1" ht="13.5">
      <c r="G4682" s="6"/>
    </row>
    <row r="4683" s="1" customFormat="1" ht="13.5">
      <c r="G4683" s="6"/>
    </row>
    <row r="4684" s="1" customFormat="1" ht="13.5">
      <c r="G4684" s="6"/>
    </row>
    <row r="4685" s="1" customFormat="1" ht="13.5">
      <c r="G4685" s="6"/>
    </row>
    <row r="4686" s="1" customFormat="1" ht="13.5">
      <c r="G4686" s="6"/>
    </row>
    <row r="4687" s="1" customFormat="1" ht="13.5">
      <c r="G4687" s="6"/>
    </row>
    <row r="4688" s="1" customFormat="1" ht="13.5">
      <c r="G4688" s="6"/>
    </row>
    <row r="4689" s="1" customFormat="1" ht="13.5">
      <c r="G4689" s="6"/>
    </row>
    <row r="4690" s="1" customFormat="1" ht="13.5">
      <c r="G4690" s="6"/>
    </row>
    <row r="4691" s="1" customFormat="1" ht="13.5">
      <c r="G4691" s="6"/>
    </row>
    <row r="4692" s="1" customFormat="1" ht="13.5">
      <c r="G4692" s="6"/>
    </row>
    <row r="4693" s="1" customFormat="1" ht="13.5">
      <c r="G4693" s="6"/>
    </row>
    <row r="4694" s="1" customFormat="1" ht="13.5">
      <c r="G4694" s="6"/>
    </row>
    <row r="4695" s="1" customFormat="1" ht="13.5">
      <c r="G4695" s="6"/>
    </row>
    <row r="4696" s="1" customFormat="1" ht="13.5">
      <c r="G4696" s="6"/>
    </row>
    <row r="4697" s="1" customFormat="1" ht="13.5">
      <c r="G4697" s="6"/>
    </row>
    <row r="4698" s="1" customFormat="1" ht="13.5">
      <c r="G4698" s="6"/>
    </row>
    <row r="4699" s="1" customFormat="1" ht="13.5">
      <c r="G4699" s="6"/>
    </row>
    <row r="4700" s="1" customFormat="1" ht="13.5">
      <c r="G4700" s="6"/>
    </row>
    <row r="4701" s="1" customFormat="1" ht="13.5">
      <c r="G4701" s="6"/>
    </row>
    <row r="4702" s="1" customFormat="1" ht="13.5">
      <c r="G4702" s="6"/>
    </row>
    <row r="4703" s="1" customFormat="1" ht="13.5">
      <c r="G4703" s="6"/>
    </row>
    <row r="4704" s="1" customFormat="1" ht="13.5">
      <c r="G4704" s="6"/>
    </row>
    <row r="4705" s="1" customFormat="1" ht="13.5">
      <c r="G4705" s="6"/>
    </row>
    <row r="4706" s="1" customFormat="1" ht="13.5">
      <c r="G4706" s="6"/>
    </row>
    <row r="4707" s="1" customFormat="1" ht="13.5">
      <c r="G4707" s="6"/>
    </row>
    <row r="4708" s="1" customFormat="1" ht="13.5">
      <c r="G4708" s="6"/>
    </row>
    <row r="4709" s="1" customFormat="1" ht="13.5">
      <c r="G4709" s="6"/>
    </row>
    <row r="4710" s="1" customFormat="1" ht="13.5">
      <c r="G4710" s="6"/>
    </row>
    <row r="4711" s="1" customFormat="1" ht="13.5">
      <c r="G4711" s="6"/>
    </row>
    <row r="4712" s="1" customFormat="1" ht="13.5">
      <c r="G4712" s="6"/>
    </row>
    <row r="4713" s="1" customFormat="1" ht="13.5">
      <c r="G4713" s="6"/>
    </row>
    <row r="4714" s="1" customFormat="1" ht="13.5">
      <c r="G4714" s="6"/>
    </row>
    <row r="4715" s="1" customFormat="1" ht="13.5">
      <c r="G4715" s="6"/>
    </row>
    <row r="4716" s="1" customFormat="1" ht="13.5">
      <c r="G4716" s="6"/>
    </row>
    <row r="4717" s="1" customFormat="1" ht="13.5">
      <c r="G4717" s="6"/>
    </row>
    <row r="4718" s="1" customFormat="1" ht="13.5">
      <c r="G4718" s="6"/>
    </row>
    <row r="4719" s="1" customFormat="1" ht="13.5">
      <c r="G4719" s="6"/>
    </row>
    <row r="4720" s="1" customFormat="1" ht="13.5">
      <c r="G4720" s="6"/>
    </row>
    <row r="4721" s="1" customFormat="1" ht="13.5">
      <c r="G4721" s="6"/>
    </row>
    <row r="4722" s="1" customFormat="1" ht="13.5">
      <c r="G4722" s="6"/>
    </row>
    <row r="4723" s="1" customFormat="1" ht="13.5">
      <c r="G4723" s="6"/>
    </row>
    <row r="4724" s="1" customFormat="1" ht="13.5">
      <c r="G4724" s="6"/>
    </row>
    <row r="4725" s="1" customFormat="1" ht="13.5">
      <c r="G4725" s="6"/>
    </row>
    <row r="4726" s="1" customFormat="1" ht="13.5">
      <c r="G4726" s="6"/>
    </row>
    <row r="4727" s="1" customFormat="1" ht="13.5">
      <c r="G4727" s="6"/>
    </row>
    <row r="4728" s="1" customFormat="1" ht="13.5">
      <c r="G4728" s="6"/>
    </row>
    <row r="4729" s="1" customFormat="1" ht="13.5">
      <c r="G4729" s="6"/>
    </row>
    <row r="4730" s="1" customFormat="1" ht="13.5">
      <c r="G4730" s="6"/>
    </row>
    <row r="4731" s="1" customFormat="1" ht="13.5">
      <c r="G4731" s="6"/>
    </row>
    <row r="4732" s="1" customFormat="1" ht="13.5">
      <c r="G4732" s="6"/>
    </row>
    <row r="4733" s="1" customFormat="1" ht="13.5">
      <c r="G4733" s="6"/>
    </row>
    <row r="4734" s="1" customFormat="1" ht="13.5">
      <c r="G4734" s="6"/>
    </row>
    <row r="4735" s="1" customFormat="1" ht="13.5">
      <c r="G4735" s="6"/>
    </row>
    <row r="4736" s="1" customFormat="1" ht="13.5">
      <c r="G4736" s="6"/>
    </row>
    <row r="4737" s="1" customFormat="1" ht="13.5">
      <c r="G4737" s="6"/>
    </row>
    <row r="4738" s="1" customFormat="1" ht="13.5">
      <c r="G4738" s="6"/>
    </row>
    <row r="4739" s="1" customFormat="1" ht="13.5">
      <c r="G4739" s="6"/>
    </row>
    <row r="4740" s="1" customFormat="1" ht="13.5">
      <c r="G4740" s="6"/>
    </row>
    <row r="4741" s="1" customFormat="1" ht="13.5">
      <c r="G4741" s="6"/>
    </row>
    <row r="4742" s="1" customFormat="1" ht="13.5">
      <c r="G4742" s="6"/>
    </row>
    <row r="4743" s="1" customFormat="1" ht="13.5">
      <c r="G4743" s="6"/>
    </row>
    <row r="4744" s="1" customFormat="1" ht="13.5">
      <c r="G4744" s="6"/>
    </row>
    <row r="4745" s="1" customFormat="1" ht="13.5">
      <c r="G4745" s="6"/>
    </row>
    <row r="4746" s="1" customFormat="1" ht="13.5">
      <c r="G4746" s="6"/>
    </row>
    <row r="4747" s="1" customFormat="1" ht="13.5">
      <c r="G4747" s="6"/>
    </row>
    <row r="4748" s="1" customFormat="1" ht="13.5">
      <c r="G4748" s="6"/>
    </row>
    <row r="4749" s="1" customFormat="1" ht="13.5">
      <c r="G4749" s="6"/>
    </row>
    <row r="4750" s="1" customFormat="1" ht="13.5">
      <c r="G4750" s="6"/>
    </row>
    <row r="4751" s="1" customFormat="1" ht="13.5">
      <c r="G4751" s="6"/>
    </row>
    <row r="4752" s="1" customFormat="1" ht="13.5">
      <c r="G4752" s="6"/>
    </row>
    <row r="4753" s="1" customFormat="1" ht="13.5">
      <c r="G4753" s="6"/>
    </row>
    <row r="4754" s="1" customFormat="1" ht="13.5">
      <c r="G4754" s="6"/>
    </row>
    <row r="4755" s="1" customFormat="1" ht="13.5">
      <c r="G4755" s="6"/>
    </row>
    <row r="4756" s="1" customFormat="1" ht="13.5">
      <c r="G4756" s="6"/>
    </row>
    <row r="4757" s="1" customFormat="1" ht="13.5">
      <c r="G4757" s="6"/>
    </row>
    <row r="4758" s="1" customFormat="1" ht="13.5">
      <c r="G4758" s="6"/>
    </row>
    <row r="4759" s="1" customFormat="1" ht="13.5">
      <c r="G4759" s="6"/>
    </row>
    <row r="4760" s="1" customFormat="1" ht="13.5">
      <c r="G4760" s="6"/>
    </row>
    <row r="4761" s="1" customFormat="1" ht="13.5">
      <c r="G4761" s="6"/>
    </row>
    <row r="4762" s="1" customFormat="1" ht="13.5">
      <c r="G4762" s="6"/>
    </row>
    <row r="4763" s="1" customFormat="1" ht="13.5">
      <c r="G4763" s="6"/>
    </row>
    <row r="4764" s="1" customFormat="1" ht="13.5">
      <c r="G4764" s="6"/>
    </row>
    <row r="4765" s="1" customFormat="1" ht="13.5">
      <c r="G4765" s="6"/>
    </row>
    <row r="4766" s="1" customFormat="1" ht="13.5">
      <c r="G4766" s="6"/>
    </row>
    <row r="4767" s="1" customFormat="1" ht="13.5">
      <c r="G4767" s="6"/>
    </row>
    <row r="4768" s="1" customFormat="1" ht="13.5">
      <c r="G4768" s="6"/>
    </row>
    <row r="4769" s="1" customFormat="1" ht="13.5">
      <c r="G4769" s="6"/>
    </row>
    <row r="4770" s="1" customFormat="1" ht="13.5">
      <c r="G4770" s="6"/>
    </row>
    <row r="4771" s="1" customFormat="1" ht="13.5">
      <c r="G4771" s="6"/>
    </row>
    <row r="4772" s="1" customFormat="1" ht="13.5">
      <c r="G4772" s="6"/>
    </row>
    <row r="4773" s="1" customFormat="1" ht="13.5">
      <c r="G4773" s="6"/>
    </row>
    <row r="4774" s="1" customFormat="1" ht="13.5">
      <c r="G4774" s="6"/>
    </row>
    <row r="4775" s="1" customFormat="1" ht="13.5">
      <c r="G4775" s="6"/>
    </row>
    <row r="4776" s="1" customFormat="1" ht="13.5">
      <c r="G4776" s="6"/>
    </row>
    <row r="4777" s="1" customFormat="1" ht="13.5">
      <c r="G4777" s="6"/>
    </row>
    <row r="4778" s="1" customFormat="1" ht="13.5">
      <c r="G4778" s="6"/>
    </row>
    <row r="4779" s="1" customFormat="1" ht="13.5">
      <c r="G4779" s="6"/>
    </row>
    <row r="4780" s="1" customFormat="1" ht="13.5">
      <c r="G4780" s="6"/>
    </row>
    <row r="4781" s="1" customFormat="1" ht="13.5">
      <c r="G4781" s="6"/>
    </row>
    <row r="4782" s="1" customFormat="1" ht="13.5">
      <c r="G4782" s="6"/>
    </row>
    <row r="4783" s="1" customFormat="1" ht="13.5">
      <c r="G4783" s="6"/>
    </row>
    <row r="4784" s="1" customFormat="1" ht="13.5">
      <c r="G4784" s="6"/>
    </row>
    <row r="4785" s="1" customFormat="1" ht="13.5">
      <c r="G4785" s="6"/>
    </row>
    <row r="4786" s="1" customFormat="1" ht="13.5">
      <c r="G4786" s="6"/>
    </row>
    <row r="4787" s="1" customFormat="1" ht="13.5">
      <c r="G4787" s="6"/>
    </row>
    <row r="4788" s="1" customFormat="1" ht="13.5">
      <c r="G4788" s="6"/>
    </row>
    <row r="4789" s="1" customFormat="1" ht="13.5">
      <c r="G4789" s="6"/>
    </row>
    <row r="4790" s="1" customFormat="1" ht="13.5">
      <c r="G4790" s="6"/>
    </row>
    <row r="4791" s="1" customFormat="1" ht="13.5">
      <c r="G4791" s="6"/>
    </row>
    <row r="4792" s="1" customFormat="1" ht="13.5">
      <c r="G4792" s="6"/>
    </row>
    <row r="4793" s="1" customFormat="1" ht="13.5">
      <c r="G4793" s="6"/>
    </row>
    <row r="4794" s="1" customFormat="1" ht="13.5">
      <c r="G4794" s="6"/>
    </row>
    <row r="4795" s="1" customFormat="1" ht="13.5">
      <c r="G4795" s="6"/>
    </row>
    <row r="4796" s="1" customFormat="1" ht="13.5">
      <c r="G4796" s="6"/>
    </row>
    <row r="4797" s="1" customFormat="1" ht="13.5">
      <c r="G4797" s="6"/>
    </row>
    <row r="4798" s="1" customFormat="1" ht="13.5">
      <c r="G4798" s="6"/>
    </row>
    <row r="4799" s="1" customFormat="1" ht="13.5">
      <c r="G4799" s="6"/>
    </row>
    <row r="4800" s="1" customFormat="1" ht="13.5">
      <c r="G4800" s="6"/>
    </row>
    <row r="4801" s="1" customFormat="1" ht="13.5">
      <c r="G4801" s="6"/>
    </row>
    <row r="4802" s="1" customFormat="1" ht="13.5">
      <c r="G4802" s="6"/>
    </row>
    <row r="4803" s="1" customFormat="1" ht="13.5">
      <c r="G4803" s="6"/>
    </row>
    <row r="4804" s="1" customFormat="1" ht="13.5">
      <c r="G4804" s="6"/>
    </row>
    <row r="4805" s="1" customFormat="1" ht="13.5">
      <c r="G4805" s="6"/>
    </row>
    <row r="4806" s="1" customFormat="1" ht="13.5">
      <c r="G4806" s="6"/>
    </row>
    <row r="4807" s="1" customFormat="1" ht="13.5">
      <c r="G4807" s="6"/>
    </row>
    <row r="4808" s="1" customFormat="1" ht="13.5">
      <c r="G4808" s="6"/>
    </row>
    <row r="4809" s="1" customFormat="1" ht="13.5">
      <c r="G4809" s="6"/>
    </row>
    <row r="4810" s="1" customFormat="1" ht="13.5">
      <c r="G4810" s="6"/>
    </row>
    <row r="4811" s="1" customFormat="1" ht="13.5">
      <c r="G4811" s="6"/>
    </row>
    <row r="4812" s="1" customFormat="1" ht="13.5">
      <c r="G4812" s="6"/>
    </row>
    <row r="4813" s="1" customFormat="1" ht="13.5">
      <c r="G4813" s="6"/>
    </row>
    <row r="4814" s="1" customFormat="1" ht="13.5">
      <c r="G4814" s="6"/>
    </row>
    <row r="4815" s="1" customFormat="1" ht="13.5">
      <c r="G4815" s="6"/>
    </row>
    <row r="4816" s="1" customFormat="1" ht="13.5">
      <c r="G4816" s="6"/>
    </row>
    <row r="4817" s="1" customFormat="1" ht="13.5">
      <c r="G4817" s="6"/>
    </row>
    <row r="4818" s="1" customFormat="1" ht="13.5">
      <c r="G4818" s="6"/>
    </row>
    <row r="4819" s="1" customFormat="1" ht="13.5">
      <c r="G4819" s="6"/>
    </row>
    <row r="4820" s="1" customFormat="1" ht="13.5">
      <c r="G4820" s="6"/>
    </row>
    <row r="4821" s="1" customFormat="1" ht="13.5">
      <c r="G4821" s="6"/>
    </row>
    <row r="4822" s="1" customFormat="1" ht="13.5">
      <c r="G4822" s="6"/>
    </row>
    <row r="4823" s="1" customFormat="1" ht="13.5">
      <c r="G4823" s="6"/>
    </row>
    <row r="4824" s="1" customFormat="1" ht="13.5">
      <c r="G4824" s="6"/>
    </row>
    <row r="4825" s="1" customFormat="1" ht="13.5">
      <c r="G4825" s="6"/>
    </row>
    <row r="4826" s="1" customFormat="1" ht="13.5">
      <c r="G4826" s="6"/>
    </row>
    <row r="4827" s="1" customFormat="1" ht="13.5">
      <c r="G4827" s="6"/>
    </row>
    <row r="4828" s="1" customFormat="1" ht="13.5">
      <c r="G4828" s="6"/>
    </row>
    <row r="4829" s="1" customFormat="1" ht="13.5">
      <c r="G4829" s="6"/>
    </row>
    <row r="4830" s="1" customFormat="1" ht="13.5">
      <c r="G4830" s="6"/>
    </row>
    <row r="4831" s="1" customFormat="1" ht="13.5">
      <c r="G4831" s="6"/>
    </row>
    <row r="4832" s="1" customFormat="1" ht="13.5">
      <c r="G4832" s="6"/>
    </row>
    <row r="4833" s="1" customFormat="1" ht="13.5">
      <c r="G4833" s="6"/>
    </row>
    <row r="4834" s="1" customFormat="1" ht="13.5">
      <c r="G4834" s="6"/>
    </row>
    <row r="4835" s="1" customFormat="1" ht="13.5">
      <c r="G4835" s="6"/>
    </row>
    <row r="4836" s="1" customFormat="1" ht="13.5">
      <c r="G4836" s="6"/>
    </row>
    <row r="4837" s="1" customFormat="1" ht="13.5">
      <c r="G4837" s="6"/>
    </row>
    <row r="4838" s="1" customFormat="1" ht="13.5">
      <c r="G4838" s="6"/>
    </row>
    <row r="4839" s="1" customFormat="1" ht="13.5">
      <c r="G4839" s="6"/>
    </row>
    <row r="4840" s="1" customFormat="1" ht="13.5">
      <c r="G4840" s="6"/>
    </row>
    <row r="4841" s="1" customFormat="1" ht="13.5">
      <c r="G4841" s="6"/>
    </row>
    <row r="4842" s="1" customFormat="1" ht="13.5">
      <c r="G4842" s="6"/>
    </row>
    <row r="4843" s="1" customFormat="1" ht="13.5">
      <c r="G4843" s="6"/>
    </row>
    <row r="4844" s="1" customFormat="1" ht="13.5">
      <c r="G4844" s="6"/>
    </row>
    <row r="4845" s="1" customFormat="1" ht="13.5">
      <c r="G4845" s="6"/>
    </row>
    <row r="4846" s="1" customFormat="1" ht="13.5">
      <c r="G4846" s="6"/>
    </row>
    <row r="4847" s="1" customFormat="1" ht="13.5">
      <c r="G4847" s="6"/>
    </row>
    <row r="4848" s="1" customFormat="1" ht="13.5">
      <c r="G4848" s="6"/>
    </row>
    <row r="4849" s="1" customFormat="1" ht="13.5">
      <c r="G4849" s="6"/>
    </row>
    <row r="4850" s="1" customFormat="1" ht="13.5">
      <c r="G4850" s="6"/>
    </row>
    <row r="4851" s="1" customFormat="1" ht="13.5">
      <c r="G4851" s="6"/>
    </row>
    <row r="4852" s="1" customFormat="1" ht="13.5">
      <c r="G4852" s="6"/>
    </row>
    <row r="4853" s="1" customFormat="1" ht="13.5">
      <c r="G4853" s="6"/>
    </row>
    <row r="4854" s="1" customFormat="1" ht="13.5">
      <c r="G4854" s="6"/>
    </row>
    <row r="4855" s="1" customFormat="1" ht="13.5">
      <c r="G4855" s="6"/>
    </row>
    <row r="4856" s="1" customFormat="1" ht="13.5">
      <c r="G4856" s="6"/>
    </row>
    <row r="4857" s="1" customFormat="1" ht="13.5">
      <c r="G4857" s="6"/>
    </row>
    <row r="4858" s="1" customFormat="1" ht="13.5">
      <c r="G4858" s="6"/>
    </row>
    <row r="4859" s="1" customFormat="1" ht="13.5">
      <c r="G4859" s="6"/>
    </row>
    <row r="4860" s="1" customFormat="1" ht="13.5">
      <c r="G4860" s="6"/>
    </row>
    <row r="4861" s="1" customFormat="1" ht="13.5">
      <c r="G4861" s="6"/>
    </row>
    <row r="4862" s="1" customFormat="1" ht="13.5">
      <c r="G4862" s="6"/>
    </row>
    <row r="4863" s="1" customFormat="1" ht="13.5">
      <c r="G4863" s="6"/>
    </row>
    <row r="4864" s="1" customFormat="1" ht="13.5">
      <c r="G4864" s="6"/>
    </row>
    <row r="4865" s="1" customFormat="1" ht="13.5">
      <c r="G4865" s="6"/>
    </row>
    <row r="4866" s="1" customFormat="1" ht="13.5">
      <c r="G4866" s="6"/>
    </row>
    <row r="4867" s="1" customFormat="1" ht="13.5">
      <c r="G4867" s="6"/>
    </row>
    <row r="4868" s="1" customFormat="1" ht="13.5">
      <c r="G4868" s="6"/>
    </row>
    <row r="4869" s="1" customFormat="1" ht="13.5">
      <c r="G4869" s="6"/>
    </row>
    <row r="4870" s="1" customFormat="1" ht="13.5">
      <c r="G4870" s="6"/>
    </row>
    <row r="4871" s="1" customFormat="1" ht="13.5">
      <c r="G4871" s="6"/>
    </row>
    <row r="4872" s="1" customFormat="1" ht="13.5">
      <c r="G4872" s="6"/>
    </row>
    <row r="4873" s="1" customFormat="1" ht="13.5">
      <c r="G4873" s="6"/>
    </row>
    <row r="4874" s="1" customFormat="1" ht="13.5">
      <c r="G4874" s="6"/>
    </row>
    <row r="4875" s="1" customFormat="1" ht="13.5">
      <c r="G4875" s="6"/>
    </row>
    <row r="4876" s="1" customFormat="1" ht="13.5">
      <c r="G4876" s="6"/>
    </row>
    <row r="4877" s="1" customFormat="1" ht="13.5">
      <c r="G4877" s="6"/>
    </row>
    <row r="4878" s="1" customFormat="1" ht="13.5">
      <c r="G4878" s="6"/>
    </row>
    <row r="4879" s="1" customFormat="1" ht="13.5">
      <c r="G4879" s="6"/>
    </row>
    <row r="4880" s="1" customFormat="1" ht="13.5">
      <c r="G4880" s="6"/>
    </row>
    <row r="4881" s="1" customFormat="1" ht="13.5">
      <c r="G4881" s="6"/>
    </row>
    <row r="4882" s="1" customFormat="1" ht="13.5">
      <c r="G4882" s="6"/>
    </row>
    <row r="4883" s="1" customFormat="1" ht="13.5">
      <c r="G4883" s="6"/>
    </row>
    <row r="4884" s="1" customFormat="1" ht="13.5">
      <c r="G4884" s="6"/>
    </row>
    <row r="4885" s="1" customFormat="1" ht="13.5">
      <c r="G4885" s="6"/>
    </row>
    <row r="4886" s="1" customFormat="1" ht="13.5">
      <c r="G4886" s="6"/>
    </row>
    <row r="4887" s="1" customFormat="1" ht="13.5">
      <c r="G4887" s="6"/>
    </row>
    <row r="4888" s="1" customFormat="1" ht="13.5">
      <c r="G4888" s="6"/>
    </row>
    <row r="4889" s="1" customFormat="1" ht="13.5">
      <c r="G4889" s="6"/>
    </row>
    <row r="4890" s="1" customFormat="1" ht="13.5">
      <c r="G4890" s="6"/>
    </row>
    <row r="4891" s="1" customFormat="1" ht="13.5">
      <c r="G4891" s="6"/>
    </row>
    <row r="4892" s="1" customFormat="1" ht="13.5">
      <c r="G4892" s="6"/>
    </row>
    <row r="4893" s="1" customFormat="1" ht="13.5">
      <c r="G4893" s="6"/>
    </row>
    <row r="4894" s="1" customFormat="1" ht="13.5">
      <c r="G4894" s="6"/>
    </row>
    <row r="4895" s="1" customFormat="1" ht="13.5">
      <c r="G4895" s="6"/>
    </row>
    <row r="4896" s="1" customFormat="1" ht="13.5">
      <c r="G4896" s="6"/>
    </row>
    <row r="4897" s="1" customFormat="1" ht="13.5">
      <c r="G4897" s="6"/>
    </row>
    <row r="4898" s="1" customFormat="1" ht="13.5">
      <c r="G4898" s="6"/>
    </row>
    <row r="4899" s="1" customFormat="1" ht="13.5">
      <c r="G4899" s="6"/>
    </row>
    <row r="4900" s="1" customFormat="1" ht="13.5">
      <c r="G4900" s="6"/>
    </row>
    <row r="4901" s="1" customFormat="1" ht="13.5">
      <c r="G4901" s="6"/>
    </row>
    <row r="4902" s="1" customFormat="1" ht="13.5">
      <c r="G4902" s="6"/>
    </row>
    <row r="4903" s="1" customFormat="1" ht="13.5">
      <c r="G4903" s="6"/>
    </row>
    <row r="4904" s="1" customFormat="1" ht="13.5">
      <c r="G4904" s="6"/>
    </row>
    <row r="4905" s="1" customFormat="1" ht="13.5">
      <c r="G4905" s="6"/>
    </row>
    <row r="4906" s="1" customFormat="1" ht="13.5">
      <c r="G4906" s="6"/>
    </row>
    <row r="4907" s="1" customFormat="1" ht="13.5">
      <c r="G4907" s="6"/>
    </row>
    <row r="4908" s="1" customFormat="1" ht="13.5">
      <c r="G4908" s="6"/>
    </row>
    <row r="4909" s="1" customFormat="1" ht="13.5">
      <c r="G4909" s="6"/>
    </row>
    <row r="4910" s="1" customFormat="1" ht="13.5">
      <c r="G4910" s="6"/>
    </row>
    <row r="4911" s="1" customFormat="1" ht="13.5">
      <c r="G4911" s="6"/>
    </row>
    <row r="4912" s="1" customFormat="1" ht="13.5">
      <c r="G4912" s="6"/>
    </row>
    <row r="4913" s="1" customFormat="1" ht="13.5">
      <c r="G4913" s="6"/>
    </row>
    <row r="4914" s="1" customFormat="1" ht="13.5">
      <c r="G4914" s="6"/>
    </row>
    <row r="4915" s="1" customFormat="1" ht="13.5">
      <c r="G4915" s="6"/>
    </row>
    <row r="4916" s="1" customFormat="1" ht="13.5">
      <c r="G4916" s="6"/>
    </row>
    <row r="4917" s="1" customFormat="1" ht="13.5">
      <c r="G4917" s="6"/>
    </row>
    <row r="4918" s="1" customFormat="1" ht="13.5">
      <c r="G4918" s="6"/>
    </row>
    <row r="4919" s="1" customFormat="1" ht="13.5">
      <c r="G4919" s="6"/>
    </row>
    <row r="4920" s="1" customFormat="1" ht="13.5">
      <c r="G4920" s="6"/>
    </row>
    <row r="4921" s="1" customFormat="1" ht="13.5">
      <c r="G4921" s="6"/>
    </row>
    <row r="4922" s="1" customFormat="1" ht="13.5">
      <c r="G4922" s="6"/>
    </row>
    <row r="4923" s="1" customFormat="1" ht="13.5">
      <c r="G4923" s="6"/>
    </row>
    <row r="4924" s="1" customFormat="1" ht="13.5">
      <c r="G4924" s="6"/>
    </row>
    <row r="4925" s="1" customFormat="1" ht="13.5">
      <c r="G4925" s="6"/>
    </row>
    <row r="4926" s="1" customFormat="1" ht="13.5">
      <c r="G4926" s="6"/>
    </row>
    <row r="4927" s="1" customFormat="1" ht="13.5">
      <c r="G4927" s="6"/>
    </row>
    <row r="4928" s="1" customFormat="1" ht="13.5">
      <c r="G4928" s="6"/>
    </row>
    <row r="4929" s="1" customFormat="1" ht="13.5">
      <c r="G4929" s="6"/>
    </row>
    <row r="4930" s="1" customFormat="1" ht="13.5">
      <c r="G4930" s="6"/>
    </row>
    <row r="4931" s="1" customFormat="1" ht="13.5">
      <c r="G4931" s="6"/>
    </row>
    <row r="4932" s="1" customFormat="1" ht="13.5">
      <c r="G4932" s="6"/>
    </row>
    <row r="4933" s="1" customFormat="1" ht="13.5">
      <c r="G4933" s="6"/>
    </row>
    <row r="4934" s="1" customFormat="1" ht="13.5">
      <c r="G4934" s="6"/>
    </row>
    <row r="4935" s="1" customFormat="1" ht="13.5">
      <c r="G4935" s="6"/>
    </row>
    <row r="4936" s="1" customFormat="1" ht="13.5">
      <c r="G4936" s="6"/>
    </row>
    <row r="4937" s="1" customFormat="1" ht="13.5">
      <c r="G4937" s="6"/>
    </row>
    <row r="4938" s="1" customFormat="1" ht="13.5">
      <c r="G4938" s="6"/>
    </row>
    <row r="4939" s="1" customFormat="1" ht="13.5">
      <c r="G4939" s="6"/>
    </row>
    <row r="4940" s="1" customFormat="1" ht="13.5">
      <c r="G4940" s="6"/>
    </row>
    <row r="4941" s="1" customFormat="1" ht="13.5">
      <c r="G4941" s="6"/>
    </row>
    <row r="4942" s="1" customFormat="1" ht="13.5">
      <c r="G4942" s="6"/>
    </row>
    <row r="4943" s="1" customFormat="1" ht="13.5">
      <c r="G4943" s="6"/>
    </row>
    <row r="4944" s="1" customFormat="1" ht="13.5">
      <c r="G4944" s="6"/>
    </row>
    <row r="4945" s="1" customFormat="1" ht="13.5">
      <c r="G4945" s="6"/>
    </row>
    <row r="4946" s="1" customFormat="1" ht="13.5">
      <c r="G4946" s="6"/>
    </row>
    <row r="4947" s="1" customFormat="1" ht="13.5">
      <c r="G4947" s="6"/>
    </row>
    <row r="4948" s="1" customFormat="1" ht="13.5">
      <c r="G4948" s="6"/>
    </row>
    <row r="4949" s="1" customFormat="1" ht="13.5">
      <c r="G4949" s="6"/>
    </row>
    <row r="4950" s="1" customFormat="1" ht="13.5">
      <c r="G4950" s="6"/>
    </row>
    <row r="4951" s="1" customFormat="1" ht="13.5">
      <c r="G4951" s="6"/>
    </row>
    <row r="4952" s="1" customFormat="1" ht="13.5">
      <c r="G4952" s="6"/>
    </row>
    <row r="4953" s="1" customFormat="1" ht="13.5">
      <c r="G4953" s="6"/>
    </row>
    <row r="4954" s="1" customFormat="1" ht="13.5">
      <c r="G4954" s="6"/>
    </row>
    <row r="4955" s="1" customFormat="1" ht="13.5">
      <c r="G4955" s="6"/>
    </row>
    <row r="4956" s="1" customFormat="1" ht="13.5">
      <c r="G4956" s="6"/>
    </row>
    <row r="4957" s="1" customFormat="1" ht="13.5">
      <c r="G4957" s="6"/>
    </row>
    <row r="4958" s="1" customFormat="1" ht="13.5">
      <c r="G4958" s="6"/>
    </row>
    <row r="4959" s="1" customFormat="1" ht="13.5">
      <c r="G4959" s="6"/>
    </row>
    <row r="4960" s="1" customFormat="1" ht="13.5">
      <c r="G4960" s="6"/>
    </row>
    <row r="4961" s="1" customFormat="1" ht="13.5">
      <c r="G4961" s="6"/>
    </row>
    <row r="4962" s="1" customFormat="1" ht="13.5">
      <c r="G4962" s="6"/>
    </row>
    <row r="4963" s="1" customFormat="1" ht="13.5">
      <c r="G4963" s="6"/>
    </row>
    <row r="4964" s="1" customFormat="1" ht="13.5">
      <c r="G4964" s="6"/>
    </row>
    <row r="4965" s="1" customFormat="1" ht="13.5">
      <c r="G4965" s="6"/>
    </row>
    <row r="4966" s="1" customFormat="1" ht="13.5">
      <c r="G4966" s="6"/>
    </row>
    <row r="4967" s="1" customFormat="1" ht="13.5">
      <c r="G4967" s="6"/>
    </row>
    <row r="4968" s="1" customFormat="1" ht="13.5">
      <c r="G4968" s="6"/>
    </row>
    <row r="4969" s="1" customFormat="1" ht="13.5">
      <c r="G4969" s="6"/>
    </row>
    <row r="4970" s="1" customFormat="1" ht="13.5">
      <c r="G4970" s="6"/>
    </row>
    <row r="4971" s="1" customFormat="1" ht="13.5">
      <c r="G4971" s="6"/>
    </row>
    <row r="4972" s="1" customFormat="1" ht="13.5">
      <c r="G4972" s="6"/>
    </row>
    <row r="4973" s="1" customFormat="1" ht="13.5">
      <c r="G4973" s="6"/>
    </row>
    <row r="4974" s="1" customFormat="1" ht="13.5">
      <c r="G4974" s="6"/>
    </row>
    <row r="4975" s="1" customFormat="1" ht="13.5">
      <c r="G4975" s="6"/>
    </row>
    <row r="4976" s="1" customFormat="1" ht="13.5">
      <c r="G4976" s="6"/>
    </row>
    <row r="4977" s="1" customFormat="1" ht="13.5">
      <c r="G4977" s="6"/>
    </row>
    <row r="4978" s="1" customFormat="1" ht="13.5">
      <c r="G4978" s="6"/>
    </row>
    <row r="4979" s="1" customFormat="1" ht="13.5">
      <c r="G4979" s="6"/>
    </row>
    <row r="4980" s="1" customFormat="1" ht="13.5">
      <c r="G4980" s="6"/>
    </row>
    <row r="4981" s="1" customFormat="1" ht="13.5">
      <c r="G4981" s="6"/>
    </row>
    <row r="4982" s="1" customFormat="1" ht="13.5">
      <c r="G4982" s="6"/>
    </row>
    <row r="4983" s="1" customFormat="1" ht="13.5">
      <c r="G4983" s="6"/>
    </row>
    <row r="4984" s="1" customFormat="1" ht="13.5">
      <c r="G4984" s="6"/>
    </row>
    <row r="4985" s="1" customFormat="1" ht="13.5">
      <c r="G4985" s="6"/>
    </row>
    <row r="4986" s="1" customFormat="1" ht="13.5">
      <c r="G4986" s="6"/>
    </row>
    <row r="4987" s="1" customFormat="1" ht="13.5">
      <c r="G4987" s="6"/>
    </row>
    <row r="4988" s="1" customFormat="1" ht="13.5">
      <c r="G4988" s="6"/>
    </row>
    <row r="4989" s="1" customFormat="1" ht="13.5">
      <c r="G4989" s="6"/>
    </row>
    <row r="4990" s="1" customFormat="1" ht="13.5">
      <c r="G4990" s="6"/>
    </row>
    <row r="4991" s="1" customFormat="1" ht="13.5">
      <c r="G4991" s="6"/>
    </row>
    <row r="4992" s="1" customFormat="1" ht="13.5">
      <c r="G4992" s="6"/>
    </row>
    <row r="4993" s="1" customFormat="1" ht="13.5">
      <c r="G4993" s="6"/>
    </row>
    <row r="4994" s="1" customFormat="1" ht="13.5">
      <c r="G4994" s="6"/>
    </row>
    <row r="4995" s="1" customFormat="1" ht="13.5">
      <c r="G4995" s="6"/>
    </row>
    <row r="4996" s="1" customFormat="1" ht="13.5">
      <c r="G4996" s="6"/>
    </row>
    <row r="4997" s="1" customFormat="1" ht="13.5">
      <c r="G4997" s="6"/>
    </row>
    <row r="4998" s="1" customFormat="1" ht="13.5">
      <c r="G4998" s="6"/>
    </row>
    <row r="4999" s="1" customFormat="1" ht="13.5">
      <c r="G4999" s="6"/>
    </row>
    <row r="5000" s="1" customFormat="1" ht="13.5">
      <c r="G5000" s="6"/>
    </row>
    <row r="5001" s="1" customFormat="1" ht="13.5">
      <c r="G5001" s="6"/>
    </row>
    <row r="5002" s="1" customFormat="1" ht="13.5">
      <c r="G5002" s="6"/>
    </row>
    <row r="5003" s="1" customFormat="1" ht="13.5">
      <c r="G5003" s="6"/>
    </row>
    <row r="5004" s="1" customFormat="1" ht="13.5">
      <c r="G5004" s="6"/>
    </row>
    <row r="5005" s="1" customFormat="1" ht="13.5">
      <c r="G5005" s="6"/>
    </row>
    <row r="5006" s="1" customFormat="1" ht="13.5">
      <c r="G5006" s="6"/>
    </row>
    <row r="5007" s="1" customFormat="1" ht="13.5">
      <c r="G5007" s="6"/>
    </row>
    <row r="5008" s="1" customFormat="1" ht="13.5">
      <c r="G5008" s="6"/>
    </row>
    <row r="5009" s="1" customFormat="1" ht="13.5">
      <c r="G5009" s="6"/>
    </row>
    <row r="5010" s="1" customFormat="1" ht="13.5">
      <c r="G5010" s="6"/>
    </row>
    <row r="5011" s="1" customFormat="1" ht="13.5">
      <c r="G5011" s="6"/>
    </row>
    <row r="5012" s="1" customFormat="1" ht="13.5">
      <c r="G5012" s="6"/>
    </row>
    <row r="5013" s="1" customFormat="1" ht="13.5">
      <c r="G5013" s="6"/>
    </row>
    <row r="5014" s="1" customFormat="1" ht="13.5">
      <c r="G5014" s="6"/>
    </row>
    <row r="5015" s="1" customFormat="1" ht="13.5">
      <c r="G5015" s="6"/>
    </row>
    <row r="5016" s="1" customFormat="1" ht="13.5">
      <c r="G5016" s="6"/>
    </row>
    <row r="5017" s="1" customFormat="1" ht="13.5">
      <c r="G5017" s="6"/>
    </row>
    <row r="5018" s="1" customFormat="1" ht="13.5">
      <c r="G5018" s="6"/>
    </row>
    <row r="5019" s="1" customFormat="1" ht="13.5">
      <c r="G5019" s="6"/>
    </row>
    <row r="5020" s="1" customFormat="1" ht="13.5">
      <c r="G5020" s="6"/>
    </row>
    <row r="5021" s="1" customFormat="1" ht="13.5">
      <c r="G5021" s="6"/>
    </row>
    <row r="5022" s="1" customFormat="1" ht="13.5">
      <c r="G5022" s="6"/>
    </row>
    <row r="5023" s="1" customFormat="1" ht="13.5">
      <c r="G5023" s="6"/>
    </row>
    <row r="5024" s="1" customFormat="1" ht="13.5">
      <c r="G5024" s="6"/>
    </row>
    <row r="5025" s="1" customFormat="1" ht="13.5">
      <c r="G5025" s="6"/>
    </row>
    <row r="5026" s="1" customFormat="1" ht="13.5">
      <c r="G5026" s="6"/>
    </row>
    <row r="5027" s="1" customFormat="1" ht="13.5">
      <c r="G5027" s="6"/>
    </row>
    <row r="5028" s="1" customFormat="1" ht="13.5">
      <c r="G5028" s="6"/>
    </row>
    <row r="5029" s="1" customFormat="1" ht="13.5">
      <c r="G5029" s="6"/>
    </row>
    <row r="5030" s="1" customFormat="1" ht="13.5">
      <c r="G5030" s="6"/>
    </row>
    <row r="5031" s="1" customFormat="1" ht="13.5">
      <c r="G5031" s="6"/>
    </row>
    <row r="5032" s="1" customFormat="1" ht="13.5">
      <c r="G5032" s="6"/>
    </row>
    <row r="5033" s="1" customFormat="1" ht="13.5">
      <c r="G5033" s="6"/>
    </row>
    <row r="5034" s="1" customFormat="1" ht="13.5">
      <c r="G5034" s="6"/>
    </row>
    <row r="5035" s="1" customFormat="1" ht="13.5">
      <c r="G5035" s="6"/>
    </row>
    <row r="5036" s="1" customFormat="1" ht="13.5">
      <c r="G5036" s="6"/>
    </row>
    <row r="5037" s="1" customFormat="1" ht="13.5">
      <c r="G5037" s="6"/>
    </row>
    <row r="5038" s="1" customFormat="1" ht="13.5">
      <c r="G5038" s="6"/>
    </row>
    <row r="5039" s="1" customFormat="1" ht="13.5">
      <c r="G5039" s="6"/>
    </row>
    <row r="5040" s="1" customFormat="1" ht="13.5">
      <c r="G5040" s="6"/>
    </row>
    <row r="5041" s="1" customFormat="1" ht="13.5">
      <c r="G5041" s="6"/>
    </row>
    <row r="5042" s="1" customFormat="1" ht="13.5">
      <c r="G5042" s="6"/>
    </row>
    <row r="5043" s="1" customFormat="1" ht="13.5">
      <c r="G5043" s="6"/>
    </row>
    <row r="5044" s="1" customFormat="1" ht="13.5">
      <c r="G5044" s="6"/>
    </row>
    <row r="5045" s="1" customFormat="1" ht="13.5">
      <c r="G5045" s="6"/>
    </row>
    <row r="5046" s="1" customFormat="1" ht="13.5">
      <c r="G5046" s="6"/>
    </row>
    <row r="5047" s="1" customFormat="1" ht="13.5">
      <c r="G5047" s="6"/>
    </row>
    <row r="5048" s="1" customFormat="1" ht="13.5">
      <c r="G5048" s="6"/>
    </row>
    <row r="5049" s="1" customFormat="1" ht="13.5">
      <c r="G5049" s="6"/>
    </row>
    <row r="5050" s="1" customFormat="1" ht="13.5">
      <c r="G5050" s="6"/>
    </row>
    <row r="5051" s="1" customFormat="1" ht="13.5">
      <c r="G5051" s="6"/>
    </row>
    <row r="5052" s="1" customFormat="1" ht="13.5">
      <c r="G5052" s="6"/>
    </row>
    <row r="5053" s="1" customFormat="1" ht="13.5">
      <c r="G5053" s="6"/>
    </row>
    <row r="5054" s="1" customFormat="1" ht="13.5">
      <c r="G5054" s="6"/>
    </row>
    <row r="5055" s="1" customFormat="1" ht="13.5">
      <c r="G5055" s="6"/>
    </row>
    <row r="5056" s="1" customFormat="1" ht="13.5">
      <c r="G5056" s="6"/>
    </row>
    <row r="5057" s="1" customFormat="1" ht="13.5">
      <c r="G5057" s="6"/>
    </row>
    <row r="5058" s="1" customFormat="1" ht="13.5">
      <c r="G5058" s="6"/>
    </row>
    <row r="5059" s="1" customFormat="1" ht="13.5">
      <c r="G5059" s="6"/>
    </row>
    <row r="5060" s="1" customFormat="1" ht="13.5">
      <c r="G5060" s="6"/>
    </row>
    <row r="5061" s="1" customFormat="1" ht="13.5">
      <c r="G5061" s="6"/>
    </row>
    <row r="5062" s="1" customFormat="1" ht="13.5">
      <c r="G5062" s="6"/>
    </row>
    <row r="5063" s="1" customFormat="1" ht="13.5">
      <c r="G5063" s="6"/>
    </row>
    <row r="5064" s="1" customFormat="1" ht="13.5">
      <c r="G5064" s="6"/>
    </row>
    <row r="5065" s="1" customFormat="1" ht="13.5">
      <c r="G5065" s="6"/>
    </row>
    <row r="5066" s="1" customFormat="1" ht="13.5">
      <c r="G5066" s="6"/>
    </row>
    <row r="5067" s="1" customFormat="1" ht="13.5">
      <c r="G5067" s="6"/>
    </row>
    <row r="5068" s="1" customFormat="1" ht="13.5">
      <c r="G5068" s="6"/>
    </row>
    <row r="5069" s="1" customFormat="1" ht="13.5">
      <c r="G5069" s="6"/>
    </row>
    <row r="5070" s="1" customFormat="1" ht="13.5">
      <c r="G5070" s="6"/>
    </row>
    <row r="5071" s="1" customFormat="1" ht="13.5">
      <c r="G5071" s="6"/>
    </row>
    <row r="5072" s="1" customFormat="1" ht="13.5">
      <c r="G5072" s="6"/>
    </row>
    <row r="5073" s="1" customFormat="1" ht="13.5">
      <c r="G5073" s="6"/>
    </row>
    <row r="5074" s="1" customFormat="1" ht="13.5">
      <c r="G5074" s="6"/>
    </row>
    <row r="5075" s="1" customFormat="1" ht="13.5">
      <c r="G5075" s="6"/>
    </row>
    <row r="5076" s="1" customFormat="1" ht="13.5">
      <c r="G5076" s="6"/>
    </row>
    <row r="5077" s="1" customFormat="1" ht="13.5">
      <c r="G5077" s="6"/>
    </row>
    <row r="5078" s="1" customFormat="1" ht="13.5">
      <c r="G5078" s="6"/>
    </row>
    <row r="5079" s="1" customFormat="1" ht="13.5">
      <c r="G5079" s="6"/>
    </row>
    <row r="5080" s="1" customFormat="1" ht="13.5">
      <c r="G5080" s="6"/>
    </row>
    <row r="5081" s="1" customFormat="1" ht="13.5">
      <c r="G5081" s="6"/>
    </row>
    <row r="5082" s="1" customFormat="1" ht="13.5">
      <c r="G5082" s="6"/>
    </row>
    <row r="5083" s="1" customFormat="1" ht="13.5">
      <c r="G5083" s="6"/>
    </row>
    <row r="5084" s="1" customFormat="1" ht="13.5">
      <c r="G5084" s="6"/>
    </row>
    <row r="5085" s="1" customFormat="1" ht="13.5">
      <c r="G5085" s="6"/>
    </row>
    <row r="5086" s="1" customFormat="1" ht="13.5">
      <c r="G5086" s="6"/>
    </row>
    <row r="5087" s="1" customFormat="1" ht="13.5">
      <c r="G5087" s="6"/>
    </row>
    <row r="5088" s="1" customFormat="1" ht="13.5">
      <c r="G5088" s="6"/>
    </row>
    <row r="5089" s="1" customFormat="1" ht="13.5">
      <c r="G5089" s="6"/>
    </row>
    <row r="5090" s="1" customFormat="1" ht="13.5">
      <c r="G5090" s="6"/>
    </row>
    <row r="5091" s="1" customFormat="1" ht="13.5">
      <c r="G5091" s="6"/>
    </row>
    <row r="5092" s="1" customFormat="1" ht="13.5">
      <c r="G5092" s="6"/>
    </row>
    <row r="5093" s="1" customFormat="1" ht="13.5">
      <c r="G5093" s="6"/>
    </row>
    <row r="5094" s="1" customFormat="1" ht="13.5">
      <c r="G5094" s="6"/>
    </row>
    <row r="5095" s="1" customFormat="1" ht="13.5">
      <c r="G5095" s="6"/>
    </row>
    <row r="5096" s="1" customFormat="1" ht="13.5">
      <c r="G5096" s="6"/>
    </row>
    <row r="5097" s="1" customFormat="1" ht="13.5">
      <c r="G5097" s="6"/>
    </row>
    <row r="5098" s="1" customFormat="1" ht="13.5">
      <c r="G5098" s="6"/>
    </row>
    <row r="5099" s="1" customFormat="1" ht="13.5">
      <c r="G5099" s="6"/>
    </row>
    <row r="5100" s="1" customFormat="1" ht="13.5">
      <c r="G5100" s="6"/>
    </row>
    <row r="5101" s="1" customFormat="1" ht="13.5">
      <c r="G5101" s="6"/>
    </row>
    <row r="5102" s="1" customFormat="1" ht="13.5">
      <c r="G5102" s="6"/>
    </row>
    <row r="5103" s="1" customFormat="1" ht="13.5">
      <c r="G5103" s="6"/>
    </row>
    <row r="5104" s="1" customFormat="1" ht="13.5">
      <c r="G5104" s="6"/>
    </row>
    <row r="5105" s="1" customFormat="1" ht="13.5">
      <c r="G5105" s="6"/>
    </row>
    <row r="5106" s="1" customFormat="1" ht="13.5">
      <c r="G5106" s="6"/>
    </row>
    <row r="5107" s="1" customFormat="1" ht="13.5">
      <c r="G5107" s="6"/>
    </row>
    <row r="5108" s="1" customFormat="1" ht="13.5">
      <c r="G5108" s="6"/>
    </row>
    <row r="5109" s="1" customFormat="1" ht="13.5">
      <c r="G5109" s="6"/>
    </row>
    <row r="5110" s="1" customFormat="1" ht="13.5">
      <c r="G5110" s="6"/>
    </row>
    <row r="5111" s="1" customFormat="1" ht="13.5">
      <c r="G5111" s="6"/>
    </row>
    <row r="5112" s="1" customFormat="1" ht="13.5">
      <c r="G5112" s="6"/>
    </row>
    <row r="5113" s="1" customFormat="1" ht="13.5">
      <c r="G5113" s="6"/>
    </row>
    <row r="5114" s="1" customFormat="1" ht="13.5">
      <c r="G5114" s="6"/>
    </row>
    <row r="5115" s="1" customFormat="1" ht="13.5">
      <c r="G5115" s="6"/>
    </row>
    <row r="5116" s="1" customFormat="1" ht="13.5">
      <c r="G5116" s="6"/>
    </row>
    <row r="5117" s="1" customFormat="1" ht="13.5">
      <c r="G5117" s="6"/>
    </row>
    <row r="5118" s="1" customFormat="1" ht="13.5">
      <c r="G5118" s="6"/>
    </row>
    <row r="5119" s="1" customFormat="1" ht="13.5">
      <c r="G5119" s="6"/>
    </row>
    <row r="5120" s="1" customFormat="1" ht="13.5">
      <c r="G5120" s="6"/>
    </row>
    <row r="5121" s="1" customFormat="1" ht="13.5">
      <c r="G5121" s="6"/>
    </row>
    <row r="5122" s="1" customFormat="1" ht="13.5">
      <c r="G5122" s="6"/>
    </row>
    <row r="5123" s="1" customFormat="1" ht="13.5">
      <c r="G5123" s="6"/>
    </row>
    <row r="5124" s="1" customFormat="1" ht="13.5">
      <c r="G5124" s="6"/>
    </row>
    <row r="5125" s="1" customFormat="1" ht="13.5">
      <c r="G5125" s="6"/>
    </row>
    <row r="5126" s="1" customFormat="1" ht="13.5">
      <c r="G5126" s="6"/>
    </row>
    <row r="5127" s="1" customFormat="1" ht="13.5">
      <c r="G5127" s="6"/>
    </row>
    <row r="5128" s="1" customFormat="1" ht="13.5">
      <c r="G5128" s="6"/>
    </row>
    <row r="5129" s="1" customFormat="1" ht="13.5">
      <c r="G5129" s="6"/>
    </row>
    <row r="5130" s="1" customFormat="1" ht="13.5">
      <c r="G5130" s="6"/>
    </row>
    <row r="5131" s="1" customFormat="1" ht="13.5">
      <c r="G5131" s="6"/>
    </row>
    <row r="5132" s="1" customFormat="1" ht="13.5">
      <c r="G5132" s="6"/>
    </row>
    <row r="5133" s="1" customFormat="1" ht="13.5">
      <c r="G5133" s="6"/>
    </row>
    <row r="5134" s="1" customFormat="1" ht="13.5">
      <c r="G5134" s="6"/>
    </row>
    <row r="5135" s="1" customFormat="1" ht="13.5">
      <c r="G5135" s="6"/>
    </row>
    <row r="5136" s="1" customFormat="1" ht="13.5">
      <c r="G5136" s="6"/>
    </row>
    <row r="5137" s="1" customFormat="1" ht="13.5">
      <c r="G5137" s="6"/>
    </row>
    <row r="5138" s="1" customFormat="1" ht="13.5">
      <c r="G5138" s="6"/>
    </row>
    <row r="5139" s="1" customFormat="1" ht="13.5">
      <c r="G5139" s="6"/>
    </row>
    <row r="5140" s="1" customFormat="1" ht="13.5">
      <c r="G5140" s="6"/>
    </row>
    <row r="5141" s="1" customFormat="1" ht="13.5">
      <c r="G5141" s="6"/>
    </row>
    <row r="5142" s="1" customFormat="1" ht="13.5">
      <c r="G5142" s="6"/>
    </row>
    <row r="5143" s="1" customFormat="1" ht="13.5">
      <c r="G5143" s="6"/>
    </row>
    <row r="5144" s="1" customFormat="1" ht="13.5">
      <c r="G5144" s="6"/>
    </row>
    <row r="5145" s="1" customFormat="1" ht="13.5">
      <c r="G5145" s="6"/>
    </row>
    <row r="5146" s="1" customFormat="1" ht="13.5">
      <c r="G5146" s="6"/>
    </row>
    <row r="5147" s="1" customFormat="1" ht="13.5">
      <c r="G5147" s="6"/>
    </row>
    <row r="5148" s="1" customFormat="1" ht="13.5">
      <c r="G5148" s="6"/>
    </row>
    <row r="5149" s="1" customFormat="1" ht="13.5">
      <c r="G5149" s="6"/>
    </row>
    <row r="5150" s="1" customFormat="1" ht="13.5">
      <c r="G5150" s="6"/>
    </row>
    <row r="5151" s="1" customFormat="1" ht="13.5">
      <c r="G5151" s="6"/>
    </row>
    <row r="5152" s="1" customFormat="1" ht="13.5">
      <c r="G5152" s="6"/>
    </row>
    <row r="5153" s="1" customFormat="1" ht="13.5">
      <c r="G5153" s="6"/>
    </row>
    <row r="5154" s="1" customFormat="1" ht="13.5">
      <c r="G5154" s="6"/>
    </row>
    <row r="5155" s="1" customFormat="1" ht="13.5">
      <c r="G5155" s="6"/>
    </row>
    <row r="5156" s="1" customFormat="1" ht="13.5">
      <c r="G5156" s="6"/>
    </row>
    <row r="5157" s="1" customFormat="1" ht="13.5">
      <c r="G5157" s="6"/>
    </row>
    <row r="5158" s="1" customFormat="1" ht="13.5">
      <c r="G5158" s="6"/>
    </row>
    <row r="5159" s="1" customFormat="1" ht="13.5">
      <c r="G5159" s="6"/>
    </row>
    <row r="5160" s="1" customFormat="1" ht="13.5">
      <c r="G5160" s="6"/>
    </row>
    <row r="5161" s="1" customFormat="1" ht="13.5">
      <c r="G5161" s="6"/>
    </row>
    <row r="5162" s="1" customFormat="1" ht="13.5">
      <c r="G5162" s="6"/>
    </row>
    <row r="5163" s="1" customFormat="1" ht="13.5">
      <c r="G5163" s="6"/>
    </row>
    <row r="5164" s="1" customFormat="1" ht="13.5">
      <c r="G5164" s="6"/>
    </row>
    <row r="5165" s="1" customFormat="1" ht="13.5">
      <c r="G5165" s="6"/>
    </row>
    <row r="5166" s="1" customFormat="1" ht="13.5">
      <c r="G5166" s="6"/>
    </row>
    <row r="5167" s="1" customFormat="1" ht="13.5">
      <c r="G5167" s="6"/>
    </row>
    <row r="5168" s="1" customFormat="1" ht="13.5">
      <c r="G5168" s="6"/>
    </row>
    <row r="5169" s="1" customFormat="1" ht="13.5">
      <c r="G5169" s="6"/>
    </row>
    <row r="5170" s="1" customFormat="1" ht="13.5">
      <c r="G5170" s="6"/>
    </row>
    <row r="5171" s="1" customFormat="1" ht="13.5">
      <c r="G5171" s="6"/>
    </row>
    <row r="5172" s="1" customFormat="1" ht="13.5">
      <c r="G5172" s="6"/>
    </row>
    <row r="5173" s="1" customFormat="1" ht="13.5">
      <c r="G5173" s="6"/>
    </row>
    <row r="5174" s="1" customFormat="1" ht="13.5">
      <c r="G5174" s="6"/>
    </row>
    <row r="5175" s="1" customFormat="1" ht="13.5">
      <c r="G5175" s="6"/>
    </row>
    <row r="5176" s="1" customFormat="1" ht="13.5">
      <c r="G5176" s="6"/>
    </row>
    <row r="5177" s="1" customFormat="1" ht="13.5">
      <c r="G5177" s="6"/>
    </row>
    <row r="5178" s="1" customFormat="1" ht="13.5">
      <c r="G5178" s="6"/>
    </row>
    <row r="5179" s="1" customFormat="1" ht="13.5">
      <c r="G5179" s="6"/>
    </row>
    <row r="5180" s="1" customFormat="1" ht="13.5">
      <c r="G5180" s="6"/>
    </row>
    <row r="5181" s="1" customFormat="1" ht="13.5">
      <c r="G5181" s="6"/>
    </row>
    <row r="5182" s="1" customFormat="1" ht="13.5">
      <c r="G5182" s="6"/>
    </row>
    <row r="5183" s="1" customFormat="1" ht="13.5">
      <c r="G5183" s="6"/>
    </row>
    <row r="5184" s="1" customFormat="1" ht="13.5">
      <c r="G5184" s="6"/>
    </row>
    <row r="5185" s="1" customFormat="1" ht="13.5">
      <c r="G5185" s="6"/>
    </row>
    <row r="5186" s="1" customFormat="1" ht="13.5">
      <c r="G5186" s="6"/>
    </row>
    <row r="5187" s="1" customFormat="1" ht="13.5">
      <c r="G5187" s="6"/>
    </row>
    <row r="5188" s="1" customFormat="1" ht="13.5">
      <c r="G5188" s="6"/>
    </row>
    <row r="5189" s="1" customFormat="1" ht="13.5">
      <c r="G5189" s="6"/>
    </row>
    <row r="5190" s="1" customFormat="1" ht="13.5">
      <c r="G5190" s="6"/>
    </row>
    <row r="5191" s="1" customFormat="1" ht="13.5">
      <c r="G5191" s="6"/>
    </row>
    <row r="5192" s="1" customFormat="1" ht="13.5">
      <c r="G5192" s="6"/>
    </row>
    <row r="5193" s="1" customFormat="1" ht="13.5">
      <c r="G5193" s="6"/>
    </row>
    <row r="5194" s="1" customFormat="1" ht="13.5">
      <c r="G5194" s="6"/>
    </row>
    <row r="5195" s="1" customFormat="1" ht="13.5">
      <c r="G5195" s="6"/>
    </row>
    <row r="5196" s="1" customFormat="1" ht="13.5">
      <c r="G5196" s="6"/>
    </row>
    <row r="5197" s="1" customFormat="1" ht="13.5">
      <c r="G5197" s="6"/>
    </row>
    <row r="5198" s="1" customFormat="1" ht="13.5">
      <c r="G5198" s="6"/>
    </row>
    <row r="5199" s="1" customFormat="1" ht="13.5">
      <c r="G5199" s="6"/>
    </row>
    <row r="5200" s="1" customFormat="1" ht="13.5">
      <c r="G5200" s="6"/>
    </row>
    <row r="5201" s="1" customFormat="1" ht="13.5">
      <c r="G5201" s="6"/>
    </row>
    <row r="5202" s="1" customFormat="1" ht="13.5">
      <c r="G5202" s="6"/>
    </row>
    <row r="5203" s="1" customFormat="1" ht="13.5">
      <c r="G5203" s="6"/>
    </row>
    <row r="5204" s="1" customFormat="1" ht="13.5">
      <c r="G5204" s="6"/>
    </row>
    <row r="5205" s="1" customFormat="1" ht="13.5">
      <c r="G5205" s="6"/>
    </row>
    <row r="5206" s="1" customFormat="1" ht="13.5">
      <c r="G5206" s="6"/>
    </row>
    <row r="5207" s="1" customFormat="1" ht="13.5">
      <c r="G5207" s="6"/>
    </row>
    <row r="5208" s="1" customFormat="1" ht="13.5">
      <c r="G5208" s="6"/>
    </row>
    <row r="5209" s="1" customFormat="1" ht="13.5">
      <c r="G5209" s="6"/>
    </row>
    <row r="5210" s="1" customFormat="1" ht="13.5">
      <c r="G5210" s="6"/>
    </row>
    <row r="5211" s="1" customFormat="1" ht="13.5">
      <c r="G5211" s="6"/>
    </row>
    <row r="5212" s="1" customFormat="1" ht="13.5">
      <c r="G5212" s="6"/>
    </row>
    <row r="5213" s="1" customFormat="1" ht="13.5">
      <c r="G5213" s="6"/>
    </row>
    <row r="5214" s="1" customFormat="1" ht="13.5">
      <c r="G5214" s="6"/>
    </row>
    <row r="5215" s="1" customFormat="1" ht="13.5">
      <c r="G5215" s="6"/>
    </row>
    <row r="5216" s="1" customFormat="1" ht="13.5">
      <c r="G5216" s="6"/>
    </row>
    <row r="5217" s="1" customFormat="1" ht="13.5">
      <c r="G5217" s="6"/>
    </row>
    <row r="5218" s="1" customFormat="1" ht="13.5">
      <c r="G5218" s="6"/>
    </row>
    <row r="5219" s="1" customFormat="1" ht="13.5">
      <c r="G5219" s="6"/>
    </row>
    <row r="5220" s="1" customFormat="1" ht="13.5">
      <c r="G5220" s="6"/>
    </row>
    <row r="5221" s="1" customFormat="1" ht="13.5">
      <c r="G5221" s="6"/>
    </row>
    <row r="5222" s="1" customFormat="1" ht="13.5">
      <c r="G5222" s="6"/>
    </row>
    <row r="5223" s="1" customFormat="1" ht="13.5">
      <c r="G5223" s="6"/>
    </row>
    <row r="5224" s="1" customFormat="1" ht="13.5">
      <c r="G5224" s="6"/>
    </row>
    <row r="5225" s="1" customFormat="1" ht="13.5">
      <c r="G5225" s="6"/>
    </row>
    <row r="5226" s="1" customFormat="1" ht="13.5">
      <c r="G5226" s="6"/>
    </row>
    <row r="5227" s="1" customFormat="1" ht="13.5">
      <c r="G5227" s="6"/>
    </row>
    <row r="5228" s="1" customFormat="1" ht="13.5">
      <c r="G5228" s="6"/>
    </row>
    <row r="5229" s="1" customFormat="1" ht="13.5">
      <c r="G5229" s="6"/>
    </row>
    <row r="5230" s="1" customFormat="1" ht="13.5">
      <c r="G5230" s="6"/>
    </row>
    <row r="5231" s="1" customFormat="1" ht="13.5">
      <c r="G5231" s="6"/>
    </row>
    <row r="5232" s="1" customFormat="1" ht="13.5">
      <c r="G5232" s="6"/>
    </row>
    <row r="5233" s="1" customFormat="1" ht="13.5">
      <c r="G5233" s="6"/>
    </row>
    <row r="5234" s="1" customFormat="1" ht="13.5">
      <c r="G5234" s="6"/>
    </row>
    <row r="5235" s="1" customFormat="1" ht="13.5">
      <c r="G5235" s="6"/>
    </row>
    <row r="5236" s="1" customFormat="1" ht="13.5">
      <c r="G5236" s="6"/>
    </row>
    <row r="5237" s="1" customFormat="1" ht="13.5">
      <c r="G5237" s="6"/>
    </row>
    <row r="5238" s="1" customFormat="1" ht="13.5">
      <c r="G5238" s="6"/>
    </row>
    <row r="5239" s="1" customFormat="1" ht="13.5">
      <c r="G5239" s="6"/>
    </row>
    <row r="5240" s="1" customFormat="1" ht="13.5">
      <c r="G5240" s="6"/>
    </row>
    <row r="5241" s="1" customFormat="1" ht="13.5">
      <c r="G5241" s="6"/>
    </row>
    <row r="5242" s="1" customFormat="1" ht="13.5">
      <c r="G5242" s="6"/>
    </row>
    <row r="5243" s="1" customFormat="1" ht="13.5">
      <c r="G5243" s="6"/>
    </row>
    <row r="5244" s="1" customFormat="1" ht="13.5">
      <c r="G5244" s="6"/>
    </row>
    <row r="5245" s="1" customFormat="1" ht="13.5">
      <c r="G5245" s="6"/>
    </row>
    <row r="5246" s="1" customFormat="1" ht="13.5">
      <c r="G5246" s="6"/>
    </row>
    <row r="5247" s="1" customFormat="1" ht="13.5">
      <c r="G5247" s="6"/>
    </row>
    <row r="5248" s="1" customFormat="1" ht="13.5">
      <c r="G5248" s="6"/>
    </row>
    <row r="5249" s="1" customFormat="1" ht="13.5">
      <c r="G5249" s="6"/>
    </row>
    <row r="5250" s="1" customFormat="1" ht="13.5">
      <c r="G5250" s="6"/>
    </row>
    <row r="5251" s="1" customFormat="1" ht="13.5">
      <c r="G5251" s="6"/>
    </row>
    <row r="5252" s="1" customFormat="1" ht="13.5">
      <c r="G5252" s="6"/>
    </row>
    <row r="5253" s="1" customFormat="1" ht="13.5">
      <c r="G5253" s="6"/>
    </row>
    <row r="5254" s="1" customFormat="1" ht="13.5">
      <c r="G5254" s="6"/>
    </row>
    <row r="5255" s="1" customFormat="1" ht="13.5">
      <c r="G5255" s="6"/>
    </row>
    <row r="5256" s="1" customFormat="1" ht="13.5">
      <c r="G5256" s="6"/>
    </row>
    <row r="5257" s="1" customFormat="1" ht="13.5">
      <c r="G5257" s="6"/>
    </row>
    <row r="5258" s="1" customFormat="1" ht="13.5">
      <c r="G5258" s="6"/>
    </row>
    <row r="5259" s="1" customFormat="1" ht="13.5">
      <c r="G5259" s="6"/>
    </row>
    <row r="5260" s="1" customFormat="1" ht="13.5">
      <c r="G5260" s="6"/>
    </row>
    <row r="5261" s="1" customFormat="1" ht="13.5">
      <c r="G5261" s="6"/>
    </row>
    <row r="5262" s="1" customFormat="1" ht="13.5">
      <c r="G5262" s="6"/>
    </row>
    <row r="5263" s="1" customFormat="1" ht="13.5">
      <c r="G5263" s="6"/>
    </row>
    <row r="5264" s="1" customFormat="1" ht="13.5">
      <c r="G5264" s="6"/>
    </row>
    <row r="5265" s="1" customFormat="1" ht="13.5">
      <c r="G5265" s="6"/>
    </row>
    <row r="5266" s="1" customFormat="1" ht="13.5">
      <c r="G5266" s="6"/>
    </row>
    <row r="5267" s="1" customFormat="1" ht="13.5">
      <c r="G5267" s="6"/>
    </row>
    <row r="5268" s="1" customFormat="1" ht="13.5">
      <c r="G5268" s="6"/>
    </row>
    <row r="5269" s="1" customFormat="1" ht="13.5">
      <c r="G5269" s="6"/>
    </row>
    <row r="5270" s="1" customFormat="1" ht="13.5">
      <c r="G5270" s="6"/>
    </row>
    <row r="5271" s="1" customFormat="1" ht="13.5">
      <c r="G5271" s="6"/>
    </row>
    <row r="5272" s="1" customFormat="1" ht="13.5">
      <c r="G5272" s="6"/>
    </row>
    <row r="5273" s="1" customFormat="1" ht="13.5">
      <c r="G5273" s="6"/>
    </row>
    <row r="5274" s="1" customFormat="1" ht="13.5">
      <c r="G5274" s="6"/>
    </row>
    <row r="5275" s="1" customFormat="1" ht="13.5">
      <c r="G5275" s="6"/>
    </row>
    <row r="5276" s="1" customFormat="1" ht="13.5">
      <c r="G5276" s="6"/>
    </row>
    <row r="5277" s="1" customFormat="1" ht="13.5">
      <c r="G5277" s="6"/>
    </row>
    <row r="5278" s="1" customFormat="1" ht="13.5">
      <c r="G5278" s="6"/>
    </row>
    <row r="5279" s="1" customFormat="1" ht="13.5">
      <c r="G5279" s="6"/>
    </row>
    <row r="5280" s="1" customFormat="1" ht="13.5">
      <c r="G5280" s="6"/>
    </row>
    <row r="5281" s="1" customFormat="1" ht="13.5">
      <c r="G5281" s="6"/>
    </row>
    <row r="5282" s="1" customFormat="1" ht="13.5">
      <c r="G5282" s="6"/>
    </row>
    <row r="5283" s="1" customFormat="1" ht="13.5">
      <c r="G5283" s="6"/>
    </row>
    <row r="5284" s="1" customFormat="1" ht="13.5">
      <c r="G5284" s="6"/>
    </row>
    <row r="5285" s="1" customFormat="1" ht="13.5">
      <c r="G5285" s="6"/>
    </row>
    <row r="5286" s="1" customFormat="1" ht="13.5">
      <c r="G5286" s="6"/>
    </row>
    <row r="5287" s="1" customFormat="1" ht="13.5">
      <c r="G5287" s="6"/>
    </row>
    <row r="5288" s="1" customFormat="1" ht="13.5">
      <c r="G5288" s="6"/>
    </row>
    <row r="5289" s="1" customFormat="1" ht="13.5">
      <c r="G5289" s="6"/>
    </row>
    <row r="5290" s="1" customFormat="1" ht="13.5">
      <c r="G5290" s="6"/>
    </row>
    <row r="5291" s="1" customFormat="1" ht="13.5">
      <c r="G5291" s="6"/>
    </row>
    <row r="5292" s="1" customFormat="1" ht="13.5">
      <c r="G5292" s="6"/>
    </row>
    <row r="5293" s="1" customFormat="1" ht="13.5">
      <c r="G5293" s="6"/>
    </row>
    <row r="5294" s="1" customFormat="1" ht="13.5">
      <c r="G5294" s="6"/>
    </row>
    <row r="5295" s="1" customFormat="1" ht="13.5">
      <c r="G5295" s="6"/>
    </row>
    <row r="5296" s="1" customFormat="1" ht="13.5">
      <c r="G5296" s="6"/>
    </row>
    <row r="5297" s="1" customFormat="1" ht="13.5">
      <c r="G5297" s="6"/>
    </row>
    <row r="5298" s="1" customFormat="1" ht="13.5">
      <c r="G5298" s="6"/>
    </row>
    <row r="5299" s="1" customFormat="1" ht="13.5">
      <c r="G5299" s="6"/>
    </row>
    <row r="5300" s="1" customFormat="1" ht="13.5">
      <c r="G5300" s="6"/>
    </row>
    <row r="5301" s="1" customFormat="1" ht="13.5">
      <c r="G5301" s="6"/>
    </row>
    <row r="5302" s="1" customFormat="1" ht="13.5">
      <c r="G5302" s="6"/>
    </row>
    <row r="5303" s="1" customFormat="1" ht="13.5">
      <c r="G5303" s="6"/>
    </row>
    <row r="5304" s="1" customFormat="1" ht="13.5">
      <c r="G5304" s="6"/>
    </row>
    <row r="5305" s="1" customFormat="1" ht="13.5">
      <c r="G5305" s="6"/>
    </row>
    <row r="5306" s="1" customFormat="1" ht="13.5">
      <c r="G5306" s="6"/>
    </row>
    <row r="5307" s="1" customFormat="1" ht="13.5">
      <c r="G5307" s="6"/>
    </row>
    <row r="5308" s="1" customFormat="1" ht="13.5">
      <c r="G5308" s="6"/>
    </row>
    <row r="5309" s="1" customFormat="1" ht="13.5">
      <c r="G5309" s="6"/>
    </row>
    <row r="5310" s="1" customFormat="1" ht="13.5">
      <c r="G5310" s="6"/>
    </row>
    <row r="5311" s="1" customFormat="1" ht="13.5">
      <c r="G5311" s="6"/>
    </row>
    <row r="5312" s="1" customFormat="1" ht="13.5">
      <c r="G5312" s="6"/>
    </row>
    <row r="5313" s="1" customFormat="1" ht="13.5">
      <c r="G5313" s="6"/>
    </row>
    <row r="5314" s="1" customFormat="1" ht="13.5">
      <c r="G5314" s="6"/>
    </row>
    <row r="5315" s="1" customFormat="1" ht="13.5">
      <c r="G5315" s="6"/>
    </row>
    <row r="5316" s="1" customFormat="1" ht="13.5">
      <c r="G5316" s="6"/>
    </row>
    <row r="5317" s="1" customFormat="1" ht="13.5">
      <c r="G5317" s="6"/>
    </row>
    <row r="5318" s="1" customFormat="1" ht="13.5">
      <c r="G5318" s="6"/>
    </row>
    <row r="5319" s="1" customFormat="1" ht="13.5">
      <c r="G5319" s="6"/>
    </row>
    <row r="5320" s="1" customFormat="1" ht="13.5">
      <c r="G5320" s="6"/>
    </row>
    <row r="5321" s="1" customFormat="1" ht="13.5">
      <c r="G5321" s="6"/>
    </row>
    <row r="5322" s="1" customFormat="1" ht="13.5">
      <c r="G5322" s="6"/>
    </row>
    <row r="5323" s="1" customFormat="1" ht="13.5">
      <c r="G5323" s="6"/>
    </row>
    <row r="5324" s="1" customFormat="1" ht="13.5">
      <c r="G5324" s="6"/>
    </row>
    <row r="5325" s="1" customFormat="1" ht="13.5">
      <c r="G5325" s="6"/>
    </row>
    <row r="5326" s="1" customFormat="1" ht="13.5">
      <c r="G5326" s="6"/>
    </row>
    <row r="5327" s="1" customFormat="1" ht="13.5">
      <c r="G5327" s="6"/>
    </row>
    <row r="5328" s="1" customFormat="1" ht="13.5">
      <c r="G5328" s="6"/>
    </row>
    <row r="5329" s="1" customFormat="1" ht="13.5">
      <c r="G5329" s="6"/>
    </row>
    <row r="5330" s="1" customFormat="1" ht="13.5">
      <c r="G5330" s="6"/>
    </row>
    <row r="5331" s="1" customFormat="1" ht="13.5">
      <c r="G5331" s="6"/>
    </row>
    <row r="5332" s="1" customFormat="1" ht="13.5">
      <c r="G5332" s="6"/>
    </row>
    <row r="5333" s="1" customFormat="1" ht="13.5">
      <c r="G5333" s="6"/>
    </row>
    <row r="5334" s="1" customFormat="1" ht="13.5">
      <c r="G5334" s="6"/>
    </row>
    <row r="5335" s="1" customFormat="1" ht="13.5">
      <c r="G5335" s="6"/>
    </row>
    <row r="5336" s="1" customFormat="1" ht="13.5">
      <c r="G5336" s="6"/>
    </row>
    <row r="5337" s="1" customFormat="1" ht="13.5">
      <c r="G5337" s="6"/>
    </row>
    <row r="5338" s="1" customFormat="1" ht="13.5">
      <c r="G5338" s="6"/>
    </row>
    <row r="5339" s="1" customFormat="1" ht="13.5">
      <c r="G5339" s="6"/>
    </row>
    <row r="5340" s="1" customFormat="1" ht="13.5">
      <c r="G5340" s="6"/>
    </row>
    <row r="5341" s="1" customFormat="1" ht="13.5">
      <c r="G5341" s="6"/>
    </row>
    <row r="5342" s="1" customFormat="1" ht="13.5">
      <c r="G5342" s="6"/>
    </row>
    <row r="5343" s="1" customFormat="1" ht="13.5">
      <c r="G5343" s="6"/>
    </row>
    <row r="5344" s="1" customFormat="1" ht="13.5">
      <c r="G5344" s="6"/>
    </row>
    <row r="5345" s="1" customFormat="1" ht="13.5">
      <c r="G5345" s="6"/>
    </row>
    <row r="5346" s="1" customFormat="1" ht="13.5">
      <c r="G5346" s="6"/>
    </row>
    <row r="5347" s="1" customFormat="1" ht="13.5">
      <c r="G5347" s="6"/>
    </row>
    <row r="5348" s="1" customFormat="1" ht="13.5">
      <c r="G5348" s="6"/>
    </row>
    <row r="5349" s="1" customFormat="1" ht="13.5">
      <c r="G5349" s="6"/>
    </row>
    <row r="5350" s="1" customFormat="1" ht="13.5">
      <c r="G5350" s="6"/>
    </row>
    <row r="5351" s="1" customFormat="1" ht="13.5">
      <c r="G5351" s="6"/>
    </row>
    <row r="5352" s="1" customFormat="1" ht="13.5">
      <c r="G5352" s="6"/>
    </row>
    <row r="5353" s="1" customFormat="1" ht="13.5">
      <c r="G5353" s="6"/>
    </row>
    <row r="5354" s="1" customFormat="1" ht="13.5">
      <c r="G5354" s="6"/>
    </row>
    <row r="5355" s="1" customFormat="1" ht="13.5">
      <c r="G5355" s="6"/>
    </row>
    <row r="5356" s="1" customFormat="1" ht="13.5">
      <c r="G5356" s="6"/>
    </row>
    <row r="5357" s="1" customFormat="1" ht="13.5">
      <c r="G5357" s="6"/>
    </row>
    <row r="5358" s="1" customFormat="1" ht="13.5">
      <c r="G5358" s="6"/>
    </row>
    <row r="5359" s="1" customFormat="1" ht="13.5">
      <c r="G5359" s="6"/>
    </row>
    <row r="5360" s="1" customFormat="1" ht="13.5">
      <c r="G5360" s="6"/>
    </row>
    <row r="5361" s="1" customFormat="1" ht="13.5">
      <c r="G5361" s="6"/>
    </row>
    <row r="5362" s="1" customFormat="1" ht="13.5">
      <c r="G5362" s="6"/>
    </row>
    <row r="5363" s="1" customFormat="1" ht="13.5">
      <c r="G5363" s="6"/>
    </row>
    <row r="5364" s="1" customFormat="1" ht="13.5">
      <c r="G5364" s="6"/>
    </row>
    <row r="5365" s="1" customFormat="1" ht="13.5">
      <c r="G5365" s="6"/>
    </row>
    <row r="5366" s="1" customFormat="1" ht="13.5">
      <c r="G5366" s="6"/>
    </row>
    <row r="5367" s="1" customFormat="1" ht="13.5">
      <c r="G5367" s="6"/>
    </row>
    <row r="5368" s="1" customFormat="1" ht="13.5">
      <c r="G5368" s="6"/>
    </row>
    <row r="5369" s="1" customFormat="1" ht="13.5">
      <c r="G5369" s="6"/>
    </row>
    <row r="5370" s="1" customFormat="1" ht="13.5">
      <c r="G5370" s="6"/>
    </row>
    <row r="5371" s="1" customFormat="1" ht="13.5">
      <c r="G5371" s="6"/>
    </row>
    <row r="5372" s="1" customFormat="1" ht="13.5">
      <c r="G5372" s="6"/>
    </row>
    <row r="5373" s="1" customFormat="1" ht="13.5">
      <c r="G5373" s="6"/>
    </row>
    <row r="5374" s="1" customFormat="1" ht="13.5">
      <c r="G5374" s="6"/>
    </row>
    <row r="5375" s="1" customFormat="1" ht="13.5">
      <c r="G5375" s="6"/>
    </row>
    <row r="5376" s="1" customFormat="1" ht="13.5">
      <c r="G5376" s="6"/>
    </row>
    <row r="5377" s="1" customFormat="1" ht="13.5">
      <c r="G5377" s="6"/>
    </row>
    <row r="5378" s="1" customFormat="1" ht="13.5">
      <c r="G5378" s="6"/>
    </row>
    <row r="5379" s="1" customFormat="1" ht="13.5">
      <c r="G5379" s="6"/>
    </row>
    <row r="5380" s="1" customFormat="1" ht="13.5">
      <c r="G5380" s="6"/>
    </row>
    <row r="5381" s="1" customFormat="1" ht="13.5">
      <c r="G5381" s="6"/>
    </row>
    <row r="5382" s="1" customFormat="1" ht="13.5">
      <c r="G5382" s="6"/>
    </row>
    <row r="5383" s="1" customFormat="1" ht="13.5">
      <c r="G5383" s="6"/>
    </row>
    <row r="5384" s="1" customFormat="1" ht="13.5">
      <c r="G5384" s="6"/>
    </row>
    <row r="5385" s="1" customFormat="1" ht="13.5">
      <c r="G5385" s="6"/>
    </row>
    <row r="5386" s="1" customFormat="1" ht="13.5">
      <c r="G5386" s="6"/>
    </row>
    <row r="5387" s="1" customFormat="1" ht="13.5">
      <c r="G5387" s="6"/>
    </row>
    <row r="5388" s="1" customFormat="1" ht="13.5">
      <c r="G5388" s="6"/>
    </row>
    <row r="5389" s="1" customFormat="1" ht="13.5">
      <c r="G5389" s="6"/>
    </row>
    <row r="5390" s="1" customFormat="1" ht="13.5">
      <c r="G5390" s="6"/>
    </row>
    <row r="5391" s="1" customFormat="1" ht="13.5">
      <c r="G5391" s="6"/>
    </row>
    <row r="5392" s="1" customFormat="1" ht="13.5">
      <c r="G5392" s="6"/>
    </row>
    <row r="5393" s="1" customFormat="1" ht="13.5">
      <c r="G5393" s="6"/>
    </row>
    <row r="5394" s="1" customFormat="1" ht="13.5">
      <c r="G5394" s="6"/>
    </row>
    <row r="5395" s="1" customFormat="1" ht="13.5">
      <c r="G5395" s="6"/>
    </row>
    <row r="5396" s="1" customFormat="1" ht="13.5">
      <c r="G5396" s="6"/>
    </row>
    <row r="5397" s="1" customFormat="1" ht="13.5">
      <c r="G5397" s="6"/>
    </row>
    <row r="5398" s="1" customFormat="1" ht="13.5">
      <c r="G5398" s="6"/>
    </row>
    <row r="5399" s="1" customFormat="1" ht="13.5">
      <c r="G5399" s="6"/>
    </row>
    <row r="5400" s="1" customFormat="1" ht="13.5">
      <c r="G5400" s="6"/>
    </row>
    <row r="5401" s="1" customFormat="1" ht="13.5">
      <c r="G5401" s="6"/>
    </row>
    <row r="5402" s="1" customFormat="1" ht="13.5">
      <c r="G5402" s="6"/>
    </row>
    <row r="5403" s="1" customFormat="1" ht="13.5">
      <c r="G5403" s="6"/>
    </row>
    <row r="5404" s="1" customFormat="1" ht="13.5">
      <c r="G5404" s="6"/>
    </row>
    <row r="5405" s="1" customFormat="1" ht="13.5">
      <c r="G5405" s="6"/>
    </row>
    <row r="5406" s="1" customFormat="1" ht="13.5">
      <c r="G5406" s="6"/>
    </row>
    <row r="5407" s="1" customFormat="1" ht="13.5">
      <c r="G5407" s="6"/>
    </row>
    <row r="5408" s="1" customFormat="1" ht="13.5">
      <c r="G5408" s="6"/>
    </row>
    <row r="5409" s="1" customFormat="1" ht="13.5">
      <c r="G5409" s="6"/>
    </row>
    <row r="5410" s="1" customFormat="1" ht="13.5">
      <c r="G5410" s="6"/>
    </row>
    <row r="5411" s="1" customFormat="1" ht="13.5">
      <c r="G5411" s="6"/>
    </row>
    <row r="5412" s="1" customFormat="1" ht="13.5">
      <c r="G5412" s="6"/>
    </row>
    <row r="5413" s="1" customFormat="1" ht="13.5">
      <c r="G5413" s="6"/>
    </row>
    <row r="5414" s="1" customFormat="1" ht="13.5">
      <c r="G5414" s="6"/>
    </row>
    <row r="5415" s="1" customFormat="1" ht="13.5">
      <c r="G5415" s="6"/>
    </row>
    <row r="5416" s="1" customFormat="1" ht="13.5">
      <c r="G5416" s="6"/>
    </row>
    <row r="5417" s="1" customFormat="1" ht="13.5">
      <c r="G5417" s="6"/>
    </row>
    <row r="5418" s="1" customFormat="1" ht="13.5">
      <c r="G5418" s="6"/>
    </row>
    <row r="5419" s="1" customFormat="1" ht="13.5">
      <c r="G5419" s="6"/>
    </row>
    <row r="5420" s="1" customFormat="1" ht="13.5">
      <c r="G5420" s="6"/>
    </row>
    <row r="5421" s="1" customFormat="1" ht="13.5">
      <c r="G5421" s="6"/>
    </row>
    <row r="5422" s="1" customFormat="1" ht="13.5">
      <c r="G5422" s="6"/>
    </row>
    <row r="5423" s="1" customFormat="1" ht="13.5">
      <c r="G5423" s="6"/>
    </row>
    <row r="5424" s="1" customFormat="1" ht="13.5">
      <c r="G5424" s="6"/>
    </row>
    <row r="5425" s="1" customFormat="1" ht="13.5">
      <c r="G5425" s="6"/>
    </row>
    <row r="5426" s="1" customFormat="1" ht="13.5">
      <c r="G5426" s="6"/>
    </row>
    <row r="5427" s="1" customFormat="1" ht="13.5">
      <c r="G5427" s="6"/>
    </row>
    <row r="5428" s="1" customFormat="1" ht="13.5">
      <c r="G5428" s="6"/>
    </row>
    <row r="5429" s="1" customFormat="1" ht="13.5">
      <c r="G5429" s="6"/>
    </row>
    <row r="5430" s="1" customFormat="1" ht="13.5">
      <c r="G5430" s="6"/>
    </row>
    <row r="5431" s="1" customFormat="1" ht="13.5">
      <c r="G5431" s="6"/>
    </row>
    <row r="5432" s="1" customFormat="1" ht="13.5">
      <c r="G5432" s="6"/>
    </row>
    <row r="5433" s="1" customFormat="1" ht="13.5">
      <c r="G5433" s="6"/>
    </row>
    <row r="5434" s="1" customFormat="1" ht="13.5">
      <c r="G5434" s="6"/>
    </row>
    <row r="5435" s="1" customFormat="1" ht="13.5">
      <c r="G5435" s="6"/>
    </row>
    <row r="5436" s="1" customFormat="1" ht="13.5">
      <c r="G5436" s="6"/>
    </row>
    <row r="5437" s="1" customFormat="1" ht="13.5">
      <c r="G5437" s="6"/>
    </row>
    <row r="5438" s="1" customFormat="1" ht="13.5">
      <c r="G5438" s="6"/>
    </row>
    <row r="5439" s="1" customFormat="1" ht="13.5">
      <c r="G5439" s="6"/>
    </row>
    <row r="5440" s="1" customFormat="1" ht="13.5">
      <c r="G5440" s="6"/>
    </row>
    <row r="5441" s="1" customFormat="1" ht="13.5">
      <c r="G5441" s="6"/>
    </row>
    <row r="5442" s="1" customFormat="1" ht="13.5">
      <c r="G5442" s="6"/>
    </row>
    <row r="5443" s="1" customFormat="1" ht="13.5">
      <c r="G5443" s="6"/>
    </row>
    <row r="5444" s="1" customFormat="1" ht="13.5">
      <c r="G5444" s="6"/>
    </row>
    <row r="5445" s="1" customFormat="1" ht="13.5">
      <c r="G5445" s="6"/>
    </row>
    <row r="5446" s="1" customFormat="1" ht="13.5">
      <c r="G5446" s="6"/>
    </row>
    <row r="5447" s="1" customFormat="1" ht="13.5">
      <c r="G5447" s="6"/>
    </row>
    <row r="5448" s="1" customFormat="1" ht="13.5">
      <c r="G5448" s="6"/>
    </row>
    <row r="5449" s="1" customFormat="1" ht="13.5">
      <c r="G5449" s="6"/>
    </row>
    <row r="5450" s="1" customFormat="1" ht="13.5">
      <c r="G5450" s="6"/>
    </row>
    <row r="5451" s="1" customFormat="1" ht="13.5">
      <c r="G5451" s="6"/>
    </row>
    <row r="5452" s="1" customFormat="1" ht="13.5">
      <c r="G5452" s="6"/>
    </row>
    <row r="5453" s="1" customFormat="1" ht="13.5">
      <c r="G5453" s="6"/>
    </row>
    <row r="5454" s="1" customFormat="1" ht="13.5">
      <c r="G5454" s="6"/>
    </row>
    <row r="5455" s="1" customFormat="1" ht="13.5">
      <c r="G5455" s="6"/>
    </row>
    <row r="5456" s="1" customFormat="1" ht="13.5">
      <c r="G5456" s="6"/>
    </row>
    <row r="5457" s="1" customFormat="1" ht="13.5">
      <c r="G5457" s="6"/>
    </row>
    <row r="5458" s="1" customFormat="1" ht="13.5">
      <c r="G5458" s="6"/>
    </row>
    <row r="5459" s="1" customFormat="1" ht="13.5">
      <c r="G5459" s="6"/>
    </row>
    <row r="5460" s="1" customFormat="1" ht="13.5">
      <c r="G5460" s="6"/>
    </row>
    <row r="5461" s="1" customFormat="1" ht="13.5">
      <c r="G5461" s="6"/>
    </row>
    <row r="5462" s="1" customFormat="1" ht="13.5">
      <c r="G5462" s="6"/>
    </row>
    <row r="5463" s="1" customFormat="1" ht="13.5">
      <c r="G5463" s="6"/>
    </row>
    <row r="5464" s="1" customFormat="1" ht="13.5">
      <c r="G5464" s="6"/>
    </row>
    <row r="5465" s="1" customFormat="1" ht="13.5">
      <c r="G5465" s="6"/>
    </row>
    <row r="5466" s="1" customFormat="1" ht="13.5">
      <c r="G5466" s="6"/>
    </row>
    <row r="5467" s="1" customFormat="1" ht="13.5">
      <c r="G5467" s="6"/>
    </row>
    <row r="5468" s="1" customFormat="1" ht="13.5">
      <c r="G5468" s="6"/>
    </row>
    <row r="5469" s="1" customFormat="1" ht="13.5">
      <c r="G5469" s="6"/>
    </row>
    <row r="5470" s="1" customFormat="1" ht="13.5">
      <c r="G5470" s="6"/>
    </row>
    <row r="5471" s="1" customFormat="1" ht="13.5">
      <c r="G5471" s="6"/>
    </row>
    <row r="5472" s="1" customFormat="1" ht="13.5">
      <c r="G5472" s="6"/>
    </row>
    <row r="5473" s="1" customFormat="1" ht="13.5">
      <c r="G5473" s="6"/>
    </row>
    <row r="5474" s="1" customFormat="1" ht="13.5">
      <c r="G5474" s="6"/>
    </row>
    <row r="5475" s="1" customFormat="1" ht="13.5">
      <c r="G5475" s="6"/>
    </row>
    <row r="5476" s="1" customFormat="1" ht="13.5">
      <c r="G5476" s="6"/>
    </row>
    <row r="5477" s="1" customFormat="1" ht="13.5">
      <c r="G5477" s="6"/>
    </row>
    <row r="5478" s="1" customFormat="1" ht="13.5">
      <c r="G5478" s="6"/>
    </row>
    <row r="5479" s="1" customFormat="1" ht="13.5">
      <c r="G5479" s="6"/>
    </row>
    <row r="5480" s="1" customFormat="1" ht="13.5">
      <c r="G5480" s="6"/>
    </row>
    <row r="5481" s="1" customFormat="1" ht="13.5">
      <c r="G5481" s="6"/>
    </row>
    <row r="5482" s="1" customFormat="1" ht="13.5">
      <c r="G5482" s="6"/>
    </row>
    <row r="5483" s="1" customFormat="1" ht="13.5">
      <c r="G5483" s="6"/>
    </row>
    <row r="5484" s="1" customFormat="1" ht="13.5">
      <c r="G5484" s="6"/>
    </row>
    <row r="5485" s="1" customFormat="1" ht="13.5">
      <c r="G5485" s="6"/>
    </row>
    <row r="5486" s="1" customFormat="1" ht="13.5">
      <c r="G5486" s="6"/>
    </row>
    <row r="5487" s="1" customFormat="1" ht="13.5">
      <c r="G5487" s="6"/>
    </row>
    <row r="5488" s="1" customFormat="1" ht="13.5">
      <c r="G5488" s="6"/>
    </row>
    <row r="5489" s="1" customFormat="1" ht="13.5">
      <c r="G5489" s="6"/>
    </row>
    <row r="5490" s="1" customFormat="1" ht="13.5">
      <c r="G5490" s="6"/>
    </row>
    <row r="5491" s="1" customFormat="1" ht="13.5">
      <c r="G5491" s="6"/>
    </row>
    <row r="5492" s="1" customFormat="1" ht="13.5">
      <c r="G5492" s="6"/>
    </row>
    <row r="5493" s="1" customFormat="1" ht="13.5">
      <c r="G5493" s="6"/>
    </row>
    <row r="5494" s="1" customFormat="1" ht="13.5">
      <c r="G5494" s="6"/>
    </row>
    <row r="5495" s="1" customFormat="1" ht="13.5">
      <c r="G5495" s="6"/>
    </row>
    <row r="5496" s="1" customFormat="1" ht="13.5">
      <c r="G5496" s="6"/>
    </row>
    <row r="5497" s="1" customFormat="1" ht="13.5">
      <c r="G5497" s="6"/>
    </row>
    <row r="5498" s="1" customFormat="1" ht="13.5">
      <c r="G5498" s="6"/>
    </row>
    <row r="5499" s="1" customFormat="1" ht="13.5">
      <c r="G5499" s="6"/>
    </row>
    <row r="5500" s="1" customFormat="1" ht="13.5">
      <c r="G5500" s="6"/>
    </row>
    <row r="5501" s="1" customFormat="1" ht="13.5">
      <c r="G5501" s="6"/>
    </row>
    <row r="5502" s="1" customFormat="1" ht="13.5">
      <c r="G5502" s="6"/>
    </row>
    <row r="5503" s="1" customFormat="1" ht="13.5">
      <c r="G5503" s="6"/>
    </row>
    <row r="5504" s="1" customFormat="1" ht="13.5">
      <c r="G5504" s="6"/>
    </row>
    <row r="5505" s="1" customFormat="1" ht="13.5">
      <c r="G5505" s="6"/>
    </row>
    <row r="5506" s="1" customFormat="1" ht="13.5">
      <c r="G5506" s="6"/>
    </row>
    <row r="5507" s="1" customFormat="1" ht="13.5">
      <c r="G5507" s="6"/>
    </row>
    <row r="5508" s="1" customFormat="1" ht="13.5">
      <c r="G5508" s="6"/>
    </row>
    <row r="5509" s="1" customFormat="1" ht="13.5">
      <c r="G5509" s="6"/>
    </row>
    <row r="5510" s="1" customFormat="1" ht="13.5">
      <c r="G5510" s="6"/>
    </row>
    <row r="5511" s="1" customFormat="1" ht="13.5">
      <c r="G5511" s="6"/>
    </row>
    <row r="5512" s="1" customFormat="1" ht="13.5">
      <c r="G5512" s="6"/>
    </row>
    <row r="5513" s="1" customFormat="1" ht="13.5">
      <c r="G5513" s="6"/>
    </row>
    <row r="5514" s="1" customFormat="1" ht="13.5">
      <c r="G5514" s="6"/>
    </row>
    <row r="5515" s="1" customFormat="1" ht="13.5">
      <c r="G5515" s="6"/>
    </row>
    <row r="5516" s="1" customFormat="1" ht="13.5">
      <c r="G5516" s="6"/>
    </row>
    <row r="5517" s="1" customFormat="1" ht="13.5">
      <c r="G5517" s="6"/>
    </row>
    <row r="5518" s="1" customFormat="1" ht="13.5">
      <c r="G5518" s="6"/>
    </row>
    <row r="5519" s="1" customFormat="1" ht="13.5">
      <c r="G5519" s="6"/>
    </row>
    <row r="5520" s="1" customFormat="1" ht="13.5">
      <c r="G5520" s="6"/>
    </row>
    <row r="5521" s="1" customFormat="1" ht="13.5">
      <c r="G5521" s="6"/>
    </row>
    <row r="5522" s="1" customFormat="1" ht="13.5">
      <c r="G5522" s="6"/>
    </row>
    <row r="5523" s="1" customFormat="1" ht="13.5">
      <c r="G5523" s="6"/>
    </row>
    <row r="5524" s="1" customFormat="1" ht="13.5">
      <c r="G5524" s="6"/>
    </row>
    <row r="5525" s="1" customFormat="1" ht="13.5">
      <c r="G5525" s="6"/>
    </row>
    <row r="5526" s="1" customFormat="1" ht="13.5">
      <c r="G5526" s="6"/>
    </row>
    <row r="5527" s="1" customFormat="1" ht="13.5">
      <c r="G5527" s="6"/>
    </row>
    <row r="5528" s="1" customFormat="1" ht="13.5">
      <c r="G5528" s="6"/>
    </row>
    <row r="5529" s="1" customFormat="1" ht="13.5">
      <c r="G5529" s="6"/>
    </row>
    <row r="5530" s="1" customFormat="1" ht="13.5">
      <c r="G5530" s="6"/>
    </row>
    <row r="5531" s="1" customFormat="1" ht="13.5">
      <c r="G5531" s="6"/>
    </row>
    <row r="5532" s="1" customFormat="1" ht="13.5">
      <c r="G5532" s="6"/>
    </row>
    <row r="5533" s="1" customFormat="1" ht="13.5">
      <c r="G5533" s="6"/>
    </row>
    <row r="5534" s="1" customFormat="1" ht="13.5">
      <c r="G5534" s="6"/>
    </row>
    <row r="5535" s="1" customFormat="1" ht="13.5">
      <c r="G5535" s="6"/>
    </row>
    <row r="5536" s="1" customFormat="1" ht="13.5">
      <c r="G5536" s="6"/>
    </row>
    <row r="5537" s="1" customFormat="1" ht="13.5">
      <c r="G5537" s="6"/>
    </row>
    <row r="5538" s="1" customFormat="1" ht="13.5">
      <c r="G5538" s="6"/>
    </row>
    <row r="5539" s="1" customFormat="1" ht="13.5">
      <c r="G5539" s="6"/>
    </row>
    <row r="5540" s="1" customFormat="1" ht="13.5">
      <c r="G5540" s="6"/>
    </row>
    <row r="5541" s="1" customFormat="1" ht="13.5">
      <c r="G5541" s="6"/>
    </row>
    <row r="5542" s="1" customFormat="1" ht="13.5">
      <c r="G5542" s="6"/>
    </row>
    <row r="5543" s="1" customFormat="1" ht="13.5">
      <c r="G5543" s="6"/>
    </row>
    <row r="5544" s="1" customFormat="1" ht="13.5">
      <c r="G5544" s="6"/>
    </row>
    <row r="5545" s="1" customFormat="1" ht="13.5">
      <c r="G5545" s="6"/>
    </row>
    <row r="5546" s="1" customFormat="1" ht="13.5">
      <c r="G5546" s="6"/>
    </row>
    <row r="5547" s="1" customFormat="1" ht="13.5">
      <c r="G5547" s="6"/>
    </row>
    <row r="5548" s="1" customFormat="1" ht="13.5">
      <c r="G5548" s="6"/>
    </row>
    <row r="5549" s="1" customFormat="1" ht="13.5">
      <c r="G5549" s="6"/>
    </row>
    <row r="5550" s="1" customFormat="1" ht="13.5">
      <c r="G5550" s="6"/>
    </row>
    <row r="5551" s="1" customFormat="1" ht="13.5">
      <c r="G5551" s="6"/>
    </row>
    <row r="5552" s="1" customFormat="1" ht="13.5">
      <c r="G5552" s="6"/>
    </row>
    <row r="5553" s="1" customFormat="1" ht="13.5">
      <c r="G5553" s="6"/>
    </row>
    <row r="5554" s="1" customFormat="1" ht="13.5">
      <c r="G5554" s="6"/>
    </row>
    <row r="5555" s="1" customFormat="1" ht="13.5">
      <c r="G5555" s="6"/>
    </row>
    <row r="5556" s="1" customFormat="1" ht="13.5">
      <c r="G5556" s="6"/>
    </row>
    <row r="5557" s="1" customFormat="1" ht="13.5">
      <c r="G5557" s="6"/>
    </row>
    <row r="5558" s="1" customFormat="1" ht="13.5">
      <c r="G5558" s="6"/>
    </row>
    <row r="5559" s="1" customFormat="1" ht="13.5">
      <c r="G5559" s="6"/>
    </row>
    <row r="5560" s="1" customFormat="1" ht="13.5">
      <c r="G5560" s="6"/>
    </row>
    <row r="5561" s="1" customFormat="1" ht="13.5">
      <c r="G5561" s="6"/>
    </row>
    <row r="5562" s="1" customFormat="1" ht="13.5">
      <c r="G5562" s="6"/>
    </row>
    <row r="5563" s="1" customFormat="1" ht="13.5">
      <c r="G5563" s="6"/>
    </row>
    <row r="5564" s="1" customFormat="1" ht="13.5">
      <c r="G5564" s="6"/>
    </row>
    <row r="5565" s="1" customFormat="1" ht="13.5">
      <c r="G5565" s="6"/>
    </row>
    <row r="5566" s="1" customFormat="1" ht="13.5">
      <c r="G5566" s="6"/>
    </row>
    <row r="5567" s="1" customFormat="1" ht="13.5">
      <c r="G5567" s="6"/>
    </row>
    <row r="5568" s="1" customFormat="1" ht="13.5">
      <c r="G5568" s="6"/>
    </row>
    <row r="5569" s="1" customFormat="1" ht="13.5">
      <c r="G5569" s="6"/>
    </row>
    <row r="5570" s="1" customFormat="1" ht="13.5">
      <c r="G5570" s="6"/>
    </row>
    <row r="5571" s="1" customFormat="1" ht="13.5">
      <c r="G5571" s="6"/>
    </row>
    <row r="5572" s="1" customFormat="1" ht="13.5">
      <c r="G5572" s="6"/>
    </row>
    <row r="5573" s="1" customFormat="1" ht="13.5">
      <c r="G5573" s="6"/>
    </row>
    <row r="5574" s="1" customFormat="1" ht="13.5">
      <c r="G5574" s="6"/>
    </row>
    <row r="5575" s="1" customFormat="1" ht="13.5">
      <c r="G5575" s="6"/>
    </row>
    <row r="5576" s="1" customFormat="1" ht="13.5">
      <c r="G5576" s="6"/>
    </row>
    <row r="5577" s="1" customFormat="1" ht="13.5">
      <c r="G5577" s="6"/>
    </row>
    <row r="5578" s="1" customFormat="1" ht="13.5">
      <c r="G5578" s="6"/>
    </row>
    <row r="5579" s="1" customFormat="1" ht="13.5">
      <c r="G5579" s="6"/>
    </row>
    <row r="5580" s="1" customFormat="1" ht="13.5">
      <c r="G5580" s="6"/>
    </row>
    <row r="5581" s="1" customFormat="1" ht="13.5">
      <c r="G5581" s="6"/>
    </row>
    <row r="5582" s="1" customFormat="1" ht="13.5">
      <c r="G5582" s="6"/>
    </row>
    <row r="5583" s="1" customFormat="1" ht="13.5">
      <c r="G5583" s="6"/>
    </row>
    <row r="5584" s="1" customFormat="1" ht="13.5">
      <c r="G5584" s="6"/>
    </row>
    <row r="5585" s="1" customFormat="1" ht="13.5">
      <c r="G5585" s="6"/>
    </row>
    <row r="5586" s="1" customFormat="1" ht="13.5">
      <c r="G5586" s="6"/>
    </row>
    <row r="5587" s="1" customFormat="1" ht="13.5">
      <c r="G5587" s="6"/>
    </row>
    <row r="5588" s="1" customFormat="1" ht="13.5">
      <c r="G5588" s="6"/>
    </row>
    <row r="5589" s="1" customFormat="1" ht="13.5">
      <c r="G5589" s="6"/>
    </row>
    <row r="5590" s="1" customFormat="1" ht="13.5">
      <c r="G5590" s="6"/>
    </row>
    <row r="5591" s="1" customFormat="1" ht="13.5">
      <c r="G5591" s="6"/>
    </row>
    <row r="5592" s="1" customFormat="1" ht="13.5">
      <c r="G5592" s="6"/>
    </row>
    <row r="5593" s="1" customFormat="1" ht="13.5">
      <c r="G5593" s="6"/>
    </row>
    <row r="5594" s="1" customFormat="1" ht="13.5">
      <c r="G5594" s="6"/>
    </row>
    <row r="5595" s="1" customFormat="1" ht="13.5">
      <c r="G5595" s="6"/>
    </row>
    <row r="5596" s="1" customFormat="1" ht="13.5">
      <c r="G5596" s="6"/>
    </row>
    <row r="5597" s="1" customFormat="1" ht="13.5">
      <c r="G5597" s="6"/>
    </row>
    <row r="5598" s="1" customFormat="1" ht="13.5">
      <c r="G5598" s="6"/>
    </row>
    <row r="5599" s="1" customFormat="1" ht="13.5">
      <c r="G5599" s="6"/>
    </row>
    <row r="5600" s="1" customFormat="1" ht="13.5">
      <c r="G5600" s="6"/>
    </row>
    <row r="5601" s="1" customFormat="1" ht="13.5">
      <c r="G5601" s="6"/>
    </row>
    <row r="5602" s="1" customFormat="1" ht="13.5">
      <c r="G5602" s="6"/>
    </row>
    <row r="5603" s="1" customFormat="1" ht="13.5">
      <c r="G5603" s="6"/>
    </row>
    <row r="5604" s="1" customFormat="1" ht="13.5">
      <c r="G5604" s="6"/>
    </row>
    <row r="5605" s="1" customFormat="1" ht="13.5">
      <c r="G5605" s="6"/>
    </row>
    <row r="5606" s="1" customFormat="1" ht="13.5">
      <c r="G5606" s="6"/>
    </row>
    <row r="5607" s="1" customFormat="1" ht="13.5">
      <c r="G5607" s="6"/>
    </row>
    <row r="5608" s="1" customFormat="1" ht="13.5">
      <c r="G5608" s="6"/>
    </row>
    <row r="5609" s="1" customFormat="1" ht="13.5">
      <c r="G5609" s="6"/>
    </row>
    <row r="5610" s="1" customFormat="1" ht="13.5">
      <c r="G5610" s="6"/>
    </row>
    <row r="5611" s="1" customFormat="1" ht="13.5">
      <c r="G5611" s="6"/>
    </row>
    <row r="5612" s="1" customFormat="1" ht="13.5">
      <c r="G5612" s="6"/>
    </row>
    <row r="5613" s="1" customFormat="1" ht="13.5">
      <c r="G5613" s="6"/>
    </row>
    <row r="5614" s="1" customFormat="1" ht="13.5">
      <c r="G5614" s="6"/>
    </row>
    <row r="5615" s="1" customFormat="1" ht="13.5">
      <c r="G5615" s="6"/>
    </row>
    <row r="5616" s="1" customFormat="1" ht="13.5">
      <c r="G5616" s="6"/>
    </row>
    <row r="5617" s="1" customFormat="1" ht="13.5">
      <c r="G5617" s="6"/>
    </row>
    <row r="5618" s="1" customFormat="1" ht="13.5">
      <c r="G5618" s="6"/>
    </row>
    <row r="5619" s="1" customFormat="1" ht="13.5">
      <c r="G5619" s="6"/>
    </row>
    <row r="5620" s="1" customFormat="1" ht="13.5">
      <c r="G5620" s="6"/>
    </row>
    <row r="5621" s="1" customFormat="1" ht="13.5">
      <c r="G5621" s="6"/>
    </row>
    <row r="5622" s="1" customFormat="1" ht="13.5">
      <c r="G5622" s="6"/>
    </row>
    <row r="5623" s="1" customFormat="1" ht="13.5">
      <c r="G5623" s="6"/>
    </row>
    <row r="5624" s="1" customFormat="1" ht="13.5">
      <c r="G5624" s="6"/>
    </row>
    <row r="5625" s="1" customFormat="1" ht="13.5">
      <c r="G5625" s="6"/>
    </row>
    <row r="5626" s="1" customFormat="1" ht="13.5">
      <c r="G5626" s="6"/>
    </row>
    <row r="5627" s="1" customFormat="1" ht="13.5">
      <c r="G5627" s="6"/>
    </row>
    <row r="5628" s="1" customFormat="1" ht="13.5">
      <c r="G5628" s="6"/>
    </row>
    <row r="5629" s="1" customFormat="1" ht="13.5">
      <c r="G5629" s="6"/>
    </row>
    <row r="5630" s="1" customFormat="1" ht="13.5">
      <c r="G5630" s="6"/>
    </row>
    <row r="5631" s="1" customFormat="1" ht="13.5">
      <c r="G5631" s="6"/>
    </row>
    <row r="5632" s="1" customFormat="1" ht="13.5">
      <c r="G5632" s="6"/>
    </row>
    <row r="5633" s="1" customFormat="1" ht="13.5">
      <c r="G5633" s="6"/>
    </row>
    <row r="5634" s="1" customFormat="1" ht="13.5">
      <c r="G5634" s="6"/>
    </row>
    <row r="5635" s="1" customFormat="1" ht="13.5">
      <c r="G5635" s="6"/>
    </row>
    <row r="5636" s="1" customFormat="1" ht="13.5">
      <c r="G5636" s="6"/>
    </row>
    <row r="5637" s="1" customFormat="1" ht="13.5">
      <c r="G5637" s="6"/>
    </row>
    <row r="5638" s="1" customFormat="1" ht="13.5">
      <c r="G5638" s="6"/>
    </row>
    <row r="5639" s="1" customFormat="1" ht="13.5">
      <c r="G5639" s="6"/>
    </row>
    <row r="5640" s="1" customFormat="1" ht="13.5">
      <c r="G5640" s="6"/>
    </row>
    <row r="5641" s="1" customFormat="1" ht="13.5">
      <c r="G5641" s="6"/>
    </row>
    <row r="5642" s="1" customFormat="1" ht="13.5">
      <c r="G5642" s="6"/>
    </row>
    <row r="5643" s="1" customFormat="1" ht="13.5">
      <c r="G5643" s="6"/>
    </row>
    <row r="5644" s="1" customFormat="1" ht="13.5">
      <c r="G5644" s="6"/>
    </row>
    <row r="5645" s="1" customFormat="1" ht="13.5">
      <c r="G5645" s="6"/>
    </row>
    <row r="5646" s="1" customFormat="1" ht="13.5">
      <c r="G5646" s="6"/>
    </row>
    <row r="5647" s="1" customFormat="1" ht="13.5">
      <c r="G5647" s="6"/>
    </row>
    <row r="5648" s="1" customFormat="1" ht="13.5">
      <c r="G5648" s="6"/>
    </row>
    <row r="5649" s="1" customFormat="1" ht="13.5">
      <c r="G5649" s="6"/>
    </row>
    <row r="5650" s="1" customFormat="1" ht="13.5">
      <c r="G5650" s="6"/>
    </row>
    <row r="5651" s="1" customFormat="1" ht="13.5">
      <c r="G5651" s="6"/>
    </row>
    <row r="5652" s="1" customFormat="1" ht="13.5">
      <c r="G5652" s="6"/>
    </row>
    <row r="5653" s="1" customFormat="1" ht="13.5">
      <c r="G5653" s="6"/>
    </row>
    <row r="5654" s="1" customFormat="1" ht="13.5">
      <c r="G5654" s="6"/>
    </row>
    <row r="5655" s="1" customFormat="1" ht="13.5">
      <c r="G5655" s="6"/>
    </row>
    <row r="5656" s="1" customFormat="1" ht="13.5">
      <c r="G5656" s="6"/>
    </row>
    <row r="5657" s="1" customFormat="1" ht="13.5">
      <c r="G5657" s="6"/>
    </row>
    <row r="5658" s="1" customFormat="1" ht="13.5">
      <c r="G5658" s="6"/>
    </row>
    <row r="5659" s="1" customFormat="1" ht="13.5">
      <c r="G5659" s="6"/>
    </row>
    <row r="5660" s="1" customFormat="1" ht="13.5">
      <c r="G5660" s="6"/>
    </row>
    <row r="5661" s="1" customFormat="1" ht="13.5">
      <c r="G5661" s="6"/>
    </row>
    <row r="5662" s="1" customFormat="1" ht="13.5">
      <c r="G5662" s="6"/>
    </row>
    <row r="5663" s="1" customFormat="1" ht="13.5">
      <c r="G5663" s="6"/>
    </row>
    <row r="5664" s="1" customFormat="1" ht="13.5">
      <c r="G5664" s="6"/>
    </row>
    <row r="5665" s="1" customFormat="1" ht="13.5">
      <c r="G5665" s="6"/>
    </row>
    <row r="5666" s="1" customFormat="1" ht="13.5">
      <c r="G5666" s="6"/>
    </row>
    <row r="5667" s="1" customFormat="1" ht="13.5">
      <c r="G5667" s="6"/>
    </row>
    <row r="5668" s="1" customFormat="1" ht="13.5">
      <c r="G5668" s="6"/>
    </row>
    <row r="5669" s="1" customFormat="1" ht="13.5">
      <c r="G5669" s="6"/>
    </row>
    <row r="5670" s="1" customFormat="1" ht="13.5">
      <c r="G5670" s="6"/>
    </row>
    <row r="5671" s="1" customFormat="1" ht="13.5">
      <c r="G5671" s="6"/>
    </row>
    <row r="5672" s="1" customFormat="1" ht="13.5">
      <c r="G5672" s="6"/>
    </row>
    <row r="5673" s="1" customFormat="1" ht="13.5">
      <c r="G5673" s="6"/>
    </row>
    <row r="5674" s="1" customFormat="1" ht="13.5">
      <c r="G5674" s="6"/>
    </row>
    <row r="5675" s="1" customFormat="1" ht="13.5">
      <c r="G5675" s="6"/>
    </row>
    <row r="5676" s="1" customFormat="1" ht="13.5">
      <c r="G5676" s="6"/>
    </row>
    <row r="5677" s="1" customFormat="1" ht="13.5">
      <c r="G5677" s="6"/>
    </row>
    <row r="5678" s="1" customFormat="1" ht="13.5">
      <c r="G5678" s="6"/>
    </row>
    <row r="5679" s="1" customFormat="1" ht="13.5">
      <c r="G5679" s="6"/>
    </row>
    <row r="5680" s="1" customFormat="1" ht="13.5">
      <c r="G5680" s="6"/>
    </row>
    <row r="5681" s="1" customFormat="1" ht="13.5">
      <c r="G5681" s="6"/>
    </row>
    <row r="5682" s="1" customFormat="1" ht="13.5">
      <c r="G5682" s="6"/>
    </row>
    <row r="5683" s="1" customFormat="1" ht="13.5">
      <c r="G5683" s="6"/>
    </row>
    <row r="5684" s="1" customFormat="1" ht="13.5">
      <c r="G5684" s="6"/>
    </row>
    <row r="5685" s="1" customFormat="1" ht="13.5">
      <c r="G5685" s="6"/>
    </row>
    <row r="5686" s="1" customFormat="1" ht="13.5">
      <c r="G5686" s="6"/>
    </row>
    <row r="5687" s="1" customFormat="1" ht="13.5">
      <c r="G5687" s="6"/>
    </row>
    <row r="5688" s="1" customFormat="1" ht="13.5">
      <c r="G5688" s="6"/>
    </row>
    <row r="5689" s="1" customFormat="1" ht="13.5">
      <c r="G5689" s="6"/>
    </row>
    <row r="5690" s="1" customFormat="1" ht="13.5">
      <c r="G5690" s="6"/>
    </row>
    <row r="5691" s="1" customFormat="1" ht="13.5">
      <c r="G5691" s="6"/>
    </row>
    <row r="5692" s="1" customFormat="1" ht="13.5">
      <c r="G5692" s="6"/>
    </row>
    <row r="5693" s="1" customFormat="1" ht="13.5">
      <c r="G5693" s="6"/>
    </row>
    <row r="5694" s="1" customFormat="1" ht="13.5">
      <c r="G5694" s="6"/>
    </row>
    <row r="5695" s="1" customFormat="1" ht="13.5">
      <c r="G5695" s="6"/>
    </row>
    <row r="5696" s="1" customFormat="1" ht="13.5">
      <c r="G5696" s="6"/>
    </row>
    <row r="5697" s="1" customFormat="1" ht="13.5">
      <c r="G5697" s="6"/>
    </row>
    <row r="5698" s="1" customFormat="1" ht="13.5">
      <c r="G5698" s="6"/>
    </row>
    <row r="5699" s="1" customFormat="1" ht="13.5">
      <c r="G5699" s="6"/>
    </row>
    <row r="5700" s="1" customFormat="1" ht="13.5">
      <c r="G5700" s="6"/>
    </row>
    <row r="5701" s="1" customFormat="1" ht="13.5">
      <c r="G5701" s="6"/>
    </row>
    <row r="5702" s="1" customFormat="1" ht="13.5">
      <c r="G5702" s="6"/>
    </row>
    <row r="5703" s="1" customFormat="1" ht="13.5">
      <c r="G5703" s="6"/>
    </row>
    <row r="5704" s="1" customFormat="1" ht="13.5">
      <c r="G5704" s="6"/>
    </row>
    <row r="5705" s="1" customFormat="1" ht="13.5">
      <c r="G5705" s="6"/>
    </row>
    <row r="5706" s="1" customFormat="1" ht="13.5">
      <c r="G5706" s="6"/>
    </row>
    <row r="5707" s="1" customFormat="1" ht="13.5">
      <c r="G5707" s="6"/>
    </row>
    <row r="5708" s="1" customFormat="1" ht="13.5">
      <c r="G5708" s="6"/>
    </row>
    <row r="5709" s="1" customFormat="1" ht="13.5">
      <c r="G5709" s="6"/>
    </row>
    <row r="5710" s="1" customFormat="1" ht="13.5">
      <c r="G5710" s="6"/>
    </row>
    <row r="5711" s="1" customFormat="1" ht="13.5">
      <c r="G5711" s="6"/>
    </row>
    <row r="5712" s="1" customFormat="1" ht="13.5">
      <c r="G5712" s="6"/>
    </row>
    <row r="5713" s="1" customFormat="1" ht="13.5">
      <c r="G5713" s="6"/>
    </row>
    <row r="5714" s="1" customFormat="1" ht="13.5">
      <c r="G5714" s="6"/>
    </row>
    <row r="5715" s="1" customFormat="1" ht="13.5">
      <c r="G5715" s="6"/>
    </row>
    <row r="5716" s="1" customFormat="1" ht="13.5">
      <c r="G5716" s="6"/>
    </row>
    <row r="5717" s="1" customFormat="1" ht="13.5">
      <c r="G5717" s="6"/>
    </row>
    <row r="5718" s="1" customFormat="1" ht="13.5">
      <c r="G5718" s="6"/>
    </row>
    <row r="5719" s="1" customFormat="1" ht="13.5">
      <c r="G5719" s="6"/>
    </row>
    <row r="5720" s="1" customFormat="1" ht="13.5">
      <c r="G5720" s="6"/>
    </row>
    <row r="5721" s="1" customFormat="1" ht="13.5">
      <c r="G5721" s="6"/>
    </row>
    <row r="5722" s="1" customFormat="1" ht="13.5">
      <c r="G5722" s="6"/>
    </row>
    <row r="5723" s="1" customFormat="1" ht="13.5">
      <c r="G5723" s="6"/>
    </row>
    <row r="5724" s="1" customFormat="1" ht="13.5">
      <c r="G5724" s="6"/>
    </row>
    <row r="5725" s="1" customFormat="1" ht="13.5">
      <c r="G5725" s="6"/>
    </row>
    <row r="5726" s="1" customFormat="1" ht="13.5">
      <c r="G5726" s="6"/>
    </row>
    <row r="5727" s="1" customFormat="1" ht="13.5">
      <c r="G5727" s="6"/>
    </row>
    <row r="5728" s="1" customFormat="1" ht="13.5">
      <c r="G5728" s="6"/>
    </row>
    <row r="5729" s="1" customFormat="1" ht="13.5">
      <c r="G5729" s="6"/>
    </row>
    <row r="5730" s="1" customFormat="1" ht="13.5">
      <c r="G5730" s="6"/>
    </row>
    <row r="5731" s="1" customFormat="1" ht="13.5">
      <c r="G5731" s="6"/>
    </row>
    <row r="5732" s="1" customFormat="1" ht="13.5">
      <c r="G5732" s="6"/>
    </row>
    <row r="5733" s="1" customFormat="1" ht="13.5">
      <c r="G5733" s="6"/>
    </row>
    <row r="5734" s="1" customFormat="1" ht="13.5">
      <c r="G5734" s="6"/>
    </row>
    <row r="5735" s="1" customFormat="1" ht="13.5">
      <c r="G5735" s="6"/>
    </row>
    <row r="5736" s="1" customFormat="1" ht="13.5">
      <c r="G5736" s="6"/>
    </row>
    <row r="5737" s="1" customFormat="1" ht="13.5">
      <c r="G5737" s="6"/>
    </row>
    <row r="5738" s="1" customFormat="1" ht="13.5">
      <c r="G5738" s="6"/>
    </row>
    <row r="5739" s="1" customFormat="1" ht="13.5">
      <c r="G5739" s="6"/>
    </row>
    <row r="5740" s="1" customFormat="1" ht="13.5">
      <c r="G5740" s="6"/>
    </row>
    <row r="5741" s="1" customFormat="1" ht="13.5">
      <c r="G5741" s="6"/>
    </row>
    <row r="5742" s="1" customFormat="1" ht="13.5">
      <c r="G5742" s="6"/>
    </row>
    <row r="5743" s="1" customFormat="1" ht="13.5">
      <c r="G5743" s="6"/>
    </row>
    <row r="5744" s="1" customFormat="1" ht="13.5">
      <c r="G5744" s="6"/>
    </row>
    <row r="5745" s="1" customFormat="1" ht="13.5">
      <c r="G5745" s="6"/>
    </row>
    <row r="5746" s="1" customFormat="1" ht="13.5">
      <c r="G5746" s="6"/>
    </row>
    <row r="5747" s="1" customFormat="1" ht="13.5">
      <c r="G5747" s="6"/>
    </row>
    <row r="5748" s="1" customFormat="1" ht="13.5">
      <c r="G5748" s="6"/>
    </row>
    <row r="5749" s="1" customFormat="1" ht="13.5">
      <c r="G5749" s="6"/>
    </row>
    <row r="5750" s="1" customFormat="1" ht="13.5">
      <c r="G5750" s="6"/>
    </row>
    <row r="5751" s="1" customFormat="1" ht="13.5">
      <c r="G5751" s="6"/>
    </row>
    <row r="5752" s="1" customFormat="1" ht="13.5">
      <c r="G5752" s="6"/>
    </row>
    <row r="5753" s="1" customFormat="1" ht="13.5">
      <c r="G5753" s="6"/>
    </row>
    <row r="5754" s="1" customFormat="1" ht="13.5">
      <c r="G5754" s="6"/>
    </row>
    <row r="5755" s="1" customFormat="1" ht="13.5">
      <c r="G5755" s="6"/>
    </row>
    <row r="5756" s="1" customFormat="1" ht="13.5">
      <c r="G5756" s="6"/>
    </row>
    <row r="5757" s="1" customFormat="1" ht="13.5">
      <c r="G5757" s="6"/>
    </row>
    <row r="5758" s="1" customFormat="1" ht="13.5">
      <c r="G5758" s="6"/>
    </row>
    <row r="5759" s="1" customFormat="1" ht="13.5">
      <c r="G5759" s="6"/>
    </row>
    <row r="5760" s="1" customFormat="1" ht="13.5">
      <c r="G5760" s="6"/>
    </row>
    <row r="5761" s="1" customFormat="1" ht="13.5">
      <c r="G5761" s="6"/>
    </row>
    <row r="5762" s="1" customFormat="1" ht="13.5">
      <c r="G5762" s="6"/>
    </row>
    <row r="5763" s="1" customFormat="1" ht="13.5">
      <c r="G5763" s="6"/>
    </row>
    <row r="5764" s="1" customFormat="1" ht="13.5">
      <c r="G5764" s="6"/>
    </row>
    <row r="5765" s="1" customFormat="1" ht="13.5">
      <c r="G5765" s="6"/>
    </row>
    <row r="5766" s="1" customFormat="1" ht="13.5">
      <c r="G5766" s="6"/>
    </row>
    <row r="5767" s="1" customFormat="1" ht="13.5">
      <c r="G5767" s="6"/>
    </row>
    <row r="5768" s="1" customFormat="1" ht="13.5">
      <c r="G5768" s="6"/>
    </row>
    <row r="5769" s="1" customFormat="1" ht="13.5">
      <c r="G5769" s="6"/>
    </row>
    <row r="5770" s="1" customFormat="1" ht="13.5">
      <c r="G5770" s="6"/>
    </row>
    <row r="5771" s="1" customFormat="1" ht="13.5">
      <c r="G5771" s="6"/>
    </row>
    <row r="5772" s="1" customFormat="1" ht="13.5">
      <c r="G5772" s="6"/>
    </row>
    <row r="5773" s="1" customFormat="1" ht="13.5">
      <c r="G5773" s="6"/>
    </row>
    <row r="5774" s="1" customFormat="1" ht="13.5">
      <c r="G5774" s="6"/>
    </row>
    <row r="5775" s="1" customFormat="1" ht="13.5">
      <c r="G5775" s="6"/>
    </row>
    <row r="5776" s="1" customFormat="1" ht="13.5">
      <c r="G5776" s="6"/>
    </row>
    <row r="5777" s="1" customFormat="1" ht="13.5">
      <c r="G5777" s="6"/>
    </row>
    <row r="5778" s="1" customFormat="1" ht="13.5">
      <c r="G5778" s="6"/>
    </row>
    <row r="5779" s="1" customFormat="1" ht="13.5">
      <c r="G5779" s="6"/>
    </row>
    <row r="5780" s="1" customFormat="1" ht="13.5">
      <c r="G5780" s="6"/>
    </row>
    <row r="5781" s="1" customFormat="1" ht="13.5">
      <c r="G5781" s="6"/>
    </row>
    <row r="5782" s="1" customFormat="1" ht="13.5">
      <c r="G5782" s="6"/>
    </row>
    <row r="5783" s="1" customFormat="1" ht="13.5">
      <c r="G5783" s="6"/>
    </row>
    <row r="5784" s="1" customFormat="1" ht="13.5">
      <c r="G5784" s="6"/>
    </row>
    <row r="5785" s="1" customFormat="1" ht="13.5">
      <c r="G5785" s="6"/>
    </row>
    <row r="5786" s="1" customFormat="1" ht="13.5">
      <c r="G5786" s="6"/>
    </row>
    <row r="5787" s="1" customFormat="1" ht="13.5">
      <c r="G5787" s="6"/>
    </row>
    <row r="5788" s="1" customFormat="1" ht="13.5">
      <c r="G5788" s="6"/>
    </row>
    <row r="5789" s="1" customFormat="1" ht="13.5">
      <c r="G5789" s="6"/>
    </row>
    <row r="5790" s="1" customFormat="1" ht="13.5">
      <c r="G5790" s="6"/>
    </row>
    <row r="5791" s="1" customFormat="1" ht="13.5">
      <c r="G5791" s="6"/>
    </row>
    <row r="5792" s="1" customFormat="1" ht="13.5">
      <c r="G5792" s="6"/>
    </row>
    <row r="5793" s="1" customFormat="1" ht="13.5">
      <c r="G5793" s="6"/>
    </row>
    <row r="5794" s="1" customFormat="1" ht="13.5">
      <c r="G5794" s="6"/>
    </row>
    <row r="5795" s="1" customFormat="1" ht="13.5">
      <c r="G5795" s="6"/>
    </row>
    <row r="5796" s="1" customFormat="1" ht="13.5">
      <c r="G5796" s="6"/>
    </row>
    <row r="5797" s="1" customFormat="1" ht="13.5">
      <c r="G5797" s="6"/>
    </row>
    <row r="5798" s="1" customFormat="1" ht="13.5">
      <c r="G5798" s="6"/>
    </row>
    <row r="5799" s="1" customFormat="1" ht="13.5">
      <c r="G5799" s="6"/>
    </row>
    <row r="5800" s="1" customFormat="1" ht="13.5">
      <c r="G5800" s="6"/>
    </row>
    <row r="5801" s="1" customFormat="1" ht="13.5">
      <c r="G5801" s="6"/>
    </row>
    <row r="5802" s="1" customFormat="1" ht="13.5">
      <c r="G5802" s="6"/>
    </row>
    <row r="5803" s="1" customFormat="1" ht="13.5">
      <c r="G5803" s="6"/>
    </row>
    <row r="5804" s="1" customFormat="1" ht="13.5">
      <c r="G5804" s="6"/>
    </row>
    <row r="5805" s="1" customFormat="1" ht="13.5">
      <c r="G5805" s="6"/>
    </row>
    <row r="5806" s="1" customFormat="1" ht="13.5">
      <c r="G5806" s="6"/>
    </row>
    <row r="5807" s="1" customFormat="1" ht="13.5">
      <c r="G5807" s="6"/>
    </row>
    <row r="5808" s="1" customFormat="1" ht="13.5">
      <c r="G5808" s="6"/>
    </row>
    <row r="5809" s="1" customFormat="1" ht="13.5">
      <c r="G5809" s="6"/>
    </row>
    <row r="5810" s="1" customFormat="1" ht="13.5">
      <c r="G5810" s="6"/>
    </row>
    <row r="5811" s="1" customFormat="1" ht="13.5">
      <c r="G5811" s="6"/>
    </row>
    <row r="5812" s="1" customFormat="1" ht="13.5">
      <c r="G5812" s="6"/>
    </row>
    <row r="5813" s="1" customFormat="1" ht="13.5">
      <c r="G5813" s="6"/>
    </row>
    <row r="5814" s="1" customFormat="1" ht="13.5">
      <c r="G5814" s="6"/>
    </row>
    <row r="5815" s="1" customFormat="1" ht="13.5">
      <c r="G5815" s="6"/>
    </row>
    <row r="5816" s="1" customFormat="1" ht="13.5">
      <c r="G5816" s="6"/>
    </row>
    <row r="5817" s="1" customFormat="1" ht="13.5">
      <c r="G5817" s="6"/>
    </row>
    <row r="5818" s="1" customFormat="1" ht="13.5">
      <c r="G5818" s="6"/>
    </row>
    <row r="5819" s="1" customFormat="1" ht="13.5">
      <c r="G5819" s="6"/>
    </row>
    <row r="5820" s="1" customFormat="1" ht="13.5">
      <c r="G5820" s="6"/>
    </row>
    <row r="5821" s="1" customFormat="1" ht="13.5">
      <c r="G5821" s="6"/>
    </row>
    <row r="5822" s="1" customFormat="1" ht="13.5">
      <c r="G5822" s="6"/>
    </row>
    <row r="5823" s="1" customFormat="1" ht="13.5">
      <c r="G5823" s="6"/>
    </row>
    <row r="5824" s="1" customFormat="1" ht="13.5">
      <c r="G5824" s="6"/>
    </row>
    <row r="5825" s="1" customFormat="1" ht="13.5">
      <c r="G5825" s="6"/>
    </row>
    <row r="5826" s="1" customFormat="1" ht="13.5">
      <c r="G5826" s="6"/>
    </row>
    <row r="5827" s="1" customFormat="1" ht="13.5">
      <c r="G5827" s="6"/>
    </row>
    <row r="5828" s="1" customFormat="1" ht="13.5">
      <c r="G5828" s="6"/>
    </row>
    <row r="5829" s="1" customFormat="1" ht="13.5">
      <c r="G5829" s="6"/>
    </row>
    <row r="5830" s="1" customFormat="1" ht="13.5">
      <c r="G5830" s="6"/>
    </row>
    <row r="5831" s="1" customFormat="1" ht="13.5">
      <c r="G5831" s="6"/>
    </row>
    <row r="5832" s="1" customFormat="1" ht="13.5">
      <c r="G5832" s="6"/>
    </row>
    <row r="5833" s="1" customFormat="1" ht="13.5">
      <c r="G5833" s="6"/>
    </row>
    <row r="5834" s="1" customFormat="1" ht="13.5">
      <c r="G5834" s="6"/>
    </row>
    <row r="5835" s="1" customFormat="1" ht="13.5">
      <c r="G5835" s="6"/>
    </row>
    <row r="5836" s="1" customFormat="1" ht="13.5">
      <c r="G5836" s="6"/>
    </row>
    <row r="5837" s="1" customFormat="1" ht="13.5">
      <c r="G5837" s="6"/>
    </row>
    <row r="5838" s="1" customFormat="1" ht="13.5">
      <c r="G5838" s="6"/>
    </row>
    <row r="5839" s="1" customFormat="1" ht="13.5">
      <c r="G5839" s="6"/>
    </row>
    <row r="5840" s="1" customFormat="1" ht="13.5">
      <c r="G5840" s="6"/>
    </row>
    <row r="5841" s="1" customFormat="1" ht="13.5">
      <c r="G5841" s="6"/>
    </row>
    <row r="5842" s="1" customFormat="1" ht="13.5">
      <c r="G5842" s="6"/>
    </row>
    <row r="5843" s="1" customFormat="1" ht="13.5">
      <c r="G5843" s="6"/>
    </row>
    <row r="5844" s="1" customFormat="1" ht="13.5">
      <c r="G5844" s="6"/>
    </row>
    <row r="5845" s="1" customFormat="1" ht="13.5">
      <c r="G5845" s="6"/>
    </row>
    <row r="5846" s="1" customFormat="1" ht="13.5">
      <c r="G5846" s="6"/>
    </row>
    <row r="5847" s="1" customFormat="1" ht="13.5">
      <c r="G5847" s="6"/>
    </row>
    <row r="5848" s="1" customFormat="1" ht="13.5">
      <c r="G5848" s="6"/>
    </row>
    <row r="5849" s="1" customFormat="1" ht="13.5">
      <c r="G5849" s="6"/>
    </row>
    <row r="5850" s="1" customFormat="1" ht="13.5">
      <c r="G5850" s="6"/>
    </row>
    <row r="5851" s="1" customFormat="1" ht="13.5">
      <c r="G5851" s="6"/>
    </row>
    <row r="5852" s="1" customFormat="1" ht="13.5">
      <c r="G5852" s="6"/>
    </row>
    <row r="5853" s="1" customFormat="1" ht="13.5">
      <c r="G5853" s="6"/>
    </row>
    <row r="5854" s="1" customFormat="1" ht="13.5">
      <c r="G5854" s="6"/>
    </row>
    <row r="5855" s="1" customFormat="1" ht="13.5">
      <c r="G5855" s="6"/>
    </row>
    <row r="5856" s="1" customFormat="1" ht="13.5">
      <c r="G5856" s="6"/>
    </row>
    <row r="5857" s="1" customFormat="1" ht="13.5">
      <c r="G5857" s="6"/>
    </row>
    <row r="5858" s="1" customFormat="1" ht="13.5">
      <c r="G5858" s="6"/>
    </row>
    <row r="5859" s="1" customFormat="1" ht="13.5">
      <c r="G5859" s="6"/>
    </row>
    <row r="5860" s="1" customFormat="1" ht="13.5">
      <c r="G5860" s="6"/>
    </row>
    <row r="5861" s="1" customFormat="1" ht="13.5">
      <c r="G5861" s="6"/>
    </row>
    <row r="5862" s="1" customFormat="1" ht="13.5">
      <c r="G5862" s="6"/>
    </row>
    <row r="5863" s="1" customFormat="1" ht="13.5">
      <c r="G5863" s="6"/>
    </row>
    <row r="5864" s="1" customFormat="1" ht="13.5">
      <c r="G5864" s="6"/>
    </row>
    <row r="5865" s="1" customFormat="1" ht="13.5">
      <c r="G5865" s="6"/>
    </row>
    <row r="5866" s="1" customFormat="1" ht="13.5">
      <c r="G5866" s="6"/>
    </row>
    <row r="5867" s="1" customFormat="1" ht="13.5">
      <c r="G5867" s="6"/>
    </row>
    <row r="5868" s="1" customFormat="1" ht="13.5">
      <c r="G5868" s="6"/>
    </row>
    <row r="5869" s="1" customFormat="1" ht="13.5">
      <c r="G5869" s="6"/>
    </row>
    <row r="5870" s="1" customFormat="1" ht="13.5">
      <c r="G5870" s="6"/>
    </row>
    <row r="5871" s="1" customFormat="1" ht="13.5">
      <c r="G5871" s="6"/>
    </row>
    <row r="5872" s="1" customFormat="1" ht="13.5">
      <c r="G5872" s="6"/>
    </row>
    <row r="5873" s="1" customFormat="1" ht="13.5">
      <c r="G5873" s="6"/>
    </row>
    <row r="5874" s="1" customFormat="1" ht="13.5">
      <c r="G5874" s="6"/>
    </row>
    <row r="5875" s="1" customFormat="1" ht="13.5">
      <c r="G5875" s="6"/>
    </row>
    <row r="5876" s="1" customFormat="1" ht="13.5">
      <c r="G5876" s="6"/>
    </row>
    <row r="5877" s="1" customFormat="1" ht="13.5">
      <c r="G5877" s="6"/>
    </row>
    <row r="5878" s="1" customFormat="1" ht="13.5">
      <c r="G5878" s="6"/>
    </row>
    <row r="5879" s="1" customFormat="1" ht="13.5">
      <c r="G5879" s="6"/>
    </row>
    <row r="5880" s="1" customFormat="1" ht="13.5">
      <c r="G5880" s="6"/>
    </row>
    <row r="5881" s="1" customFormat="1" ht="13.5">
      <c r="G5881" s="6"/>
    </row>
    <row r="5882" s="1" customFormat="1" ht="13.5">
      <c r="G5882" s="6"/>
    </row>
    <row r="5883" s="1" customFormat="1" ht="13.5">
      <c r="G5883" s="6"/>
    </row>
    <row r="5884" s="1" customFormat="1" ht="13.5">
      <c r="G5884" s="6"/>
    </row>
    <row r="5885" s="1" customFormat="1" ht="13.5">
      <c r="G5885" s="6"/>
    </row>
    <row r="5886" s="1" customFormat="1" ht="13.5">
      <c r="G5886" s="6"/>
    </row>
    <row r="5887" s="1" customFormat="1" ht="13.5">
      <c r="G5887" s="6"/>
    </row>
    <row r="5888" s="1" customFormat="1" ht="13.5">
      <c r="G5888" s="6"/>
    </row>
    <row r="5889" s="1" customFormat="1" ht="13.5">
      <c r="G5889" s="6"/>
    </row>
    <row r="5890" s="1" customFormat="1" ht="13.5">
      <c r="G5890" s="6"/>
    </row>
    <row r="5891" s="1" customFormat="1" ht="13.5">
      <c r="G5891" s="6"/>
    </row>
    <row r="5892" s="1" customFormat="1" ht="13.5">
      <c r="G5892" s="6"/>
    </row>
    <row r="5893" s="1" customFormat="1" ht="13.5">
      <c r="G5893" s="6"/>
    </row>
    <row r="5894" s="1" customFormat="1" ht="13.5">
      <c r="G5894" s="6"/>
    </row>
    <row r="5895" s="1" customFormat="1" ht="13.5">
      <c r="G5895" s="6"/>
    </row>
    <row r="5896" s="1" customFormat="1" ht="13.5">
      <c r="G5896" s="6"/>
    </row>
    <row r="5897" s="1" customFormat="1" ht="13.5">
      <c r="G5897" s="6"/>
    </row>
    <row r="5898" s="1" customFormat="1" ht="13.5">
      <c r="G5898" s="6"/>
    </row>
    <row r="5899" s="1" customFormat="1" ht="13.5">
      <c r="G5899" s="6"/>
    </row>
    <row r="5900" s="1" customFormat="1" ht="13.5">
      <c r="G5900" s="6"/>
    </row>
    <row r="5901" s="1" customFormat="1" ht="13.5">
      <c r="G5901" s="6"/>
    </row>
    <row r="5902" s="1" customFormat="1" ht="13.5">
      <c r="G5902" s="6"/>
    </row>
    <row r="5903" s="1" customFormat="1" ht="13.5">
      <c r="G5903" s="6"/>
    </row>
    <row r="5904" s="1" customFormat="1" ht="13.5">
      <c r="G5904" s="6"/>
    </row>
    <row r="5905" s="1" customFormat="1" ht="13.5">
      <c r="G5905" s="6"/>
    </row>
    <row r="5906" s="1" customFormat="1" ht="13.5">
      <c r="G5906" s="6"/>
    </row>
    <row r="5907" s="1" customFormat="1" ht="13.5">
      <c r="G5907" s="6"/>
    </row>
    <row r="5908" s="1" customFormat="1" ht="13.5">
      <c r="G5908" s="6"/>
    </row>
    <row r="5909" s="1" customFormat="1" ht="13.5">
      <c r="G5909" s="6"/>
    </row>
    <row r="5910" s="1" customFormat="1" ht="13.5">
      <c r="G5910" s="6"/>
    </row>
    <row r="5911" s="1" customFormat="1" ht="13.5">
      <c r="G5911" s="6"/>
    </row>
    <row r="5912" s="1" customFormat="1" ht="13.5">
      <c r="G5912" s="6"/>
    </row>
    <row r="5913" s="1" customFormat="1" ht="13.5">
      <c r="G5913" s="6"/>
    </row>
    <row r="5914" s="1" customFormat="1" ht="13.5">
      <c r="G5914" s="6"/>
    </row>
    <row r="5915" s="1" customFormat="1" ht="13.5">
      <c r="G5915" s="6"/>
    </row>
    <row r="5916" s="1" customFormat="1" ht="13.5">
      <c r="G5916" s="6"/>
    </row>
    <row r="5917" s="1" customFormat="1" ht="13.5">
      <c r="G5917" s="6"/>
    </row>
    <row r="5918" s="1" customFormat="1" ht="13.5">
      <c r="G5918" s="6"/>
    </row>
    <row r="5919" s="1" customFormat="1" ht="13.5">
      <c r="G5919" s="6"/>
    </row>
    <row r="5920" s="1" customFormat="1" ht="13.5">
      <c r="G5920" s="6"/>
    </row>
    <row r="5921" s="1" customFormat="1" ht="13.5">
      <c r="G5921" s="6"/>
    </row>
    <row r="5922" s="1" customFormat="1" ht="13.5">
      <c r="G5922" s="6"/>
    </row>
    <row r="5923" s="1" customFormat="1" ht="13.5">
      <c r="G5923" s="6"/>
    </row>
    <row r="5924" s="1" customFormat="1" ht="13.5">
      <c r="G5924" s="6"/>
    </row>
    <row r="5925" s="1" customFormat="1" ht="13.5">
      <c r="G5925" s="6"/>
    </row>
    <row r="5926" s="1" customFormat="1" ht="13.5">
      <c r="G5926" s="6"/>
    </row>
    <row r="5927" s="1" customFormat="1" ht="13.5">
      <c r="G5927" s="6"/>
    </row>
    <row r="5928" s="1" customFormat="1" ht="13.5">
      <c r="G5928" s="6"/>
    </row>
    <row r="5929" s="1" customFormat="1" ht="13.5">
      <c r="G5929" s="6"/>
    </row>
    <row r="5930" s="1" customFormat="1" ht="13.5">
      <c r="G5930" s="6"/>
    </row>
    <row r="5931" s="1" customFormat="1" ht="13.5">
      <c r="G5931" s="6"/>
    </row>
    <row r="5932" s="1" customFormat="1" ht="13.5">
      <c r="G5932" s="6"/>
    </row>
    <row r="5933" s="1" customFormat="1" ht="13.5">
      <c r="G5933" s="6"/>
    </row>
    <row r="5934" s="1" customFormat="1" ht="13.5">
      <c r="G5934" s="6"/>
    </row>
    <row r="5935" s="1" customFormat="1" ht="13.5">
      <c r="G5935" s="6"/>
    </row>
    <row r="5936" s="1" customFormat="1" ht="13.5">
      <c r="G5936" s="6"/>
    </row>
    <row r="5937" s="1" customFormat="1" ht="13.5">
      <c r="G5937" s="6"/>
    </row>
    <row r="5938" s="1" customFormat="1" ht="13.5">
      <c r="G5938" s="6"/>
    </row>
    <row r="5939" s="1" customFormat="1" ht="13.5">
      <c r="G5939" s="6"/>
    </row>
    <row r="5940" s="1" customFormat="1" ht="13.5">
      <c r="G5940" s="6"/>
    </row>
    <row r="5941" s="1" customFormat="1" ht="13.5">
      <c r="G5941" s="6"/>
    </row>
    <row r="5942" s="1" customFormat="1" ht="13.5">
      <c r="G5942" s="6"/>
    </row>
    <row r="5943" s="1" customFormat="1" ht="13.5">
      <c r="G5943" s="6"/>
    </row>
    <row r="5944" s="1" customFormat="1" ht="13.5">
      <c r="G5944" s="6"/>
    </row>
    <row r="5945" s="1" customFormat="1" ht="13.5">
      <c r="G5945" s="6"/>
    </row>
    <row r="5946" s="1" customFormat="1" ht="13.5">
      <c r="G5946" s="6"/>
    </row>
    <row r="5947" s="1" customFormat="1" ht="13.5">
      <c r="G5947" s="6"/>
    </row>
    <row r="5948" s="1" customFormat="1" ht="13.5">
      <c r="G5948" s="6"/>
    </row>
    <row r="5949" s="1" customFormat="1" ht="13.5">
      <c r="G5949" s="6"/>
    </row>
    <row r="5950" s="1" customFormat="1" ht="13.5">
      <c r="G5950" s="6"/>
    </row>
    <row r="5951" s="1" customFormat="1" ht="13.5">
      <c r="G5951" s="6"/>
    </row>
    <row r="5952" s="1" customFormat="1" ht="13.5">
      <c r="G5952" s="6"/>
    </row>
    <row r="5953" s="1" customFormat="1" ht="13.5">
      <c r="G5953" s="6"/>
    </row>
    <row r="5954" s="1" customFormat="1" ht="13.5">
      <c r="G5954" s="6"/>
    </row>
    <row r="5955" s="1" customFormat="1" ht="13.5">
      <c r="G5955" s="6"/>
    </row>
    <row r="5956" s="1" customFormat="1" ht="13.5">
      <c r="G5956" s="6"/>
    </row>
    <row r="5957" s="1" customFormat="1" ht="13.5">
      <c r="G5957" s="6"/>
    </row>
    <row r="5958" s="1" customFormat="1" ht="13.5">
      <c r="G5958" s="6"/>
    </row>
    <row r="5959" s="1" customFormat="1" ht="13.5">
      <c r="G5959" s="6"/>
    </row>
    <row r="5960" s="1" customFormat="1" ht="13.5">
      <c r="G5960" s="6"/>
    </row>
    <row r="5961" s="1" customFormat="1" ht="13.5">
      <c r="G5961" s="6"/>
    </row>
    <row r="5962" s="1" customFormat="1" ht="13.5">
      <c r="G5962" s="6"/>
    </row>
    <row r="5963" s="1" customFormat="1" ht="13.5">
      <c r="G5963" s="6"/>
    </row>
    <row r="5964" s="1" customFormat="1" ht="13.5">
      <c r="G5964" s="6"/>
    </row>
    <row r="5965" s="1" customFormat="1" ht="13.5">
      <c r="G5965" s="6"/>
    </row>
    <row r="5966" s="1" customFormat="1" ht="13.5">
      <c r="G5966" s="6"/>
    </row>
    <row r="5967" s="1" customFormat="1" ht="13.5">
      <c r="G5967" s="6"/>
    </row>
    <row r="5968" s="1" customFormat="1" ht="13.5">
      <c r="G5968" s="6"/>
    </row>
    <row r="5969" s="1" customFormat="1" ht="13.5">
      <c r="G5969" s="6"/>
    </row>
    <row r="5970" s="1" customFormat="1" ht="13.5">
      <c r="G5970" s="6"/>
    </row>
    <row r="5971" s="1" customFormat="1" ht="13.5">
      <c r="G5971" s="6"/>
    </row>
    <row r="5972" s="1" customFormat="1" ht="13.5">
      <c r="G5972" s="6"/>
    </row>
    <row r="5973" s="1" customFormat="1" ht="13.5">
      <c r="G5973" s="6"/>
    </row>
    <row r="5974" s="1" customFormat="1" ht="13.5">
      <c r="G5974" s="6"/>
    </row>
    <row r="5975" s="1" customFormat="1" ht="13.5">
      <c r="G5975" s="6"/>
    </row>
    <row r="5976" s="1" customFormat="1" ht="13.5">
      <c r="G5976" s="6"/>
    </row>
    <row r="5977" s="1" customFormat="1" ht="13.5">
      <c r="G5977" s="6"/>
    </row>
    <row r="5978" s="1" customFormat="1" ht="13.5">
      <c r="G5978" s="6"/>
    </row>
    <row r="5979" s="1" customFormat="1" ht="13.5">
      <c r="G5979" s="6"/>
    </row>
    <row r="5980" s="1" customFormat="1" ht="13.5">
      <c r="G5980" s="6"/>
    </row>
    <row r="5981" s="1" customFormat="1" ht="13.5">
      <c r="G5981" s="6"/>
    </row>
    <row r="5982" s="1" customFormat="1" ht="13.5">
      <c r="G5982" s="6"/>
    </row>
    <row r="5983" s="1" customFormat="1" ht="13.5">
      <c r="G5983" s="6"/>
    </row>
    <row r="5984" s="1" customFormat="1" ht="13.5">
      <c r="G5984" s="6"/>
    </row>
    <row r="5985" s="1" customFormat="1" ht="13.5">
      <c r="G5985" s="6"/>
    </row>
    <row r="5986" s="1" customFormat="1" ht="13.5">
      <c r="G5986" s="6"/>
    </row>
    <row r="5987" s="1" customFormat="1" ht="13.5">
      <c r="G5987" s="6"/>
    </row>
    <row r="5988" s="1" customFormat="1" ht="13.5">
      <c r="G5988" s="6"/>
    </row>
    <row r="5989" s="1" customFormat="1" ht="13.5">
      <c r="G5989" s="6"/>
    </row>
    <row r="5990" s="1" customFormat="1" ht="13.5">
      <c r="G5990" s="6"/>
    </row>
    <row r="5991" s="1" customFormat="1" ht="13.5">
      <c r="G5991" s="6"/>
    </row>
    <row r="5992" s="1" customFormat="1" ht="13.5">
      <c r="G5992" s="6"/>
    </row>
    <row r="5993" s="1" customFormat="1" ht="13.5">
      <c r="G5993" s="6"/>
    </row>
    <row r="5994" s="1" customFormat="1" ht="13.5">
      <c r="G5994" s="6"/>
    </row>
    <row r="5995" s="1" customFormat="1" ht="13.5">
      <c r="G5995" s="6"/>
    </row>
    <row r="5996" s="1" customFormat="1" ht="13.5">
      <c r="G5996" s="6"/>
    </row>
    <row r="5997" s="1" customFormat="1" ht="13.5">
      <c r="G5997" s="6"/>
    </row>
    <row r="5998" s="1" customFormat="1" ht="13.5">
      <c r="G5998" s="6"/>
    </row>
    <row r="5999" s="1" customFormat="1" ht="13.5">
      <c r="G5999" s="6"/>
    </row>
    <row r="6000" s="1" customFormat="1" ht="13.5">
      <c r="G6000" s="6"/>
    </row>
    <row r="6001" s="1" customFormat="1" ht="13.5">
      <c r="G6001" s="6"/>
    </row>
    <row r="6002" s="1" customFormat="1" ht="13.5">
      <c r="G6002" s="6"/>
    </row>
    <row r="6003" s="1" customFormat="1" ht="13.5">
      <c r="G6003" s="6"/>
    </row>
    <row r="6004" s="1" customFormat="1" ht="13.5">
      <c r="G6004" s="6"/>
    </row>
    <row r="6005" s="1" customFormat="1" ht="13.5">
      <c r="G6005" s="6"/>
    </row>
    <row r="6006" s="1" customFormat="1" ht="13.5">
      <c r="G6006" s="6"/>
    </row>
    <row r="6007" s="1" customFormat="1" ht="13.5">
      <c r="G6007" s="6"/>
    </row>
    <row r="6008" s="1" customFormat="1" ht="13.5">
      <c r="G6008" s="6"/>
    </row>
    <row r="6009" s="1" customFormat="1" ht="13.5">
      <c r="G6009" s="6"/>
    </row>
    <row r="6010" s="1" customFormat="1" ht="13.5">
      <c r="G6010" s="6"/>
    </row>
    <row r="6011" s="1" customFormat="1" ht="13.5">
      <c r="G6011" s="6"/>
    </row>
    <row r="6012" s="1" customFormat="1" ht="13.5">
      <c r="G6012" s="6"/>
    </row>
    <row r="6013" s="1" customFormat="1" ht="13.5">
      <c r="G6013" s="6"/>
    </row>
    <row r="6014" s="1" customFormat="1" ht="13.5">
      <c r="G6014" s="6"/>
    </row>
    <row r="6015" s="1" customFormat="1" ht="13.5">
      <c r="G6015" s="6"/>
    </row>
    <row r="6016" s="1" customFormat="1" ht="13.5">
      <c r="G6016" s="6"/>
    </row>
    <row r="6017" s="1" customFormat="1" ht="13.5">
      <c r="G6017" s="6"/>
    </row>
    <row r="6018" s="1" customFormat="1" ht="13.5">
      <c r="G6018" s="6"/>
    </row>
    <row r="6019" s="1" customFormat="1" ht="13.5">
      <c r="G6019" s="6"/>
    </row>
    <row r="6020" s="1" customFormat="1" ht="13.5">
      <c r="G6020" s="6"/>
    </row>
    <row r="6021" s="1" customFormat="1" ht="13.5">
      <c r="G6021" s="6"/>
    </row>
    <row r="6022" s="1" customFormat="1" ht="13.5">
      <c r="G6022" s="6"/>
    </row>
    <row r="6023" s="1" customFormat="1" ht="13.5">
      <c r="G6023" s="6"/>
    </row>
    <row r="6024" s="1" customFormat="1" ht="13.5">
      <c r="G6024" s="6"/>
    </row>
    <row r="6025" s="1" customFormat="1" ht="13.5">
      <c r="G6025" s="6"/>
    </row>
    <row r="6026" s="1" customFormat="1" ht="13.5">
      <c r="G6026" s="6"/>
    </row>
    <row r="6027" s="1" customFormat="1" ht="13.5">
      <c r="G6027" s="6"/>
    </row>
    <row r="6028" s="1" customFormat="1" ht="13.5">
      <c r="G6028" s="6"/>
    </row>
    <row r="6029" s="1" customFormat="1" ht="13.5">
      <c r="G6029" s="6"/>
    </row>
    <row r="6030" s="1" customFormat="1" ht="13.5">
      <c r="G6030" s="6"/>
    </row>
    <row r="6031" s="1" customFormat="1" ht="13.5">
      <c r="G6031" s="6"/>
    </row>
    <row r="6032" s="1" customFormat="1" ht="13.5">
      <c r="G6032" s="6"/>
    </row>
    <row r="6033" s="1" customFormat="1" ht="13.5">
      <c r="G6033" s="6"/>
    </row>
    <row r="6034" s="1" customFormat="1" ht="13.5">
      <c r="G6034" s="6"/>
    </row>
    <row r="6035" s="1" customFormat="1" ht="13.5">
      <c r="G6035" s="6"/>
    </row>
    <row r="6036" s="1" customFormat="1" ht="13.5">
      <c r="G6036" s="6"/>
    </row>
    <row r="6037" s="1" customFormat="1" ht="13.5">
      <c r="G6037" s="6"/>
    </row>
    <row r="6038" s="1" customFormat="1" ht="13.5">
      <c r="G6038" s="6"/>
    </row>
    <row r="6039" s="1" customFormat="1" ht="13.5">
      <c r="G6039" s="6"/>
    </row>
    <row r="6040" s="1" customFormat="1" ht="13.5">
      <c r="G6040" s="6"/>
    </row>
    <row r="6041" s="1" customFormat="1" ht="13.5">
      <c r="G6041" s="6"/>
    </row>
    <row r="6042" s="1" customFormat="1" ht="13.5">
      <c r="G6042" s="6"/>
    </row>
    <row r="6043" s="1" customFormat="1" ht="13.5">
      <c r="G6043" s="6"/>
    </row>
    <row r="6044" s="1" customFormat="1" ht="13.5">
      <c r="G6044" s="6"/>
    </row>
    <row r="6045" s="1" customFormat="1" ht="13.5">
      <c r="G6045" s="6"/>
    </row>
    <row r="6046" s="1" customFormat="1" ht="13.5">
      <c r="G6046" s="6"/>
    </row>
    <row r="6047" s="1" customFormat="1" ht="13.5">
      <c r="G6047" s="6"/>
    </row>
    <row r="6048" s="1" customFormat="1" ht="13.5">
      <c r="G6048" s="6"/>
    </row>
    <row r="6049" s="1" customFormat="1" ht="13.5">
      <c r="G6049" s="6"/>
    </row>
    <row r="6050" s="1" customFormat="1" ht="13.5">
      <c r="G6050" s="6"/>
    </row>
    <row r="6051" s="1" customFormat="1" ht="13.5">
      <c r="G6051" s="6"/>
    </row>
    <row r="6052" s="1" customFormat="1" ht="13.5">
      <c r="G6052" s="6"/>
    </row>
    <row r="6053" s="1" customFormat="1" ht="13.5">
      <c r="G6053" s="6"/>
    </row>
    <row r="6054" s="1" customFormat="1" ht="13.5">
      <c r="G6054" s="6"/>
    </row>
    <row r="6055" s="1" customFormat="1" ht="13.5">
      <c r="G6055" s="6"/>
    </row>
    <row r="6056" s="1" customFormat="1" ht="13.5">
      <c r="G6056" s="6"/>
    </row>
    <row r="6057" s="1" customFormat="1" ht="13.5">
      <c r="G6057" s="6"/>
    </row>
    <row r="6058" s="1" customFormat="1" ht="13.5">
      <c r="G6058" s="6"/>
    </row>
    <row r="6059" s="1" customFormat="1" ht="13.5">
      <c r="G6059" s="6"/>
    </row>
    <row r="6060" s="1" customFormat="1" ht="13.5">
      <c r="G6060" s="6"/>
    </row>
    <row r="6061" s="1" customFormat="1" ht="13.5">
      <c r="G6061" s="6"/>
    </row>
    <row r="6062" s="1" customFormat="1" ht="13.5">
      <c r="G6062" s="6"/>
    </row>
    <row r="6063" s="1" customFormat="1" ht="13.5">
      <c r="G6063" s="6"/>
    </row>
    <row r="6064" s="1" customFormat="1" ht="13.5">
      <c r="G6064" s="6"/>
    </row>
    <row r="6065" s="1" customFormat="1" ht="13.5">
      <c r="G6065" s="6"/>
    </row>
    <row r="6066" s="1" customFormat="1" ht="13.5">
      <c r="G6066" s="6"/>
    </row>
    <row r="6067" s="1" customFormat="1" ht="13.5">
      <c r="G6067" s="6"/>
    </row>
    <row r="6068" s="1" customFormat="1" ht="13.5">
      <c r="G6068" s="6"/>
    </row>
    <row r="6069" s="1" customFormat="1" ht="13.5">
      <c r="G6069" s="6"/>
    </row>
    <row r="6070" s="1" customFormat="1" ht="13.5">
      <c r="G6070" s="6"/>
    </row>
    <row r="6071" s="1" customFormat="1" ht="13.5">
      <c r="G6071" s="6"/>
    </row>
    <row r="6072" s="1" customFormat="1" ht="13.5">
      <c r="G6072" s="6"/>
    </row>
    <row r="6073" s="1" customFormat="1" ht="13.5">
      <c r="G6073" s="6"/>
    </row>
    <row r="6074" s="1" customFormat="1" ht="13.5">
      <c r="G6074" s="6"/>
    </row>
    <row r="6075" s="1" customFormat="1" ht="13.5">
      <c r="G6075" s="6"/>
    </row>
    <row r="6076" s="1" customFormat="1" ht="13.5">
      <c r="G6076" s="6"/>
    </row>
    <row r="6077" s="1" customFormat="1" ht="13.5">
      <c r="G6077" s="6"/>
    </row>
    <row r="6078" s="1" customFormat="1" ht="13.5">
      <c r="G6078" s="6"/>
    </row>
    <row r="6079" s="1" customFormat="1" ht="13.5">
      <c r="G6079" s="6"/>
    </row>
    <row r="6080" s="1" customFormat="1" ht="13.5">
      <c r="G6080" s="6"/>
    </row>
    <row r="6081" s="1" customFormat="1" ht="13.5">
      <c r="G6081" s="6"/>
    </row>
    <row r="6082" s="1" customFormat="1" ht="13.5">
      <c r="G6082" s="6"/>
    </row>
    <row r="6083" s="1" customFormat="1" ht="13.5">
      <c r="G6083" s="6"/>
    </row>
    <row r="6084" s="1" customFormat="1" ht="13.5">
      <c r="G6084" s="6"/>
    </row>
    <row r="6085" s="1" customFormat="1" ht="13.5">
      <c r="G6085" s="6"/>
    </row>
    <row r="6086" s="1" customFormat="1" ht="13.5">
      <c r="G6086" s="6"/>
    </row>
    <row r="6087" s="1" customFormat="1" ht="13.5">
      <c r="G6087" s="6"/>
    </row>
    <row r="6088" s="1" customFormat="1" ht="13.5">
      <c r="G6088" s="6"/>
    </row>
    <row r="6089" s="1" customFormat="1" ht="13.5">
      <c r="G6089" s="6"/>
    </row>
    <row r="6090" s="1" customFormat="1" ht="13.5">
      <c r="G6090" s="6"/>
    </row>
    <row r="6091" s="1" customFormat="1" ht="13.5">
      <c r="G6091" s="6"/>
    </row>
    <row r="6092" s="1" customFormat="1" ht="13.5">
      <c r="G6092" s="6"/>
    </row>
    <row r="6093" s="1" customFormat="1" ht="13.5">
      <c r="G6093" s="6"/>
    </row>
    <row r="6094" s="1" customFormat="1" ht="13.5">
      <c r="G6094" s="6"/>
    </row>
    <row r="6095" s="1" customFormat="1" ht="13.5">
      <c r="G6095" s="6"/>
    </row>
    <row r="6096" s="1" customFormat="1" ht="13.5">
      <c r="G6096" s="6"/>
    </row>
    <row r="6097" s="1" customFormat="1" ht="13.5">
      <c r="G6097" s="6"/>
    </row>
    <row r="6098" s="1" customFormat="1" ht="13.5">
      <c r="G6098" s="6"/>
    </row>
    <row r="6099" s="1" customFormat="1" ht="13.5">
      <c r="G6099" s="6"/>
    </row>
    <row r="6100" s="1" customFormat="1" ht="13.5">
      <c r="G6100" s="6"/>
    </row>
    <row r="6101" s="1" customFormat="1" ht="13.5">
      <c r="G6101" s="6"/>
    </row>
    <row r="6102" s="1" customFormat="1" ht="13.5">
      <c r="G6102" s="6"/>
    </row>
    <row r="6103" s="1" customFormat="1" ht="13.5">
      <c r="G6103" s="6"/>
    </row>
    <row r="6104" s="1" customFormat="1" ht="13.5">
      <c r="G6104" s="6"/>
    </row>
    <row r="6105" s="1" customFormat="1" ht="13.5">
      <c r="G6105" s="6"/>
    </row>
    <row r="6106" s="1" customFormat="1" ht="13.5">
      <c r="G6106" s="6"/>
    </row>
    <row r="6107" s="1" customFormat="1" ht="13.5">
      <c r="G6107" s="6"/>
    </row>
    <row r="6108" s="1" customFormat="1" ht="13.5">
      <c r="G6108" s="6"/>
    </row>
    <row r="6109" s="1" customFormat="1" ht="13.5">
      <c r="G6109" s="6"/>
    </row>
    <row r="6110" s="1" customFormat="1" ht="13.5">
      <c r="G6110" s="6"/>
    </row>
    <row r="6111" s="1" customFormat="1" ht="13.5">
      <c r="G6111" s="6"/>
    </row>
    <row r="6112" s="1" customFormat="1" ht="13.5">
      <c r="G6112" s="6"/>
    </row>
    <row r="6113" s="1" customFormat="1" ht="13.5">
      <c r="G6113" s="6"/>
    </row>
    <row r="6114" s="1" customFormat="1" ht="13.5">
      <c r="G6114" s="6"/>
    </row>
    <row r="6115" s="1" customFormat="1" ht="13.5">
      <c r="G6115" s="6"/>
    </row>
    <row r="6116" s="1" customFormat="1" ht="13.5">
      <c r="G6116" s="6"/>
    </row>
    <row r="6117" s="1" customFormat="1" ht="13.5">
      <c r="G6117" s="6"/>
    </row>
    <row r="6118" s="1" customFormat="1" ht="13.5">
      <c r="G6118" s="6"/>
    </row>
    <row r="6119" s="1" customFormat="1" ht="13.5">
      <c r="G6119" s="6"/>
    </row>
    <row r="6120" s="1" customFormat="1" ht="13.5">
      <c r="G6120" s="6"/>
    </row>
    <row r="6121" s="1" customFormat="1" ht="13.5">
      <c r="G6121" s="6"/>
    </row>
    <row r="6122" s="1" customFormat="1" ht="13.5">
      <c r="G6122" s="6"/>
    </row>
    <row r="6123" s="1" customFormat="1" ht="13.5">
      <c r="G6123" s="6"/>
    </row>
    <row r="6124" s="1" customFormat="1" ht="13.5">
      <c r="G6124" s="6"/>
    </row>
    <row r="6125" s="1" customFormat="1" ht="13.5">
      <c r="G6125" s="6"/>
    </row>
    <row r="6126" s="1" customFormat="1" ht="13.5">
      <c r="G6126" s="6"/>
    </row>
    <row r="6127" s="1" customFormat="1" ht="13.5">
      <c r="G6127" s="6"/>
    </row>
    <row r="6128" s="1" customFormat="1" ht="13.5">
      <c r="G6128" s="6"/>
    </row>
    <row r="6129" s="1" customFormat="1" ht="13.5">
      <c r="G6129" s="6"/>
    </row>
    <row r="6130" s="1" customFormat="1" ht="13.5">
      <c r="G6130" s="6"/>
    </row>
    <row r="6131" s="1" customFormat="1" ht="13.5">
      <c r="G6131" s="6"/>
    </row>
    <row r="6132" s="1" customFormat="1" ht="13.5">
      <c r="G6132" s="6"/>
    </row>
    <row r="6133" s="1" customFormat="1" ht="13.5">
      <c r="G6133" s="6"/>
    </row>
    <row r="6134" s="1" customFormat="1" ht="13.5">
      <c r="G6134" s="6"/>
    </row>
    <row r="6135" s="1" customFormat="1" ht="13.5">
      <c r="G6135" s="6"/>
    </row>
    <row r="6136" s="1" customFormat="1" ht="13.5">
      <c r="G6136" s="6"/>
    </row>
    <row r="6137" s="1" customFormat="1" ht="13.5">
      <c r="G6137" s="6"/>
    </row>
    <row r="6138" s="1" customFormat="1" ht="13.5">
      <c r="G6138" s="6"/>
    </row>
    <row r="6139" s="1" customFormat="1" ht="13.5">
      <c r="G6139" s="6"/>
    </row>
    <row r="6140" s="1" customFormat="1" ht="13.5">
      <c r="G6140" s="6"/>
    </row>
    <row r="6141" s="1" customFormat="1" ht="13.5">
      <c r="G6141" s="6"/>
    </row>
    <row r="6142" s="1" customFormat="1" ht="13.5">
      <c r="G6142" s="6"/>
    </row>
    <row r="6143" s="1" customFormat="1" ht="13.5">
      <c r="G6143" s="6"/>
    </row>
    <row r="6144" s="1" customFormat="1" ht="13.5">
      <c r="G6144" s="6"/>
    </row>
    <row r="6145" s="1" customFormat="1" ht="13.5">
      <c r="G6145" s="6"/>
    </row>
    <row r="6146" s="1" customFormat="1" ht="13.5">
      <c r="G6146" s="6"/>
    </row>
    <row r="6147" s="1" customFormat="1" ht="13.5">
      <c r="G6147" s="6"/>
    </row>
    <row r="6148" s="1" customFormat="1" ht="13.5">
      <c r="G6148" s="6"/>
    </row>
    <row r="6149" s="1" customFormat="1" ht="13.5">
      <c r="G6149" s="6"/>
    </row>
    <row r="6150" s="1" customFormat="1" ht="13.5">
      <c r="G6150" s="6"/>
    </row>
    <row r="6151" s="1" customFormat="1" ht="13.5">
      <c r="G6151" s="6"/>
    </row>
    <row r="6152" s="1" customFormat="1" ht="13.5">
      <c r="G6152" s="6"/>
    </row>
    <row r="6153" s="1" customFormat="1" ht="13.5">
      <c r="G6153" s="6"/>
    </row>
    <row r="6154" s="1" customFormat="1" ht="13.5">
      <c r="G6154" s="6"/>
    </row>
    <row r="6155" s="1" customFormat="1" ht="13.5">
      <c r="G6155" s="6"/>
    </row>
    <row r="6156" s="1" customFormat="1" ht="13.5">
      <c r="G6156" s="6"/>
    </row>
    <row r="6157" s="1" customFormat="1" ht="13.5">
      <c r="G6157" s="6"/>
    </row>
    <row r="6158" s="1" customFormat="1" ht="13.5">
      <c r="G6158" s="6"/>
    </row>
    <row r="6159" s="1" customFormat="1" ht="13.5">
      <c r="G6159" s="6"/>
    </row>
    <row r="6160" s="1" customFormat="1" ht="13.5">
      <c r="G6160" s="6"/>
    </row>
    <row r="6161" s="1" customFormat="1" ht="13.5">
      <c r="G6161" s="6"/>
    </row>
    <row r="6162" s="1" customFormat="1" ht="13.5">
      <c r="G6162" s="6"/>
    </row>
    <row r="6163" s="1" customFormat="1" ht="13.5">
      <c r="G6163" s="6"/>
    </row>
    <row r="6164" s="1" customFormat="1" ht="13.5">
      <c r="G6164" s="6"/>
    </row>
    <row r="6165" s="1" customFormat="1" ht="13.5">
      <c r="G6165" s="6"/>
    </row>
    <row r="6166" s="1" customFormat="1" ht="13.5">
      <c r="G6166" s="6"/>
    </row>
    <row r="6167" s="1" customFormat="1" ht="13.5">
      <c r="G6167" s="6"/>
    </row>
    <row r="6168" s="1" customFormat="1" ht="13.5">
      <c r="G6168" s="6"/>
    </row>
    <row r="6169" s="1" customFormat="1" ht="13.5">
      <c r="G6169" s="6"/>
    </row>
    <row r="6170" s="1" customFormat="1" ht="13.5">
      <c r="G6170" s="6"/>
    </row>
    <row r="6171" s="1" customFormat="1" ht="13.5">
      <c r="G6171" s="6"/>
    </row>
    <row r="6172" s="1" customFormat="1" ht="13.5">
      <c r="G6172" s="6"/>
    </row>
    <row r="6173" s="1" customFormat="1" ht="13.5">
      <c r="G6173" s="6"/>
    </row>
    <row r="6174" s="1" customFormat="1" ht="13.5">
      <c r="G6174" s="6"/>
    </row>
    <row r="6175" s="1" customFormat="1" ht="13.5">
      <c r="G6175" s="6"/>
    </row>
    <row r="6176" s="1" customFormat="1" ht="13.5">
      <c r="G6176" s="6"/>
    </row>
    <row r="6177" s="1" customFormat="1" ht="13.5">
      <c r="G6177" s="6"/>
    </row>
    <row r="6178" s="1" customFormat="1" ht="13.5">
      <c r="G6178" s="6"/>
    </row>
    <row r="6179" s="1" customFormat="1" ht="13.5">
      <c r="G6179" s="6"/>
    </row>
    <row r="6180" s="1" customFormat="1" ht="13.5">
      <c r="G6180" s="6"/>
    </row>
    <row r="6181" s="1" customFormat="1" ht="13.5">
      <c r="G6181" s="6"/>
    </row>
    <row r="6182" s="1" customFormat="1" ht="13.5">
      <c r="G6182" s="6"/>
    </row>
    <row r="6183" s="1" customFormat="1" ht="13.5">
      <c r="G6183" s="6"/>
    </row>
    <row r="6184" s="1" customFormat="1" ht="13.5">
      <c r="G6184" s="6"/>
    </row>
    <row r="6185" s="1" customFormat="1" ht="13.5">
      <c r="G6185" s="6"/>
    </row>
    <row r="6186" s="1" customFormat="1" ht="13.5">
      <c r="G6186" s="6"/>
    </row>
    <row r="6187" s="1" customFormat="1" ht="13.5">
      <c r="G6187" s="6"/>
    </row>
    <row r="6188" s="1" customFormat="1" ht="13.5">
      <c r="G6188" s="6"/>
    </row>
    <row r="6189" s="1" customFormat="1" ht="13.5">
      <c r="G6189" s="6"/>
    </row>
    <row r="6190" s="1" customFormat="1" ht="13.5">
      <c r="G6190" s="6"/>
    </row>
    <row r="6191" s="1" customFormat="1" ht="13.5">
      <c r="G6191" s="6"/>
    </row>
    <row r="6192" s="1" customFormat="1" ht="13.5">
      <c r="G6192" s="6"/>
    </row>
    <row r="6193" s="1" customFormat="1" ht="13.5">
      <c r="G6193" s="6"/>
    </row>
    <row r="6194" s="1" customFormat="1" ht="13.5">
      <c r="G6194" s="6"/>
    </row>
    <row r="6195" s="1" customFormat="1" ht="13.5">
      <c r="G6195" s="6"/>
    </row>
    <row r="6196" s="1" customFormat="1" ht="13.5">
      <c r="G6196" s="6"/>
    </row>
    <row r="6197" s="1" customFormat="1" ht="13.5">
      <c r="G6197" s="6"/>
    </row>
    <row r="6198" s="1" customFormat="1" ht="13.5">
      <c r="G6198" s="6"/>
    </row>
    <row r="6199" s="1" customFormat="1" ht="13.5">
      <c r="G6199" s="6"/>
    </row>
    <row r="6200" s="1" customFormat="1" ht="13.5">
      <c r="G6200" s="6"/>
    </row>
    <row r="6201" s="1" customFormat="1" ht="13.5">
      <c r="G6201" s="6"/>
    </row>
    <row r="6202" s="1" customFormat="1" ht="13.5">
      <c r="G6202" s="6"/>
    </row>
    <row r="6203" s="1" customFormat="1" ht="13.5">
      <c r="G6203" s="6"/>
    </row>
    <row r="6204" s="1" customFormat="1" ht="13.5">
      <c r="G6204" s="6"/>
    </row>
    <row r="6205" s="1" customFormat="1" ht="13.5">
      <c r="G6205" s="6"/>
    </row>
    <row r="6206" s="1" customFormat="1" ht="13.5">
      <c r="G6206" s="6"/>
    </row>
    <row r="6207" s="1" customFormat="1" ht="13.5">
      <c r="G6207" s="6"/>
    </row>
    <row r="6208" s="1" customFormat="1" ht="13.5">
      <c r="G6208" s="6"/>
    </row>
    <row r="6209" s="1" customFormat="1" ht="13.5">
      <c r="G6209" s="6"/>
    </row>
    <row r="6210" s="1" customFormat="1" ht="13.5">
      <c r="G6210" s="6"/>
    </row>
    <row r="6211" s="1" customFormat="1" ht="13.5">
      <c r="G6211" s="6"/>
    </row>
    <row r="6212" s="1" customFormat="1" ht="13.5">
      <c r="G6212" s="6"/>
    </row>
    <row r="6213" s="1" customFormat="1" ht="13.5">
      <c r="G6213" s="6"/>
    </row>
    <row r="6214" s="1" customFormat="1" ht="13.5">
      <c r="G6214" s="6"/>
    </row>
    <row r="6215" s="1" customFormat="1" ht="13.5">
      <c r="G6215" s="6"/>
    </row>
    <row r="6216" s="1" customFormat="1" ht="13.5">
      <c r="G6216" s="6"/>
    </row>
    <row r="6217" s="1" customFormat="1" ht="13.5">
      <c r="G6217" s="6"/>
    </row>
    <row r="6218" s="1" customFormat="1" ht="13.5">
      <c r="G6218" s="6"/>
    </row>
    <row r="6219" s="1" customFormat="1" ht="13.5">
      <c r="G6219" s="6"/>
    </row>
    <row r="6220" s="1" customFormat="1" ht="13.5">
      <c r="G6220" s="6"/>
    </row>
    <row r="6221" s="1" customFormat="1" ht="13.5">
      <c r="G6221" s="6"/>
    </row>
    <row r="6222" s="1" customFormat="1" ht="13.5">
      <c r="G6222" s="6"/>
    </row>
    <row r="6223" s="1" customFormat="1" ht="13.5">
      <c r="G6223" s="6"/>
    </row>
    <row r="6224" s="1" customFormat="1" ht="13.5">
      <c r="G6224" s="6"/>
    </row>
    <row r="6225" s="1" customFormat="1" ht="13.5">
      <c r="G6225" s="6"/>
    </row>
    <row r="6226" s="1" customFormat="1" ht="13.5">
      <c r="G6226" s="6"/>
    </row>
    <row r="6227" s="1" customFormat="1" ht="13.5">
      <c r="G6227" s="6"/>
    </row>
    <row r="6228" s="1" customFormat="1" ht="13.5">
      <c r="G6228" s="6"/>
    </row>
    <row r="6229" s="1" customFormat="1" ht="13.5">
      <c r="G6229" s="6"/>
    </row>
    <row r="6230" s="1" customFormat="1" ht="13.5">
      <c r="G6230" s="6"/>
    </row>
    <row r="6231" s="1" customFormat="1" ht="13.5">
      <c r="G6231" s="6"/>
    </row>
    <row r="6232" s="1" customFormat="1" ht="13.5">
      <c r="G6232" s="6"/>
    </row>
    <row r="6233" s="1" customFormat="1" ht="13.5">
      <c r="G6233" s="6"/>
    </row>
    <row r="6234" s="1" customFormat="1" ht="13.5">
      <c r="G6234" s="6"/>
    </row>
    <row r="6235" s="1" customFormat="1" ht="13.5">
      <c r="G6235" s="6"/>
    </row>
    <row r="6236" s="1" customFormat="1" ht="13.5">
      <c r="G6236" s="6"/>
    </row>
    <row r="6237" s="1" customFormat="1" ht="13.5">
      <c r="G6237" s="6"/>
    </row>
    <row r="6238" s="1" customFormat="1" ht="13.5">
      <c r="G6238" s="6"/>
    </row>
    <row r="6239" s="1" customFormat="1" ht="13.5">
      <c r="G6239" s="6"/>
    </row>
    <row r="6240" s="1" customFormat="1" ht="13.5">
      <c r="G6240" s="6"/>
    </row>
    <row r="6241" s="1" customFormat="1" ht="13.5">
      <c r="G6241" s="6"/>
    </row>
    <row r="6242" s="1" customFormat="1" ht="13.5">
      <c r="G6242" s="6"/>
    </row>
    <row r="6243" s="1" customFormat="1" ht="13.5">
      <c r="G6243" s="6"/>
    </row>
    <row r="6244" s="1" customFormat="1" ht="13.5">
      <c r="G6244" s="6"/>
    </row>
    <row r="6245" s="1" customFormat="1" ht="13.5">
      <c r="G6245" s="6"/>
    </row>
    <row r="6246" s="1" customFormat="1" ht="13.5">
      <c r="G6246" s="6"/>
    </row>
    <row r="6247" s="1" customFormat="1" ht="13.5">
      <c r="G6247" s="6"/>
    </row>
    <row r="6248" s="1" customFormat="1" ht="13.5">
      <c r="G6248" s="6"/>
    </row>
    <row r="6249" s="1" customFormat="1" ht="13.5">
      <c r="G6249" s="6"/>
    </row>
    <row r="6250" s="1" customFormat="1" ht="13.5">
      <c r="G6250" s="6"/>
    </row>
    <row r="6251" s="1" customFormat="1" ht="13.5">
      <c r="G6251" s="6"/>
    </row>
    <row r="6252" s="1" customFormat="1" ht="13.5">
      <c r="G6252" s="6"/>
    </row>
    <row r="6253" s="1" customFormat="1" ht="13.5">
      <c r="G6253" s="6"/>
    </row>
    <row r="6254" s="1" customFormat="1" ht="13.5">
      <c r="G6254" s="6"/>
    </row>
    <row r="6255" s="1" customFormat="1" ht="13.5">
      <c r="G6255" s="6"/>
    </row>
    <row r="6256" s="1" customFormat="1" ht="13.5">
      <c r="G6256" s="6"/>
    </row>
    <row r="6257" s="1" customFormat="1" ht="13.5">
      <c r="G6257" s="6"/>
    </row>
    <row r="6258" s="1" customFormat="1" ht="13.5">
      <c r="G6258" s="6"/>
    </row>
    <row r="6259" s="1" customFormat="1" ht="13.5">
      <c r="G6259" s="6"/>
    </row>
    <row r="6260" s="1" customFormat="1" ht="13.5">
      <c r="G6260" s="6"/>
    </row>
    <row r="6261" s="1" customFormat="1" ht="13.5">
      <c r="G6261" s="6"/>
    </row>
    <row r="6262" s="1" customFormat="1" ht="13.5">
      <c r="G6262" s="6"/>
    </row>
    <row r="6263" s="1" customFormat="1" ht="13.5">
      <c r="G6263" s="6"/>
    </row>
    <row r="6264" s="1" customFormat="1" ht="13.5">
      <c r="G6264" s="6"/>
    </row>
    <row r="6265" s="1" customFormat="1" ht="13.5">
      <c r="G6265" s="6"/>
    </row>
    <row r="6266" s="1" customFormat="1" ht="13.5">
      <c r="G6266" s="6"/>
    </row>
    <row r="6267" s="1" customFormat="1" ht="13.5">
      <c r="G6267" s="6"/>
    </row>
    <row r="6268" s="1" customFormat="1" ht="13.5">
      <c r="G6268" s="6"/>
    </row>
    <row r="6269" s="1" customFormat="1" ht="13.5">
      <c r="G6269" s="6"/>
    </row>
    <row r="6270" s="1" customFormat="1" ht="13.5">
      <c r="G6270" s="6"/>
    </row>
    <row r="6271" s="1" customFormat="1" ht="13.5">
      <c r="G6271" s="6"/>
    </row>
    <row r="6272" s="1" customFormat="1" ht="13.5">
      <c r="G6272" s="6"/>
    </row>
    <row r="6273" s="1" customFormat="1" ht="13.5">
      <c r="G6273" s="6"/>
    </row>
    <row r="6274" s="1" customFormat="1" ht="13.5">
      <c r="G6274" s="6"/>
    </row>
    <row r="6275" s="1" customFormat="1" ht="13.5">
      <c r="G6275" s="6"/>
    </row>
    <row r="6276" s="1" customFormat="1" ht="13.5">
      <c r="G6276" s="6"/>
    </row>
    <row r="6277" s="1" customFormat="1" ht="13.5">
      <c r="G6277" s="6"/>
    </row>
    <row r="6278" s="1" customFormat="1" ht="13.5">
      <c r="G6278" s="6"/>
    </row>
    <row r="6279" s="1" customFormat="1" ht="13.5">
      <c r="G6279" s="6"/>
    </row>
    <row r="6280" s="1" customFormat="1" ht="13.5">
      <c r="G6280" s="6"/>
    </row>
    <row r="6281" s="1" customFormat="1" ht="13.5">
      <c r="G6281" s="6"/>
    </row>
    <row r="6282" s="1" customFormat="1" ht="13.5">
      <c r="G6282" s="6"/>
    </row>
    <row r="6283" s="1" customFormat="1" ht="13.5">
      <c r="G6283" s="6"/>
    </row>
    <row r="6284" s="1" customFormat="1" ht="13.5">
      <c r="G6284" s="6"/>
    </row>
    <row r="6285" s="1" customFormat="1" ht="13.5">
      <c r="G6285" s="6"/>
    </row>
    <row r="6286" s="1" customFormat="1" ht="13.5">
      <c r="G6286" s="6"/>
    </row>
    <row r="6287" s="1" customFormat="1" ht="13.5">
      <c r="G6287" s="6"/>
    </row>
    <row r="6288" s="1" customFormat="1" ht="13.5">
      <c r="G6288" s="6"/>
    </row>
    <row r="6289" s="1" customFormat="1" ht="13.5">
      <c r="G6289" s="6"/>
    </row>
    <row r="6290" s="1" customFormat="1" ht="13.5">
      <c r="G6290" s="6"/>
    </row>
    <row r="6291" s="1" customFormat="1" ht="13.5">
      <c r="G6291" s="6"/>
    </row>
    <row r="6292" s="1" customFormat="1" ht="13.5">
      <c r="G6292" s="6"/>
    </row>
    <row r="6293" s="1" customFormat="1" ht="13.5">
      <c r="G6293" s="6"/>
    </row>
    <row r="6294" s="1" customFormat="1" ht="13.5">
      <c r="G6294" s="6"/>
    </row>
    <row r="6295" s="1" customFormat="1" ht="13.5">
      <c r="G6295" s="6"/>
    </row>
    <row r="6296" s="1" customFormat="1" ht="13.5">
      <c r="G6296" s="6"/>
    </row>
    <row r="6297" s="1" customFormat="1" ht="13.5">
      <c r="G6297" s="6"/>
    </row>
    <row r="6298" s="1" customFormat="1" ht="13.5">
      <c r="G6298" s="6"/>
    </row>
    <row r="6299" s="1" customFormat="1" ht="13.5">
      <c r="G6299" s="6"/>
    </row>
    <row r="6300" s="1" customFormat="1" ht="13.5">
      <c r="G6300" s="6"/>
    </row>
    <row r="6301" s="1" customFormat="1" ht="13.5">
      <c r="G6301" s="6"/>
    </row>
    <row r="6302" s="1" customFormat="1" ht="13.5">
      <c r="G6302" s="6"/>
    </row>
    <row r="6303" s="1" customFormat="1" ht="13.5">
      <c r="G6303" s="6"/>
    </row>
    <row r="6304" s="1" customFormat="1" ht="13.5">
      <c r="G6304" s="6"/>
    </row>
    <row r="6305" s="1" customFormat="1" ht="13.5">
      <c r="G6305" s="6"/>
    </row>
    <row r="6306" s="1" customFormat="1" ht="13.5">
      <c r="G6306" s="6"/>
    </row>
    <row r="6307" s="1" customFormat="1" ht="13.5">
      <c r="G6307" s="6"/>
    </row>
    <row r="6308" s="1" customFormat="1" ht="13.5">
      <c r="G6308" s="6"/>
    </row>
    <row r="6309" s="1" customFormat="1" ht="13.5">
      <c r="G6309" s="6"/>
    </row>
    <row r="6310" s="1" customFormat="1" ht="13.5">
      <c r="G6310" s="6"/>
    </row>
    <row r="6311" s="1" customFormat="1" ht="13.5">
      <c r="G6311" s="6"/>
    </row>
    <row r="6312" s="1" customFormat="1" ht="13.5">
      <c r="G6312" s="6"/>
    </row>
    <row r="6313" s="1" customFormat="1" ht="13.5">
      <c r="G6313" s="6"/>
    </row>
    <row r="6314" s="1" customFormat="1" ht="13.5">
      <c r="G6314" s="6"/>
    </row>
    <row r="6315" s="1" customFormat="1" ht="13.5">
      <c r="G6315" s="6"/>
    </row>
    <row r="6316" s="1" customFormat="1" ht="13.5">
      <c r="G6316" s="6"/>
    </row>
    <row r="6317" s="1" customFormat="1" ht="13.5">
      <c r="G6317" s="6"/>
    </row>
    <row r="6318" s="1" customFormat="1" ht="13.5">
      <c r="G6318" s="6"/>
    </row>
    <row r="6319" s="1" customFormat="1" ht="13.5">
      <c r="G6319" s="6"/>
    </row>
    <row r="6320" s="1" customFormat="1" ht="13.5">
      <c r="G6320" s="6"/>
    </row>
    <row r="6321" s="1" customFormat="1" ht="13.5">
      <c r="G6321" s="6"/>
    </row>
    <row r="6322" s="1" customFormat="1" ht="13.5">
      <c r="G6322" s="6"/>
    </row>
    <row r="6323" s="1" customFormat="1" ht="13.5">
      <c r="G6323" s="6"/>
    </row>
    <row r="6324" s="1" customFormat="1" ht="13.5">
      <c r="G6324" s="6"/>
    </row>
    <row r="6325" s="1" customFormat="1" ht="13.5">
      <c r="G6325" s="6"/>
    </row>
    <row r="6326" s="1" customFormat="1" ht="13.5">
      <c r="G6326" s="6"/>
    </row>
    <row r="6327" s="1" customFormat="1" ht="13.5">
      <c r="G6327" s="6"/>
    </row>
    <row r="6328" s="1" customFormat="1" ht="13.5">
      <c r="G6328" s="6"/>
    </row>
    <row r="6329" s="1" customFormat="1" ht="13.5">
      <c r="G6329" s="6"/>
    </row>
    <row r="6330" s="1" customFormat="1" ht="13.5">
      <c r="G6330" s="6"/>
    </row>
    <row r="6331" s="1" customFormat="1" ht="13.5">
      <c r="G6331" s="6"/>
    </row>
    <row r="6332" s="1" customFormat="1" ht="13.5">
      <c r="G6332" s="6"/>
    </row>
    <row r="6333" s="1" customFormat="1" ht="13.5">
      <c r="G6333" s="6"/>
    </row>
    <row r="6334" s="1" customFormat="1" ht="13.5">
      <c r="G6334" s="6"/>
    </row>
    <row r="6335" s="1" customFormat="1" ht="13.5">
      <c r="G6335" s="6"/>
    </row>
    <row r="6336" s="1" customFormat="1" ht="13.5">
      <c r="G6336" s="6"/>
    </row>
    <row r="6337" s="1" customFormat="1" ht="13.5">
      <c r="G6337" s="6"/>
    </row>
    <row r="6338" s="1" customFormat="1" ht="13.5">
      <c r="G6338" s="6"/>
    </row>
    <row r="6339" s="1" customFormat="1" ht="13.5">
      <c r="G6339" s="6"/>
    </row>
    <row r="6340" s="1" customFormat="1" ht="13.5">
      <c r="G6340" s="6"/>
    </row>
    <row r="6341" s="1" customFormat="1" ht="13.5">
      <c r="G6341" s="6"/>
    </row>
    <row r="6342" s="1" customFormat="1" ht="13.5">
      <c r="G6342" s="6"/>
    </row>
    <row r="6343" s="1" customFormat="1" ht="13.5">
      <c r="G6343" s="6"/>
    </row>
    <row r="6344" s="1" customFormat="1" ht="13.5">
      <c r="G6344" s="6"/>
    </row>
    <row r="6345" s="1" customFormat="1" ht="13.5">
      <c r="G6345" s="6"/>
    </row>
    <row r="6346" s="1" customFormat="1" ht="13.5">
      <c r="G6346" s="6"/>
    </row>
    <row r="6347" s="1" customFormat="1" ht="13.5">
      <c r="G6347" s="6"/>
    </row>
    <row r="6348" s="1" customFormat="1" ht="13.5">
      <c r="G6348" s="6"/>
    </row>
    <row r="6349" s="1" customFormat="1" ht="13.5">
      <c r="G6349" s="6"/>
    </row>
    <row r="6350" s="1" customFormat="1" ht="13.5">
      <c r="G6350" s="6"/>
    </row>
    <row r="6351" s="1" customFormat="1" ht="13.5">
      <c r="G6351" s="6"/>
    </row>
    <row r="6352" s="1" customFormat="1" ht="13.5">
      <c r="G6352" s="6"/>
    </row>
    <row r="6353" s="1" customFormat="1" ht="13.5">
      <c r="G6353" s="6"/>
    </row>
    <row r="6354" s="1" customFormat="1" ht="13.5">
      <c r="G6354" s="6"/>
    </row>
    <row r="6355" s="1" customFormat="1" ht="13.5">
      <c r="G6355" s="6"/>
    </row>
    <row r="6356" s="1" customFormat="1" ht="13.5">
      <c r="G6356" s="6"/>
    </row>
    <row r="6357" s="1" customFormat="1" ht="13.5">
      <c r="G6357" s="6"/>
    </row>
    <row r="6358" s="1" customFormat="1" ht="13.5">
      <c r="G6358" s="6"/>
    </row>
    <row r="6359" s="1" customFormat="1" ht="13.5">
      <c r="G6359" s="6"/>
    </row>
    <row r="6360" s="1" customFormat="1" ht="13.5">
      <c r="G6360" s="6"/>
    </row>
    <row r="6361" s="1" customFormat="1" ht="13.5">
      <c r="G6361" s="6"/>
    </row>
    <row r="6362" s="1" customFormat="1" ht="13.5">
      <c r="G6362" s="6"/>
    </row>
    <row r="6363" s="1" customFormat="1" ht="13.5">
      <c r="G6363" s="6"/>
    </row>
    <row r="6364" s="1" customFormat="1" ht="13.5">
      <c r="G6364" s="6"/>
    </row>
    <row r="6365" s="1" customFormat="1" ht="13.5">
      <c r="G6365" s="6"/>
    </row>
    <row r="6366" s="1" customFormat="1" ht="13.5">
      <c r="G6366" s="6"/>
    </row>
    <row r="6367" s="1" customFormat="1" ht="13.5">
      <c r="G6367" s="6"/>
    </row>
    <row r="6368" s="1" customFormat="1" ht="13.5">
      <c r="G6368" s="6"/>
    </row>
    <row r="6369" s="1" customFormat="1" ht="13.5">
      <c r="G6369" s="6"/>
    </row>
    <row r="6370" s="1" customFormat="1" ht="13.5">
      <c r="G6370" s="6"/>
    </row>
    <row r="6371" s="1" customFormat="1" ht="13.5">
      <c r="G6371" s="6"/>
    </row>
    <row r="6372" s="1" customFormat="1" ht="13.5">
      <c r="G6372" s="6"/>
    </row>
    <row r="6373" s="1" customFormat="1" ht="13.5">
      <c r="G6373" s="6"/>
    </row>
    <row r="6374" s="1" customFormat="1" ht="13.5">
      <c r="G6374" s="6"/>
    </row>
    <row r="6375" s="1" customFormat="1" ht="13.5">
      <c r="G6375" s="6"/>
    </row>
    <row r="6376" s="1" customFormat="1" ht="13.5">
      <c r="G6376" s="6"/>
    </row>
    <row r="6377" s="1" customFormat="1" ht="13.5">
      <c r="G6377" s="6"/>
    </row>
    <row r="6378" s="1" customFormat="1" ht="13.5">
      <c r="G6378" s="6"/>
    </row>
    <row r="6379" s="1" customFormat="1" ht="13.5">
      <c r="G6379" s="6"/>
    </row>
    <row r="6380" s="1" customFormat="1" ht="13.5">
      <c r="G6380" s="6"/>
    </row>
    <row r="6381" s="1" customFormat="1" ht="13.5">
      <c r="G6381" s="6"/>
    </row>
    <row r="6382" s="1" customFormat="1" ht="13.5">
      <c r="G6382" s="6"/>
    </row>
    <row r="6383" s="1" customFormat="1" ht="13.5">
      <c r="G6383" s="6"/>
    </row>
    <row r="6384" s="1" customFormat="1" ht="13.5">
      <c r="G6384" s="6"/>
    </row>
    <row r="6385" s="1" customFormat="1" ht="13.5">
      <c r="G6385" s="6"/>
    </row>
    <row r="6386" s="1" customFormat="1" ht="13.5">
      <c r="G6386" s="6"/>
    </row>
    <row r="6387" s="1" customFormat="1" ht="13.5">
      <c r="G6387" s="6"/>
    </row>
    <row r="6388" s="1" customFormat="1" ht="13.5">
      <c r="G6388" s="6"/>
    </row>
    <row r="6389" s="1" customFormat="1" ht="13.5">
      <c r="G6389" s="6"/>
    </row>
    <row r="6390" s="1" customFormat="1" ht="13.5">
      <c r="G6390" s="6"/>
    </row>
    <row r="6391" s="1" customFormat="1" ht="13.5">
      <c r="G6391" s="6"/>
    </row>
    <row r="6392" s="1" customFormat="1" ht="13.5">
      <c r="G6392" s="6"/>
    </row>
    <row r="6393" s="1" customFormat="1" ht="13.5">
      <c r="G6393" s="6"/>
    </row>
    <row r="6394" s="1" customFormat="1" ht="13.5">
      <c r="G6394" s="6"/>
    </row>
    <row r="6395" s="1" customFormat="1" ht="13.5">
      <c r="G6395" s="6"/>
    </row>
    <row r="6396" s="1" customFormat="1" ht="13.5">
      <c r="G6396" s="6"/>
    </row>
    <row r="6397" s="1" customFormat="1" ht="13.5">
      <c r="G6397" s="6"/>
    </row>
    <row r="6398" s="1" customFormat="1" ht="13.5">
      <c r="G6398" s="6"/>
    </row>
    <row r="6399" s="1" customFormat="1" ht="13.5">
      <c r="G6399" s="6"/>
    </row>
    <row r="6400" s="1" customFormat="1" ht="13.5">
      <c r="G6400" s="6"/>
    </row>
    <row r="6401" s="1" customFormat="1" ht="13.5">
      <c r="G6401" s="6"/>
    </row>
    <row r="6402" s="1" customFormat="1" ht="13.5">
      <c r="G6402" s="6"/>
    </row>
    <row r="6403" s="1" customFormat="1" ht="13.5">
      <c r="G6403" s="6"/>
    </row>
    <row r="6404" s="1" customFormat="1" ht="13.5">
      <c r="G6404" s="6"/>
    </row>
    <row r="6405" s="1" customFormat="1" ht="13.5">
      <c r="G6405" s="6"/>
    </row>
    <row r="6406" s="1" customFormat="1" ht="13.5">
      <c r="G6406" s="6"/>
    </row>
    <row r="6407" s="1" customFormat="1" ht="13.5">
      <c r="G6407" s="6"/>
    </row>
    <row r="6408" s="1" customFormat="1" ht="13.5">
      <c r="G6408" s="6"/>
    </row>
    <row r="6409" s="1" customFormat="1" ht="13.5">
      <c r="G6409" s="6"/>
    </row>
    <row r="6410" s="1" customFormat="1" ht="13.5">
      <c r="G6410" s="6"/>
    </row>
    <row r="6411" s="1" customFormat="1" ht="13.5">
      <c r="G6411" s="6"/>
    </row>
    <row r="6412" s="1" customFormat="1" ht="13.5">
      <c r="G6412" s="6"/>
    </row>
    <row r="6413" s="1" customFormat="1" ht="13.5">
      <c r="G6413" s="6"/>
    </row>
    <row r="6414" s="1" customFormat="1" ht="13.5">
      <c r="G6414" s="6"/>
    </row>
    <row r="6415" s="1" customFormat="1" ht="13.5">
      <c r="G6415" s="6"/>
    </row>
    <row r="6416" s="1" customFormat="1" ht="13.5">
      <c r="G6416" s="6"/>
    </row>
    <row r="6417" s="1" customFormat="1" ht="13.5">
      <c r="G6417" s="6"/>
    </row>
    <row r="6418" s="1" customFormat="1" ht="13.5">
      <c r="G6418" s="6"/>
    </row>
    <row r="6419" s="1" customFormat="1" ht="13.5">
      <c r="G6419" s="6"/>
    </row>
    <row r="6420" s="1" customFormat="1" ht="13.5">
      <c r="G6420" s="6"/>
    </row>
    <row r="6421" s="1" customFormat="1" ht="13.5">
      <c r="G6421" s="6"/>
    </row>
    <row r="6422" s="1" customFormat="1" ht="13.5">
      <c r="G6422" s="6"/>
    </row>
    <row r="6423" s="1" customFormat="1" ht="13.5">
      <c r="G6423" s="6"/>
    </row>
    <row r="6424" s="1" customFormat="1" ht="13.5">
      <c r="G6424" s="6"/>
    </row>
    <row r="6425" s="1" customFormat="1" ht="13.5">
      <c r="G6425" s="6"/>
    </row>
    <row r="6426" s="1" customFormat="1" ht="13.5">
      <c r="G6426" s="6"/>
    </row>
    <row r="6427" s="1" customFormat="1" ht="13.5">
      <c r="G6427" s="6"/>
    </row>
    <row r="6428" s="1" customFormat="1" ht="13.5">
      <c r="G6428" s="6"/>
    </row>
    <row r="6429" s="1" customFormat="1" ht="13.5">
      <c r="G6429" s="6"/>
    </row>
    <row r="6430" s="1" customFormat="1" ht="13.5">
      <c r="G6430" s="6"/>
    </row>
    <row r="6431" s="1" customFormat="1" ht="13.5">
      <c r="G6431" s="6"/>
    </row>
    <row r="6432" s="1" customFormat="1" ht="13.5">
      <c r="G6432" s="6"/>
    </row>
    <row r="6433" s="1" customFormat="1" ht="13.5">
      <c r="G6433" s="6"/>
    </row>
    <row r="6434" s="1" customFormat="1" ht="13.5">
      <c r="G6434" s="6"/>
    </row>
    <row r="6435" s="1" customFormat="1" ht="13.5">
      <c r="G6435" s="6"/>
    </row>
    <row r="6436" s="1" customFormat="1" ht="13.5">
      <c r="G6436" s="6"/>
    </row>
    <row r="6437" s="1" customFormat="1" ht="13.5">
      <c r="G6437" s="6"/>
    </row>
    <row r="6438" s="1" customFormat="1" ht="13.5">
      <c r="G6438" s="6"/>
    </row>
    <row r="6439" s="1" customFormat="1" ht="13.5">
      <c r="G6439" s="6"/>
    </row>
    <row r="6440" s="1" customFormat="1" ht="13.5">
      <c r="G6440" s="6"/>
    </row>
    <row r="6441" s="1" customFormat="1" ht="13.5">
      <c r="G6441" s="6"/>
    </row>
    <row r="6442" s="1" customFormat="1" ht="13.5">
      <c r="G6442" s="6"/>
    </row>
    <row r="6443" s="1" customFormat="1" ht="13.5">
      <c r="G6443" s="6"/>
    </row>
    <row r="6444" s="1" customFormat="1" ht="13.5">
      <c r="G6444" s="6"/>
    </row>
    <row r="6445" s="1" customFormat="1" ht="13.5">
      <c r="G6445" s="6"/>
    </row>
    <row r="6446" s="1" customFormat="1" ht="13.5">
      <c r="G6446" s="6"/>
    </row>
    <row r="6447" s="1" customFormat="1" ht="13.5">
      <c r="G6447" s="6"/>
    </row>
    <row r="6448" s="1" customFormat="1" ht="13.5">
      <c r="G6448" s="6"/>
    </row>
    <row r="6449" s="1" customFormat="1" ht="13.5">
      <c r="G6449" s="6"/>
    </row>
    <row r="6450" s="1" customFormat="1" ht="13.5">
      <c r="G6450" s="6"/>
    </row>
    <row r="6451" s="1" customFormat="1" ht="13.5">
      <c r="G6451" s="6"/>
    </row>
    <row r="6452" s="1" customFormat="1" ht="13.5">
      <c r="G6452" s="6"/>
    </row>
    <row r="6453" s="1" customFormat="1" ht="13.5">
      <c r="G6453" s="6"/>
    </row>
    <row r="6454" s="1" customFormat="1" ht="13.5">
      <c r="G6454" s="6"/>
    </row>
    <row r="6455" s="1" customFormat="1" ht="13.5">
      <c r="G6455" s="6"/>
    </row>
    <row r="6456" s="1" customFormat="1" ht="13.5">
      <c r="G6456" s="6"/>
    </row>
    <row r="6457" s="1" customFormat="1" ht="13.5">
      <c r="G6457" s="6"/>
    </row>
    <row r="6458" s="1" customFormat="1" ht="13.5">
      <c r="G6458" s="6"/>
    </row>
    <row r="6459" s="1" customFormat="1" ht="13.5">
      <c r="G6459" s="6"/>
    </row>
    <row r="6460" s="1" customFormat="1" ht="13.5">
      <c r="G6460" s="6"/>
    </row>
    <row r="6461" s="1" customFormat="1" ht="13.5">
      <c r="G6461" s="6"/>
    </row>
    <row r="6462" s="1" customFormat="1" ht="13.5">
      <c r="G6462" s="6"/>
    </row>
    <row r="6463" s="1" customFormat="1" ht="13.5">
      <c r="G6463" s="6"/>
    </row>
    <row r="6464" s="1" customFormat="1" ht="13.5">
      <c r="G6464" s="6"/>
    </row>
    <row r="6465" s="1" customFormat="1" ht="13.5">
      <c r="G6465" s="6"/>
    </row>
    <row r="6466" s="1" customFormat="1" ht="13.5">
      <c r="G6466" s="6"/>
    </row>
    <row r="6467" s="1" customFormat="1" ht="13.5">
      <c r="G6467" s="6"/>
    </row>
    <row r="6468" s="1" customFormat="1" ht="13.5">
      <c r="G6468" s="6"/>
    </row>
    <row r="6469" s="1" customFormat="1" ht="13.5">
      <c r="G6469" s="6"/>
    </row>
    <row r="6470" s="1" customFormat="1" ht="13.5">
      <c r="G6470" s="6"/>
    </row>
    <row r="6471" s="1" customFormat="1" ht="13.5">
      <c r="G6471" s="6"/>
    </row>
    <row r="6472" s="1" customFormat="1" ht="13.5">
      <c r="G6472" s="6"/>
    </row>
    <row r="6473" s="1" customFormat="1" ht="13.5">
      <c r="G6473" s="6"/>
    </row>
    <row r="6474" s="1" customFormat="1" ht="13.5">
      <c r="G6474" s="6"/>
    </row>
    <row r="6475" s="1" customFormat="1" ht="13.5">
      <c r="G6475" s="6"/>
    </row>
    <row r="6476" s="1" customFormat="1" ht="13.5">
      <c r="G6476" s="6"/>
    </row>
    <row r="6477" s="1" customFormat="1" ht="13.5">
      <c r="G6477" s="6"/>
    </row>
    <row r="6478" s="1" customFormat="1" ht="13.5">
      <c r="G6478" s="6"/>
    </row>
    <row r="6479" s="1" customFormat="1" ht="13.5">
      <c r="G6479" s="6"/>
    </row>
    <row r="6480" s="1" customFormat="1" ht="13.5">
      <c r="G6480" s="6"/>
    </row>
    <row r="6481" s="1" customFormat="1" ht="13.5">
      <c r="G6481" s="6"/>
    </row>
    <row r="6482" s="1" customFormat="1" ht="13.5">
      <c r="G6482" s="6"/>
    </row>
    <row r="6483" s="1" customFormat="1" ht="13.5">
      <c r="G6483" s="6"/>
    </row>
    <row r="6484" s="1" customFormat="1" ht="13.5">
      <c r="G6484" s="6"/>
    </row>
    <row r="6485" s="1" customFormat="1" ht="13.5">
      <c r="G6485" s="6"/>
    </row>
    <row r="6486" s="1" customFormat="1" ht="13.5">
      <c r="G6486" s="6"/>
    </row>
    <row r="6487" s="1" customFormat="1" ht="13.5">
      <c r="G6487" s="6"/>
    </row>
    <row r="6488" s="1" customFormat="1" ht="13.5">
      <c r="G6488" s="6"/>
    </row>
    <row r="6489" s="1" customFormat="1" ht="13.5">
      <c r="G6489" s="6"/>
    </row>
    <row r="6490" s="1" customFormat="1" ht="13.5">
      <c r="G6490" s="6"/>
    </row>
    <row r="6491" s="1" customFormat="1" ht="13.5">
      <c r="G6491" s="6"/>
    </row>
    <row r="6492" s="1" customFormat="1" ht="13.5">
      <c r="G6492" s="6"/>
    </row>
    <row r="6493" s="1" customFormat="1" ht="13.5">
      <c r="G6493" s="6"/>
    </row>
    <row r="6494" s="1" customFormat="1" ht="13.5">
      <c r="G6494" s="6"/>
    </row>
    <row r="6495" s="1" customFormat="1" ht="13.5">
      <c r="G6495" s="6"/>
    </row>
    <row r="6496" s="1" customFormat="1" ht="13.5">
      <c r="G6496" s="6"/>
    </row>
    <row r="6497" s="1" customFormat="1" ht="13.5">
      <c r="G6497" s="6"/>
    </row>
    <row r="6498" s="1" customFormat="1" ht="13.5">
      <c r="G6498" s="6"/>
    </row>
    <row r="6499" s="1" customFormat="1" ht="13.5">
      <c r="G6499" s="6"/>
    </row>
    <row r="6500" s="1" customFormat="1" ht="13.5">
      <c r="G6500" s="6"/>
    </row>
    <row r="6501" s="1" customFormat="1" ht="13.5">
      <c r="G6501" s="6"/>
    </row>
    <row r="6502" s="1" customFormat="1" ht="13.5">
      <c r="G6502" s="6"/>
    </row>
    <row r="6503" s="1" customFormat="1" ht="13.5">
      <c r="G6503" s="6"/>
    </row>
    <row r="6504" s="1" customFormat="1" ht="13.5">
      <c r="G6504" s="6"/>
    </row>
    <row r="6505" s="1" customFormat="1" ht="13.5">
      <c r="G6505" s="6"/>
    </row>
    <row r="6506" s="1" customFormat="1" ht="13.5">
      <c r="G6506" s="6"/>
    </row>
    <row r="6507" s="1" customFormat="1" ht="13.5">
      <c r="G6507" s="6"/>
    </row>
    <row r="6508" s="1" customFormat="1" ht="13.5">
      <c r="G6508" s="6"/>
    </row>
    <row r="6509" s="1" customFormat="1" ht="13.5">
      <c r="G6509" s="6"/>
    </row>
    <row r="6510" s="1" customFormat="1" ht="13.5">
      <c r="G6510" s="6"/>
    </row>
    <row r="6511" s="1" customFormat="1" ht="13.5">
      <c r="G6511" s="6"/>
    </row>
    <row r="6512" s="1" customFormat="1" ht="13.5">
      <c r="G6512" s="6"/>
    </row>
    <row r="6513" s="1" customFormat="1" ht="13.5">
      <c r="G6513" s="6"/>
    </row>
    <row r="6514" s="1" customFormat="1" ht="13.5">
      <c r="G6514" s="6"/>
    </row>
    <row r="6515" s="1" customFormat="1" ht="13.5">
      <c r="G6515" s="6"/>
    </row>
    <row r="6516" s="1" customFormat="1" ht="13.5">
      <c r="G6516" s="6"/>
    </row>
    <row r="6517" s="1" customFormat="1" ht="13.5">
      <c r="G6517" s="6"/>
    </row>
    <row r="6518" s="1" customFormat="1" ht="13.5">
      <c r="G6518" s="6"/>
    </row>
    <row r="6519" s="1" customFormat="1" ht="13.5">
      <c r="G6519" s="6"/>
    </row>
    <row r="6520" s="1" customFormat="1" ht="13.5">
      <c r="G6520" s="6"/>
    </row>
    <row r="6521" s="1" customFormat="1" ht="13.5">
      <c r="G6521" s="6"/>
    </row>
    <row r="6522" s="1" customFormat="1" ht="13.5">
      <c r="G6522" s="6"/>
    </row>
    <row r="6523" s="1" customFormat="1" ht="13.5">
      <c r="G6523" s="6"/>
    </row>
    <row r="6524" s="1" customFormat="1" ht="13.5">
      <c r="G6524" s="6"/>
    </row>
    <row r="6525" s="1" customFormat="1" ht="13.5">
      <c r="G6525" s="6"/>
    </row>
    <row r="6526" s="1" customFormat="1" ht="13.5">
      <c r="G6526" s="6"/>
    </row>
    <row r="6527" s="1" customFormat="1" ht="13.5">
      <c r="G6527" s="6"/>
    </row>
    <row r="6528" s="1" customFormat="1" ht="13.5">
      <c r="G6528" s="6"/>
    </row>
    <row r="6529" s="1" customFormat="1" ht="13.5">
      <c r="G6529" s="6"/>
    </row>
    <row r="6530" s="1" customFormat="1" ht="13.5">
      <c r="G6530" s="6"/>
    </row>
    <row r="6531" s="1" customFormat="1" ht="13.5">
      <c r="G6531" s="6"/>
    </row>
    <row r="6532" s="1" customFormat="1" ht="13.5">
      <c r="G6532" s="6"/>
    </row>
    <row r="6533" s="1" customFormat="1" ht="13.5">
      <c r="G6533" s="6"/>
    </row>
    <row r="6534" s="1" customFormat="1" ht="13.5">
      <c r="G6534" s="6"/>
    </row>
    <row r="6535" s="1" customFormat="1" ht="13.5">
      <c r="G6535" s="6"/>
    </row>
    <row r="6536" s="1" customFormat="1" ht="13.5">
      <c r="G6536" s="6"/>
    </row>
    <row r="6537" s="1" customFormat="1" ht="13.5">
      <c r="G6537" s="6"/>
    </row>
    <row r="6538" s="1" customFormat="1" ht="13.5">
      <c r="G6538" s="6"/>
    </row>
    <row r="6539" s="1" customFormat="1" ht="13.5">
      <c r="G6539" s="6"/>
    </row>
    <row r="6540" s="1" customFormat="1" ht="13.5">
      <c r="G6540" s="6"/>
    </row>
    <row r="6541" s="1" customFormat="1" ht="13.5">
      <c r="G6541" s="6"/>
    </row>
    <row r="6542" s="1" customFormat="1" ht="13.5">
      <c r="G6542" s="6"/>
    </row>
    <row r="6543" s="1" customFormat="1" ht="13.5">
      <c r="G6543" s="6"/>
    </row>
    <row r="6544" s="1" customFormat="1" ht="13.5">
      <c r="G6544" s="6"/>
    </row>
    <row r="6545" s="1" customFormat="1" ht="13.5">
      <c r="G6545" s="6"/>
    </row>
    <row r="6546" s="1" customFormat="1" ht="13.5">
      <c r="G6546" s="6"/>
    </row>
    <row r="6547" s="1" customFormat="1" ht="13.5">
      <c r="G6547" s="6"/>
    </row>
    <row r="6548" s="1" customFormat="1" ht="13.5">
      <c r="G6548" s="6"/>
    </row>
    <row r="6549" s="1" customFormat="1" ht="13.5">
      <c r="G6549" s="6"/>
    </row>
    <row r="6550" s="1" customFormat="1" ht="13.5">
      <c r="G6550" s="6"/>
    </row>
    <row r="6551" s="1" customFormat="1" ht="13.5">
      <c r="G6551" s="6"/>
    </row>
    <row r="6552" s="1" customFormat="1" ht="13.5">
      <c r="G6552" s="6"/>
    </row>
    <row r="6553" s="1" customFormat="1" ht="13.5">
      <c r="G6553" s="6"/>
    </row>
    <row r="6554" s="1" customFormat="1" ht="13.5">
      <c r="G6554" s="6"/>
    </row>
    <row r="6555" s="1" customFormat="1" ht="13.5">
      <c r="G6555" s="6"/>
    </row>
    <row r="6556" s="1" customFormat="1" ht="13.5">
      <c r="G6556" s="6"/>
    </row>
    <row r="6557" s="1" customFormat="1" ht="13.5">
      <c r="G6557" s="6"/>
    </row>
    <row r="6558" s="1" customFormat="1" ht="13.5">
      <c r="G6558" s="6"/>
    </row>
    <row r="6559" s="1" customFormat="1" ht="13.5">
      <c r="G6559" s="6"/>
    </row>
    <row r="6560" s="1" customFormat="1" ht="13.5">
      <c r="G6560" s="6"/>
    </row>
    <row r="6561" s="1" customFormat="1" ht="13.5">
      <c r="G6561" s="6"/>
    </row>
    <row r="6562" s="1" customFormat="1" ht="13.5">
      <c r="G6562" s="6"/>
    </row>
    <row r="6563" s="1" customFormat="1" ht="13.5">
      <c r="G6563" s="6"/>
    </row>
    <row r="6564" s="1" customFormat="1" ht="13.5">
      <c r="G6564" s="6"/>
    </row>
    <row r="6565" s="1" customFormat="1" ht="13.5">
      <c r="G6565" s="6"/>
    </row>
    <row r="6566" s="1" customFormat="1" ht="13.5">
      <c r="G6566" s="6"/>
    </row>
    <row r="6567" s="1" customFormat="1" ht="13.5">
      <c r="G6567" s="6"/>
    </row>
    <row r="6568" s="1" customFormat="1" ht="13.5">
      <c r="G6568" s="6"/>
    </row>
    <row r="6569" s="1" customFormat="1" ht="13.5">
      <c r="G6569" s="6"/>
    </row>
    <row r="6570" s="1" customFormat="1" ht="13.5">
      <c r="G6570" s="6"/>
    </row>
    <row r="6571" s="1" customFormat="1" ht="13.5">
      <c r="G6571" s="6"/>
    </row>
    <row r="6572" s="1" customFormat="1" ht="13.5">
      <c r="G6572" s="6"/>
    </row>
    <row r="6573" s="1" customFormat="1" ht="13.5">
      <c r="G6573" s="6"/>
    </row>
    <row r="6574" s="1" customFormat="1" ht="13.5">
      <c r="G6574" s="6"/>
    </row>
    <row r="6575" s="1" customFormat="1" ht="13.5">
      <c r="G6575" s="6"/>
    </row>
    <row r="6576" s="1" customFormat="1" ht="13.5">
      <c r="G6576" s="6"/>
    </row>
    <row r="6577" s="1" customFormat="1" ht="13.5">
      <c r="G6577" s="6"/>
    </row>
    <row r="6578" s="1" customFormat="1" ht="13.5">
      <c r="G6578" s="6"/>
    </row>
    <row r="6579" s="1" customFormat="1" ht="13.5">
      <c r="G6579" s="6"/>
    </row>
    <row r="6580" s="1" customFormat="1" ht="13.5">
      <c r="G6580" s="6"/>
    </row>
    <row r="6581" s="1" customFormat="1" ht="13.5">
      <c r="G6581" s="6"/>
    </row>
    <row r="6582" s="1" customFormat="1" ht="13.5">
      <c r="G6582" s="6"/>
    </row>
    <row r="6583" s="1" customFormat="1" ht="13.5">
      <c r="G6583" s="6"/>
    </row>
    <row r="6584" s="1" customFormat="1" ht="13.5">
      <c r="G6584" s="6"/>
    </row>
    <row r="6585" s="1" customFormat="1" ht="13.5">
      <c r="G6585" s="6"/>
    </row>
    <row r="6586" s="1" customFormat="1" ht="13.5">
      <c r="G6586" s="6"/>
    </row>
    <row r="6587" s="1" customFormat="1" ht="13.5">
      <c r="G6587" s="6"/>
    </row>
    <row r="6588" s="1" customFormat="1" ht="13.5">
      <c r="G6588" s="6"/>
    </row>
    <row r="6589" s="1" customFormat="1" ht="13.5">
      <c r="G6589" s="6"/>
    </row>
    <row r="6590" s="1" customFormat="1" ht="13.5">
      <c r="G6590" s="6"/>
    </row>
    <row r="6591" s="1" customFormat="1" ht="13.5">
      <c r="G6591" s="6"/>
    </row>
    <row r="6592" s="1" customFormat="1" ht="13.5">
      <c r="G6592" s="6"/>
    </row>
    <row r="6593" s="1" customFormat="1" ht="13.5">
      <c r="G6593" s="6"/>
    </row>
    <row r="6594" s="1" customFormat="1" ht="13.5">
      <c r="G6594" s="6"/>
    </row>
    <row r="6595" s="1" customFormat="1" ht="13.5">
      <c r="G6595" s="6"/>
    </row>
    <row r="6596" s="1" customFormat="1" ht="13.5">
      <c r="G6596" s="6"/>
    </row>
    <row r="6597" s="1" customFormat="1" ht="13.5">
      <c r="G6597" s="6"/>
    </row>
    <row r="6598" s="1" customFormat="1" ht="13.5">
      <c r="G6598" s="6"/>
    </row>
    <row r="6599" s="1" customFormat="1" ht="13.5">
      <c r="G6599" s="6"/>
    </row>
    <row r="6600" s="1" customFormat="1" ht="13.5">
      <c r="G6600" s="6"/>
    </row>
    <row r="6601" s="1" customFormat="1" ht="13.5">
      <c r="G6601" s="6"/>
    </row>
    <row r="6602" s="1" customFormat="1" ht="13.5">
      <c r="G6602" s="6"/>
    </row>
    <row r="6603" s="1" customFormat="1" ht="13.5">
      <c r="G6603" s="6"/>
    </row>
    <row r="6604" s="1" customFormat="1" ht="13.5">
      <c r="G6604" s="6"/>
    </row>
    <row r="6605" s="1" customFormat="1" ht="13.5">
      <c r="G6605" s="6"/>
    </row>
    <row r="6606" s="1" customFormat="1" ht="13.5">
      <c r="G6606" s="6"/>
    </row>
    <row r="6607" s="1" customFormat="1" ht="13.5">
      <c r="G6607" s="6"/>
    </row>
    <row r="6608" s="1" customFormat="1" ht="13.5">
      <c r="G6608" s="6"/>
    </row>
    <row r="6609" s="1" customFormat="1" ht="13.5">
      <c r="G6609" s="6"/>
    </row>
    <row r="6610" s="1" customFormat="1" ht="13.5">
      <c r="G6610" s="6"/>
    </row>
    <row r="6611" s="1" customFormat="1" ht="13.5">
      <c r="G6611" s="6"/>
    </row>
    <row r="6612" s="1" customFormat="1" ht="13.5">
      <c r="G6612" s="6"/>
    </row>
    <row r="6613" s="1" customFormat="1" ht="13.5">
      <c r="G6613" s="6"/>
    </row>
    <row r="6614" s="1" customFormat="1" ht="13.5">
      <c r="G6614" s="6"/>
    </row>
    <row r="6615" s="1" customFormat="1" ht="13.5">
      <c r="G6615" s="6"/>
    </row>
    <row r="6616" s="1" customFormat="1" ht="13.5">
      <c r="G6616" s="6"/>
    </row>
    <row r="6617" s="1" customFormat="1" ht="13.5">
      <c r="G6617" s="6"/>
    </row>
    <row r="6618" s="1" customFormat="1" ht="13.5">
      <c r="G6618" s="6"/>
    </row>
    <row r="6619" s="1" customFormat="1" ht="13.5">
      <c r="G6619" s="6"/>
    </row>
    <row r="6620" s="1" customFormat="1" ht="13.5">
      <c r="G6620" s="6"/>
    </row>
    <row r="6621" s="1" customFormat="1" ht="13.5">
      <c r="G6621" s="6"/>
    </row>
    <row r="6622" s="1" customFormat="1" ht="13.5">
      <c r="G6622" s="6"/>
    </row>
    <row r="6623" s="1" customFormat="1" ht="13.5">
      <c r="G6623" s="6"/>
    </row>
    <row r="6624" s="1" customFormat="1" ht="13.5">
      <c r="G6624" s="6"/>
    </row>
    <row r="6625" s="1" customFormat="1" ht="13.5">
      <c r="G6625" s="6"/>
    </row>
    <row r="6626" s="1" customFormat="1" ht="13.5">
      <c r="G6626" s="6"/>
    </row>
    <row r="6627" s="1" customFormat="1" ht="13.5">
      <c r="G6627" s="6"/>
    </row>
    <row r="6628" s="1" customFormat="1" ht="13.5">
      <c r="G6628" s="6"/>
    </row>
    <row r="6629" s="1" customFormat="1" ht="13.5">
      <c r="G6629" s="6"/>
    </row>
    <row r="6630" s="1" customFormat="1" ht="13.5">
      <c r="G6630" s="6"/>
    </row>
    <row r="6631" s="1" customFormat="1" ht="13.5">
      <c r="G6631" s="6"/>
    </row>
    <row r="6632" s="1" customFormat="1" ht="13.5">
      <c r="G6632" s="6"/>
    </row>
    <row r="6633" s="1" customFormat="1" ht="13.5">
      <c r="G6633" s="6"/>
    </row>
    <row r="6634" s="1" customFormat="1" ht="13.5">
      <c r="G6634" s="6"/>
    </row>
    <row r="6635" s="1" customFormat="1" ht="13.5">
      <c r="G6635" s="6"/>
    </row>
    <row r="6636" s="1" customFormat="1" ht="13.5">
      <c r="G6636" s="6"/>
    </row>
    <row r="6637" s="1" customFormat="1" ht="13.5">
      <c r="G6637" s="6"/>
    </row>
    <row r="6638" s="1" customFormat="1" ht="13.5">
      <c r="G6638" s="6"/>
    </row>
    <row r="6639" s="1" customFormat="1" ht="13.5">
      <c r="G6639" s="6"/>
    </row>
    <row r="6640" s="1" customFormat="1" ht="13.5">
      <c r="G6640" s="6"/>
    </row>
    <row r="6641" s="1" customFormat="1" ht="13.5">
      <c r="G6641" s="6"/>
    </row>
    <row r="6642" s="1" customFormat="1" ht="13.5">
      <c r="G6642" s="6"/>
    </row>
    <row r="6643" s="1" customFormat="1" ht="13.5">
      <c r="G6643" s="6"/>
    </row>
    <row r="6644" s="1" customFormat="1" ht="13.5">
      <c r="G6644" s="6"/>
    </row>
    <row r="6645" s="1" customFormat="1" ht="13.5">
      <c r="G6645" s="6"/>
    </row>
    <row r="6646" s="1" customFormat="1" ht="13.5">
      <c r="G6646" s="6"/>
    </row>
    <row r="6647" s="1" customFormat="1" ht="13.5">
      <c r="G6647" s="6"/>
    </row>
    <row r="6648" s="1" customFormat="1" ht="13.5">
      <c r="G6648" s="6"/>
    </row>
    <row r="6649" s="1" customFormat="1" ht="13.5">
      <c r="G6649" s="6"/>
    </row>
    <row r="6650" s="1" customFormat="1" ht="13.5">
      <c r="G6650" s="6"/>
    </row>
    <row r="6651" s="1" customFormat="1" ht="13.5">
      <c r="G6651" s="6"/>
    </row>
    <row r="6652" s="1" customFormat="1" ht="13.5">
      <c r="G6652" s="6"/>
    </row>
    <row r="6653" s="1" customFormat="1" ht="13.5">
      <c r="G6653" s="6"/>
    </row>
    <row r="6654" s="1" customFormat="1" ht="13.5">
      <c r="G6654" s="6"/>
    </row>
    <row r="6655" s="1" customFormat="1" ht="13.5">
      <c r="G6655" s="6"/>
    </row>
    <row r="6656" s="1" customFormat="1" ht="13.5">
      <c r="G6656" s="6"/>
    </row>
    <row r="6657" s="1" customFormat="1" ht="13.5">
      <c r="G6657" s="6"/>
    </row>
    <row r="6658" s="1" customFormat="1" ht="13.5">
      <c r="G6658" s="6"/>
    </row>
    <row r="6659" s="1" customFormat="1" ht="13.5">
      <c r="G6659" s="6"/>
    </row>
    <row r="6660" s="1" customFormat="1" ht="13.5">
      <c r="G6660" s="6"/>
    </row>
    <row r="6661" s="1" customFormat="1" ht="13.5">
      <c r="G6661" s="6"/>
    </row>
    <row r="6662" s="1" customFormat="1" ht="13.5">
      <c r="G6662" s="6"/>
    </row>
    <row r="6663" s="1" customFormat="1" ht="13.5">
      <c r="G6663" s="6"/>
    </row>
    <row r="6664" s="1" customFormat="1" ht="13.5">
      <c r="G6664" s="6"/>
    </row>
    <row r="6665" s="1" customFormat="1" ht="13.5">
      <c r="G6665" s="6"/>
    </row>
    <row r="6666" s="1" customFormat="1" ht="13.5">
      <c r="G6666" s="6"/>
    </row>
    <row r="6667" s="1" customFormat="1" ht="13.5">
      <c r="G6667" s="6"/>
    </row>
    <row r="6668" s="1" customFormat="1" ht="13.5">
      <c r="G6668" s="6"/>
    </row>
    <row r="6669" s="1" customFormat="1" ht="13.5">
      <c r="G6669" s="6"/>
    </row>
    <row r="6670" s="1" customFormat="1" ht="13.5">
      <c r="G6670" s="6"/>
    </row>
    <row r="6671" s="1" customFormat="1" ht="13.5">
      <c r="G6671" s="6"/>
    </row>
    <row r="6672" s="1" customFormat="1" ht="13.5">
      <c r="G6672" s="6"/>
    </row>
    <row r="6673" s="1" customFormat="1" ht="13.5">
      <c r="G6673" s="6"/>
    </row>
    <row r="6674" s="1" customFormat="1" ht="13.5">
      <c r="G6674" s="6"/>
    </row>
    <row r="6675" s="1" customFormat="1" ht="13.5">
      <c r="G6675" s="6"/>
    </row>
    <row r="6676" s="1" customFormat="1" ht="13.5">
      <c r="G6676" s="6"/>
    </row>
    <row r="6677" s="1" customFormat="1" ht="13.5">
      <c r="G6677" s="6"/>
    </row>
    <row r="6678" s="1" customFormat="1" ht="13.5">
      <c r="G6678" s="6"/>
    </row>
    <row r="6679" s="1" customFormat="1" ht="13.5">
      <c r="G6679" s="6"/>
    </row>
    <row r="6680" s="1" customFormat="1" ht="13.5">
      <c r="G6680" s="6"/>
    </row>
    <row r="6681" s="1" customFormat="1" ht="13.5">
      <c r="G6681" s="6"/>
    </row>
    <row r="6682" s="1" customFormat="1" ht="13.5">
      <c r="G6682" s="6"/>
    </row>
    <row r="6683" s="1" customFormat="1" ht="13.5">
      <c r="G6683" s="6"/>
    </row>
    <row r="6684" s="1" customFormat="1" ht="13.5">
      <c r="G6684" s="6"/>
    </row>
    <row r="6685" s="1" customFormat="1" ht="13.5">
      <c r="G6685" s="6"/>
    </row>
    <row r="6686" s="1" customFormat="1" ht="13.5">
      <c r="G6686" s="6"/>
    </row>
    <row r="6687" s="1" customFormat="1" ht="13.5">
      <c r="G6687" s="6"/>
    </row>
    <row r="6688" s="1" customFormat="1" ht="13.5">
      <c r="G6688" s="6"/>
    </row>
    <row r="6689" s="1" customFormat="1" ht="13.5">
      <c r="G6689" s="6"/>
    </row>
    <row r="6690" s="1" customFormat="1" ht="13.5">
      <c r="G6690" s="6"/>
    </row>
    <row r="6691" s="1" customFormat="1" ht="13.5">
      <c r="G6691" s="6"/>
    </row>
    <row r="6692" s="1" customFormat="1" ht="13.5">
      <c r="G6692" s="6"/>
    </row>
    <row r="6693" s="1" customFormat="1" ht="13.5">
      <c r="G6693" s="6"/>
    </row>
    <row r="6694" s="1" customFormat="1" ht="13.5">
      <c r="G6694" s="6"/>
    </row>
    <row r="6695" s="1" customFormat="1" ht="13.5">
      <c r="G6695" s="6"/>
    </row>
    <row r="6696" s="1" customFormat="1" ht="13.5">
      <c r="G6696" s="6"/>
    </row>
    <row r="6697" s="1" customFormat="1" ht="13.5">
      <c r="G6697" s="6"/>
    </row>
    <row r="6698" s="1" customFormat="1" ht="13.5">
      <c r="G6698" s="6"/>
    </row>
    <row r="6699" s="1" customFormat="1" ht="13.5">
      <c r="G6699" s="6"/>
    </row>
    <row r="6700" s="1" customFormat="1" ht="13.5">
      <c r="G6700" s="6"/>
    </row>
    <row r="6701" s="1" customFormat="1" ht="13.5">
      <c r="G6701" s="6"/>
    </row>
    <row r="6702" s="1" customFormat="1" ht="13.5">
      <c r="G6702" s="6"/>
    </row>
    <row r="6703" s="1" customFormat="1" ht="13.5">
      <c r="G6703" s="6"/>
    </row>
    <row r="6704" s="1" customFormat="1" ht="13.5">
      <c r="G6704" s="6"/>
    </row>
    <row r="6705" s="1" customFormat="1" ht="13.5">
      <c r="G6705" s="6"/>
    </row>
    <row r="6706" s="1" customFormat="1" ht="13.5">
      <c r="G6706" s="6"/>
    </row>
    <row r="6707" s="1" customFormat="1" ht="13.5">
      <c r="G6707" s="6"/>
    </row>
    <row r="6708" s="1" customFormat="1" ht="13.5">
      <c r="G6708" s="6"/>
    </row>
    <row r="6709" s="1" customFormat="1" ht="13.5">
      <c r="G6709" s="6"/>
    </row>
    <row r="6710" s="1" customFormat="1" ht="13.5">
      <c r="G6710" s="6"/>
    </row>
    <row r="6711" s="1" customFormat="1" ht="13.5">
      <c r="G6711" s="6"/>
    </row>
    <row r="6712" s="1" customFormat="1" ht="13.5">
      <c r="G6712" s="6"/>
    </row>
    <row r="6713" s="1" customFormat="1" ht="13.5">
      <c r="G6713" s="6"/>
    </row>
    <row r="6714" s="1" customFormat="1" ht="13.5">
      <c r="G6714" s="6"/>
    </row>
    <row r="6715" s="1" customFormat="1" ht="13.5">
      <c r="G6715" s="6"/>
    </row>
    <row r="6716" s="1" customFormat="1" ht="13.5">
      <c r="G6716" s="6"/>
    </row>
    <row r="6717" s="1" customFormat="1" ht="13.5">
      <c r="G6717" s="6"/>
    </row>
    <row r="6718" s="1" customFormat="1" ht="13.5">
      <c r="G6718" s="6"/>
    </row>
    <row r="6719" s="1" customFormat="1" ht="13.5">
      <c r="G6719" s="6"/>
    </row>
    <row r="6720" s="1" customFormat="1" ht="13.5">
      <c r="G6720" s="6"/>
    </row>
    <row r="6721" s="1" customFormat="1" ht="13.5">
      <c r="G6721" s="6"/>
    </row>
    <row r="6722" s="1" customFormat="1" ht="13.5">
      <c r="G6722" s="6"/>
    </row>
    <row r="6723" s="1" customFormat="1" ht="13.5">
      <c r="G6723" s="6"/>
    </row>
    <row r="6724" s="1" customFormat="1" ht="13.5">
      <c r="G6724" s="6"/>
    </row>
    <row r="6725" s="1" customFormat="1" ht="13.5">
      <c r="G6725" s="6"/>
    </row>
    <row r="6726" s="1" customFormat="1" ht="13.5">
      <c r="G6726" s="6"/>
    </row>
    <row r="6727" s="1" customFormat="1" ht="13.5">
      <c r="G6727" s="6"/>
    </row>
    <row r="6728" s="1" customFormat="1" ht="13.5">
      <c r="G6728" s="6"/>
    </row>
    <row r="6729" s="1" customFormat="1" ht="13.5">
      <c r="G6729" s="6"/>
    </row>
    <row r="6730" s="1" customFormat="1" ht="13.5">
      <c r="G6730" s="6"/>
    </row>
    <row r="6731" s="1" customFormat="1" ht="13.5">
      <c r="G6731" s="6"/>
    </row>
    <row r="6732" s="1" customFormat="1" ht="13.5">
      <c r="G6732" s="6"/>
    </row>
    <row r="6733" s="1" customFormat="1" ht="13.5">
      <c r="G6733" s="6"/>
    </row>
    <row r="6734" s="1" customFormat="1" ht="13.5">
      <c r="G6734" s="6"/>
    </row>
    <row r="6735" s="1" customFormat="1" ht="13.5">
      <c r="G6735" s="6"/>
    </row>
    <row r="6736" s="1" customFormat="1" ht="13.5">
      <c r="G6736" s="6"/>
    </row>
    <row r="6737" s="1" customFormat="1" ht="13.5">
      <c r="G6737" s="6"/>
    </row>
    <row r="6738" s="1" customFormat="1" ht="13.5">
      <c r="G6738" s="6"/>
    </row>
    <row r="6739" s="1" customFormat="1" ht="13.5">
      <c r="G6739" s="6"/>
    </row>
    <row r="6740" s="1" customFormat="1" ht="13.5">
      <c r="G6740" s="6"/>
    </row>
    <row r="6741" s="1" customFormat="1" ht="13.5">
      <c r="G6741" s="6"/>
    </row>
    <row r="6742" s="1" customFormat="1" ht="13.5">
      <c r="G6742" s="6"/>
    </row>
    <row r="6743" s="1" customFormat="1" ht="13.5">
      <c r="G6743" s="6"/>
    </row>
    <row r="6744" s="1" customFormat="1" ht="13.5">
      <c r="G6744" s="6"/>
    </row>
    <row r="6745" s="1" customFormat="1" ht="13.5">
      <c r="G6745" s="6"/>
    </row>
    <row r="6746" s="1" customFormat="1" ht="13.5">
      <c r="G6746" s="6"/>
    </row>
    <row r="6747" s="1" customFormat="1" ht="13.5">
      <c r="G6747" s="6"/>
    </row>
    <row r="6748" s="1" customFormat="1" ht="13.5">
      <c r="G6748" s="6"/>
    </row>
    <row r="6749" s="1" customFormat="1" ht="13.5">
      <c r="G6749" s="6"/>
    </row>
    <row r="6750" s="1" customFormat="1" ht="13.5">
      <c r="G6750" s="6"/>
    </row>
    <row r="6751" s="1" customFormat="1" ht="13.5">
      <c r="G6751" s="6"/>
    </row>
    <row r="6752" s="1" customFormat="1" ht="13.5">
      <c r="G6752" s="6"/>
    </row>
    <row r="6753" s="1" customFormat="1" ht="13.5">
      <c r="G6753" s="6"/>
    </row>
    <row r="6754" s="1" customFormat="1" ht="13.5">
      <c r="G6754" s="6"/>
    </row>
    <row r="6755" s="1" customFormat="1" ht="13.5">
      <c r="G6755" s="6"/>
    </row>
    <row r="6756" s="1" customFormat="1" ht="13.5">
      <c r="G6756" s="6"/>
    </row>
    <row r="6757" s="1" customFormat="1" ht="13.5">
      <c r="G6757" s="6"/>
    </row>
    <row r="6758" s="1" customFormat="1" ht="13.5">
      <c r="G6758" s="6"/>
    </row>
    <row r="6759" s="1" customFormat="1" ht="13.5">
      <c r="G6759" s="6"/>
    </row>
    <row r="6760" s="1" customFormat="1" ht="13.5">
      <c r="G6760" s="6"/>
    </row>
    <row r="6761" s="1" customFormat="1" ht="13.5">
      <c r="G6761" s="6"/>
    </row>
    <row r="6762" s="1" customFormat="1" ht="13.5">
      <c r="G6762" s="6"/>
    </row>
    <row r="6763" s="1" customFormat="1" ht="13.5">
      <c r="G6763" s="6"/>
    </row>
    <row r="6764" s="1" customFormat="1" ht="13.5">
      <c r="G6764" s="6"/>
    </row>
    <row r="6765" s="1" customFormat="1" ht="13.5">
      <c r="G6765" s="6"/>
    </row>
    <row r="6766" s="1" customFormat="1" ht="13.5">
      <c r="G6766" s="6"/>
    </row>
    <row r="6767" s="1" customFormat="1" ht="13.5">
      <c r="G6767" s="6"/>
    </row>
    <row r="6768" s="1" customFormat="1" ht="13.5">
      <c r="G6768" s="6"/>
    </row>
    <row r="6769" s="1" customFormat="1" ht="13.5">
      <c r="G6769" s="6"/>
    </row>
    <row r="6770" s="1" customFormat="1" ht="13.5">
      <c r="G6770" s="6"/>
    </row>
    <row r="6771" s="1" customFormat="1" ht="13.5">
      <c r="G6771" s="6"/>
    </row>
    <row r="6772" s="1" customFormat="1" ht="13.5">
      <c r="G6772" s="6"/>
    </row>
    <row r="6773" s="1" customFormat="1" ht="13.5">
      <c r="G6773" s="6"/>
    </row>
    <row r="6774" s="1" customFormat="1" ht="13.5">
      <c r="G6774" s="6"/>
    </row>
    <row r="6775" s="1" customFormat="1" ht="13.5">
      <c r="G6775" s="6"/>
    </row>
    <row r="6776" s="1" customFormat="1" ht="13.5">
      <c r="G6776" s="6"/>
    </row>
    <row r="6777" s="1" customFormat="1" ht="13.5">
      <c r="G6777" s="6"/>
    </row>
    <row r="6778" s="1" customFormat="1" ht="13.5">
      <c r="G6778" s="6"/>
    </row>
    <row r="6779" s="1" customFormat="1" ht="13.5">
      <c r="G6779" s="6"/>
    </row>
    <row r="6780" s="1" customFormat="1" ht="13.5">
      <c r="G6780" s="6"/>
    </row>
    <row r="6781" s="1" customFormat="1" ht="13.5">
      <c r="G6781" s="6"/>
    </row>
    <row r="6782" s="1" customFormat="1" ht="13.5">
      <c r="G6782" s="6"/>
    </row>
    <row r="6783" s="1" customFormat="1" ht="13.5">
      <c r="G6783" s="6"/>
    </row>
    <row r="6784" s="1" customFormat="1" ht="13.5">
      <c r="G6784" s="6"/>
    </row>
    <row r="6785" s="1" customFormat="1" ht="13.5">
      <c r="G6785" s="6"/>
    </row>
    <row r="6786" s="1" customFormat="1" ht="13.5">
      <c r="G6786" s="6"/>
    </row>
    <row r="6787" s="1" customFormat="1" ht="13.5">
      <c r="G6787" s="6"/>
    </row>
    <row r="6788" s="1" customFormat="1" ht="13.5">
      <c r="G6788" s="6"/>
    </row>
    <row r="6789" s="1" customFormat="1" ht="13.5">
      <c r="G6789" s="6"/>
    </row>
    <row r="6790" s="1" customFormat="1" ht="13.5">
      <c r="G6790" s="6"/>
    </row>
    <row r="6791" s="1" customFormat="1" ht="13.5">
      <c r="G6791" s="6"/>
    </row>
    <row r="6792" s="1" customFormat="1" ht="13.5">
      <c r="G6792" s="6"/>
    </row>
    <row r="6793" s="1" customFormat="1" ht="13.5">
      <c r="G6793" s="6"/>
    </row>
    <row r="6794" s="1" customFormat="1" ht="13.5">
      <c r="G6794" s="6"/>
    </row>
    <row r="6795" s="1" customFormat="1" ht="13.5">
      <c r="G6795" s="6"/>
    </row>
    <row r="6796" s="1" customFormat="1" ht="13.5">
      <c r="G6796" s="6"/>
    </row>
    <row r="6797" s="1" customFormat="1" ht="13.5">
      <c r="G6797" s="6"/>
    </row>
    <row r="6798" s="1" customFormat="1" ht="13.5">
      <c r="G6798" s="6"/>
    </row>
    <row r="6799" s="1" customFormat="1" ht="13.5">
      <c r="G6799" s="6"/>
    </row>
    <row r="6800" s="1" customFormat="1" ht="13.5">
      <c r="G6800" s="6"/>
    </row>
    <row r="6801" s="1" customFormat="1" ht="13.5">
      <c r="G6801" s="6"/>
    </row>
    <row r="6802" s="1" customFormat="1" ht="13.5">
      <c r="G6802" s="6"/>
    </row>
    <row r="6803" s="1" customFormat="1" ht="13.5">
      <c r="G6803" s="6"/>
    </row>
    <row r="6804" s="1" customFormat="1" ht="13.5">
      <c r="G6804" s="6"/>
    </row>
    <row r="6805" s="1" customFormat="1" ht="13.5">
      <c r="G6805" s="6"/>
    </row>
    <row r="6806" s="1" customFormat="1" ht="13.5">
      <c r="G6806" s="6"/>
    </row>
    <row r="6807" s="1" customFormat="1" ht="13.5">
      <c r="G6807" s="6"/>
    </row>
    <row r="6808" s="1" customFormat="1" ht="13.5">
      <c r="G6808" s="6"/>
    </row>
    <row r="6809" s="1" customFormat="1" ht="13.5">
      <c r="G6809" s="6"/>
    </row>
    <row r="6810" s="1" customFormat="1" ht="13.5">
      <c r="G6810" s="6"/>
    </row>
    <row r="6811" s="1" customFormat="1" ht="13.5">
      <c r="G6811" s="6"/>
    </row>
    <row r="6812" s="1" customFormat="1" ht="13.5">
      <c r="G6812" s="6"/>
    </row>
    <row r="6813" s="1" customFormat="1" ht="13.5">
      <c r="G6813" s="6"/>
    </row>
    <row r="6814" s="1" customFormat="1" ht="13.5">
      <c r="G6814" s="6"/>
    </row>
    <row r="6815" s="1" customFormat="1" ht="13.5">
      <c r="G6815" s="6"/>
    </row>
    <row r="6816" s="1" customFormat="1" ht="13.5">
      <c r="G6816" s="6"/>
    </row>
    <row r="6817" s="1" customFormat="1" ht="13.5">
      <c r="G6817" s="6"/>
    </row>
    <row r="6818" s="1" customFormat="1" ht="13.5">
      <c r="G6818" s="6"/>
    </row>
    <row r="6819" s="1" customFormat="1" ht="13.5">
      <c r="G6819" s="6"/>
    </row>
    <row r="6820" s="1" customFormat="1" ht="13.5">
      <c r="G6820" s="6"/>
    </row>
    <row r="6821" s="1" customFormat="1" ht="13.5">
      <c r="G6821" s="6"/>
    </row>
    <row r="6822" s="1" customFormat="1" ht="13.5">
      <c r="G6822" s="6"/>
    </row>
    <row r="6823" s="1" customFormat="1" ht="13.5">
      <c r="G6823" s="6"/>
    </row>
    <row r="6824" s="1" customFormat="1" ht="13.5">
      <c r="G6824" s="6"/>
    </row>
    <row r="6825" s="1" customFormat="1" ht="13.5">
      <c r="G6825" s="6"/>
    </row>
    <row r="6826" s="1" customFormat="1" ht="13.5">
      <c r="G6826" s="6"/>
    </row>
    <row r="6827" s="1" customFormat="1" ht="13.5">
      <c r="G6827" s="6"/>
    </row>
    <row r="6828" s="1" customFormat="1" ht="13.5">
      <c r="G6828" s="6"/>
    </row>
    <row r="6829" s="1" customFormat="1" ht="13.5">
      <c r="G6829" s="6"/>
    </row>
    <row r="6830" s="1" customFormat="1" ht="13.5">
      <c r="G6830" s="6"/>
    </row>
    <row r="6831" s="1" customFormat="1" ht="13.5">
      <c r="G6831" s="6"/>
    </row>
    <row r="6832" s="1" customFormat="1" ht="13.5">
      <c r="G6832" s="6"/>
    </row>
    <row r="6833" s="1" customFormat="1" ht="13.5">
      <c r="G6833" s="6"/>
    </row>
    <row r="6834" s="1" customFormat="1" ht="13.5">
      <c r="G6834" s="6"/>
    </row>
    <row r="6835" s="1" customFormat="1" ht="13.5">
      <c r="G6835" s="6"/>
    </row>
    <row r="6836" s="1" customFormat="1" ht="13.5">
      <c r="G6836" s="6"/>
    </row>
    <row r="6837" s="1" customFormat="1" ht="13.5">
      <c r="G6837" s="6"/>
    </row>
    <row r="6838" s="1" customFormat="1" ht="13.5">
      <c r="G6838" s="6"/>
    </row>
    <row r="6839" s="1" customFormat="1" ht="13.5">
      <c r="G6839" s="6"/>
    </row>
    <row r="6840" s="1" customFormat="1" ht="13.5">
      <c r="G6840" s="6"/>
    </row>
    <row r="6841" s="1" customFormat="1" ht="13.5">
      <c r="G6841" s="6"/>
    </row>
    <row r="6842" s="1" customFormat="1" ht="13.5">
      <c r="G6842" s="6"/>
    </row>
    <row r="6843" s="1" customFormat="1" ht="13.5">
      <c r="G6843" s="6"/>
    </row>
    <row r="6844" s="1" customFormat="1" ht="13.5">
      <c r="G6844" s="6"/>
    </row>
    <row r="6845" s="1" customFormat="1" ht="13.5">
      <c r="G6845" s="6"/>
    </row>
    <row r="6846" s="1" customFormat="1" ht="13.5">
      <c r="G6846" s="6"/>
    </row>
    <row r="6847" s="1" customFormat="1" ht="13.5">
      <c r="G6847" s="6"/>
    </row>
    <row r="6848" s="1" customFormat="1" ht="13.5">
      <c r="G6848" s="6"/>
    </row>
    <row r="6849" s="1" customFormat="1" ht="13.5">
      <c r="G6849" s="6"/>
    </row>
    <row r="6850" s="1" customFormat="1" ht="13.5">
      <c r="G6850" s="6"/>
    </row>
    <row r="6851" s="1" customFormat="1" ht="13.5">
      <c r="G6851" s="6"/>
    </row>
    <row r="6852" s="1" customFormat="1" ht="13.5">
      <c r="G6852" s="6"/>
    </row>
    <row r="6853" s="1" customFormat="1" ht="13.5">
      <c r="G6853" s="6"/>
    </row>
    <row r="6854" s="1" customFormat="1" ht="13.5">
      <c r="G6854" s="6"/>
    </row>
    <row r="6855" s="1" customFormat="1" ht="13.5">
      <c r="G6855" s="6"/>
    </row>
    <row r="6856" s="1" customFormat="1" ht="13.5">
      <c r="G6856" s="6"/>
    </row>
    <row r="6857" s="1" customFormat="1" ht="13.5">
      <c r="G6857" s="6"/>
    </row>
    <row r="6858" s="1" customFormat="1" ht="13.5">
      <c r="G6858" s="6"/>
    </row>
    <row r="6859" s="1" customFormat="1" ht="13.5">
      <c r="G6859" s="6"/>
    </row>
    <row r="6860" s="1" customFormat="1" ht="13.5">
      <c r="G6860" s="6"/>
    </row>
    <row r="6861" s="1" customFormat="1" ht="13.5">
      <c r="G6861" s="6"/>
    </row>
    <row r="6862" s="1" customFormat="1" ht="13.5">
      <c r="G6862" s="6"/>
    </row>
    <row r="6863" s="1" customFormat="1" ht="13.5">
      <c r="G6863" s="6"/>
    </row>
    <row r="6864" s="1" customFormat="1" ht="13.5">
      <c r="G6864" s="6"/>
    </row>
    <row r="6865" s="1" customFormat="1" ht="13.5">
      <c r="G6865" s="6"/>
    </row>
    <row r="6866" s="1" customFormat="1" ht="13.5">
      <c r="G6866" s="6"/>
    </row>
    <row r="6867" s="1" customFormat="1" ht="13.5">
      <c r="G6867" s="6"/>
    </row>
    <row r="6868" s="1" customFormat="1" ht="13.5">
      <c r="G6868" s="6"/>
    </row>
    <row r="6869" s="1" customFormat="1" ht="13.5">
      <c r="G6869" s="6"/>
    </row>
    <row r="6870" s="1" customFormat="1" ht="13.5">
      <c r="G6870" s="6"/>
    </row>
    <row r="6871" s="1" customFormat="1" ht="13.5">
      <c r="G6871" s="6"/>
    </row>
    <row r="6872" s="1" customFormat="1" ht="13.5">
      <c r="G6872" s="6"/>
    </row>
    <row r="6873" s="1" customFormat="1" ht="13.5">
      <c r="G6873" s="6"/>
    </row>
    <row r="6874" s="1" customFormat="1" ht="13.5">
      <c r="G6874" s="6"/>
    </row>
    <row r="6875" s="1" customFormat="1" ht="13.5">
      <c r="G6875" s="6"/>
    </row>
    <row r="6876" s="1" customFormat="1" ht="13.5">
      <c r="G6876" s="6"/>
    </row>
    <row r="6877" s="1" customFormat="1" ht="13.5">
      <c r="G6877" s="6"/>
    </row>
    <row r="6878" s="1" customFormat="1" ht="13.5">
      <c r="G6878" s="6"/>
    </row>
    <row r="6879" s="1" customFormat="1" ht="13.5">
      <c r="G6879" s="6"/>
    </row>
    <row r="6880" s="1" customFormat="1" ht="13.5">
      <c r="G6880" s="6"/>
    </row>
    <row r="6881" s="1" customFormat="1" ht="13.5">
      <c r="G6881" s="6"/>
    </row>
    <row r="6882" s="1" customFormat="1" ht="13.5">
      <c r="G6882" s="6"/>
    </row>
    <row r="6883" s="1" customFormat="1" ht="13.5">
      <c r="G6883" s="6"/>
    </row>
    <row r="6884" s="1" customFormat="1" ht="13.5">
      <c r="G6884" s="6"/>
    </row>
    <row r="6885" s="1" customFormat="1" ht="13.5">
      <c r="G6885" s="6"/>
    </row>
    <row r="6886" s="1" customFormat="1" ht="13.5">
      <c r="G6886" s="6"/>
    </row>
    <row r="6887" s="1" customFormat="1" ht="13.5">
      <c r="G6887" s="6"/>
    </row>
    <row r="6888" s="1" customFormat="1" ht="13.5">
      <c r="G6888" s="6"/>
    </row>
    <row r="6889" s="1" customFormat="1" ht="13.5">
      <c r="G6889" s="6"/>
    </row>
    <row r="6890" s="1" customFormat="1" ht="13.5">
      <c r="G6890" s="6"/>
    </row>
    <row r="6891" s="1" customFormat="1" ht="13.5">
      <c r="G6891" s="6"/>
    </row>
    <row r="6892" s="1" customFormat="1" ht="13.5">
      <c r="G6892" s="6"/>
    </row>
    <row r="6893" s="1" customFormat="1" ht="13.5">
      <c r="G6893" s="6"/>
    </row>
    <row r="6894" s="1" customFormat="1" ht="13.5">
      <c r="G6894" s="6"/>
    </row>
    <row r="6895" s="1" customFormat="1" ht="13.5">
      <c r="G6895" s="6"/>
    </row>
    <row r="6896" s="1" customFormat="1" ht="13.5">
      <c r="G6896" s="6"/>
    </row>
    <row r="6897" s="1" customFormat="1" ht="13.5">
      <c r="G6897" s="6"/>
    </row>
    <row r="6898" s="1" customFormat="1" ht="13.5">
      <c r="G6898" s="6"/>
    </row>
    <row r="6899" s="1" customFormat="1" ht="13.5">
      <c r="G6899" s="6"/>
    </row>
    <row r="6900" s="1" customFormat="1" ht="13.5">
      <c r="G6900" s="6"/>
    </row>
    <row r="6901" s="1" customFormat="1" ht="13.5">
      <c r="G6901" s="6"/>
    </row>
    <row r="6902" s="1" customFormat="1" ht="13.5">
      <c r="G6902" s="6"/>
    </row>
    <row r="6903" s="1" customFormat="1" ht="13.5">
      <c r="G6903" s="6"/>
    </row>
    <row r="6904" s="1" customFormat="1" ht="13.5">
      <c r="G6904" s="6"/>
    </row>
    <row r="6905" s="1" customFormat="1" ht="13.5">
      <c r="G6905" s="6"/>
    </row>
    <row r="6906" s="1" customFormat="1" ht="13.5">
      <c r="G6906" s="6"/>
    </row>
    <row r="6907" s="1" customFormat="1" ht="13.5">
      <c r="G6907" s="6"/>
    </row>
    <row r="6908" s="1" customFormat="1" ht="13.5">
      <c r="G6908" s="6"/>
    </row>
    <row r="6909" s="1" customFormat="1" ht="13.5">
      <c r="G6909" s="6"/>
    </row>
    <row r="6910" s="1" customFormat="1" ht="13.5">
      <c r="G6910" s="6"/>
    </row>
    <row r="6911" s="1" customFormat="1" ht="13.5">
      <c r="G6911" s="6"/>
    </row>
    <row r="6912" s="1" customFormat="1" ht="13.5">
      <c r="G6912" s="6"/>
    </row>
    <row r="6913" s="1" customFormat="1" ht="13.5">
      <c r="G6913" s="6"/>
    </row>
    <row r="6914" s="1" customFormat="1" ht="13.5">
      <c r="G6914" s="6"/>
    </row>
    <row r="6915" s="1" customFormat="1" ht="13.5">
      <c r="G6915" s="6"/>
    </row>
    <row r="6916" s="1" customFormat="1" ht="13.5">
      <c r="G6916" s="6"/>
    </row>
    <row r="6917" s="1" customFormat="1" ht="13.5">
      <c r="G6917" s="6"/>
    </row>
    <row r="6918" s="1" customFormat="1" ht="13.5">
      <c r="G6918" s="6"/>
    </row>
    <row r="6919" s="1" customFormat="1" ht="13.5">
      <c r="G6919" s="6"/>
    </row>
    <row r="6920" s="1" customFormat="1" ht="13.5">
      <c r="G6920" s="6"/>
    </row>
    <row r="6921" s="1" customFormat="1" ht="13.5">
      <c r="G6921" s="6"/>
    </row>
    <row r="6922" s="1" customFormat="1" ht="13.5">
      <c r="G6922" s="6"/>
    </row>
    <row r="6923" s="1" customFormat="1" ht="13.5">
      <c r="G6923" s="6"/>
    </row>
    <row r="6924" s="1" customFormat="1" ht="13.5">
      <c r="G6924" s="6"/>
    </row>
    <row r="6925" s="1" customFormat="1" ht="13.5">
      <c r="G6925" s="6"/>
    </row>
    <row r="6926" s="1" customFormat="1" ht="13.5">
      <c r="G6926" s="6"/>
    </row>
    <row r="6927" s="1" customFormat="1" ht="13.5">
      <c r="G6927" s="6"/>
    </row>
    <row r="6928" s="1" customFormat="1" ht="13.5">
      <c r="G6928" s="6"/>
    </row>
    <row r="6929" s="1" customFormat="1" ht="13.5">
      <c r="G6929" s="6"/>
    </row>
    <row r="6930" s="1" customFormat="1" ht="13.5">
      <c r="G6930" s="6"/>
    </row>
    <row r="6931" s="1" customFormat="1" ht="13.5">
      <c r="G6931" s="6"/>
    </row>
    <row r="6932" s="1" customFormat="1" ht="13.5">
      <c r="G6932" s="6"/>
    </row>
    <row r="6933" s="1" customFormat="1" ht="13.5">
      <c r="G6933" s="6"/>
    </row>
    <row r="6934" s="1" customFormat="1" ht="13.5">
      <c r="G6934" s="6"/>
    </row>
    <row r="6935" s="1" customFormat="1" ht="13.5">
      <c r="G6935" s="6"/>
    </row>
    <row r="6936" s="1" customFormat="1" ht="13.5">
      <c r="G6936" s="6"/>
    </row>
    <row r="6937" s="1" customFormat="1" ht="13.5">
      <c r="G6937" s="6"/>
    </row>
    <row r="6938" s="1" customFormat="1" ht="13.5">
      <c r="G6938" s="6"/>
    </row>
    <row r="6939" s="1" customFormat="1" ht="13.5">
      <c r="G6939" s="6"/>
    </row>
    <row r="6940" s="1" customFormat="1" ht="13.5">
      <c r="G6940" s="6"/>
    </row>
    <row r="6941" s="1" customFormat="1" ht="13.5">
      <c r="G6941" s="6"/>
    </row>
    <row r="6942" s="1" customFormat="1" ht="13.5">
      <c r="G6942" s="6"/>
    </row>
    <row r="6943" s="1" customFormat="1" ht="13.5">
      <c r="G6943" s="6"/>
    </row>
    <row r="6944" s="1" customFormat="1" ht="13.5">
      <c r="G6944" s="6"/>
    </row>
    <row r="6945" s="1" customFormat="1" ht="13.5">
      <c r="G6945" s="6"/>
    </row>
    <row r="6946" s="1" customFormat="1" ht="13.5">
      <c r="G6946" s="6"/>
    </row>
    <row r="6947" s="1" customFormat="1" ht="13.5">
      <c r="G6947" s="6"/>
    </row>
    <row r="6948" s="1" customFormat="1" ht="13.5">
      <c r="G6948" s="6"/>
    </row>
    <row r="6949" s="1" customFormat="1" ht="13.5">
      <c r="G6949" s="6"/>
    </row>
    <row r="6950" s="1" customFormat="1" ht="13.5">
      <c r="G6950" s="6"/>
    </row>
    <row r="6951" s="1" customFormat="1" ht="13.5">
      <c r="G6951" s="6"/>
    </row>
    <row r="6952" s="1" customFormat="1" ht="13.5">
      <c r="G6952" s="6"/>
    </row>
    <row r="6953" s="1" customFormat="1" ht="13.5">
      <c r="G6953" s="6"/>
    </row>
    <row r="6954" s="1" customFormat="1" ht="13.5">
      <c r="G6954" s="6"/>
    </row>
    <row r="6955" s="1" customFormat="1" ht="13.5">
      <c r="G6955" s="6"/>
    </row>
    <row r="6956" s="1" customFormat="1" ht="13.5">
      <c r="G6956" s="6"/>
    </row>
    <row r="6957" s="1" customFormat="1" ht="13.5">
      <c r="G6957" s="6"/>
    </row>
    <row r="6958" s="1" customFormat="1" ht="13.5">
      <c r="G6958" s="6"/>
    </row>
    <row r="6959" s="1" customFormat="1" ht="13.5">
      <c r="G6959" s="6"/>
    </row>
    <row r="6960" s="1" customFormat="1" ht="13.5">
      <c r="G6960" s="6"/>
    </row>
    <row r="6961" s="1" customFormat="1" ht="13.5">
      <c r="G6961" s="6"/>
    </row>
    <row r="6962" s="1" customFormat="1" ht="13.5">
      <c r="G6962" s="6"/>
    </row>
    <row r="6963" s="1" customFormat="1" ht="13.5">
      <c r="G6963" s="6"/>
    </row>
    <row r="6964" s="1" customFormat="1" ht="13.5">
      <c r="G6964" s="6"/>
    </row>
    <row r="6965" s="1" customFormat="1" ht="13.5">
      <c r="G6965" s="6"/>
    </row>
    <row r="6966" s="1" customFormat="1" ht="13.5">
      <c r="G6966" s="6"/>
    </row>
    <row r="6967" s="1" customFormat="1" ht="13.5">
      <c r="G6967" s="6"/>
    </row>
    <row r="6968" s="1" customFormat="1" ht="13.5">
      <c r="G6968" s="6"/>
    </row>
    <row r="6969" s="1" customFormat="1" ht="13.5">
      <c r="G6969" s="6"/>
    </row>
    <row r="6970" s="1" customFormat="1" ht="13.5">
      <c r="G6970" s="6"/>
    </row>
    <row r="6971" s="1" customFormat="1" ht="13.5">
      <c r="G6971" s="6"/>
    </row>
    <row r="6972" s="1" customFormat="1" ht="13.5">
      <c r="G6972" s="6"/>
    </row>
    <row r="6973" s="1" customFormat="1" ht="13.5">
      <c r="G6973" s="6"/>
    </row>
    <row r="6974" s="1" customFormat="1" ht="13.5">
      <c r="G6974" s="6"/>
    </row>
    <row r="6975" s="1" customFormat="1" ht="13.5">
      <c r="G6975" s="6"/>
    </row>
    <row r="6976" s="1" customFormat="1" ht="13.5">
      <c r="G6976" s="6"/>
    </row>
    <row r="6977" s="1" customFormat="1" ht="13.5">
      <c r="G6977" s="6"/>
    </row>
    <row r="6978" s="1" customFormat="1" ht="13.5">
      <c r="G6978" s="6"/>
    </row>
    <row r="6979" s="1" customFormat="1" ht="13.5">
      <c r="G6979" s="6"/>
    </row>
    <row r="6980" s="1" customFormat="1" ht="13.5">
      <c r="G6980" s="6"/>
    </row>
    <row r="6981" s="1" customFormat="1" ht="13.5">
      <c r="G6981" s="6"/>
    </row>
    <row r="6982" s="1" customFormat="1" ht="13.5">
      <c r="G6982" s="6"/>
    </row>
    <row r="6983" s="1" customFormat="1" ht="13.5">
      <c r="G6983" s="6"/>
    </row>
    <row r="6984" s="1" customFormat="1" ht="13.5">
      <c r="G6984" s="6"/>
    </row>
    <row r="6985" s="1" customFormat="1" ht="13.5">
      <c r="G6985" s="6"/>
    </row>
    <row r="6986" s="1" customFormat="1" ht="13.5">
      <c r="G6986" s="6"/>
    </row>
    <row r="6987" s="1" customFormat="1" ht="13.5">
      <c r="G6987" s="6"/>
    </row>
    <row r="6988" s="1" customFormat="1" ht="13.5">
      <c r="G6988" s="6"/>
    </row>
    <row r="6989" s="1" customFormat="1" ht="13.5">
      <c r="G6989" s="6"/>
    </row>
    <row r="6990" s="1" customFormat="1" ht="13.5">
      <c r="G6990" s="6"/>
    </row>
    <row r="6991" s="1" customFormat="1" ht="13.5">
      <c r="G6991" s="6"/>
    </row>
    <row r="6992" s="1" customFormat="1" ht="13.5">
      <c r="G6992" s="6"/>
    </row>
    <row r="6993" s="1" customFormat="1" ht="13.5">
      <c r="G6993" s="6"/>
    </row>
    <row r="6994" s="1" customFormat="1" ht="13.5">
      <c r="G6994" s="6"/>
    </row>
    <row r="6995" s="1" customFormat="1" ht="13.5">
      <c r="G6995" s="6"/>
    </row>
    <row r="6996" s="1" customFormat="1" ht="13.5">
      <c r="G6996" s="6"/>
    </row>
    <row r="6997" s="1" customFormat="1" ht="13.5">
      <c r="G6997" s="6"/>
    </row>
    <row r="6998" s="1" customFormat="1" ht="13.5">
      <c r="G6998" s="6"/>
    </row>
    <row r="6999" s="1" customFormat="1" ht="13.5">
      <c r="G6999" s="6"/>
    </row>
    <row r="7000" s="1" customFormat="1" ht="13.5">
      <c r="G7000" s="6"/>
    </row>
    <row r="7001" s="1" customFormat="1" ht="13.5">
      <c r="G7001" s="6"/>
    </row>
    <row r="7002" s="1" customFormat="1" ht="13.5">
      <c r="G7002" s="6"/>
    </row>
    <row r="7003" s="1" customFormat="1" ht="13.5">
      <c r="G7003" s="6"/>
    </row>
    <row r="7004" s="1" customFormat="1" ht="13.5">
      <c r="G7004" s="6"/>
    </row>
    <row r="7005" s="1" customFormat="1" ht="13.5">
      <c r="G7005" s="6"/>
    </row>
    <row r="7006" s="1" customFormat="1" ht="13.5">
      <c r="G7006" s="6"/>
    </row>
    <row r="7007" s="1" customFormat="1" ht="13.5">
      <c r="G7007" s="6"/>
    </row>
    <row r="7008" s="1" customFormat="1" ht="13.5">
      <c r="G7008" s="6"/>
    </row>
    <row r="7009" s="1" customFormat="1" ht="13.5">
      <c r="G7009" s="6"/>
    </row>
    <row r="7010" s="1" customFormat="1" ht="13.5">
      <c r="G7010" s="6"/>
    </row>
    <row r="7011" s="1" customFormat="1" ht="13.5">
      <c r="G7011" s="6"/>
    </row>
    <row r="7012" s="1" customFormat="1" ht="13.5">
      <c r="G7012" s="6"/>
    </row>
    <row r="7013" s="1" customFormat="1" ht="13.5">
      <c r="G7013" s="6"/>
    </row>
    <row r="7014" s="1" customFormat="1" ht="13.5">
      <c r="G7014" s="6"/>
    </row>
    <row r="7015" s="1" customFormat="1" ht="13.5">
      <c r="G7015" s="6"/>
    </row>
    <row r="7016" s="1" customFormat="1" ht="13.5">
      <c r="G7016" s="6"/>
    </row>
    <row r="7017" s="1" customFormat="1" ht="13.5">
      <c r="G7017" s="6"/>
    </row>
    <row r="7018" s="1" customFormat="1" ht="13.5">
      <c r="G7018" s="6"/>
    </row>
    <row r="7019" s="1" customFormat="1" ht="13.5">
      <c r="G7019" s="6"/>
    </row>
    <row r="7020" s="1" customFormat="1" ht="13.5">
      <c r="G7020" s="6"/>
    </row>
    <row r="7021" s="1" customFormat="1" ht="13.5">
      <c r="G7021" s="6"/>
    </row>
    <row r="7022" s="1" customFormat="1" ht="13.5">
      <c r="G7022" s="6"/>
    </row>
    <row r="7023" s="1" customFormat="1" ht="13.5">
      <c r="G7023" s="6"/>
    </row>
    <row r="7024" s="1" customFormat="1" ht="13.5">
      <c r="G7024" s="6"/>
    </row>
    <row r="7025" s="1" customFormat="1" ht="13.5">
      <c r="G7025" s="6"/>
    </row>
    <row r="7026" s="1" customFormat="1" ht="13.5">
      <c r="G7026" s="6"/>
    </row>
    <row r="7027" s="1" customFormat="1" ht="13.5">
      <c r="G7027" s="6"/>
    </row>
    <row r="7028" s="1" customFormat="1" ht="13.5">
      <c r="G7028" s="6"/>
    </row>
    <row r="7029" s="1" customFormat="1" ht="13.5">
      <c r="G7029" s="6"/>
    </row>
    <row r="7030" s="1" customFormat="1" ht="13.5">
      <c r="G7030" s="6"/>
    </row>
    <row r="7031" s="1" customFormat="1" ht="13.5">
      <c r="G7031" s="6"/>
    </row>
    <row r="7032" s="1" customFormat="1" ht="13.5">
      <c r="G7032" s="6"/>
    </row>
    <row r="7033" s="1" customFormat="1" ht="13.5">
      <c r="G7033" s="6"/>
    </row>
    <row r="7034" s="1" customFormat="1" ht="13.5">
      <c r="G7034" s="6"/>
    </row>
    <row r="7035" s="1" customFormat="1" ht="13.5">
      <c r="G7035" s="6"/>
    </row>
    <row r="7036" s="1" customFormat="1" ht="13.5">
      <c r="G7036" s="6"/>
    </row>
    <row r="7037" s="1" customFormat="1" ht="13.5">
      <c r="G7037" s="6"/>
    </row>
    <row r="7038" s="1" customFormat="1" ht="13.5">
      <c r="G7038" s="6"/>
    </row>
    <row r="7039" s="1" customFormat="1" ht="13.5">
      <c r="G7039" s="6"/>
    </row>
    <row r="7040" s="1" customFormat="1" ht="13.5">
      <c r="G7040" s="6"/>
    </row>
    <row r="7041" s="1" customFormat="1" ht="13.5">
      <c r="G7041" s="6"/>
    </row>
    <row r="7042" s="1" customFormat="1" ht="13.5">
      <c r="G7042" s="6"/>
    </row>
    <row r="7043" s="1" customFormat="1" ht="13.5">
      <c r="G7043" s="6"/>
    </row>
    <row r="7044" s="1" customFormat="1" ht="13.5">
      <c r="G7044" s="6"/>
    </row>
    <row r="7045" s="1" customFormat="1" ht="13.5">
      <c r="G7045" s="6"/>
    </row>
    <row r="7046" s="1" customFormat="1" ht="13.5">
      <c r="G7046" s="6"/>
    </row>
    <row r="7047" s="1" customFormat="1" ht="13.5">
      <c r="G7047" s="6"/>
    </row>
    <row r="7048" s="1" customFormat="1" ht="13.5">
      <c r="G7048" s="6"/>
    </row>
    <row r="7049" s="1" customFormat="1" ht="13.5">
      <c r="G7049" s="6"/>
    </row>
    <row r="7050" s="1" customFormat="1" ht="13.5">
      <c r="G7050" s="6"/>
    </row>
    <row r="7051" s="1" customFormat="1" ht="13.5">
      <c r="G7051" s="6"/>
    </row>
    <row r="7052" s="1" customFormat="1" ht="13.5">
      <c r="G7052" s="6"/>
    </row>
    <row r="7053" s="1" customFormat="1" ht="13.5">
      <c r="G7053" s="6"/>
    </row>
    <row r="7054" s="1" customFormat="1" ht="13.5">
      <c r="G7054" s="6"/>
    </row>
    <row r="7055" s="1" customFormat="1" ht="13.5">
      <c r="G7055" s="6"/>
    </row>
    <row r="7056" s="1" customFormat="1" ht="13.5">
      <c r="G7056" s="6"/>
    </row>
    <row r="7057" s="1" customFormat="1" ht="13.5">
      <c r="G7057" s="6"/>
    </row>
    <row r="7058" s="1" customFormat="1" ht="13.5">
      <c r="G7058" s="6"/>
    </row>
    <row r="7059" s="1" customFormat="1" ht="13.5">
      <c r="G7059" s="6"/>
    </row>
    <row r="7060" s="1" customFormat="1" ht="13.5">
      <c r="G7060" s="6"/>
    </row>
    <row r="7061" s="1" customFormat="1" ht="13.5">
      <c r="G7061" s="6"/>
    </row>
    <row r="7062" s="1" customFormat="1" ht="13.5">
      <c r="G7062" s="6"/>
    </row>
    <row r="7063" s="1" customFormat="1" ht="13.5">
      <c r="G7063" s="6"/>
    </row>
    <row r="7064" s="1" customFormat="1" ht="13.5">
      <c r="G7064" s="6"/>
    </row>
    <row r="7065" s="1" customFormat="1" ht="13.5">
      <c r="G7065" s="6"/>
    </row>
    <row r="7066" s="1" customFormat="1" ht="13.5">
      <c r="G7066" s="6"/>
    </row>
    <row r="7067" s="1" customFormat="1" ht="13.5">
      <c r="G7067" s="6"/>
    </row>
    <row r="7068" s="1" customFormat="1" ht="13.5">
      <c r="G7068" s="6"/>
    </row>
    <row r="7069" s="1" customFormat="1" ht="13.5">
      <c r="G7069" s="6"/>
    </row>
    <row r="7070" s="1" customFormat="1" ht="13.5">
      <c r="G7070" s="6"/>
    </row>
    <row r="7071" s="1" customFormat="1" ht="13.5">
      <c r="G7071" s="6"/>
    </row>
    <row r="7072" s="1" customFormat="1" ht="13.5">
      <c r="G7072" s="6"/>
    </row>
    <row r="7073" s="1" customFormat="1" ht="13.5">
      <c r="G7073" s="6"/>
    </row>
    <row r="7074" s="1" customFormat="1" ht="13.5">
      <c r="G7074" s="6"/>
    </row>
    <row r="7075" s="1" customFormat="1" ht="13.5">
      <c r="G7075" s="6"/>
    </row>
    <row r="7076" s="1" customFormat="1" ht="13.5">
      <c r="G7076" s="6"/>
    </row>
    <row r="7077" s="1" customFormat="1" ht="13.5">
      <c r="G7077" s="6"/>
    </row>
    <row r="7078" s="1" customFormat="1" ht="13.5">
      <c r="G7078" s="6"/>
    </row>
    <row r="7079" s="1" customFormat="1" ht="13.5">
      <c r="G7079" s="6"/>
    </row>
    <row r="7080" s="1" customFormat="1" ht="13.5">
      <c r="G7080" s="6"/>
    </row>
    <row r="7081" s="1" customFormat="1" ht="13.5">
      <c r="G7081" s="6"/>
    </row>
    <row r="7082" s="1" customFormat="1" ht="13.5">
      <c r="G7082" s="6"/>
    </row>
    <row r="7083" s="1" customFormat="1" ht="13.5">
      <c r="G7083" s="6"/>
    </row>
    <row r="7084" s="1" customFormat="1" ht="13.5">
      <c r="G7084" s="6"/>
    </row>
    <row r="7085" s="1" customFormat="1" ht="13.5">
      <c r="G7085" s="6"/>
    </row>
    <row r="7086" s="1" customFormat="1" ht="13.5">
      <c r="G7086" s="6"/>
    </row>
    <row r="7087" s="1" customFormat="1" ht="13.5">
      <c r="G7087" s="6"/>
    </row>
    <row r="7088" s="1" customFormat="1" ht="13.5">
      <c r="G7088" s="6"/>
    </row>
    <row r="7089" s="1" customFormat="1" ht="13.5">
      <c r="G7089" s="6"/>
    </row>
    <row r="7090" s="1" customFormat="1" ht="13.5">
      <c r="G7090" s="6"/>
    </row>
    <row r="7091" s="1" customFormat="1" ht="13.5">
      <c r="G7091" s="6"/>
    </row>
    <row r="7092" s="1" customFormat="1" ht="13.5">
      <c r="G7092" s="6"/>
    </row>
    <row r="7093" s="1" customFormat="1" ht="13.5">
      <c r="G7093" s="6"/>
    </row>
    <row r="7094" s="1" customFormat="1" ht="13.5">
      <c r="G7094" s="6"/>
    </row>
    <row r="7095" s="1" customFormat="1" ht="13.5">
      <c r="G7095" s="6"/>
    </row>
    <row r="7096" s="1" customFormat="1" ht="13.5">
      <c r="G7096" s="6"/>
    </row>
    <row r="7097" s="1" customFormat="1" ht="13.5">
      <c r="G7097" s="6"/>
    </row>
    <row r="7098" s="1" customFormat="1" ht="13.5">
      <c r="G7098" s="6"/>
    </row>
    <row r="7099" s="1" customFormat="1" ht="13.5">
      <c r="G7099" s="6"/>
    </row>
    <row r="7100" s="1" customFormat="1" ht="13.5">
      <c r="G7100" s="6"/>
    </row>
    <row r="7101" s="1" customFormat="1" ht="13.5">
      <c r="G7101" s="6"/>
    </row>
    <row r="7102" s="1" customFormat="1" ht="13.5">
      <c r="G7102" s="6"/>
    </row>
    <row r="7103" s="1" customFormat="1" ht="13.5">
      <c r="G7103" s="6"/>
    </row>
    <row r="7104" s="1" customFormat="1" ht="13.5">
      <c r="G7104" s="6"/>
    </row>
    <row r="7105" s="1" customFormat="1" ht="13.5">
      <c r="G7105" s="6"/>
    </row>
    <row r="7106" s="1" customFormat="1" ht="13.5">
      <c r="G7106" s="6"/>
    </row>
    <row r="7107" s="1" customFormat="1" ht="13.5">
      <c r="G7107" s="6"/>
    </row>
    <row r="7108" s="1" customFormat="1" ht="13.5">
      <c r="G7108" s="6"/>
    </row>
    <row r="7109" s="1" customFormat="1" ht="13.5">
      <c r="G7109" s="6"/>
    </row>
    <row r="7110" s="1" customFormat="1" ht="13.5">
      <c r="G7110" s="6"/>
    </row>
    <row r="7111" s="1" customFormat="1" ht="13.5">
      <c r="G7111" s="6"/>
    </row>
    <row r="7112" s="1" customFormat="1" ht="13.5">
      <c r="G7112" s="6"/>
    </row>
    <row r="7113" s="1" customFormat="1" ht="13.5">
      <c r="G7113" s="6"/>
    </row>
    <row r="7114" s="1" customFormat="1" ht="13.5">
      <c r="G7114" s="6"/>
    </row>
    <row r="7115" s="1" customFormat="1" ht="13.5">
      <c r="G7115" s="6"/>
    </row>
    <row r="7116" s="1" customFormat="1" ht="13.5">
      <c r="G7116" s="6"/>
    </row>
    <row r="7117" s="1" customFormat="1" ht="13.5">
      <c r="G7117" s="6"/>
    </row>
    <row r="7118" s="1" customFormat="1" ht="13.5">
      <c r="G7118" s="6"/>
    </row>
    <row r="7119" s="1" customFormat="1" ht="13.5">
      <c r="G7119" s="6"/>
    </row>
    <row r="7120" s="1" customFormat="1" ht="13.5">
      <c r="G7120" s="6"/>
    </row>
    <row r="7121" s="1" customFormat="1" ht="13.5">
      <c r="G7121" s="6"/>
    </row>
    <row r="7122" s="1" customFormat="1" ht="13.5">
      <c r="G7122" s="6"/>
    </row>
    <row r="7123" s="1" customFormat="1" ht="13.5">
      <c r="G7123" s="6"/>
    </row>
    <row r="7124" s="1" customFormat="1" ht="13.5">
      <c r="G7124" s="6"/>
    </row>
    <row r="7125" s="1" customFormat="1" ht="13.5">
      <c r="G7125" s="6"/>
    </row>
    <row r="7126" s="1" customFormat="1" ht="13.5">
      <c r="G7126" s="6"/>
    </row>
    <row r="7127" s="1" customFormat="1" ht="13.5">
      <c r="G7127" s="6"/>
    </row>
    <row r="7128" s="1" customFormat="1" ht="13.5">
      <c r="G7128" s="6"/>
    </row>
    <row r="7129" s="1" customFormat="1" ht="13.5">
      <c r="G7129" s="6"/>
    </row>
    <row r="7130" s="1" customFormat="1" ht="13.5">
      <c r="G7130" s="6"/>
    </row>
    <row r="7131" s="1" customFormat="1" ht="13.5">
      <c r="G7131" s="6"/>
    </row>
    <row r="7132" s="1" customFormat="1" ht="13.5">
      <c r="G7132" s="6"/>
    </row>
    <row r="7133" s="1" customFormat="1" ht="13.5">
      <c r="G7133" s="6"/>
    </row>
    <row r="7134" s="1" customFormat="1" ht="13.5">
      <c r="G7134" s="6"/>
    </row>
    <row r="7135" s="1" customFormat="1" ht="13.5">
      <c r="G7135" s="6"/>
    </row>
    <row r="7136" s="1" customFormat="1" ht="13.5">
      <c r="G7136" s="6"/>
    </row>
    <row r="7137" s="1" customFormat="1" ht="13.5">
      <c r="G7137" s="6"/>
    </row>
    <row r="7138" s="1" customFormat="1" ht="13.5">
      <c r="G7138" s="6"/>
    </row>
    <row r="7139" s="1" customFormat="1" ht="13.5">
      <c r="G7139" s="6"/>
    </row>
    <row r="7140" s="1" customFormat="1" ht="13.5">
      <c r="G7140" s="6"/>
    </row>
    <row r="7141" s="1" customFormat="1" ht="13.5">
      <c r="G7141" s="6"/>
    </row>
    <row r="7142" s="1" customFormat="1" ht="13.5">
      <c r="G7142" s="6"/>
    </row>
    <row r="7143" s="1" customFormat="1" ht="13.5">
      <c r="G7143" s="6"/>
    </row>
    <row r="7144" s="1" customFormat="1" ht="13.5">
      <c r="G7144" s="6"/>
    </row>
    <row r="7145" s="1" customFormat="1" ht="13.5">
      <c r="G7145" s="6"/>
    </row>
    <row r="7146" s="1" customFormat="1" ht="13.5">
      <c r="G7146" s="6"/>
    </row>
    <row r="7147" s="1" customFormat="1" ht="13.5">
      <c r="G7147" s="6"/>
    </row>
    <row r="7148" s="1" customFormat="1" ht="13.5">
      <c r="G7148" s="6"/>
    </row>
    <row r="7149" s="1" customFormat="1" ht="13.5">
      <c r="G7149" s="6"/>
    </row>
    <row r="7150" s="1" customFormat="1" ht="13.5">
      <c r="G7150" s="6"/>
    </row>
    <row r="7151" s="1" customFormat="1" ht="13.5">
      <c r="G7151" s="6"/>
    </row>
    <row r="7152" s="1" customFormat="1" ht="13.5">
      <c r="G7152" s="6"/>
    </row>
    <row r="7153" s="1" customFormat="1" ht="13.5">
      <c r="G7153" s="6"/>
    </row>
    <row r="7154" s="1" customFormat="1" ht="13.5">
      <c r="G7154" s="6"/>
    </row>
    <row r="7155" s="1" customFormat="1" ht="13.5">
      <c r="G7155" s="6"/>
    </row>
    <row r="7156" s="1" customFormat="1" ht="13.5">
      <c r="G7156" s="6"/>
    </row>
    <row r="7157" s="1" customFormat="1" ht="13.5">
      <c r="G7157" s="6"/>
    </row>
    <row r="7158" s="1" customFormat="1" ht="13.5">
      <c r="G7158" s="6"/>
    </row>
    <row r="7159" s="1" customFormat="1" ht="13.5">
      <c r="G7159" s="6"/>
    </row>
    <row r="7160" s="1" customFormat="1" ht="13.5">
      <c r="G7160" s="6"/>
    </row>
    <row r="7161" s="1" customFormat="1" ht="13.5">
      <c r="G7161" s="6"/>
    </row>
    <row r="7162" s="1" customFormat="1" ht="13.5">
      <c r="G7162" s="6"/>
    </row>
    <row r="7163" s="1" customFormat="1" ht="13.5">
      <c r="G7163" s="6"/>
    </row>
    <row r="7164" s="1" customFormat="1" ht="13.5">
      <c r="G7164" s="6"/>
    </row>
    <row r="7165" s="1" customFormat="1" ht="13.5">
      <c r="G7165" s="6"/>
    </row>
    <row r="7166" s="1" customFormat="1" ht="13.5">
      <c r="G7166" s="6"/>
    </row>
    <row r="7167" s="1" customFormat="1" ht="13.5">
      <c r="G7167" s="6"/>
    </row>
    <row r="7168" s="1" customFormat="1" ht="13.5">
      <c r="G7168" s="6"/>
    </row>
    <row r="7169" s="1" customFormat="1" ht="13.5">
      <c r="G7169" s="6"/>
    </row>
    <row r="7170" s="1" customFormat="1" ht="13.5">
      <c r="G7170" s="6"/>
    </row>
    <row r="7171" s="1" customFormat="1" ht="13.5">
      <c r="G7171" s="6"/>
    </row>
    <row r="7172" s="1" customFormat="1" ht="13.5">
      <c r="G7172" s="6"/>
    </row>
    <row r="7173" s="1" customFormat="1" ht="13.5">
      <c r="G7173" s="6"/>
    </row>
    <row r="7174" s="1" customFormat="1" ht="13.5">
      <c r="G7174" s="6"/>
    </row>
    <row r="7175" s="1" customFormat="1" ht="13.5">
      <c r="G7175" s="6"/>
    </row>
    <row r="7176" s="1" customFormat="1" ht="13.5">
      <c r="G7176" s="6"/>
    </row>
    <row r="7177" s="1" customFormat="1" ht="13.5">
      <c r="G7177" s="6"/>
    </row>
    <row r="7178" s="1" customFormat="1" ht="13.5">
      <c r="G7178" s="6"/>
    </row>
    <row r="7179" s="1" customFormat="1" ht="13.5">
      <c r="G7179" s="6"/>
    </row>
    <row r="7180" s="1" customFormat="1" ht="13.5">
      <c r="G7180" s="6"/>
    </row>
    <row r="7181" s="1" customFormat="1" ht="13.5">
      <c r="G7181" s="6"/>
    </row>
    <row r="7182" s="1" customFormat="1" ht="13.5">
      <c r="G7182" s="6"/>
    </row>
    <row r="7183" s="1" customFormat="1" ht="13.5">
      <c r="G7183" s="6"/>
    </row>
    <row r="7184" s="1" customFormat="1" ht="13.5">
      <c r="G7184" s="6"/>
    </row>
    <row r="7185" s="1" customFormat="1" ht="13.5">
      <c r="G7185" s="6"/>
    </row>
    <row r="7186" s="1" customFormat="1" ht="13.5">
      <c r="G7186" s="6"/>
    </row>
    <row r="7187" s="1" customFormat="1" ht="13.5">
      <c r="G7187" s="6"/>
    </row>
    <row r="7188" s="1" customFormat="1" ht="13.5">
      <c r="G7188" s="6"/>
    </row>
    <row r="7189" s="1" customFormat="1" ht="13.5">
      <c r="G7189" s="6"/>
    </row>
    <row r="7190" s="1" customFormat="1" ht="13.5">
      <c r="G7190" s="6"/>
    </row>
    <row r="7191" s="1" customFormat="1" ht="13.5">
      <c r="G7191" s="6"/>
    </row>
    <row r="7192" s="1" customFormat="1" ht="13.5">
      <c r="G7192" s="6"/>
    </row>
    <row r="7193" s="1" customFormat="1" ht="13.5">
      <c r="G7193" s="6"/>
    </row>
    <row r="7194" s="1" customFormat="1" ht="13.5">
      <c r="G7194" s="6"/>
    </row>
    <row r="7195" s="1" customFormat="1" ht="13.5">
      <c r="G7195" s="6"/>
    </row>
    <row r="7196" s="1" customFormat="1" ht="13.5">
      <c r="G7196" s="6"/>
    </row>
    <row r="7197" s="1" customFormat="1" ht="13.5">
      <c r="G7197" s="6"/>
    </row>
    <row r="7198" s="1" customFormat="1" ht="13.5">
      <c r="G7198" s="6"/>
    </row>
    <row r="7199" s="1" customFormat="1" ht="13.5">
      <c r="G7199" s="6"/>
    </row>
    <row r="7200" s="1" customFormat="1" ht="13.5">
      <c r="G7200" s="6"/>
    </row>
    <row r="7201" s="1" customFormat="1" ht="13.5">
      <c r="G7201" s="6"/>
    </row>
    <row r="7202" s="1" customFormat="1" ht="13.5">
      <c r="G7202" s="6"/>
    </row>
    <row r="7203" s="1" customFormat="1" ht="13.5">
      <c r="G7203" s="6"/>
    </row>
    <row r="7204" s="1" customFormat="1" ht="13.5">
      <c r="G7204" s="6"/>
    </row>
    <row r="7205" s="1" customFormat="1" ht="13.5">
      <c r="G7205" s="6"/>
    </row>
    <row r="7206" s="1" customFormat="1" ht="13.5">
      <c r="G7206" s="6"/>
    </row>
    <row r="7207" s="1" customFormat="1" ht="13.5">
      <c r="G7207" s="6"/>
    </row>
    <row r="7208" s="1" customFormat="1" ht="13.5">
      <c r="G7208" s="6"/>
    </row>
    <row r="7209" s="1" customFormat="1" ht="13.5">
      <c r="G7209" s="6"/>
    </row>
    <row r="7210" s="1" customFormat="1" ht="13.5">
      <c r="G7210" s="6"/>
    </row>
    <row r="7211" s="1" customFormat="1" ht="13.5">
      <c r="G7211" s="6"/>
    </row>
    <row r="7212" s="1" customFormat="1" ht="13.5">
      <c r="G7212" s="6"/>
    </row>
    <row r="7213" s="1" customFormat="1" ht="13.5">
      <c r="G7213" s="6"/>
    </row>
    <row r="7214" s="1" customFormat="1" ht="13.5">
      <c r="G7214" s="6"/>
    </row>
    <row r="7215" s="1" customFormat="1" ht="13.5">
      <c r="G7215" s="6"/>
    </row>
    <row r="7216" s="1" customFormat="1" ht="13.5">
      <c r="G7216" s="6"/>
    </row>
    <row r="7217" s="1" customFormat="1" ht="13.5">
      <c r="G7217" s="6"/>
    </row>
    <row r="7218" s="1" customFormat="1" ht="13.5">
      <c r="G7218" s="6"/>
    </row>
    <row r="7219" s="1" customFormat="1" ht="13.5">
      <c r="G7219" s="6"/>
    </row>
    <row r="7220" s="1" customFormat="1" ht="13.5">
      <c r="G7220" s="6"/>
    </row>
    <row r="7221" s="1" customFormat="1" ht="13.5">
      <c r="G7221" s="6"/>
    </row>
    <row r="7222" s="1" customFormat="1" ht="13.5">
      <c r="G7222" s="6"/>
    </row>
    <row r="7223" s="1" customFormat="1" ht="13.5">
      <c r="G7223" s="6"/>
    </row>
    <row r="7224" s="1" customFormat="1" ht="13.5">
      <c r="G7224" s="6"/>
    </row>
    <row r="7225" s="1" customFormat="1" ht="13.5">
      <c r="G7225" s="6"/>
    </row>
    <row r="7226" s="1" customFormat="1" ht="13.5">
      <c r="G7226" s="6"/>
    </row>
    <row r="7227" s="1" customFormat="1" ht="13.5">
      <c r="G7227" s="6"/>
    </row>
    <row r="7228" s="1" customFormat="1" ht="13.5">
      <c r="G7228" s="6"/>
    </row>
    <row r="7229" s="1" customFormat="1" ht="13.5">
      <c r="G7229" s="6"/>
    </row>
    <row r="7230" s="1" customFormat="1" ht="13.5">
      <c r="G7230" s="6"/>
    </row>
    <row r="7231" s="1" customFormat="1" ht="13.5">
      <c r="G7231" s="6"/>
    </row>
    <row r="7232" s="1" customFormat="1" ht="13.5">
      <c r="G7232" s="6"/>
    </row>
    <row r="7233" s="1" customFormat="1" ht="13.5">
      <c r="G7233" s="6"/>
    </row>
    <row r="7234" s="1" customFormat="1" ht="13.5">
      <c r="G7234" s="6"/>
    </row>
    <row r="7235" s="1" customFormat="1" ht="13.5">
      <c r="G7235" s="6"/>
    </row>
    <row r="7236" s="1" customFormat="1" ht="13.5">
      <c r="G7236" s="6"/>
    </row>
    <row r="7237" s="1" customFormat="1" ht="13.5">
      <c r="G7237" s="6"/>
    </row>
    <row r="7238" s="1" customFormat="1" ht="13.5">
      <c r="G7238" s="6"/>
    </row>
    <row r="7239" s="1" customFormat="1" ht="13.5">
      <c r="G7239" s="6"/>
    </row>
    <row r="7240" s="1" customFormat="1" ht="13.5">
      <c r="G7240" s="6"/>
    </row>
    <row r="7241" s="1" customFormat="1" ht="13.5">
      <c r="G7241" s="6"/>
    </row>
    <row r="7242" s="1" customFormat="1" ht="13.5">
      <c r="G7242" s="6"/>
    </row>
    <row r="7243" s="1" customFormat="1" ht="13.5">
      <c r="G7243" s="6"/>
    </row>
    <row r="7244" s="1" customFormat="1" ht="13.5">
      <c r="G7244" s="6"/>
    </row>
    <row r="7245" s="1" customFormat="1" ht="13.5">
      <c r="G7245" s="6"/>
    </row>
    <row r="7246" s="1" customFormat="1" ht="13.5">
      <c r="G7246" s="6"/>
    </row>
    <row r="7247" s="1" customFormat="1" ht="13.5">
      <c r="G7247" s="6"/>
    </row>
    <row r="7248" s="1" customFormat="1" ht="13.5">
      <c r="G7248" s="6"/>
    </row>
    <row r="7249" s="1" customFormat="1" ht="13.5">
      <c r="G7249" s="6"/>
    </row>
    <row r="7250" s="1" customFormat="1" ht="13.5">
      <c r="G7250" s="6"/>
    </row>
    <row r="7251" s="1" customFormat="1" ht="13.5">
      <c r="G7251" s="6"/>
    </row>
    <row r="7252" s="1" customFormat="1" ht="13.5">
      <c r="G7252" s="6"/>
    </row>
    <row r="7253" s="1" customFormat="1" ht="13.5">
      <c r="G7253" s="6"/>
    </row>
    <row r="7254" s="1" customFormat="1" ht="13.5">
      <c r="G7254" s="6"/>
    </row>
    <row r="7255" s="1" customFormat="1" ht="13.5">
      <c r="G7255" s="6"/>
    </row>
    <row r="7256" s="1" customFormat="1" ht="13.5">
      <c r="G7256" s="6"/>
    </row>
    <row r="7257" s="1" customFormat="1" ht="13.5">
      <c r="G7257" s="6"/>
    </row>
    <row r="7258" s="1" customFormat="1" ht="13.5">
      <c r="G7258" s="6"/>
    </row>
    <row r="7259" s="1" customFormat="1" ht="13.5">
      <c r="G7259" s="6"/>
    </row>
    <row r="7260" s="1" customFormat="1" ht="13.5">
      <c r="G7260" s="6"/>
    </row>
    <row r="7261" s="1" customFormat="1" ht="13.5">
      <c r="G7261" s="6"/>
    </row>
    <row r="7262" s="1" customFormat="1" ht="13.5">
      <c r="G7262" s="6"/>
    </row>
    <row r="7263" s="1" customFormat="1" ht="13.5">
      <c r="G7263" s="6"/>
    </row>
    <row r="7264" s="1" customFormat="1" ht="13.5">
      <c r="G7264" s="6"/>
    </row>
    <row r="7265" s="1" customFormat="1" ht="13.5">
      <c r="G7265" s="6"/>
    </row>
    <row r="7266" s="1" customFormat="1" ht="13.5">
      <c r="G7266" s="6"/>
    </row>
    <row r="7267" s="1" customFormat="1" ht="13.5">
      <c r="G7267" s="6"/>
    </row>
    <row r="7268" s="1" customFormat="1" ht="13.5">
      <c r="G7268" s="6"/>
    </row>
    <row r="7269" s="1" customFormat="1" ht="13.5">
      <c r="G7269" s="6"/>
    </row>
    <row r="7270" s="1" customFormat="1" ht="13.5">
      <c r="G7270" s="6"/>
    </row>
    <row r="7271" s="1" customFormat="1" ht="13.5">
      <c r="G7271" s="6"/>
    </row>
    <row r="7272" s="1" customFormat="1" ht="13.5">
      <c r="G7272" s="6"/>
    </row>
    <row r="7273" s="1" customFormat="1" ht="13.5">
      <c r="G7273" s="6"/>
    </row>
    <row r="7274" s="1" customFormat="1" ht="13.5">
      <c r="G7274" s="6"/>
    </row>
    <row r="7275" s="1" customFormat="1" ht="13.5">
      <c r="G7275" s="6"/>
    </row>
    <row r="7276" s="1" customFormat="1" ht="13.5">
      <c r="G7276" s="6"/>
    </row>
    <row r="7277" s="1" customFormat="1" ht="13.5">
      <c r="G7277" s="6"/>
    </row>
    <row r="7278" s="1" customFormat="1" ht="13.5">
      <c r="G7278" s="6"/>
    </row>
    <row r="7279" s="1" customFormat="1" ht="13.5">
      <c r="G7279" s="6"/>
    </row>
    <row r="7280" s="1" customFormat="1" ht="13.5">
      <c r="G7280" s="6"/>
    </row>
    <row r="7281" s="1" customFormat="1" ht="13.5">
      <c r="G7281" s="6"/>
    </row>
    <row r="7282" s="1" customFormat="1" ht="13.5">
      <c r="G7282" s="6"/>
    </row>
    <row r="7283" s="1" customFormat="1" ht="13.5">
      <c r="G7283" s="6"/>
    </row>
    <row r="7284" s="1" customFormat="1" ht="13.5">
      <c r="G7284" s="6"/>
    </row>
    <row r="7285" s="1" customFormat="1" ht="13.5">
      <c r="G7285" s="6"/>
    </row>
    <row r="7286" s="1" customFormat="1" ht="13.5">
      <c r="G7286" s="6"/>
    </row>
    <row r="7287" s="1" customFormat="1" ht="13.5">
      <c r="G7287" s="6"/>
    </row>
    <row r="7288" s="1" customFormat="1" ht="13.5">
      <c r="G7288" s="6"/>
    </row>
    <row r="7289" s="1" customFormat="1" ht="13.5">
      <c r="G7289" s="6"/>
    </row>
    <row r="7290" s="1" customFormat="1" ht="13.5">
      <c r="G7290" s="6"/>
    </row>
    <row r="7291" s="1" customFormat="1" ht="13.5">
      <c r="G7291" s="6"/>
    </row>
    <row r="7292" s="1" customFormat="1" ht="13.5">
      <c r="G7292" s="6"/>
    </row>
    <row r="7293" s="1" customFormat="1" ht="13.5">
      <c r="G7293" s="6"/>
    </row>
    <row r="7294" s="1" customFormat="1" ht="13.5">
      <c r="G7294" s="6"/>
    </row>
    <row r="7295" s="1" customFormat="1" ht="13.5">
      <c r="G7295" s="6"/>
    </row>
    <row r="7296" s="1" customFormat="1" ht="13.5">
      <c r="G7296" s="6"/>
    </row>
    <row r="7297" s="1" customFormat="1" ht="13.5">
      <c r="G7297" s="6"/>
    </row>
    <row r="7298" s="1" customFormat="1" ht="13.5">
      <c r="G7298" s="6"/>
    </row>
    <row r="7299" s="1" customFormat="1" ht="13.5">
      <c r="G7299" s="6"/>
    </row>
    <row r="7300" s="1" customFormat="1" ht="13.5">
      <c r="G7300" s="6"/>
    </row>
    <row r="7301" s="1" customFormat="1" ht="13.5">
      <c r="G7301" s="6"/>
    </row>
    <row r="7302" s="1" customFormat="1" ht="13.5">
      <c r="G7302" s="6"/>
    </row>
    <row r="7303" s="1" customFormat="1" ht="13.5">
      <c r="G7303" s="6"/>
    </row>
    <row r="7304" s="1" customFormat="1" ht="13.5">
      <c r="G7304" s="6"/>
    </row>
    <row r="7305" s="1" customFormat="1" ht="13.5">
      <c r="G7305" s="6"/>
    </row>
    <row r="7306" s="1" customFormat="1" ht="13.5">
      <c r="G7306" s="6"/>
    </row>
    <row r="7307" s="1" customFormat="1" ht="13.5">
      <c r="G7307" s="6"/>
    </row>
    <row r="7308" s="1" customFormat="1" ht="13.5">
      <c r="G7308" s="6"/>
    </row>
    <row r="7309" s="1" customFormat="1" ht="13.5">
      <c r="G7309" s="6"/>
    </row>
    <row r="7310" s="1" customFormat="1" ht="13.5">
      <c r="G7310" s="6"/>
    </row>
    <row r="7311" s="1" customFormat="1" ht="13.5">
      <c r="G7311" s="6"/>
    </row>
    <row r="7312" s="1" customFormat="1" ht="13.5">
      <c r="G7312" s="6"/>
    </row>
    <row r="7313" s="1" customFormat="1" ht="13.5">
      <c r="G7313" s="6"/>
    </row>
    <row r="7314" s="1" customFormat="1" ht="13.5">
      <c r="G7314" s="6"/>
    </row>
    <row r="7315" s="1" customFormat="1" ht="13.5">
      <c r="G7315" s="6"/>
    </row>
    <row r="7316" s="1" customFormat="1" ht="13.5">
      <c r="G7316" s="6"/>
    </row>
    <row r="7317" s="1" customFormat="1" ht="13.5">
      <c r="G7317" s="6"/>
    </row>
    <row r="7318" s="1" customFormat="1" ht="13.5">
      <c r="G7318" s="6"/>
    </row>
    <row r="7319" s="1" customFormat="1" ht="13.5">
      <c r="G7319" s="6"/>
    </row>
    <row r="7320" s="1" customFormat="1" ht="13.5">
      <c r="G7320" s="6"/>
    </row>
    <row r="7321" s="1" customFormat="1" ht="13.5">
      <c r="G7321" s="6"/>
    </row>
    <row r="7322" s="1" customFormat="1" ht="13.5">
      <c r="G7322" s="6"/>
    </row>
    <row r="7323" s="1" customFormat="1" ht="13.5">
      <c r="G7323" s="6"/>
    </row>
    <row r="7324" s="1" customFormat="1" ht="13.5">
      <c r="G7324" s="6"/>
    </row>
    <row r="7325" s="1" customFormat="1" ht="13.5">
      <c r="G7325" s="6"/>
    </row>
    <row r="7326" s="1" customFormat="1" ht="13.5">
      <c r="G7326" s="6"/>
    </row>
    <row r="7327" s="1" customFormat="1" ht="13.5">
      <c r="G7327" s="6"/>
    </row>
    <row r="7328" s="1" customFormat="1" ht="13.5">
      <c r="G7328" s="6"/>
    </row>
    <row r="7329" s="1" customFormat="1" ht="13.5">
      <c r="G7329" s="6"/>
    </row>
    <row r="7330" s="1" customFormat="1" ht="13.5">
      <c r="G7330" s="6"/>
    </row>
    <row r="7331" s="1" customFormat="1" ht="13.5">
      <c r="G7331" s="6"/>
    </row>
    <row r="7332" s="1" customFormat="1" ht="13.5">
      <c r="G7332" s="6"/>
    </row>
    <row r="7333" s="1" customFormat="1" ht="13.5">
      <c r="G7333" s="6"/>
    </row>
    <row r="7334" s="1" customFormat="1" ht="13.5">
      <c r="G7334" s="6"/>
    </row>
    <row r="7335" s="1" customFormat="1" ht="13.5">
      <c r="G7335" s="6"/>
    </row>
    <row r="7336" s="1" customFormat="1" ht="13.5">
      <c r="G7336" s="6"/>
    </row>
    <row r="7337" s="1" customFormat="1" ht="13.5">
      <c r="G7337" s="6"/>
    </row>
    <row r="7338" s="1" customFormat="1" ht="13.5">
      <c r="G7338" s="6"/>
    </row>
    <row r="7339" s="1" customFormat="1" ht="13.5">
      <c r="G7339" s="6"/>
    </row>
    <row r="7340" s="1" customFormat="1" ht="13.5">
      <c r="G7340" s="6"/>
    </row>
    <row r="7341" s="1" customFormat="1" ht="13.5">
      <c r="G7341" s="6"/>
    </row>
    <row r="7342" s="1" customFormat="1" ht="13.5">
      <c r="G7342" s="6"/>
    </row>
    <row r="7343" s="1" customFormat="1" ht="13.5">
      <c r="G7343" s="6"/>
    </row>
    <row r="7344" s="1" customFormat="1" ht="13.5">
      <c r="G7344" s="6"/>
    </row>
    <row r="7345" s="1" customFormat="1" ht="13.5">
      <c r="G7345" s="6"/>
    </row>
    <row r="7346" s="1" customFormat="1" ht="13.5">
      <c r="G7346" s="6"/>
    </row>
    <row r="7347" s="1" customFormat="1" ht="13.5">
      <c r="G7347" s="6"/>
    </row>
    <row r="7348" s="1" customFormat="1" ht="13.5">
      <c r="G7348" s="6"/>
    </row>
    <row r="7349" s="1" customFormat="1" ht="13.5">
      <c r="G7349" s="6"/>
    </row>
    <row r="7350" s="1" customFormat="1" ht="13.5">
      <c r="G7350" s="6"/>
    </row>
    <row r="7351" s="1" customFormat="1" ht="13.5">
      <c r="G7351" s="6"/>
    </row>
    <row r="7352" s="1" customFormat="1" ht="13.5">
      <c r="G7352" s="6"/>
    </row>
    <row r="7353" s="1" customFormat="1" ht="13.5">
      <c r="G7353" s="6"/>
    </row>
    <row r="7354" s="1" customFormat="1" ht="13.5">
      <c r="G7354" s="6"/>
    </row>
    <row r="7355" s="1" customFormat="1" ht="13.5">
      <c r="G7355" s="6"/>
    </row>
    <row r="7356" s="1" customFormat="1" ht="13.5">
      <c r="G7356" s="6"/>
    </row>
    <row r="7357" s="1" customFormat="1" ht="13.5">
      <c r="G7357" s="6"/>
    </row>
    <row r="7358" s="1" customFormat="1" ht="13.5">
      <c r="G7358" s="6"/>
    </row>
    <row r="7359" s="1" customFormat="1" ht="13.5">
      <c r="G7359" s="6"/>
    </row>
    <row r="7360" s="1" customFormat="1" ht="13.5">
      <c r="G7360" s="6"/>
    </row>
    <row r="7361" s="1" customFormat="1" ht="13.5">
      <c r="G7361" s="6"/>
    </row>
    <row r="7362" s="1" customFormat="1" ht="13.5">
      <c r="G7362" s="6"/>
    </row>
    <row r="7363" s="1" customFormat="1" ht="13.5">
      <c r="G7363" s="6"/>
    </row>
    <row r="7364" s="1" customFormat="1" ht="13.5">
      <c r="G7364" s="6"/>
    </row>
    <row r="7365" s="1" customFormat="1" ht="13.5">
      <c r="G7365" s="6"/>
    </row>
    <row r="7366" s="1" customFormat="1" ht="13.5">
      <c r="G7366" s="6"/>
    </row>
    <row r="7367" s="1" customFormat="1" ht="13.5">
      <c r="G7367" s="6"/>
    </row>
    <row r="7368" s="1" customFormat="1" ht="13.5">
      <c r="G7368" s="6"/>
    </row>
    <row r="7369" s="1" customFormat="1" ht="13.5">
      <c r="G7369" s="6"/>
    </row>
    <row r="7370" s="1" customFormat="1" ht="13.5">
      <c r="G7370" s="6"/>
    </row>
    <row r="7371" s="1" customFormat="1" ht="13.5">
      <c r="G7371" s="6"/>
    </row>
    <row r="7372" s="1" customFormat="1" ht="13.5">
      <c r="G7372" s="6"/>
    </row>
    <row r="7373" s="1" customFormat="1" ht="13.5">
      <c r="G7373" s="6"/>
    </row>
    <row r="7374" s="1" customFormat="1" ht="13.5">
      <c r="G7374" s="6"/>
    </row>
    <row r="7375" s="1" customFormat="1" ht="13.5">
      <c r="G7375" s="6"/>
    </row>
    <row r="7376" s="1" customFormat="1" ht="13.5">
      <c r="G7376" s="6"/>
    </row>
    <row r="7377" s="1" customFormat="1" ht="13.5">
      <c r="G7377" s="6"/>
    </row>
    <row r="7378" s="1" customFormat="1" ht="13.5">
      <c r="G7378" s="6"/>
    </row>
    <row r="7379" s="1" customFormat="1" ht="13.5">
      <c r="G7379" s="6"/>
    </row>
    <row r="7380" s="1" customFormat="1" ht="13.5">
      <c r="G7380" s="6"/>
    </row>
    <row r="7381" s="1" customFormat="1" ht="13.5">
      <c r="G7381" s="6"/>
    </row>
    <row r="7382" s="1" customFormat="1" ht="13.5">
      <c r="G7382" s="6"/>
    </row>
    <row r="7383" s="1" customFormat="1" ht="13.5">
      <c r="G7383" s="6"/>
    </row>
    <row r="7384" s="1" customFormat="1" ht="13.5">
      <c r="G7384" s="6"/>
    </row>
    <row r="7385" s="1" customFormat="1" ht="13.5">
      <c r="G7385" s="6"/>
    </row>
    <row r="7386" s="1" customFormat="1" ht="13.5">
      <c r="G7386" s="6"/>
    </row>
    <row r="7387" s="1" customFormat="1" ht="13.5">
      <c r="G7387" s="6"/>
    </row>
    <row r="7388" s="1" customFormat="1" ht="13.5">
      <c r="G7388" s="6"/>
    </row>
    <row r="7389" s="1" customFormat="1" ht="13.5">
      <c r="G7389" s="6"/>
    </row>
    <row r="7390" s="1" customFormat="1" ht="13.5">
      <c r="G7390" s="6"/>
    </row>
    <row r="7391" s="1" customFormat="1" ht="13.5">
      <c r="G7391" s="6"/>
    </row>
    <row r="7392" s="1" customFormat="1" ht="13.5">
      <c r="G7392" s="6"/>
    </row>
    <row r="7393" s="1" customFormat="1" ht="13.5">
      <c r="G7393" s="6"/>
    </row>
    <row r="7394" s="1" customFormat="1" ht="13.5">
      <c r="G7394" s="6"/>
    </row>
    <row r="7395" s="1" customFormat="1" ht="13.5">
      <c r="G7395" s="6"/>
    </row>
    <row r="7396" s="1" customFormat="1" ht="13.5">
      <c r="G7396" s="6"/>
    </row>
    <row r="7397" s="1" customFormat="1" ht="13.5">
      <c r="G7397" s="6"/>
    </row>
    <row r="7398" s="1" customFormat="1" ht="13.5">
      <c r="G7398" s="6"/>
    </row>
    <row r="7399" s="1" customFormat="1" ht="13.5">
      <c r="G7399" s="6"/>
    </row>
    <row r="7400" s="1" customFormat="1" ht="13.5">
      <c r="G7400" s="6"/>
    </row>
    <row r="7401" s="1" customFormat="1" ht="13.5">
      <c r="G7401" s="6"/>
    </row>
    <row r="7402" s="1" customFormat="1" ht="13.5">
      <c r="G7402" s="6"/>
    </row>
    <row r="7403" s="1" customFormat="1" ht="13.5">
      <c r="G7403" s="6"/>
    </row>
    <row r="7404" s="1" customFormat="1" ht="13.5">
      <c r="G7404" s="6"/>
    </row>
    <row r="7405" s="1" customFormat="1" ht="13.5">
      <c r="G7405" s="6"/>
    </row>
    <row r="7406" s="1" customFormat="1" ht="13.5">
      <c r="G7406" s="6"/>
    </row>
    <row r="7407" s="1" customFormat="1" ht="13.5">
      <c r="G7407" s="6"/>
    </row>
    <row r="7408" s="1" customFormat="1" ht="13.5">
      <c r="G7408" s="6"/>
    </row>
    <row r="7409" s="1" customFormat="1" ht="13.5">
      <c r="G7409" s="6"/>
    </row>
    <row r="7410" s="1" customFormat="1" ht="13.5">
      <c r="G7410" s="6"/>
    </row>
    <row r="7411" s="1" customFormat="1" ht="13.5">
      <c r="G7411" s="6"/>
    </row>
    <row r="7412" s="1" customFormat="1" ht="13.5">
      <c r="G7412" s="6"/>
    </row>
    <row r="7413" s="1" customFormat="1" ht="13.5">
      <c r="G7413" s="6"/>
    </row>
    <row r="7414" s="1" customFormat="1" ht="13.5">
      <c r="G7414" s="6"/>
    </row>
    <row r="7415" s="1" customFormat="1" ht="13.5">
      <c r="G7415" s="6"/>
    </row>
    <row r="7416" s="1" customFormat="1" ht="13.5">
      <c r="G7416" s="6"/>
    </row>
    <row r="7417" s="1" customFormat="1" ht="13.5">
      <c r="G7417" s="6"/>
    </row>
    <row r="7418" s="1" customFormat="1" ht="13.5">
      <c r="G7418" s="6"/>
    </row>
    <row r="7419" s="1" customFormat="1" ht="13.5">
      <c r="G7419" s="6"/>
    </row>
    <row r="7420" s="1" customFormat="1" ht="13.5">
      <c r="G7420" s="6"/>
    </row>
    <row r="7421" s="1" customFormat="1" ht="13.5">
      <c r="G7421" s="6"/>
    </row>
    <row r="7422" s="1" customFormat="1" ht="13.5">
      <c r="G7422" s="6"/>
    </row>
    <row r="7423" s="1" customFormat="1" ht="13.5">
      <c r="G7423" s="6"/>
    </row>
    <row r="7424" s="1" customFormat="1" ht="13.5">
      <c r="G7424" s="6"/>
    </row>
    <row r="7425" s="1" customFormat="1" ht="13.5">
      <c r="G7425" s="6"/>
    </row>
    <row r="7426" s="1" customFormat="1" ht="13.5">
      <c r="G7426" s="6"/>
    </row>
    <row r="7427" s="1" customFormat="1" ht="13.5">
      <c r="G7427" s="6"/>
    </row>
    <row r="7428" s="1" customFormat="1" ht="13.5">
      <c r="G7428" s="6"/>
    </row>
    <row r="7429" s="1" customFormat="1" ht="13.5">
      <c r="G7429" s="6"/>
    </row>
    <row r="7430" s="1" customFormat="1" ht="13.5">
      <c r="G7430" s="6"/>
    </row>
    <row r="7431" s="1" customFormat="1" ht="13.5">
      <c r="G7431" s="6"/>
    </row>
    <row r="7432" s="1" customFormat="1" ht="13.5">
      <c r="G7432" s="6"/>
    </row>
    <row r="7433" s="1" customFormat="1" ht="13.5">
      <c r="G7433" s="6"/>
    </row>
    <row r="7434" s="1" customFormat="1" ht="13.5">
      <c r="G7434" s="6"/>
    </row>
    <row r="7435" s="1" customFormat="1" ht="13.5">
      <c r="G7435" s="6"/>
    </row>
    <row r="7436" s="1" customFormat="1" ht="13.5">
      <c r="G7436" s="6"/>
    </row>
    <row r="7437" s="1" customFormat="1" ht="13.5">
      <c r="G7437" s="6"/>
    </row>
    <row r="7438" s="1" customFormat="1" ht="13.5">
      <c r="G7438" s="6"/>
    </row>
    <row r="7439" s="1" customFormat="1" ht="13.5">
      <c r="G7439" s="6"/>
    </row>
    <row r="7440" s="1" customFormat="1" ht="13.5">
      <c r="G7440" s="6"/>
    </row>
    <row r="7441" s="1" customFormat="1" ht="13.5">
      <c r="G7441" s="6"/>
    </row>
    <row r="7442" s="1" customFormat="1" ht="13.5">
      <c r="G7442" s="6"/>
    </row>
    <row r="7443" s="1" customFormat="1" ht="13.5">
      <c r="G7443" s="6"/>
    </row>
    <row r="7444" s="1" customFormat="1" ht="13.5">
      <c r="G7444" s="6"/>
    </row>
    <row r="7445" s="1" customFormat="1" ht="13.5">
      <c r="G7445" s="6"/>
    </row>
    <row r="7446" s="1" customFormat="1" ht="13.5">
      <c r="G7446" s="6"/>
    </row>
    <row r="7447" s="1" customFormat="1" ht="13.5">
      <c r="G7447" s="6"/>
    </row>
    <row r="7448" s="1" customFormat="1" ht="13.5">
      <c r="G7448" s="6"/>
    </row>
    <row r="7449" s="1" customFormat="1" ht="13.5">
      <c r="G7449" s="6"/>
    </row>
    <row r="7450" s="1" customFormat="1" ht="13.5">
      <c r="G7450" s="6"/>
    </row>
    <row r="7451" s="1" customFormat="1" ht="13.5">
      <c r="G7451" s="6"/>
    </row>
    <row r="7452" s="1" customFormat="1" ht="13.5">
      <c r="G7452" s="6"/>
    </row>
    <row r="7453" s="1" customFormat="1" ht="13.5">
      <c r="G7453" s="6"/>
    </row>
    <row r="7454" s="1" customFormat="1" ht="13.5">
      <c r="G7454" s="6"/>
    </row>
    <row r="7455" s="1" customFormat="1" ht="13.5">
      <c r="G7455" s="6"/>
    </row>
    <row r="7456" s="1" customFormat="1" ht="13.5">
      <c r="G7456" s="6"/>
    </row>
    <row r="7457" s="1" customFormat="1" ht="13.5">
      <c r="G7457" s="6"/>
    </row>
    <row r="7458" s="1" customFormat="1" ht="13.5">
      <c r="G7458" s="6"/>
    </row>
    <row r="7459" s="1" customFormat="1" ht="13.5">
      <c r="G7459" s="6"/>
    </row>
    <row r="7460" s="1" customFormat="1" ht="13.5">
      <c r="G7460" s="6"/>
    </row>
    <row r="7461" s="1" customFormat="1" ht="13.5">
      <c r="G7461" s="6"/>
    </row>
    <row r="7462" s="1" customFormat="1" ht="13.5">
      <c r="G7462" s="6"/>
    </row>
    <row r="7463" s="1" customFormat="1" ht="13.5">
      <c r="G7463" s="6"/>
    </row>
    <row r="7464" s="1" customFormat="1" ht="13.5">
      <c r="G7464" s="6"/>
    </row>
    <row r="7465" s="1" customFormat="1" ht="13.5">
      <c r="G7465" s="6"/>
    </row>
    <row r="7466" s="1" customFormat="1" ht="13.5">
      <c r="G7466" s="6"/>
    </row>
    <row r="7467" s="1" customFormat="1" ht="13.5">
      <c r="G7467" s="6"/>
    </row>
    <row r="7468" s="1" customFormat="1" ht="13.5">
      <c r="G7468" s="6"/>
    </row>
    <row r="7469" s="1" customFormat="1" ht="13.5">
      <c r="G7469" s="6"/>
    </row>
    <row r="7470" s="1" customFormat="1" ht="13.5">
      <c r="G7470" s="6"/>
    </row>
    <row r="7471" s="1" customFormat="1" ht="13.5">
      <c r="G7471" s="6"/>
    </row>
    <row r="7472" s="1" customFormat="1" ht="13.5">
      <c r="G7472" s="6"/>
    </row>
    <row r="7473" s="1" customFormat="1" ht="13.5">
      <c r="G7473" s="6"/>
    </row>
    <row r="7474" s="1" customFormat="1" ht="13.5">
      <c r="G7474" s="6"/>
    </row>
    <row r="7475" s="1" customFormat="1" ht="13.5">
      <c r="G7475" s="6"/>
    </row>
    <row r="7476" s="1" customFormat="1" ht="13.5">
      <c r="G7476" s="6"/>
    </row>
    <row r="7477" s="1" customFormat="1" ht="13.5">
      <c r="G7477" s="6"/>
    </row>
    <row r="7478" s="1" customFormat="1" ht="13.5">
      <c r="G7478" s="6"/>
    </row>
    <row r="7479" s="1" customFormat="1" ht="13.5">
      <c r="G7479" s="6"/>
    </row>
    <row r="7480" s="1" customFormat="1" ht="13.5">
      <c r="G7480" s="6"/>
    </row>
    <row r="7481" s="1" customFormat="1" ht="13.5">
      <c r="G7481" s="6"/>
    </row>
    <row r="7482" s="1" customFormat="1" ht="13.5">
      <c r="G7482" s="6"/>
    </row>
    <row r="7483" s="1" customFormat="1" ht="13.5">
      <c r="G7483" s="6"/>
    </row>
    <row r="7484" s="1" customFormat="1" ht="13.5">
      <c r="G7484" s="6"/>
    </row>
    <row r="7485" s="1" customFormat="1" ht="13.5">
      <c r="G7485" s="6"/>
    </row>
    <row r="7486" s="1" customFormat="1" ht="13.5">
      <c r="G7486" s="6"/>
    </row>
    <row r="7487" s="1" customFormat="1" ht="13.5">
      <c r="G7487" s="6"/>
    </row>
    <row r="7488" s="1" customFormat="1" ht="13.5">
      <c r="G7488" s="6"/>
    </row>
    <row r="7489" s="1" customFormat="1" ht="13.5">
      <c r="G7489" s="6"/>
    </row>
    <row r="7490" s="1" customFormat="1" ht="13.5">
      <c r="G7490" s="6"/>
    </row>
    <row r="7491" s="1" customFormat="1" ht="13.5">
      <c r="G7491" s="6"/>
    </row>
    <row r="7492" s="1" customFormat="1" ht="13.5">
      <c r="G7492" s="6"/>
    </row>
    <row r="7493" s="1" customFormat="1" ht="13.5">
      <c r="G7493" s="6"/>
    </row>
    <row r="7494" s="1" customFormat="1" ht="13.5">
      <c r="G7494" s="6"/>
    </row>
    <row r="7495" s="1" customFormat="1" ht="13.5">
      <c r="G7495" s="6"/>
    </row>
    <row r="7496" s="1" customFormat="1" ht="13.5">
      <c r="G7496" s="6"/>
    </row>
    <row r="7497" s="1" customFormat="1" ht="13.5">
      <c r="G7497" s="6"/>
    </row>
    <row r="7498" s="1" customFormat="1" ht="13.5">
      <c r="G7498" s="6"/>
    </row>
    <row r="7499" s="1" customFormat="1" ht="13.5">
      <c r="G7499" s="6"/>
    </row>
    <row r="7500" s="1" customFormat="1" ht="13.5">
      <c r="G7500" s="6"/>
    </row>
    <row r="7501" s="1" customFormat="1" ht="13.5">
      <c r="G7501" s="6"/>
    </row>
    <row r="7502" s="1" customFormat="1" ht="13.5">
      <c r="G7502" s="6"/>
    </row>
    <row r="7503" s="1" customFormat="1" ht="13.5">
      <c r="G7503" s="6"/>
    </row>
    <row r="7504" s="1" customFormat="1" ht="13.5">
      <c r="G7504" s="6"/>
    </row>
    <row r="7505" s="1" customFormat="1" ht="13.5">
      <c r="G7505" s="6"/>
    </row>
    <row r="7506" s="1" customFormat="1" ht="13.5">
      <c r="G7506" s="6"/>
    </row>
    <row r="7507" s="1" customFormat="1" ht="13.5">
      <c r="G7507" s="6"/>
    </row>
    <row r="7508" s="1" customFormat="1" ht="13.5">
      <c r="G7508" s="6"/>
    </row>
    <row r="7509" s="1" customFormat="1" ht="13.5">
      <c r="G7509" s="6"/>
    </row>
    <row r="7510" s="1" customFormat="1" ht="13.5">
      <c r="G7510" s="6"/>
    </row>
    <row r="7511" s="1" customFormat="1" ht="13.5">
      <c r="G7511" s="6"/>
    </row>
    <row r="7512" s="1" customFormat="1" ht="13.5">
      <c r="G7512" s="6"/>
    </row>
    <row r="7513" s="1" customFormat="1" ht="13.5">
      <c r="G7513" s="6"/>
    </row>
    <row r="7514" s="1" customFormat="1" ht="13.5">
      <c r="G7514" s="6"/>
    </row>
    <row r="7515" s="1" customFormat="1" ht="13.5">
      <c r="G7515" s="6"/>
    </row>
    <row r="7516" s="1" customFormat="1" ht="13.5">
      <c r="G7516" s="6"/>
    </row>
    <row r="7517" s="1" customFormat="1" ht="13.5">
      <c r="G7517" s="6"/>
    </row>
    <row r="7518" s="1" customFormat="1" ht="13.5">
      <c r="G7518" s="6"/>
    </row>
    <row r="7519" s="1" customFormat="1" ht="13.5">
      <c r="G7519" s="6"/>
    </row>
    <row r="7520" s="1" customFormat="1" ht="13.5">
      <c r="G7520" s="6"/>
    </row>
    <row r="7521" s="1" customFormat="1" ht="13.5">
      <c r="G7521" s="6"/>
    </row>
    <row r="7522" s="1" customFormat="1" ht="13.5">
      <c r="G7522" s="6"/>
    </row>
    <row r="7523" s="1" customFormat="1" ht="13.5">
      <c r="G7523" s="6"/>
    </row>
    <row r="7524" s="1" customFormat="1" ht="13.5">
      <c r="G7524" s="6"/>
    </row>
    <row r="7525" s="1" customFormat="1" ht="13.5">
      <c r="G7525" s="6"/>
    </row>
    <row r="7526" s="1" customFormat="1" ht="13.5">
      <c r="G7526" s="6"/>
    </row>
    <row r="7527" s="1" customFormat="1" ht="13.5">
      <c r="G7527" s="6"/>
    </row>
    <row r="7528" s="1" customFormat="1" ht="13.5">
      <c r="G7528" s="6"/>
    </row>
    <row r="7529" s="1" customFormat="1" ht="13.5">
      <c r="G7529" s="6"/>
    </row>
    <row r="7530" s="1" customFormat="1" ht="13.5">
      <c r="G7530" s="6"/>
    </row>
    <row r="7531" s="1" customFormat="1" ht="13.5">
      <c r="G7531" s="6"/>
    </row>
    <row r="7532" s="1" customFormat="1" ht="13.5">
      <c r="G7532" s="6"/>
    </row>
    <row r="7533" s="1" customFormat="1" ht="13.5">
      <c r="G7533" s="6"/>
    </row>
    <row r="7534" s="1" customFormat="1" ht="13.5">
      <c r="G7534" s="6"/>
    </row>
    <row r="7535" s="1" customFormat="1" ht="13.5">
      <c r="G7535" s="6"/>
    </row>
    <row r="7536" s="1" customFormat="1" ht="13.5">
      <c r="G7536" s="6"/>
    </row>
    <row r="7537" s="1" customFormat="1" ht="13.5">
      <c r="G7537" s="6"/>
    </row>
    <row r="7538" s="1" customFormat="1" ht="13.5">
      <c r="G7538" s="6"/>
    </row>
    <row r="7539" s="1" customFormat="1" ht="13.5">
      <c r="G7539" s="6"/>
    </row>
    <row r="7540" s="1" customFormat="1" ht="13.5">
      <c r="G7540" s="6"/>
    </row>
    <row r="7541" s="1" customFormat="1" ht="13.5">
      <c r="G7541" s="6"/>
    </row>
    <row r="7542" s="1" customFormat="1" ht="13.5">
      <c r="G7542" s="6"/>
    </row>
    <row r="7543" s="1" customFormat="1" ht="13.5">
      <c r="G7543" s="6"/>
    </row>
    <row r="7544" s="1" customFormat="1" ht="13.5">
      <c r="G7544" s="6"/>
    </row>
    <row r="7545" s="1" customFormat="1" ht="13.5">
      <c r="G7545" s="6"/>
    </row>
    <row r="7546" s="1" customFormat="1" ht="13.5">
      <c r="G7546" s="6"/>
    </row>
    <row r="7547" s="1" customFormat="1" ht="13.5">
      <c r="G7547" s="6"/>
    </row>
    <row r="7548" s="1" customFormat="1" ht="13.5">
      <c r="G7548" s="6"/>
    </row>
    <row r="7549" s="1" customFormat="1" ht="13.5">
      <c r="G7549" s="6"/>
    </row>
    <row r="7550" s="1" customFormat="1" ht="13.5">
      <c r="G7550" s="6"/>
    </row>
    <row r="7551" s="1" customFormat="1" ht="13.5">
      <c r="G7551" s="6"/>
    </row>
    <row r="7552" s="1" customFormat="1" ht="13.5">
      <c r="G7552" s="6"/>
    </row>
    <row r="7553" s="1" customFormat="1" ht="13.5">
      <c r="G7553" s="6"/>
    </row>
    <row r="7554" s="1" customFormat="1" ht="13.5">
      <c r="G7554" s="6"/>
    </row>
    <row r="7555" s="1" customFormat="1" ht="13.5">
      <c r="G7555" s="6"/>
    </row>
    <row r="7556" s="1" customFormat="1" ht="13.5">
      <c r="G7556" s="6"/>
    </row>
    <row r="7557" s="1" customFormat="1" ht="13.5">
      <c r="G7557" s="6"/>
    </row>
    <row r="7558" s="1" customFormat="1" ht="13.5">
      <c r="G7558" s="6"/>
    </row>
    <row r="7559" s="1" customFormat="1" ht="13.5">
      <c r="G7559" s="6"/>
    </row>
    <row r="7560" s="1" customFormat="1" ht="13.5">
      <c r="G7560" s="6"/>
    </row>
    <row r="7561" s="1" customFormat="1" ht="13.5">
      <c r="G7561" s="6"/>
    </row>
    <row r="7562" s="1" customFormat="1" ht="13.5">
      <c r="G7562" s="6"/>
    </row>
    <row r="7563" s="1" customFormat="1" ht="13.5">
      <c r="G7563" s="6"/>
    </row>
    <row r="7564" s="1" customFormat="1" ht="13.5">
      <c r="G7564" s="6"/>
    </row>
    <row r="7565" s="1" customFormat="1" ht="13.5">
      <c r="G7565" s="6"/>
    </row>
    <row r="7566" s="1" customFormat="1" ht="13.5">
      <c r="G7566" s="6"/>
    </row>
    <row r="7567" s="1" customFormat="1" ht="13.5">
      <c r="G7567" s="6"/>
    </row>
    <row r="7568" s="1" customFormat="1" ht="13.5">
      <c r="G7568" s="6"/>
    </row>
    <row r="7569" s="1" customFormat="1" ht="13.5">
      <c r="G7569" s="6"/>
    </row>
    <row r="7570" s="1" customFormat="1" ht="13.5">
      <c r="G7570" s="6"/>
    </row>
    <row r="7571" s="1" customFormat="1" ht="13.5">
      <c r="G7571" s="6"/>
    </row>
    <row r="7572" s="1" customFormat="1" ht="13.5">
      <c r="G7572" s="6"/>
    </row>
    <row r="7573" s="1" customFormat="1" ht="13.5">
      <c r="G7573" s="6"/>
    </row>
    <row r="7574" s="1" customFormat="1" ht="13.5">
      <c r="G7574" s="6"/>
    </row>
    <row r="7575" s="1" customFormat="1" ht="13.5">
      <c r="G7575" s="6"/>
    </row>
    <row r="7576" s="1" customFormat="1" ht="13.5">
      <c r="G7576" s="6"/>
    </row>
    <row r="7577" s="1" customFormat="1" ht="13.5">
      <c r="G7577" s="6"/>
    </row>
    <row r="7578" s="1" customFormat="1" ht="13.5">
      <c r="G7578" s="6"/>
    </row>
    <row r="7579" s="1" customFormat="1" ht="13.5">
      <c r="G7579" s="6"/>
    </row>
    <row r="7580" s="1" customFormat="1" ht="13.5">
      <c r="G7580" s="6"/>
    </row>
    <row r="7581" s="1" customFormat="1" ht="13.5">
      <c r="G7581" s="6"/>
    </row>
    <row r="7582" s="1" customFormat="1" ht="13.5">
      <c r="G7582" s="6"/>
    </row>
    <row r="7583" s="1" customFormat="1" ht="13.5">
      <c r="G7583" s="6"/>
    </row>
    <row r="7584" s="1" customFormat="1" ht="13.5">
      <c r="G7584" s="6"/>
    </row>
    <row r="7585" s="1" customFormat="1" ht="13.5">
      <c r="G7585" s="6"/>
    </row>
    <row r="7586" s="1" customFormat="1" ht="13.5">
      <c r="G7586" s="6"/>
    </row>
    <row r="7587" s="1" customFormat="1" ht="13.5">
      <c r="G7587" s="6"/>
    </row>
    <row r="7588" s="1" customFormat="1" ht="13.5">
      <c r="G7588" s="6"/>
    </row>
    <row r="7589" s="1" customFormat="1" ht="13.5">
      <c r="G7589" s="6"/>
    </row>
    <row r="7590" s="1" customFormat="1" ht="13.5">
      <c r="G7590" s="6"/>
    </row>
    <row r="7591" s="1" customFormat="1" ht="13.5">
      <c r="G7591" s="6"/>
    </row>
    <row r="7592" s="1" customFormat="1" ht="13.5">
      <c r="G7592" s="6"/>
    </row>
    <row r="7593" s="1" customFormat="1" ht="13.5">
      <c r="G7593" s="6"/>
    </row>
    <row r="7594" s="1" customFormat="1" ht="13.5">
      <c r="G7594" s="6"/>
    </row>
    <row r="7595" s="1" customFormat="1" ht="13.5">
      <c r="G7595" s="6"/>
    </row>
    <row r="7596" s="1" customFormat="1" ht="13.5">
      <c r="G7596" s="6"/>
    </row>
    <row r="7597" s="1" customFormat="1" ht="13.5">
      <c r="G7597" s="6"/>
    </row>
    <row r="7598" s="1" customFormat="1" ht="13.5">
      <c r="G7598" s="6"/>
    </row>
    <row r="7599" s="1" customFormat="1" ht="13.5">
      <c r="G7599" s="6"/>
    </row>
    <row r="7600" s="1" customFormat="1" ht="13.5">
      <c r="G7600" s="6"/>
    </row>
    <row r="7601" s="1" customFormat="1" ht="13.5">
      <c r="G7601" s="6"/>
    </row>
    <row r="7602" s="1" customFormat="1" ht="13.5">
      <c r="G7602" s="6"/>
    </row>
    <row r="7603" s="1" customFormat="1" ht="13.5">
      <c r="G7603" s="6"/>
    </row>
    <row r="7604" s="1" customFormat="1" ht="13.5">
      <c r="G7604" s="6"/>
    </row>
    <row r="7605" s="1" customFormat="1" ht="13.5">
      <c r="G7605" s="6"/>
    </row>
    <row r="7606" s="1" customFormat="1" ht="13.5">
      <c r="G7606" s="6"/>
    </row>
    <row r="7607" s="1" customFormat="1" ht="13.5">
      <c r="G7607" s="6"/>
    </row>
    <row r="7608" s="1" customFormat="1" ht="13.5">
      <c r="G7608" s="6"/>
    </row>
    <row r="7609" s="1" customFormat="1" ht="13.5">
      <c r="G7609" s="6"/>
    </row>
    <row r="7610" s="1" customFormat="1" ht="13.5">
      <c r="G7610" s="6"/>
    </row>
    <row r="7611" s="1" customFormat="1" ht="13.5">
      <c r="G7611" s="6"/>
    </row>
    <row r="7612" s="1" customFormat="1" ht="13.5">
      <c r="G7612" s="6"/>
    </row>
    <row r="7613" s="1" customFormat="1" ht="13.5">
      <c r="G7613" s="6"/>
    </row>
    <row r="7614" s="1" customFormat="1" ht="13.5">
      <c r="G7614" s="6"/>
    </row>
    <row r="7615" s="1" customFormat="1" ht="13.5">
      <c r="G7615" s="6"/>
    </row>
    <row r="7616" s="1" customFormat="1" ht="13.5">
      <c r="G7616" s="6"/>
    </row>
    <row r="7617" s="1" customFormat="1" ht="13.5">
      <c r="G7617" s="6"/>
    </row>
    <row r="7618" s="1" customFormat="1" ht="13.5">
      <c r="G7618" s="6"/>
    </row>
    <row r="7619" s="1" customFormat="1" ht="13.5">
      <c r="G7619" s="6"/>
    </row>
    <row r="7620" s="1" customFormat="1" ht="13.5">
      <c r="G7620" s="6"/>
    </row>
    <row r="7621" s="1" customFormat="1" ht="13.5">
      <c r="G7621" s="6"/>
    </row>
    <row r="7622" s="1" customFormat="1" ht="13.5">
      <c r="G7622" s="6"/>
    </row>
    <row r="7623" s="1" customFormat="1" ht="13.5">
      <c r="G7623" s="6"/>
    </row>
    <row r="7624" s="1" customFormat="1" ht="13.5">
      <c r="G7624" s="6"/>
    </row>
    <row r="7625" s="1" customFormat="1" ht="13.5">
      <c r="G7625" s="6"/>
    </row>
    <row r="7626" s="1" customFormat="1" ht="13.5">
      <c r="G7626" s="6"/>
    </row>
    <row r="7627" s="1" customFormat="1" ht="13.5">
      <c r="G7627" s="6"/>
    </row>
    <row r="7628" s="1" customFormat="1" ht="13.5">
      <c r="G7628" s="6"/>
    </row>
    <row r="7629" s="1" customFormat="1" ht="13.5">
      <c r="G7629" s="6"/>
    </row>
    <row r="7630" s="1" customFormat="1" ht="13.5">
      <c r="G7630" s="6"/>
    </row>
    <row r="7631" s="1" customFormat="1" ht="13.5">
      <c r="G7631" s="6"/>
    </row>
    <row r="7632" s="1" customFormat="1" ht="13.5">
      <c r="G7632" s="6"/>
    </row>
    <row r="7633" s="1" customFormat="1" ht="13.5">
      <c r="G7633" s="6"/>
    </row>
    <row r="7634" s="1" customFormat="1" ht="13.5">
      <c r="G7634" s="6"/>
    </row>
    <row r="7635" s="1" customFormat="1" ht="13.5">
      <c r="G7635" s="6"/>
    </row>
    <row r="7636" s="1" customFormat="1" ht="13.5">
      <c r="G7636" s="6"/>
    </row>
    <row r="7637" s="1" customFormat="1" ht="13.5">
      <c r="G7637" s="6"/>
    </row>
    <row r="7638" s="1" customFormat="1" ht="13.5">
      <c r="G7638" s="6"/>
    </row>
    <row r="7639" s="1" customFormat="1" ht="13.5">
      <c r="G7639" s="6"/>
    </row>
    <row r="7640" s="1" customFormat="1" ht="13.5">
      <c r="G7640" s="6"/>
    </row>
    <row r="7641" s="1" customFormat="1" ht="13.5">
      <c r="G7641" s="6"/>
    </row>
    <row r="7642" s="1" customFormat="1" ht="13.5">
      <c r="G7642" s="6"/>
    </row>
    <row r="7643" s="1" customFormat="1" ht="13.5">
      <c r="G7643" s="6"/>
    </row>
    <row r="7644" s="1" customFormat="1" ht="13.5">
      <c r="G7644" s="6"/>
    </row>
    <row r="7645" s="1" customFormat="1" ht="13.5">
      <c r="G7645" s="6"/>
    </row>
    <row r="7646" s="1" customFormat="1" ht="13.5">
      <c r="G7646" s="6"/>
    </row>
    <row r="7647" s="1" customFormat="1" ht="13.5">
      <c r="G7647" s="6"/>
    </row>
    <row r="7648" s="1" customFormat="1" ht="13.5">
      <c r="G7648" s="6"/>
    </row>
    <row r="7649" s="1" customFormat="1" ht="13.5">
      <c r="G7649" s="6"/>
    </row>
    <row r="7650" s="1" customFormat="1" ht="13.5">
      <c r="G7650" s="6"/>
    </row>
    <row r="7651" s="1" customFormat="1" ht="13.5">
      <c r="G7651" s="6"/>
    </row>
    <row r="7652" s="1" customFormat="1" ht="13.5">
      <c r="G7652" s="6"/>
    </row>
    <row r="7653" s="1" customFormat="1" ht="13.5">
      <c r="G7653" s="6"/>
    </row>
    <row r="7654" s="1" customFormat="1" ht="13.5">
      <c r="G7654" s="6"/>
    </row>
    <row r="7655" s="1" customFormat="1" ht="13.5">
      <c r="G7655" s="6"/>
    </row>
    <row r="7656" s="1" customFormat="1" ht="13.5">
      <c r="G7656" s="6"/>
    </row>
    <row r="7657" s="1" customFormat="1" ht="13.5">
      <c r="G7657" s="6"/>
    </row>
    <row r="7658" s="1" customFormat="1" ht="13.5">
      <c r="G7658" s="6"/>
    </row>
    <row r="7659" s="1" customFormat="1" ht="13.5">
      <c r="G7659" s="6"/>
    </row>
    <row r="7660" s="1" customFormat="1" ht="13.5">
      <c r="G7660" s="6"/>
    </row>
    <row r="7661" s="1" customFormat="1" ht="13.5">
      <c r="G7661" s="6"/>
    </row>
    <row r="7662" s="1" customFormat="1" ht="13.5">
      <c r="G7662" s="6"/>
    </row>
    <row r="7663" s="1" customFormat="1" ht="13.5">
      <c r="G7663" s="6"/>
    </row>
    <row r="7664" s="1" customFormat="1" ht="13.5">
      <c r="G7664" s="6"/>
    </row>
    <row r="7665" s="1" customFormat="1" ht="13.5">
      <c r="G7665" s="6"/>
    </row>
    <row r="7666" s="1" customFormat="1" ht="13.5">
      <c r="G7666" s="6"/>
    </row>
    <row r="7667" s="1" customFormat="1" ht="13.5">
      <c r="G7667" s="6"/>
    </row>
    <row r="7668" s="1" customFormat="1" ht="13.5">
      <c r="G7668" s="6"/>
    </row>
    <row r="7669" s="1" customFormat="1" ht="13.5">
      <c r="G7669" s="6"/>
    </row>
    <row r="7670" s="1" customFormat="1" ht="13.5">
      <c r="G7670" s="6"/>
    </row>
    <row r="7671" s="1" customFormat="1" ht="13.5">
      <c r="G7671" s="6"/>
    </row>
    <row r="7672" s="1" customFormat="1" ht="13.5">
      <c r="G7672" s="6"/>
    </row>
    <row r="7673" s="1" customFormat="1" ht="13.5">
      <c r="G7673" s="6"/>
    </row>
    <row r="7674" s="1" customFormat="1" ht="13.5">
      <c r="G7674" s="6"/>
    </row>
    <row r="7675" s="1" customFormat="1" ht="13.5">
      <c r="G7675" s="6"/>
    </row>
    <row r="7676" s="1" customFormat="1" ht="13.5">
      <c r="G7676" s="6"/>
    </row>
    <row r="7677" s="1" customFormat="1" ht="13.5">
      <c r="G7677" s="6"/>
    </row>
    <row r="7678" s="1" customFormat="1" ht="13.5">
      <c r="G7678" s="6"/>
    </row>
    <row r="7679" s="1" customFormat="1" ht="13.5">
      <c r="G7679" s="6"/>
    </row>
    <row r="7680" s="1" customFormat="1" ht="13.5">
      <c r="G7680" s="6"/>
    </row>
    <row r="7681" s="1" customFormat="1" ht="13.5">
      <c r="G7681" s="6"/>
    </row>
    <row r="7682" s="1" customFormat="1" ht="13.5">
      <c r="G7682" s="6"/>
    </row>
    <row r="7683" s="1" customFormat="1" ht="13.5">
      <c r="G7683" s="6"/>
    </row>
    <row r="7684" s="1" customFormat="1" ht="13.5">
      <c r="G7684" s="6"/>
    </row>
    <row r="7685" s="1" customFormat="1" ht="13.5">
      <c r="G7685" s="6"/>
    </row>
    <row r="7686" s="1" customFormat="1" ht="13.5">
      <c r="G7686" s="6"/>
    </row>
    <row r="7687" s="1" customFormat="1" ht="13.5">
      <c r="G7687" s="6"/>
    </row>
    <row r="7688" s="1" customFormat="1" ht="13.5">
      <c r="G7688" s="6"/>
    </row>
    <row r="7689" s="1" customFormat="1" ht="13.5">
      <c r="G7689" s="6"/>
    </row>
    <row r="7690" s="1" customFormat="1" ht="13.5">
      <c r="G7690" s="6"/>
    </row>
    <row r="7691" s="1" customFormat="1" ht="13.5">
      <c r="G7691" s="6"/>
    </row>
    <row r="7692" s="1" customFormat="1" ht="13.5">
      <c r="G7692" s="6"/>
    </row>
    <row r="7693" s="1" customFormat="1" ht="13.5">
      <c r="G7693" s="6"/>
    </row>
    <row r="7694" s="1" customFormat="1" ht="13.5">
      <c r="G7694" s="6"/>
    </row>
    <row r="7695" s="1" customFormat="1" ht="13.5">
      <c r="G7695" s="6"/>
    </row>
    <row r="7696" s="1" customFormat="1" ht="13.5">
      <c r="G7696" s="6"/>
    </row>
    <row r="7697" s="1" customFormat="1" ht="13.5">
      <c r="G7697" s="6"/>
    </row>
    <row r="7698" s="1" customFormat="1" ht="13.5">
      <c r="G7698" s="6"/>
    </row>
    <row r="7699" s="1" customFormat="1" ht="13.5">
      <c r="G7699" s="6"/>
    </row>
    <row r="7700" s="1" customFormat="1" ht="13.5">
      <c r="G7700" s="6"/>
    </row>
    <row r="7701" s="1" customFormat="1" ht="13.5">
      <c r="G7701" s="6"/>
    </row>
    <row r="7702" s="1" customFormat="1" ht="13.5">
      <c r="G7702" s="6"/>
    </row>
    <row r="7703" s="1" customFormat="1" ht="13.5">
      <c r="G7703" s="6"/>
    </row>
    <row r="7704" s="1" customFormat="1" ht="13.5">
      <c r="G7704" s="6"/>
    </row>
    <row r="7705" s="1" customFormat="1" ht="13.5">
      <c r="G7705" s="6"/>
    </row>
    <row r="7706" s="1" customFormat="1" ht="13.5">
      <c r="G7706" s="6"/>
    </row>
    <row r="7707" s="1" customFormat="1" ht="13.5">
      <c r="G7707" s="6"/>
    </row>
    <row r="7708" s="1" customFormat="1" ht="13.5">
      <c r="G7708" s="6"/>
    </row>
    <row r="7709" s="1" customFormat="1" ht="13.5">
      <c r="G7709" s="6"/>
    </row>
    <row r="7710" s="1" customFormat="1" ht="13.5">
      <c r="G7710" s="6"/>
    </row>
    <row r="7711" s="1" customFormat="1" ht="13.5">
      <c r="G7711" s="6"/>
    </row>
    <row r="7712" s="1" customFormat="1" ht="13.5">
      <c r="G7712" s="6"/>
    </row>
    <row r="7713" s="1" customFormat="1" ht="13.5">
      <c r="G7713" s="6"/>
    </row>
    <row r="7714" s="1" customFormat="1" ht="13.5">
      <c r="G7714" s="6"/>
    </row>
    <row r="7715" s="1" customFormat="1" ht="13.5">
      <c r="G7715" s="6"/>
    </row>
    <row r="7716" s="1" customFormat="1" ht="13.5">
      <c r="G7716" s="6"/>
    </row>
    <row r="7717" s="1" customFormat="1" ht="13.5">
      <c r="G7717" s="6"/>
    </row>
    <row r="7718" s="1" customFormat="1" ht="13.5">
      <c r="G7718" s="6"/>
    </row>
    <row r="7719" s="1" customFormat="1" ht="13.5">
      <c r="G7719" s="6"/>
    </row>
    <row r="7720" s="1" customFormat="1" ht="13.5">
      <c r="G7720" s="6"/>
    </row>
    <row r="7721" s="1" customFormat="1" ht="13.5">
      <c r="G7721" s="6"/>
    </row>
    <row r="7722" s="1" customFormat="1" ht="13.5">
      <c r="G7722" s="6"/>
    </row>
    <row r="7723" s="1" customFormat="1" ht="13.5">
      <c r="G7723" s="6"/>
    </row>
    <row r="7724" s="1" customFormat="1" ht="13.5">
      <c r="G7724" s="6"/>
    </row>
    <row r="7725" s="1" customFormat="1" ht="13.5">
      <c r="G7725" s="6"/>
    </row>
    <row r="7726" s="1" customFormat="1" ht="13.5">
      <c r="G7726" s="6"/>
    </row>
    <row r="7727" s="1" customFormat="1" ht="13.5">
      <c r="G7727" s="6"/>
    </row>
    <row r="7728" s="1" customFormat="1" ht="13.5">
      <c r="G7728" s="6"/>
    </row>
    <row r="7729" s="1" customFormat="1" ht="13.5">
      <c r="G7729" s="6"/>
    </row>
    <row r="7730" s="1" customFormat="1" ht="13.5">
      <c r="G7730" s="6"/>
    </row>
    <row r="7731" s="1" customFormat="1" ht="13.5">
      <c r="G7731" s="6"/>
    </row>
    <row r="7732" s="1" customFormat="1" ht="13.5">
      <c r="G7732" s="6"/>
    </row>
    <row r="7733" s="1" customFormat="1" ht="13.5">
      <c r="G7733" s="6"/>
    </row>
    <row r="7734" s="1" customFormat="1" ht="13.5">
      <c r="G7734" s="6"/>
    </row>
    <row r="7735" s="1" customFormat="1" ht="13.5">
      <c r="G7735" s="6"/>
    </row>
    <row r="7736" s="1" customFormat="1" ht="13.5">
      <c r="G7736" s="6"/>
    </row>
    <row r="7737" s="1" customFormat="1" ht="13.5">
      <c r="G7737" s="6"/>
    </row>
    <row r="7738" s="1" customFormat="1" ht="13.5">
      <c r="G7738" s="6"/>
    </row>
    <row r="7739" s="1" customFormat="1" ht="13.5">
      <c r="G7739" s="6"/>
    </row>
    <row r="7740" s="1" customFormat="1" ht="13.5">
      <c r="G7740" s="6"/>
    </row>
    <row r="7741" s="1" customFormat="1" ht="13.5">
      <c r="G7741" s="6"/>
    </row>
    <row r="7742" s="1" customFormat="1" ht="13.5">
      <c r="G7742" s="6"/>
    </row>
    <row r="7743" s="1" customFormat="1" ht="13.5">
      <c r="G7743" s="6"/>
    </row>
    <row r="7744" s="1" customFormat="1" ht="13.5">
      <c r="G7744" s="6"/>
    </row>
    <row r="7745" s="1" customFormat="1" ht="13.5">
      <c r="G7745" s="6"/>
    </row>
    <row r="7746" s="1" customFormat="1" ht="13.5">
      <c r="G7746" s="6"/>
    </row>
    <row r="7747" s="1" customFormat="1" ht="13.5">
      <c r="G7747" s="6"/>
    </row>
    <row r="7748" s="1" customFormat="1" ht="13.5">
      <c r="G7748" s="6"/>
    </row>
    <row r="7749" s="1" customFormat="1" ht="13.5">
      <c r="G7749" s="6"/>
    </row>
    <row r="7750" s="1" customFormat="1" ht="13.5">
      <c r="G7750" s="6"/>
    </row>
    <row r="7751" s="1" customFormat="1" ht="13.5">
      <c r="G7751" s="6"/>
    </row>
    <row r="7752" s="1" customFormat="1" ht="13.5">
      <c r="G7752" s="6"/>
    </row>
    <row r="7753" s="1" customFormat="1" ht="13.5">
      <c r="G7753" s="6"/>
    </row>
    <row r="7754" s="1" customFormat="1" ht="13.5">
      <c r="G7754" s="6"/>
    </row>
    <row r="7755" s="1" customFormat="1" ht="13.5">
      <c r="G7755" s="6"/>
    </row>
    <row r="7756" s="1" customFormat="1" ht="13.5">
      <c r="G7756" s="6"/>
    </row>
    <row r="7757" s="1" customFormat="1" ht="13.5">
      <c r="G7757" s="6"/>
    </row>
    <row r="7758" s="1" customFormat="1" ht="13.5">
      <c r="G7758" s="6"/>
    </row>
    <row r="7759" s="1" customFormat="1" ht="13.5">
      <c r="G7759" s="6"/>
    </row>
    <row r="7760" s="1" customFormat="1" ht="13.5">
      <c r="G7760" s="6"/>
    </row>
    <row r="7761" s="1" customFormat="1" ht="13.5">
      <c r="G7761" s="6"/>
    </row>
    <row r="7762" s="1" customFormat="1" ht="13.5">
      <c r="G7762" s="6"/>
    </row>
    <row r="7763" s="1" customFormat="1" ht="13.5">
      <c r="G7763" s="6"/>
    </row>
    <row r="7764" s="1" customFormat="1" ht="13.5">
      <c r="G7764" s="6"/>
    </row>
    <row r="7765" s="1" customFormat="1" ht="13.5">
      <c r="G7765" s="6"/>
    </row>
    <row r="7766" s="1" customFormat="1" ht="13.5">
      <c r="G7766" s="6"/>
    </row>
    <row r="7767" s="1" customFormat="1" ht="13.5">
      <c r="G7767" s="6"/>
    </row>
    <row r="7768" s="1" customFormat="1" ht="13.5">
      <c r="G7768" s="6"/>
    </row>
    <row r="7769" s="1" customFormat="1" ht="13.5">
      <c r="G7769" s="6"/>
    </row>
    <row r="7770" s="1" customFormat="1" ht="13.5">
      <c r="G7770" s="6"/>
    </row>
    <row r="7771" s="1" customFormat="1" ht="13.5">
      <c r="G7771" s="6"/>
    </row>
    <row r="7772" s="1" customFormat="1" ht="13.5">
      <c r="G7772" s="6"/>
    </row>
    <row r="7773" s="1" customFormat="1" ht="13.5">
      <c r="G7773" s="6"/>
    </row>
    <row r="7774" s="1" customFormat="1" ht="13.5">
      <c r="G7774" s="6"/>
    </row>
    <row r="7775" s="1" customFormat="1" ht="13.5">
      <c r="G7775" s="6"/>
    </row>
    <row r="7776" s="1" customFormat="1" ht="13.5">
      <c r="G7776" s="6"/>
    </row>
    <row r="7777" s="1" customFormat="1" ht="13.5">
      <c r="G7777" s="6"/>
    </row>
    <row r="7778" s="1" customFormat="1" ht="13.5">
      <c r="G7778" s="6"/>
    </row>
    <row r="7779" s="1" customFormat="1" ht="13.5">
      <c r="G7779" s="6"/>
    </row>
    <row r="7780" s="1" customFormat="1" ht="13.5">
      <c r="G7780" s="6"/>
    </row>
    <row r="7781" s="1" customFormat="1" ht="13.5">
      <c r="G7781" s="6"/>
    </row>
    <row r="7782" s="1" customFormat="1" ht="13.5">
      <c r="G7782" s="6"/>
    </row>
    <row r="7783" s="1" customFormat="1" ht="13.5">
      <c r="G7783" s="6"/>
    </row>
    <row r="7784" s="1" customFormat="1" ht="13.5">
      <c r="G7784" s="6"/>
    </row>
    <row r="7785" s="1" customFormat="1" ht="13.5">
      <c r="G7785" s="6"/>
    </row>
    <row r="7786" s="1" customFormat="1" ht="13.5">
      <c r="G7786" s="6"/>
    </row>
    <row r="7787" s="1" customFormat="1" ht="13.5">
      <c r="G7787" s="6"/>
    </row>
    <row r="7788" s="1" customFormat="1" ht="13.5">
      <c r="G7788" s="6"/>
    </row>
    <row r="7789" s="1" customFormat="1" ht="13.5">
      <c r="G7789" s="6"/>
    </row>
    <row r="7790" s="1" customFormat="1" ht="13.5">
      <c r="G7790" s="6"/>
    </row>
    <row r="7791" s="1" customFormat="1" ht="13.5">
      <c r="G7791" s="6"/>
    </row>
    <row r="7792" s="1" customFormat="1" ht="13.5">
      <c r="G7792" s="6"/>
    </row>
    <row r="7793" s="1" customFormat="1" ht="13.5">
      <c r="G7793" s="6"/>
    </row>
    <row r="7794" s="1" customFormat="1" ht="13.5">
      <c r="G7794" s="6"/>
    </row>
    <row r="7795" s="1" customFormat="1" ht="13.5">
      <c r="G7795" s="6"/>
    </row>
    <row r="7796" s="1" customFormat="1" ht="13.5">
      <c r="G7796" s="6"/>
    </row>
    <row r="7797" s="1" customFormat="1" ht="13.5">
      <c r="G7797" s="6"/>
    </row>
    <row r="7798" s="1" customFormat="1" ht="13.5">
      <c r="G7798" s="6"/>
    </row>
    <row r="7799" s="1" customFormat="1" ht="13.5">
      <c r="G7799" s="6"/>
    </row>
    <row r="7800" s="1" customFormat="1" ht="13.5">
      <c r="G7800" s="6"/>
    </row>
    <row r="7801" s="1" customFormat="1" ht="13.5">
      <c r="G7801" s="6"/>
    </row>
    <row r="7802" s="1" customFormat="1" ht="13.5">
      <c r="G7802" s="6"/>
    </row>
    <row r="7803" s="1" customFormat="1" ht="13.5">
      <c r="G7803" s="6"/>
    </row>
    <row r="7804" s="1" customFormat="1" ht="13.5">
      <c r="G7804" s="6"/>
    </row>
    <row r="7805" s="1" customFormat="1" ht="13.5">
      <c r="G7805" s="6"/>
    </row>
    <row r="7806" s="1" customFormat="1" ht="13.5">
      <c r="G7806" s="6"/>
    </row>
    <row r="7807" s="1" customFormat="1" ht="13.5">
      <c r="G7807" s="6"/>
    </row>
    <row r="7808" s="1" customFormat="1" ht="13.5">
      <c r="G7808" s="6"/>
    </row>
    <row r="7809" s="1" customFormat="1" ht="13.5">
      <c r="G7809" s="6"/>
    </row>
    <row r="7810" s="1" customFormat="1" ht="13.5">
      <c r="G7810" s="6"/>
    </row>
    <row r="7811" s="1" customFormat="1" ht="13.5">
      <c r="G7811" s="6"/>
    </row>
    <row r="7812" s="1" customFormat="1" ht="13.5">
      <c r="G7812" s="6"/>
    </row>
    <row r="7813" s="1" customFormat="1" ht="13.5">
      <c r="G7813" s="6"/>
    </row>
    <row r="7814" s="1" customFormat="1" ht="13.5">
      <c r="G7814" s="6"/>
    </row>
    <row r="7815" s="1" customFormat="1" ht="13.5">
      <c r="G7815" s="6"/>
    </row>
    <row r="7816" s="1" customFormat="1" ht="13.5">
      <c r="G7816" s="6"/>
    </row>
    <row r="7817" s="1" customFormat="1" ht="13.5">
      <c r="G7817" s="6"/>
    </row>
    <row r="7818" s="1" customFormat="1" ht="13.5">
      <c r="G7818" s="6"/>
    </row>
    <row r="7819" s="1" customFormat="1" ht="13.5">
      <c r="G7819" s="6"/>
    </row>
    <row r="7820" s="1" customFormat="1" ht="13.5">
      <c r="G7820" s="6"/>
    </row>
    <row r="7821" s="1" customFormat="1" ht="13.5">
      <c r="G7821" s="6"/>
    </row>
    <row r="7822" s="1" customFormat="1" ht="13.5">
      <c r="G7822" s="6"/>
    </row>
    <row r="7823" s="1" customFormat="1" ht="13.5">
      <c r="G7823" s="6"/>
    </row>
    <row r="7824" s="1" customFormat="1" ht="13.5">
      <c r="G7824" s="6"/>
    </row>
    <row r="7825" s="1" customFormat="1" ht="13.5">
      <c r="G7825" s="6"/>
    </row>
    <row r="7826" s="1" customFormat="1" ht="13.5">
      <c r="G7826" s="6"/>
    </row>
    <row r="7827" s="1" customFormat="1" ht="13.5">
      <c r="G7827" s="6"/>
    </row>
    <row r="7828" s="1" customFormat="1" ht="13.5">
      <c r="G7828" s="6"/>
    </row>
    <row r="7829" s="1" customFormat="1" ht="13.5">
      <c r="G7829" s="6"/>
    </row>
    <row r="7830" s="1" customFormat="1" ht="13.5">
      <c r="G7830" s="6"/>
    </row>
    <row r="7831" s="1" customFormat="1" ht="13.5">
      <c r="G7831" s="6"/>
    </row>
    <row r="7832" s="1" customFormat="1" ht="13.5">
      <c r="G7832" s="6"/>
    </row>
    <row r="7833" s="1" customFormat="1" ht="13.5">
      <c r="G7833" s="6"/>
    </row>
    <row r="7834" s="1" customFormat="1" ht="13.5">
      <c r="G7834" s="6"/>
    </row>
    <row r="7835" s="1" customFormat="1" ht="13.5">
      <c r="G7835" s="6"/>
    </row>
    <row r="7836" s="1" customFormat="1" ht="13.5">
      <c r="G7836" s="6"/>
    </row>
    <row r="7837" s="1" customFormat="1" ht="13.5">
      <c r="G7837" s="6"/>
    </row>
    <row r="7838" s="1" customFormat="1" ht="13.5">
      <c r="G7838" s="6"/>
    </row>
    <row r="7839" s="1" customFormat="1" ht="13.5">
      <c r="G7839" s="6"/>
    </row>
    <row r="7840" s="1" customFormat="1" ht="13.5">
      <c r="G7840" s="6"/>
    </row>
    <row r="7841" s="1" customFormat="1" ht="13.5">
      <c r="G7841" s="6"/>
    </row>
    <row r="7842" s="1" customFormat="1" ht="13.5">
      <c r="G7842" s="6"/>
    </row>
    <row r="7843" s="1" customFormat="1" ht="13.5">
      <c r="G7843" s="6"/>
    </row>
    <row r="7844" s="1" customFormat="1" ht="13.5">
      <c r="G7844" s="6"/>
    </row>
    <row r="7845" s="1" customFormat="1" ht="13.5">
      <c r="G7845" s="6"/>
    </row>
    <row r="7846" s="1" customFormat="1" ht="13.5">
      <c r="G7846" s="6"/>
    </row>
    <row r="7847" s="1" customFormat="1" ht="13.5">
      <c r="G7847" s="6"/>
    </row>
    <row r="7848" s="1" customFormat="1" ht="13.5">
      <c r="G7848" s="6"/>
    </row>
    <row r="7849" s="1" customFormat="1" ht="13.5">
      <c r="G7849" s="6"/>
    </row>
    <row r="7850" s="1" customFormat="1" ht="13.5">
      <c r="G7850" s="6"/>
    </row>
    <row r="7851" s="1" customFormat="1" ht="13.5">
      <c r="G7851" s="6"/>
    </row>
    <row r="7852" s="1" customFormat="1" ht="13.5">
      <c r="G7852" s="6"/>
    </row>
    <row r="7853" s="1" customFormat="1" ht="13.5">
      <c r="G7853" s="6"/>
    </row>
    <row r="7854" s="1" customFormat="1" ht="13.5">
      <c r="G7854" s="6"/>
    </row>
    <row r="7855" s="1" customFormat="1" ht="13.5">
      <c r="G7855" s="6"/>
    </row>
    <row r="7856" s="1" customFormat="1" ht="13.5">
      <c r="G7856" s="6"/>
    </row>
    <row r="7857" s="1" customFormat="1" ht="13.5">
      <c r="G7857" s="6"/>
    </row>
    <row r="7858" s="1" customFormat="1" ht="13.5">
      <c r="G7858" s="6"/>
    </row>
    <row r="7859" s="1" customFormat="1" ht="13.5">
      <c r="G7859" s="6"/>
    </row>
    <row r="7860" s="1" customFormat="1" ht="13.5">
      <c r="G7860" s="6"/>
    </row>
    <row r="7861" s="1" customFormat="1" ht="13.5">
      <c r="G7861" s="6"/>
    </row>
    <row r="7862" s="1" customFormat="1" ht="13.5">
      <c r="G7862" s="6"/>
    </row>
    <row r="7863" s="1" customFormat="1" ht="13.5">
      <c r="G7863" s="6"/>
    </row>
    <row r="7864" s="1" customFormat="1" ht="13.5">
      <c r="G7864" s="6"/>
    </row>
    <row r="7865" s="1" customFormat="1" ht="13.5">
      <c r="G7865" s="6"/>
    </row>
    <row r="7866" s="1" customFormat="1" ht="13.5">
      <c r="G7866" s="6"/>
    </row>
    <row r="7867" s="1" customFormat="1" ht="13.5">
      <c r="G7867" s="6"/>
    </row>
    <row r="7868" s="1" customFormat="1" ht="13.5">
      <c r="G7868" s="6"/>
    </row>
    <row r="7869" s="1" customFormat="1" ht="13.5">
      <c r="G7869" s="6"/>
    </row>
    <row r="7870" s="1" customFormat="1" ht="13.5">
      <c r="G7870" s="6"/>
    </row>
    <row r="7871" s="1" customFormat="1" ht="13.5">
      <c r="G7871" s="6"/>
    </row>
    <row r="7872" s="1" customFormat="1" ht="13.5">
      <c r="G7872" s="6"/>
    </row>
    <row r="7873" s="1" customFormat="1" ht="13.5">
      <c r="G7873" s="6"/>
    </row>
    <row r="7874" s="1" customFormat="1" ht="13.5">
      <c r="G7874" s="6"/>
    </row>
    <row r="7875" s="1" customFormat="1" ht="13.5">
      <c r="G7875" s="6"/>
    </row>
    <row r="7876" s="1" customFormat="1" ht="13.5">
      <c r="G7876" s="6"/>
    </row>
    <row r="7877" s="1" customFormat="1" ht="13.5">
      <c r="G7877" s="6"/>
    </row>
    <row r="7878" s="1" customFormat="1" ht="13.5">
      <c r="G7878" s="6"/>
    </row>
    <row r="7879" s="1" customFormat="1" ht="13.5">
      <c r="G7879" s="6"/>
    </row>
    <row r="7880" s="1" customFormat="1" ht="13.5">
      <c r="G7880" s="6"/>
    </row>
    <row r="7881" s="1" customFormat="1" ht="13.5">
      <c r="G7881" s="6"/>
    </row>
    <row r="7882" s="1" customFormat="1" ht="13.5">
      <c r="G7882" s="6"/>
    </row>
    <row r="7883" s="1" customFormat="1" ht="13.5">
      <c r="G7883" s="6"/>
    </row>
    <row r="7884" s="1" customFormat="1" ht="13.5">
      <c r="G7884" s="6"/>
    </row>
    <row r="7885" s="1" customFormat="1" ht="13.5">
      <c r="G7885" s="6"/>
    </row>
    <row r="7886" s="1" customFormat="1" ht="13.5">
      <c r="G7886" s="6"/>
    </row>
    <row r="7887" s="1" customFormat="1" ht="13.5">
      <c r="G7887" s="6"/>
    </row>
    <row r="7888" s="1" customFormat="1" ht="13.5">
      <c r="G7888" s="6"/>
    </row>
    <row r="7889" s="1" customFormat="1" ht="13.5">
      <c r="G7889" s="6"/>
    </row>
    <row r="7890" s="1" customFormat="1" ht="13.5">
      <c r="G7890" s="6"/>
    </row>
    <row r="7891" s="1" customFormat="1" ht="13.5">
      <c r="G7891" s="6"/>
    </row>
    <row r="7892" s="1" customFormat="1" ht="13.5">
      <c r="G7892" s="6"/>
    </row>
    <row r="7893" s="1" customFormat="1" ht="13.5">
      <c r="G7893" s="6"/>
    </row>
    <row r="7894" s="1" customFormat="1" ht="13.5">
      <c r="G7894" s="6"/>
    </row>
    <row r="7895" s="1" customFormat="1" ht="13.5">
      <c r="G7895" s="6"/>
    </row>
    <row r="7896" s="1" customFormat="1" ht="13.5">
      <c r="G7896" s="6"/>
    </row>
    <row r="7897" s="1" customFormat="1" ht="13.5">
      <c r="G7897" s="6"/>
    </row>
    <row r="7898" s="1" customFormat="1" ht="13.5">
      <c r="G7898" s="6"/>
    </row>
    <row r="7899" s="1" customFormat="1" ht="13.5">
      <c r="G7899" s="6"/>
    </row>
    <row r="7900" s="1" customFormat="1" ht="13.5">
      <c r="G7900" s="6"/>
    </row>
    <row r="7901" s="1" customFormat="1" ht="13.5">
      <c r="G7901" s="6"/>
    </row>
    <row r="7902" s="1" customFormat="1" ht="13.5">
      <c r="G7902" s="6"/>
    </row>
    <row r="7903" s="1" customFormat="1" ht="13.5">
      <c r="G7903" s="6"/>
    </row>
    <row r="7904" s="1" customFormat="1" ht="13.5">
      <c r="G7904" s="6"/>
    </row>
    <row r="7905" s="1" customFormat="1" ht="13.5">
      <c r="G7905" s="6"/>
    </row>
    <row r="7906" s="1" customFormat="1" ht="13.5">
      <c r="G7906" s="6"/>
    </row>
    <row r="7907" s="1" customFormat="1" ht="13.5">
      <c r="G7907" s="6"/>
    </row>
    <row r="7908" s="1" customFormat="1" ht="13.5">
      <c r="G7908" s="6"/>
    </row>
    <row r="7909" s="1" customFormat="1" ht="13.5">
      <c r="G7909" s="6"/>
    </row>
    <row r="7910" s="1" customFormat="1" ht="13.5">
      <c r="G7910" s="6"/>
    </row>
    <row r="7911" s="1" customFormat="1" ht="13.5">
      <c r="G7911" s="6"/>
    </row>
    <row r="7912" s="1" customFormat="1" ht="13.5">
      <c r="G7912" s="6"/>
    </row>
    <row r="7913" s="1" customFormat="1" ht="13.5">
      <c r="G7913" s="6"/>
    </row>
    <row r="7914" s="1" customFormat="1" ht="13.5">
      <c r="G7914" s="6"/>
    </row>
    <row r="7915" s="1" customFormat="1" ht="13.5">
      <c r="G7915" s="6"/>
    </row>
    <row r="7916" s="1" customFormat="1" ht="13.5">
      <c r="G7916" s="6"/>
    </row>
    <row r="7917" s="1" customFormat="1" ht="13.5">
      <c r="G7917" s="6"/>
    </row>
    <row r="7918" s="1" customFormat="1" ht="13.5">
      <c r="G7918" s="6"/>
    </row>
    <row r="7919" s="1" customFormat="1" ht="13.5">
      <c r="G7919" s="6"/>
    </row>
    <row r="7920" s="1" customFormat="1" ht="13.5">
      <c r="G7920" s="6"/>
    </row>
    <row r="7921" s="1" customFormat="1" ht="13.5">
      <c r="G7921" s="6"/>
    </row>
    <row r="7922" s="1" customFormat="1" ht="13.5">
      <c r="G7922" s="6"/>
    </row>
    <row r="7923" s="1" customFormat="1" ht="13.5">
      <c r="G7923" s="6"/>
    </row>
    <row r="7924" s="1" customFormat="1" ht="13.5">
      <c r="G7924" s="6"/>
    </row>
    <row r="7925" s="1" customFormat="1" ht="13.5">
      <c r="G7925" s="6"/>
    </row>
    <row r="7926" s="1" customFormat="1" ht="13.5">
      <c r="G7926" s="6"/>
    </row>
    <row r="7927" s="1" customFormat="1" ht="13.5">
      <c r="G7927" s="6"/>
    </row>
    <row r="7928" s="1" customFormat="1" ht="13.5">
      <c r="G7928" s="6"/>
    </row>
    <row r="7929" s="1" customFormat="1" ht="13.5">
      <c r="G7929" s="6"/>
    </row>
    <row r="7930" s="1" customFormat="1" ht="13.5">
      <c r="G7930" s="6"/>
    </row>
    <row r="7931" s="1" customFormat="1" ht="13.5">
      <c r="G7931" s="6"/>
    </row>
    <row r="7932" s="1" customFormat="1" ht="13.5">
      <c r="G7932" s="6"/>
    </row>
    <row r="7933" s="1" customFormat="1" ht="13.5">
      <c r="G7933" s="6"/>
    </row>
    <row r="7934" s="1" customFormat="1" ht="13.5">
      <c r="G7934" s="6"/>
    </row>
    <row r="7935" s="1" customFormat="1" ht="13.5">
      <c r="G7935" s="6"/>
    </row>
    <row r="7936" s="1" customFormat="1" ht="13.5">
      <c r="G7936" s="6"/>
    </row>
    <row r="7937" s="1" customFormat="1" ht="13.5">
      <c r="G7937" s="6"/>
    </row>
    <row r="7938" s="1" customFormat="1" ht="13.5">
      <c r="G7938" s="6"/>
    </row>
    <row r="7939" s="1" customFormat="1" ht="13.5">
      <c r="G7939" s="6"/>
    </row>
    <row r="7940" s="1" customFormat="1" ht="13.5">
      <c r="G7940" s="6"/>
    </row>
    <row r="7941" s="1" customFormat="1" ht="13.5">
      <c r="G7941" s="6"/>
    </row>
    <row r="7942" s="1" customFormat="1" ht="13.5">
      <c r="G7942" s="6"/>
    </row>
    <row r="7943" s="1" customFormat="1" ht="13.5">
      <c r="G7943" s="6"/>
    </row>
    <row r="7944" s="1" customFormat="1" ht="13.5">
      <c r="G7944" s="6"/>
    </row>
    <row r="7945" s="1" customFormat="1" ht="13.5">
      <c r="G7945" s="6"/>
    </row>
    <row r="7946" s="1" customFormat="1" ht="13.5">
      <c r="G7946" s="6"/>
    </row>
    <row r="7947" s="1" customFormat="1" ht="13.5">
      <c r="G7947" s="6"/>
    </row>
    <row r="7948" s="1" customFormat="1" ht="13.5">
      <c r="G7948" s="6"/>
    </row>
    <row r="7949" s="1" customFormat="1" ht="13.5">
      <c r="G7949" s="6"/>
    </row>
    <row r="7950" s="1" customFormat="1" ht="13.5">
      <c r="G7950" s="6"/>
    </row>
    <row r="7951" s="1" customFormat="1" ht="13.5">
      <c r="G7951" s="6"/>
    </row>
    <row r="7952" s="1" customFormat="1" ht="13.5">
      <c r="G7952" s="6"/>
    </row>
    <row r="7953" s="1" customFormat="1" ht="13.5">
      <c r="G7953" s="6"/>
    </row>
    <row r="7954" s="1" customFormat="1" ht="13.5">
      <c r="G7954" s="6"/>
    </row>
    <row r="7955" s="1" customFormat="1" ht="13.5">
      <c r="G7955" s="6"/>
    </row>
    <row r="7956" s="1" customFormat="1" ht="13.5">
      <c r="G7956" s="6"/>
    </row>
    <row r="7957" s="1" customFormat="1" ht="13.5">
      <c r="G7957" s="6"/>
    </row>
    <row r="7958" s="1" customFormat="1" ht="13.5">
      <c r="G7958" s="6"/>
    </row>
    <row r="7959" s="1" customFormat="1" ht="13.5">
      <c r="G7959" s="6"/>
    </row>
    <row r="7960" s="1" customFormat="1" ht="13.5">
      <c r="G7960" s="6"/>
    </row>
    <row r="7961" s="1" customFormat="1" ht="13.5">
      <c r="G7961" s="6"/>
    </row>
    <row r="7962" s="1" customFormat="1" ht="13.5">
      <c r="G7962" s="6"/>
    </row>
    <row r="7963" s="1" customFormat="1" ht="13.5">
      <c r="G7963" s="6"/>
    </row>
    <row r="7964" s="1" customFormat="1" ht="13.5">
      <c r="G7964" s="6"/>
    </row>
    <row r="7965" s="1" customFormat="1" ht="13.5">
      <c r="G7965" s="6"/>
    </row>
    <row r="7966" s="1" customFormat="1" ht="13.5">
      <c r="G7966" s="6"/>
    </row>
    <row r="7967" s="1" customFormat="1" ht="13.5">
      <c r="G7967" s="6"/>
    </row>
    <row r="7968" s="1" customFormat="1" ht="13.5">
      <c r="G7968" s="6"/>
    </row>
    <row r="7969" s="1" customFormat="1" ht="13.5">
      <c r="G7969" s="6"/>
    </row>
    <row r="7970" s="1" customFormat="1" ht="13.5">
      <c r="G7970" s="6"/>
    </row>
    <row r="7971" s="1" customFormat="1" ht="13.5">
      <c r="G7971" s="6"/>
    </row>
    <row r="7972" s="1" customFormat="1" ht="13.5">
      <c r="G7972" s="6"/>
    </row>
    <row r="7973" s="1" customFormat="1" ht="13.5">
      <c r="G7973" s="6"/>
    </row>
    <row r="7974" s="1" customFormat="1" ht="13.5">
      <c r="G7974" s="6"/>
    </row>
    <row r="7975" s="1" customFormat="1" ht="13.5">
      <c r="G7975" s="6"/>
    </row>
    <row r="7976" s="1" customFormat="1" ht="13.5">
      <c r="G7976" s="6"/>
    </row>
    <row r="7977" s="1" customFormat="1" ht="13.5">
      <c r="G7977" s="6"/>
    </row>
    <row r="7978" s="1" customFormat="1" ht="13.5">
      <c r="G7978" s="6"/>
    </row>
    <row r="7979" s="1" customFormat="1" ht="13.5">
      <c r="G7979" s="6"/>
    </row>
    <row r="7980" s="1" customFormat="1" ht="13.5">
      <c r="G7980" s="6"/>
    </row>
    <row r="7981" s="1" customFormat="1" ht="13.5">
      <c r="G7981" s="6"/>
    </row>
    <row r="7982" s="1" customFormat="1" ht="13.5">
      <c r="G7982" s="6"/>
    </row>
    <row r="7983" s="1" customFormat="1" ht="13.5">
      <c r="G7983" s="6"/>
    </row>
    <row r="7984" s="1" customFormat="1" ht="13.5">
      <c r="G7984" s="6"/>
    </row>
    <row r="7985" s="1" customFormat="1" ht="13.5">
      <c r="G7985" s="6"/>
    </row>
    <row r="7986" s="1" customFormat="1" ht="13.5">
      <c r="G7986" s="6"/>
    </row>
    <row r="7987" s="1" customFormat="1" ht="13.5">
      <c r="G7987" s="6"/>
    </row>
    <row r="7988" s="1" customFormat="1" ht="13.5">
      <c r="G7988" s="6"/>
    </row>
    <row r="7989" s="1" customFormat="1" ht="13.5">
      <c r="G7989" s="6"/>
    </row>
    <row r="7990" s="1" customFormat="1" ht="13.5">
      <c r="G7990" s="6"/>
    </row>
    <row r="7991" s="1" customFormat="1" ht="13.5">
      <c r="G7991" s="6"/>
    </row>
    <row r="7992" s="1" customFormat="1" ht="13.5">
      <c r="G7992" s="6"/>
    </row>
    <row r="7993" s="1" customFormat="1" ht="13.5">
      <c r="G7993" s="6"/>
    </row>
    <row r="7994" s="1" customFormat="1" ht="13.5">
      <c r="G7994" s="6"/>
    </row>
    <row r="7995" s="1" customFormat="1" ht="13.5">
      <c r="G7995" s="6"/>
    </row>
    <row r="7996" s="1" customFormat="1" ht="13.5">
      <c r="G7996" s="6"/>
    </row>
    <row r="7997" s="1" customFormat="1" ht="13.5">
      <c r="G7997" s="6"/>
    </row>
    <row r="7998" s="1" customFormat="1" ht="13.5">
      <c r="G7998" s="6"/>
    </row>
    <row r="7999" s="1" customFormat="1" ht="13.5">
      <c r="G7999" s="6"/>
    </row>
    <row r="8000" s="1" customFormat="1" ht="13.5">
      <c r="G8000" s="6"/>
    </row>
    <row r="8001" s="1" customFormat="1" ht="13.5">
      <c r="G8001" s="6"/>
    </row>
    <row r="8002" s="1" customFormat="1" ht="13.5">
      <c r="G8002" s="6"/>
    </row>
    <row r="8003" s="1" customFormat="1" ht="13.5">
      <c r="G8003" s="6"/>
    </row>
    <row r="8004" s="1" customFormat="1" ht="13.5">
      <c r="G8004" s="6"/>
    </row>
    <row r="8005" s="1" customFormat="1" ht="13.5">
      <c r="G8005" s="6"/>
    </row>
    <row r="8006" s="1" customFormat="1" ht="13.5">
      <c r="G8006" s="6"/>
    </row>
    <row r="8007" s="1" customFormat="1" ht="13.5">
      <c r="G8007" s="6"/>
    </row>
    <row r="8008" s="1" customFormat="1" ht="13.5">
      <c r="G8008" s="6"/>
    </row>
    <row r="8009" s="1" customFormat="1" ht="13.5">
      <c r="G8009" s="6"/>
    </row>
    <row r="8010" s="1" customFormat="1" ht="13.5">
      <c r="G8010" s="6"/>
    </row>
    <row r="8011" s="1" customFormat="1" ht="13.5">
      <c r="G8011" s="6"/>
    </row>
    <row r="8012" s="1" customFormat="1" ht="13.5">
      <c r="G8012" s="6"/>
    </row>
    <row r="8013" s="1" customFormat="1" ht="13.5">
      <c r="G8013" s="6"/>
    </row>
    <row r="8014" s="1" customFormat="1" ht="13.5">
      <c r="G8014" s="6"/>
    </row>
    <row r="8015" s="1" customFormat="1" ht="13.5">
      <c r="G8015" s="6"/>
    </row>
    <row r="8016" s="1" customFormat="1" ht="13.5">
      <c r="G8016" s="6"/>
    </row>
    <row r="8017" s="1" customFormat="1" ht="13.5">
      <c r="G8017" s="6"/>
    </row>
    <row r="8018" s="1" customFormat="1" ht="13.5">
      <c r="G8018" s="6"/>
    </row>
    <row r="8019" s="1" customFormat="1" ht="13.5">
      <c r="G8019" s="6"/>
    </row>
    <row r="8020" s="1" customFormat="1" ht="13.5">
      <c r="G8020" s="6"/>
    </row>
    <row r="8021" s="1" customFormat="1" ht="13.5">
      <c r="G8021" s="6"/>
    </row>
    <row r="8022" s="1" customFormat="1" ht="13.5">
      <c r="G8022" s="6"/>
    </row>
    <row r="8023" s="1" customFormat="1" ht="13.5">
      <c r="G8023" s="6"/>
    </row>
    <row r="8024" s="1" customFormat="1" ht="13.5">
      <c r="G8024" s="6"/>
    </row>
    <row r="8025" s="1" customFormat="1" ht="13.5">
      <c r="G8025" s="6"/>
    </row>
    <row r="8026" s="1" customFormat="1" ht="13.5">
      <c r="G8026" s="6"/>
    </row>
    <row r="8027" s="1" customFormat="1" ht="13.5">
      <c r="G8027" s="6"/>
    </row>
    <row r="8028" s="1" customFormat="1" ht="13.5">
      <c r="G8028" s="6"/>
    </row>
    <row r="8029" s="1" customFormat="1" ht="13.5">
      <c r="G8029" s="6"/>
    </row>
    <row r="8030" s="1" customFormat="1" ht="13.5">
      <c r="G8030" s="6"/>
    </row>
    <row r="8031" s="1" customFormat="1" ht="13.5">
      <c r="G8031" s="6"/>
    </row>
    <row r="8032" s="1" customFormat="1" ht="13.5">
      <c r="G8032" s="6"/>
    </row>
    <row r="8033" s="1" customFormat="1" ht="13.5">
      <c r="G8033" s="6"/>
    </row>
    <row r="8034" s="1" customFormat="1" ht="13.5">
      <c r="G8034" s="6"/>
    </row>
    <row r="8035" s="1" customFormat="1" ht="13.5">
      <c r="G8035" s="6"/>
    </row>
    <row r="8036" s="1" customFormat="1" ht="13.5">
      <c r="G8036" s="6"/>
    </row>
    <row r="8037" s="1" customFormat="1" ht="13.5">
      <c r="G8037" s="6"/>
    </row>
    <row r="8038" s="1" customFormat="1" ht="13.5">
      <c r="G8038" s="6"/>
    </row>
    <row r="8039" s="1" customFormat="1" ht="13.5">
      <c r="G8039" s="6"/>
    </row>
    <row r="8040" s="1" customFormat="1" ht="13.5">
      <c r="G8040" s="6"/>
    </row>
    <row r="8041" s="1" customFormat="1" ht="13.5">
      <c r="G8041" s="6"/>
    </row>
    <row r="8042" s="1" customFormat="1" ht="13.5">
      <c r="G8042" s="6"/>
    </row>
    <row r="8043" s="1" customFormat="1" ht="13.5">
      <c r="G8043" s="6"/>
    </row>
    <row r="8044" s="1" customFormat="1" ht="13.5">
      <c r="G8044" s="6"/>
    </row>
    <row r="8045" s="1" customFormat="1" ht="13.5">
      <c r="G8045" s="6"/>
    </row>
    <row r="8046" s="1" customFormat="1" ht="13.5">
      <c r="G8046" s="6"/>
    </row>
    <row r="8047" s="1" customFormat="1" ht="13.5">
      <c r="G8047" s="6"/>
    </row>
    <row r="8048" s="1" customFormat="1" ht="13.5">
      <c r="G8048" s="6"/>
    </row>
    <row r="8049" s="1" customFormat="1" ht="13.5">
      <c r="G8049" s="6"/>
    </row>
    <row r="8050" s="1" customFormat="1" ht="13.5">
      <c r="G8050" s="6"/>
    </row>
    <row r="8051" s="1" customFormat="1" ht="13.5">
      <c r="G8051" s="6"/>
    </row>
    <row r="8052" s="1" customFormat="1" ht="13.5">
      <c r="G8052" s="6"/>
    </row>
    <row r="8053" s="1" customFormat="1" ht="13.5">
      <c r="G8053" s="6"/>
    </row>
    <row r="8054" s="1" customFormat="1" ht="13.5">
      <c r="G8054" s="6"/>
    </row>
    <row r="8055" s="1" customFormat="1" ht="13.5">
      <c r="G8055" s="6"/>
    </row>
    <row r="8056" s="1" customFormat="1" ht="13.5">
      <c r="G8056" s="6"/>
    </row>
    <row r="8057" s="1" customFormat="1" ht="13.5">
      <c r="G8057" s="6"/>
    </row>
    <row r="8058" s="1" customFormat="1" ht="13.5">
      <c r="G8058" s="6"/>
    </row>
    <row r="8059" s="1" customFormat="1" ht="13.5">
      <c r="G8059" s="6"/>
    </row>
    <row r="8060" s="1" customFormat="1" ht="13.5">
      <c r="G8060" s="6"/>
    </row>
    <row r="8061" s="1" customFormat="1" ht="13.5">
      <c r="G8061" s="6"/>
    </row>
    <row r="8062" s="1" customFormat="1" ht="13.5">
      <c r="G8062" s="6"/>
    </row>
    <row r="8063" s="1" customFormat="1" ht="13.5">
      <c r="G8063" s="6"/>
    </row>
    <row r="8064" s="1" customFormat="1" ht="13.5">
      <c r="G8064" s="6"/>
    </row>
    <row r="8065" s="1" customFormat="1" ht="13.5">
      <c r="G8065" s="6"/>
    </row>
    <row r="8066" s="1" customFormat="1" ht="13.5">
      <c r="G8066" s="6"/>
    </row>
    <row r="8067" s="1" customFormat="1" ht="13.5">
      <c r="G8067" s="6"/>
    </row>
    <row r="8068" s="1" customFormat="1" ht="13.5">
      <c r="G8068" s="6"/>
    </row>
    <row r="8069" s="1" customFormat="1" ht="13.5">
      <c r="G8069" s="6"/>
    </row>
    <row r="8070" s="1" customFormat="1" ht="13.5">
      <c r="G8070" s="6"/>
    </row>
    <row r="8071" s="1" customFormat="1" ht="13.5">
      <c r="G8071" s="6"/>
    </row>
    <row r="8072" s="1" customFormat="1" ht="13.5">
      <c r="G8072" s="6"/>
    </row>
    <row r="8073" s="1" customFormat="1" ht="13.5">
      <c r="G8073" s="6"/>
    </row>
    <row r="8074" s="1" customFormat="1" ht="13.5">
      <c r="G8074" s="6"/>
    </row>
    <row r="8075" s="1" customFormat="1" ht="13.5">
      <c r="G8075" s="6"/>
    </row>
    <row r="8076" s="1" customFormat="1" ht="13.5">
      <c r="G8076" s="6"/>
    </row>
    <row r="8077" s="1" customFormat="1" ht="13.5">
      <c r="G8077" s="6"/>
    </row>
    <row r="8078" s="1" customFormat="1" ht="13.5">
      <c r="G8078" s="6"/>
    </row>
    <row r="8079" s="1" customFormat="1" ht="13.5">
      <c r="G8079" s="6"/>
    </row>
    <row r="8080" s="1" customFormat="1" ht="13.5">
      <c r="G8080" s="6"/>
    </row>
    <row r="8081" s="1" customFormat="1" ht="13.5">
      <c r="G8081" s="6"/>
    </row>
    <row r="8082" s="1" customFormat="1" ht="13.5">
      <c r="G8082" s="6"/>
    </row>
    <row r="8083" s="1" customFormat="1" ht="13.5">
      <c r="G8083" s="6"/>
    </row>
    <row r="8084" s="1" customFormat="1" ht="13.5">
      <c r="G8084" s="6"/>
    </row>
    <row r="8085" s="1" customFormat="1" ht="13.5">
      <c r="G8085" s="6"/>
    </row>
    <row r="8086" s="1" customFormat="1" ht="13.5">
      <c r="G8086" s="6"/>
    </row>
    <row r="8087" s="1" customFormat="1" ht="13.5">
      <c r="G8087" s="6"/>
    </row>
    <row r="8088" s="1" customFormat="1" ht="13.5">
      <c r="G8088" s="6"/>
    </row>
    <row r="8089" s="1" customFormat="1" ht="13.5">
      <c r="G8089" s="6"/>
    </row>
    <row r="8090" s="1" customFormat="1" ht="13.5">
      <c r="G8090" s="6"/>
    </row>
    <row r="8091" s="1" customFormat="1" ht="13.5">
      <c r="G8091" s="6"/>
    </row>
    <row r="8092" s="1" customFormat="1" ht="13.5">
      <c r="G8092" s="6"/>
    </row>
    <row r="8093" s="1" customFormat="1" ht="13.5">
      <c r="G8093" s="6"/>
    </row>
    <row r="8094" s="1" customFormat="1" ht="13.5">
      <c r="G8094" s="6"/>
    </row>
    <row r="8095" s="1" customFormat="1" ht="13.5">
      <c r="G8095" s="6"/>
    </row>
    <row r="8096" s="1" customFormat="1" ht="13.5">
      <c r="G8096" s="6"/>
    </row>
    <row r="8097" s="1" customFormat="1" ht="13.5">
      <c r="G8097" s="6"/>
    </row>
    <row r="8098" s="1" customFormat="1" ht="13.5">
      <c r="G8098" s="6"/>
    </row>
    <row r="8099" s="1" customFormat="1" ht="13.5">
      <c r="G8099" s="6"/>
    </row>
    <row r="8100" s="1" customFormat="1" ht="13.5">
      <c r="G8100" s="6"/>
    </row>
    <row r="8101" s="1" customFormat="1" ht="13.5">
      <c r="G8101" s="6"/>
    </row>
    <row r="8102" s="1" customFormat="1" ht="13.5">
      <c r="G8102" s="6"/>
    </row>
    <row r="8103" s="1" customFormat="1" ht="13.5">
      <c r="G8103" s="6"/>
    </row>
    <row r="8104" s="1" customFormat="1" ht="13.5">
      <c r="G8104" s="6"/>
    </row>
    <row r="8105" s="1" customFormat="1" ht="13.5">
      <c r="G8105" s="6"/>
    </row>
    <row r="8106" s="1" customFormat="1" ht="13.5">
      <c r="G8106" s="6"/>
    </row>
    <row r="8107" s="1" customFormat="1" ht="13.5">
      <c r="G8107" s="6"/>
    </row>
    <row r="8108" s="1" customFormat="1" ht="13.5">
      <c r="G8108" s="6"/>
    </row>
    <row r="8109" s="1" customFormat="1" ht="13.5">
      <c r="G8109" s="6"/>
    </row>
    <row r="8110" s="1" customFormat="1" ht="13.5">
      <c r="G8110" s="6"/>
    </row>
    <row r="8111" s="1" customFormat="1" ht="13.5">
      <c r="G8111" s="6"/>
    </row>
    <row r="8112" s="1" customFormat="1" ht="13.5">
      <c r="G8112" s="6"/>
    </row>
    <row r="8113" s="1" customFormat="1" ht="13.5">
      <c r="G8113" s="6"/>
    </row>
    <row r="8114" s="1" customFormat="1" ht="13.5">
      <c r="G8114" s="6"/>
    </row>
    <row r="8115" s="1" customFormat="1" ht="13.5">
      <c r="G8115" s="6"/>
    </row>
    <row r="8116" s="1" customFormat="1" ht="13.5">
      <c r="G8116" s="6"/>
    </row>
    <row r="8117" s="1" customFormat="1" ht="13.5">
      <c r="G8117" s="6"/>
    </row>
    <row r="8118" s="1" customFormat="1" ht="13.5">
      <c r="G8118" s="6"/>
    </row>
    <row r="8119" s="1" customFormat="1" ht="13.5">
      <c r="G8119" s="6"/>
    </row>
    <row r="8120" s="1" customFormat="1" ht="13.5">
      <c r="G8120" s="6"/>
    </row>
    <row r="8121" s="1" customFormat="1" ht="13.5">
      <c r="G8121" s="6"/>
    </row>
    <row r="8122" s="1" customFormat="1" ht="13.5">
      <c r="G8122" s="6"/>
    </row>
    <row r="8123" s="1" customFormat="1" ht="13.5">
      <c r="G8123" s="6"/>
    </row>
    <row r="8124" s="1" customFormat="1" ht="13.5">
      <c r="G8124" s="6"/>
    </row>
    <row r="8125" s="1" customFormat="1" ht="13.5">
      <c r="G8125" s="6"/>
    </row>
    <row r="8126" s="1" customFormat="1" ht="13.5">
      <c r="G8126" s="6"/>
    </row>
    <row r="8127" s="1" customFormat="1" ht="13.5">
      <c r="G8127" s="6"/>
    </row>
    <row r="8128" s="1" customFormat="1" ht="13.5">
      <c r="G8128" s="6"/>
    </row>
    <row r="8129" s="1" customFormat="1" ht="13.5">
      <c r="G8129" s="6"/>
    </row>
    <row r="8130" s="1" customFormat="1" ht="13.5">
      <c r="G8130" s="6"/>
    </row>
    <row r="8131" s="1" customFormat="1" ht="13.5">
      <c r="G8131" s="6"/>
    </row>
    <row r="8132" s="1" customFormat="1" ht="13.5">
      <c r="G8132" s="6"/>
    </row>
    <row r="8133" s="1" customFormat="1" ht="13.5">
      <c r="G8133" s="6"/>
    </row>
    <row r="8134" s="1" customFormat="1" ht="13.5">
      <c r="G8134" s="6"/>
    </row>
    <row r="8135" s="1" customFormat="1" ht="13.5">
      <c r="G8135" s="6"/>
    </row>
    <row r="8136" s="1" customFormat="1" ht="13.5">
      <c r="G8136" s="6"/>
    </row>
    <row r="8137" s="1" customFormat="1" ht="13.5">
      <c r="G8137" s="6"/>
    </row>
    <row r="8138" s="1" customFormat="1" ht="13.5">
      <c r="G8138" s="6"/>
    </row>
    <row r="8139" s="1" customFormat="1" ht="13.5">
      <c r="G8139" s="6"/>
    </row>
    <row r="8140" s="1" customFormat="1" ht="13.5">
      <c r="G8140" s="6"/>
    </row>
    <row r="8141" s="1" customFormat="1" ht="13.5">
      <c r="G8141" s="6"/>
    </row>
    <row r="8142" s="1" customFormat="1" ht="13.5">
      <c r="G8142" s="6"/>
    </row>
    <row r="8143" s="1" customFormat="1" ht="13.5">
      <c r="G8143" s="6"/>
    </row>
    <row r="8144" s="1" customFormat="1" ht="13.5">
      <c r="G8144" s="6"/>
    </row>
    <row r="8145" s="1" customFormat="1" ht="13.5">
      <c r="G8145" s="6"/>
    </row>
    <row r="8146" s="1" customFormat="1" ht="13.5">
      <c r="G8146" s="6"/>
    </row>
    <row r="8147" s="1" customFormat="1" ht="13.5">
      <c r="G8147" s="6"/>
    </row>
    <row r="8148" s="1" customFormat="1" ht="13.5">
      <c r="G8148" s="6"/>
    </row>
    <row r="8149" s="1" customFormat="1" ht="13.5">
      <c r="G8149" s="6"/>
    </row>
    <row r="8150" s="1" customFormat="1" ht="13.5">
      <c r="G8150" s="6"/>
    </row>
    <row r="8151" s="1" customFormat="1" ht="13.5">
      <c r="G8151" s="6"/>
    </row>
    <row r="8152" s="1" customFormat="1" ht="13.5">
      <c r="G8152" s="6"/>
    </row>
    <row r="8153" s="1" customFormat="1" ht="13.5">
      <c r="G8153" s="6"/>
    </row>
    <row r="8154" s="1" customFormat="1" ht="13.5">
      <c r="G8154" s="6"/>
    </row>
    <row r="8155" s="1" customFormat="1" ht="13.5">
      <c r="G8155" s="6"/>
    </row>
    <row r="8156" s="1" customFormat="1" ht="13.5">
      <c r="G8156" s="6"/>
    </row>
    <row r="8157" s="1" customFormat="1" ht="13.5">
      <c r="G8157" s="6"/>
    </row>
    <row r="8158" s="1" customFormat="1" ht="13.5">
      <c r="G8158" s="6"/>
    </row>
    <row r="8159" s="1" customFormat="1" ht="13.5">
      <c r="G8159" s="6"/>
    </row>
    <row r="8160" s="1" customFormat="1" ht="13.5">
      <c r="G8160" s="6"/>
    </row>
    <row r="8161" s="1" customFormat="1" ht="13.5">
      <c r="G8161" s="6"/>
    </row>
    <row r="8162" s="1" customFormat="1" ht="13.5">
      <c r="G8162" s="6"/>
    </row>
    <row r="8163" s="1" customFormat="1" ht="13.5">
      <c r="G8163" s="6"/>
    </row>
    <row r="8164" s="1" customFormat="1" ht="13.5">
      <c r="G8164" s="6"/>
    </row>
    <row r="8165" s="1" customFormat="1" ht="13.5">
      <c r="G8165" s="6"/>
    </row>
    <row r="8166" s="1" customFormat="1" ht="13.5">
      <c r="G8166" s="6"/>
    </row>
    <row r="8167" s="1" customFormat="1" ht="13.5">
      <c r="G8167" s="6"/>
    </row>
    <row r="8168" s="1" customFormat="1" ht="13.5">
      <c r="G8168" s="6"/>
    </row>
    <row r="8169" s="1" customFormat="1" ht="13.5">
      <c r="G8169" s="6"/>
    </row>
    <row r="8170" s="1" customFormat="1" ht="13.5">
      <c r="G8170" s="6"/>
    </row>
    <row r="8171" s="1" customFormat="1" ht="13.5">
      <c r="G8171" s="6"/>
    </row>
    <row r="8172" s="1" customFormat="1" ht="13.5">
      <c r="G8172" s="6"/>
    </row>
    <row r="8173" s="1" customFormat="1" ht="13.5">
      <c r="G8173" s="6"/>
    </row>
    <row r="8174" s="1" customFormat="1" ht="13.5">
      <c r="G8174" s="6"/>
    </row>
    <row r="8175" s="1" customFormat="1" ht="13.5">
      <c r="G8175" s="6"/>
    </row>
    <row r="8176" s="1" customFormat="1" ht="13.5">
      <c r="G8176" s="6"/>
    </row>
    <row r="8177" s="1" customFormat="1" ht="13.5">
      <c r="G8177" s="6"/>
    </row>
    <row r="8178" s="1" customFormat="1" ht="13.5">
      <c r="G8178" s="6"/>
    </row>
    <row r="8179" s="1" customFormat="1" ht="13.5">
      <c r="G8179" s="6"/>
    </row>
    <row r="8180" s="1" customFormat="1" ht="13.5">
      <c r="G8180" s="6"/>
    </row>
    <row r="8181" s="1" customFormat="1" ht="13.5">
      <c r="G8181" s="6"/>
    </row>
    <row r="8182" s="1" customFormat="1" ht="13.5">
      <c r="G8182" s="6"/>
    </row>
    <row r="8183" s="1" customFormat="1" ht="13.5">
      <c r="G8183" s="6"/>
    </row>
    <row r="8184" s="1" customFormat="1" ht="13.5">
      <c r="G8184" s="6"/>
    </row>
    <row r="8185" s="1" customFormat="1" ht="13.5">
      <c r="G8185" s="6"/>
    </row>
    <row r="8186" s="1" customFormat="1" ht="13.5">
      <c r="G8186" s="6"/>
    </row>
    <row r="8187" s="1" customFormat="1" ht="13.5">
      <c r="G8187" s="6"/>
    </row>
    <row r="8188" s="1" customFormat="1" ht="13.5">
      <c r="G8188" s="6"/>
    </row>
    <row r="8189" s="1" customFormat="1" ht="13.5">
      <c r="G8189" s="6"/>
    </row>
    <row r="8190" s="1" customFormat="1" ht="13.5">
      <c r="G8190" s="6"/>
    </row>
    <row r="8191" s="1" customFormat="1" ht="13.5">
      <c r="G8191" s="6"/>
    </row>
    <row r="8192" s="1" customFormat="1" ht="13.5">
      <c r="G8192" s="6"/>
    </row>
    <row r="8193" s="1" customFormat="1" ht="13.5">
      <c r="G8193" s="6"/>
    </row>
    <row r="8194" s="1" customFormat="1" ht="13.5">
      <c r="G8194" s="6"/>
    </row>
    <row r="8195" s="1" customFormat="1" ht="13.5">
      <c r="G8195" s="6"/>
    </row>
    <row r="8196" s="1" customFormat="1" ht="13.5">
      <c r="G8196" s="6"/>
    </row>
    <row r="8197" s="1" customFormat="1" ht="13.5">
      <c r="G8197" s="6"/>
    </row>
    <row r="8198" s="1" customFormat="1" ht="13.5">
      <c r="G8198" s="6"/>
    </row>
    <row r="8199" s="1" customFormat="1" ht="13.5">
      <c r="G8199" s="6"/>
    </row>
    <row r="8200" s="1" customFormat="1" ht="13.5">
      <c r="G8200" s="6"/>
    </row>
    <row r="8201" s="1" customFormat="1" ht="13.5">
      <c r="G8201" s="6"/>
    </row>
    <row r="8202" s="1" customFormat="1" ht="13.5">
      <c r="G8202" s="6"/>
    </row>
    <row r="8203" s="1" customFormat="1" ht="13.5">
      <c r="G8203" s="6"/>
    </row>
    <row r="8204" s="1" customFormat="1" ht="13.5">
      <c r="G8204" s="6"/>
    </row>
    <row r="8205" s="1" customFormat="1" ht="13.5">
      <c r="G8205" s="6"/>
    </row>
    <row r="8206" s="1" customFormat="1" ht="13.5">
      <c r="G8206" s="6"/>
    </row>
    <row r="8207" s="1" customFormat="1" ht="13.5">
      <c r="G8207" s="6"/>
    </row>
    <row r="8208" s="1" customFormat="1" ht="13.5">
      <c r="G8208" s="6"/>
    </row>
    <row r="8209" s="1" customFormat="1" ht="13.5">
      <c r="G8209" s="6"/>
    </row>
    <row r="8210" s="1" customFormat="1" ht="13.5">
      <c r="G8210" s="6"/>
    </row>
    <row r="8211" s="1" customFormat="1" ht="13.5">
      <c r="G8211" s="6"/>
    </row>
    <row r="8212" s="1" customFormat="1" ht="13.5">
      <c r="G8212" s="6"/>
    </row>
    <row r="8213" s="1" customFormat="1" ht="13.5">
      <c r="G8213" s="6"/>
    </row>
    <row r="8214" s="1" customFormat="1" ht="13.5">
      <c r="G8214" s="6"/>
    </row>
    <row r="8215" s="1" customFormat="1" ht="13.5">
      <c r="G8215" s="6"/>
    </row>
    <row r="8216" s="1" customFormat="1" ht="13.5">
      <c r="G8216" s="6"/>
    </row>
    <row r="8217" s="1" customFormat="1" ht="13.5">
      <c r="G8217" s="6"/>
    </row>
    <row r="8218" s="1" customFormat="1" ht="13.5">
      <c r="G8218" s="6"/>
    </row>
    <row r="8219" s="1" customFormat="1" ht="13.5">
      <c r="G8219" s="6"/>
    </row>
    <row r="8220" s="1" customFormat="1" ht="13.5">
      <c r="G8220" s="6"/>
    </row>
    <row r="8221" s="1" customFormat="1" ht="13.5">
      <c r="G8221" s="6"/>
    </row>
    <row r="8222" s="1" customFormat="1" ht="13.5">
      <c r="G8222" s="6"/>
    </row>
    <row r="8223" s="1" customFormat="1" ht="13.5">
      <c r="G8223" s="6"/>
    </row>
    <row r="8224" s="1" customFormat="1" ht="13.5">
      <c r="G8224" s="6"/>
    </row>
    <row r="8225" s="1" customFormat="1" ht="13.5">
      <c r="G8225" s="6"/>
    </row>
    <row r="8226" s="1" customFormat="1" ht="13.5">
      <c r="G8226" s="6"/>
    </row>
    <row r="8227" s="1" customFormat="1" ht="13.5">
      <c r="G8227" s="6"/>
    </row>
    <row r="8228" s="1" customFormat="1" ht="13.5">
      <c r="G8228" s="6"/>
    </row>
    <row r="8229" s="1" customFormat="1" ht="13.5">
      <c r="G8229" s="6"/>
    </row>
    <row r="8230" s="1" customFormat="1" ht="13.5">
      <c r="G8230" s="6"/>
    </row>
    <row r="8231" s="1" customFormat="1" ht="13.5">
      <c r="G8231" s="6"/>
    </row>
    <row r="8232" s="1" customFormat="1" ht="13.5">
      <c r="G8232" s="6"/>
    </row>
    <row r="8233" s="1" customFormat="1" ht="13.5">
      <c r="G8233" s="6"/>
    </row>
    <row r="8234" s="1" customFormat="1" ht="13.5">
      <c r="G8234" s="6"/>
    </row>
    <row r="8235" s="1" customFormat="1" ht="13.5">
      <c r="G8235" s="6"/>
    </row>
    <row r="8236" s="1" customFormat="1" ht="13.5">
      <c r="G8236" s="6"/>
    </row>
    <row r="8237" s="1" customFormat="1" ht="13.5">
      <c r="G8237" s="6"/>
    </row>
    <row r="8238" s="1" customFormat="1" ht="13.5">
      <c r="G8238" s="6"/>
    </row>
    <row r="8239" s="1" customFormat="1" ht="13.5">
      <c r="G8239" s="6"/>
    </row>
    <row r="8240" s="1" customFormat="1" ht="13.5">
      <c r="G8240" s="6"/>
    </row>
    <row r="8241" s="1" customFormat="1" ht="13.5">
      <c r="G8241" s="6"/>
    </row>
    <row r="8242" s="1" customFormat="1" ht="13.5">
      <c r="G8242" s="6"/>
    </row>
    <row r="8243" s="1" customFormat="1" ht="13.5">
      <c r="G8243" s="6"/>
    </row>
    <row r="8244" s="1" customFormat="1" ht="13.5">
      <c r="G8244" s="6"/>
    </row>
    <row r="8245" s="1" customFormat="1" ht="13.5">
      <c r="G8245" s="6"/>
    </row>
    <row r="8246" s="1" customFormat="1" ht="13.5">
      <c r="G8246" s="6"/>
    </row>
    <row r="8247" s="1" customFormat="1" ht="13.5">
      <c r="G8247" s="6"/>
    </row>
    <row r="8248" s="1" customFormat="1" ht="13.5">
      <c r="G8248" s="6"/>
    </row>
    <row r="8249" s="1" customFormat="1" ht="13.5">
      <c r="G8249" s="6"/>
    </row>
    <row r="8250" s="1" customFormat="1" ht="13.5">
      <c r="G8250" s="6"/>
    </row>
    <row r="8251" s="1" customFormat="1" ht="13.5">
      <c r="G8251" s="6"/>
    </row>
    <row r="8252" s="1" customFormat="1" ht="13.5">
      <c r="G8252" s="6"/>
    </row>
    <row r="8253" s="1" customFormat="1" ht="13.5">
      <c r="G8253" s="6"/>
    </row>
    <row r="8254" s="1" customFormat="1" ht="13.5">
      <c r="G8254" s="6"/>
    </row>
    <row r="8255" s="1" customFormat="1" ht="13.5">
      <c r="G8255" s="6"/>
    </row>
    <row r="8256" s="1" customFormat="1" ht="13.5">
      <c r="G8256" s="6"/>
    </row>
    <row r="8257" s="1" customFormat="1" ht="13.5">
      <c r="G8257" s="6"/>
    </row>
    <row r="8258" s="1" customFormat="1" ht="13.5">
      <c r="G8258" s="6"/>
    </row>
    <row r="8259" s="1" customFormat="1" ht="13.5">
      <c r="G8259" s="6"/>
    </row>
    <row r="8260" s="1" customFormat="1" ht="13.5">
      <c r="G8260" s="6"/>
    </row>
    <row r="8261" s="1" customFormat="1" ht="13.5">
      <c r="G8261" s="6"/>
    </row>
    <row r="8262" s="1" customFormat="1" ht="13.5">
      <c r="G8262" s="6"/>
    </row>
    <row r="8263" s="1" customFormat="1" ht="13.5">
      <c r="G8263" s="6"/>
    </row>
    <row r="8264" s="1" customFormat="1" ht="13.5">
      <c r="G8264" s="6"/>
    </row>
    <row r="8265" s="1" customFormat="1" ht="13.5">
      <c r="G8265" s="6"/>
    </row>
    <row r="8266" s="1" customFormat="1" ht="13.5">
      <c r="G8266" s="6"/>
    </row>
    <row r="8267" s="1" customFormat="1" ht="13.5">
      <c r="G8267" s="6"/>
    </row>
    <row r="8268" s="1" customFormat="1" ht="13.5">
      <c r="G8268" s="6"/>
    </row>
    <row r="8269" s="1" customFormat="1" ht="13.5">
      <c r="G8269" s="6"/>
    </row>
    <row r="8270" s="1" customFormat="1" ht="13.5">
      <c r="G8270" s="6"/>
    </row>
    <row r="8271" s="1" customFormat="1" ht="13.5">
      <c r="G8271" s="6"/>
    </row>
    <row r="8272" s="1" customFormat="1" ht="13.5">
      <c r="G8272" s="6"/>
    </row>
    <row r="8273" s="1" customFormat="1" ht="13.5">
      <c r="G8273" s="6"/>
    </row>
    <row r="8274" s="1" customFormat="1" ht="13.5">
      <c r="G8274" s="6"/>
    </row>
    <row r="8275" s="1" customFormat="1" ht="13.5">
      <c r="G8275" s="6"/>
    </row>
    <row r="8276" s="1" customFormat="1" ht="13.5">
      <c r="G8276" s="6"/>
    </row>
    <row r="8277" s="1" customFormat="1" ht="13.5">
      <c r="G8277" s="6"/>
    </row>
    <row r="8278" s="1" customFormat="1" ht="13.5">
      <c r="G8278" s="6"/>
    </row>
    <row r="8279" s="1" customFormat="1" ht="13.5">
      <c r="G8279" s="6"/>
    </row>
    <row r="8280" s="1" customFormat="1" ht="13.5">
      <c r="G8280" s="6"/>
    </row>
    <row r="8281" s="1" customFormat="1" ht="13.5">
      <c r="G8281" s="6"/>
    </row>
    <row r="8282" s="1" customFormat="1" ht="13.5">
      <c r="G8282" s="6"/>
    </row>
    <row r="8283" s="1" customFormat="1" ht="13.5">
      <c r="G8283" s="6"/>
    </row>
    <row r="8284" s="1" customFormat="1" ht="13.5">
      <c r="G8284" s="6"/>
    </row>
    <row r="8285" s="1" customFormat="1" ht="13.5">
      <c r="G8285" s="6"/>
    </row>
    <row r="8286" s="1" customFormat="1" ht="13.5">
      <c r="G8286" s="6"/>
    </row>
    <row r="8287" s="1" customFormat="1" ht="13.5">
      <c r="G8287" s="6"/>
    </row>
    <row r="8288" s="1" customFormat="1" ht="13.5">
      <c r="G8288" s="6"/>
    </row>
    <row r="8289" s="1" customFormat="1" ht="13.5">
      <c r="G8289" s="6"/>
    </row>
    <row r="8290" s="1" customFormat="1" ht="13.5">
      <c r="G8290" s="6"/>
    </row>
    <row r="8291" s="1" customFormat="1" ht="13.5">
      <c r="G8291" s="6"/>
    </row>
    <row r="8292" s="1" customFormat="1" ht="13.5">
      <c r="G8292" s="6"/>
    </row>
    <row r="8293" s="1" customFormat="1" ht="13.5">
      <c r="G8293" s="6"/>
    </row>
    <row r="8294" s="1" customFormat="1" ht="13.5">
      <c r="G8294" s="6"/>
    </row>
    <row r="8295" s="1" customFormat="1" ht="13.5">
      <c r="G8295" s="6"/>
    </row>
    <row r="8296" s="1" customFormat="1" ht="13.5">
      <c r="G8296" s="6"/>
    </row>
    <row r="8297" s="1" customFormat="1" ht="13.5">
      <c r="G8297" s="6"/>
    </row>
    <row r="8298" s="1" customFormat="1" ht="13.5">
      <c r="G8298" s="6"/>
    </row>
    <row r="8299" s="1" customFormat="1" ht="13.5">
      <c r="G8299" s="6"/>
    </row>
    <row r="8300" s="1" customFormat="1" ht="13.5">
      <c r="G8300" s="6"/>
    </row>
    <row r="8301" s="1" customFormat="1" ht="13.5">
      <c r="G8301" s="6"/>
    </row>
    <row r="8302" s="1" customFormat="1" ht="13.5">
      <c r="G8302" s="6"/>
    </row>
    <row r="8303" s="1" customFormat="1" ht="13.5">
      <c r="G8303" s="6"/>
    </row>
    <row r="8304" s="1" customFormat="1" ht="13.5">
      <c r="G8304" s="6"/>
    </row>
    <row r="8305" s="1" customFormat="1" ht="13.5">
      <c r="G8305" s="6"/>
    </row>
    <row r="8306" s="1" customFormat="1" ht="13.5">
      <c r="G8306" s="6"/>
    </row>
    <row r="8307" s="1" customFormat="1" ht="13.5">
      <c r="G8307" s="6"/>
    </row>
    <row r="8308" s="1" customFormat="1" ht="13.5">
      <c r="G8308" s="6"/>
    </row>
    <row r="8309" s="1" customFormat="1" ht="13.5">
      <c r="G8309" s="6"/>
    </row>
    <row r="8310" s="1" customFormat="1" ht="13.5">
      <c r="G8310" s="6"/>
    </row>
    <row r="8311" s="1" customFormat="1" ht="13.5">
      <c r="G8311" s="6"/>
    </row>
    <row r="8312" s="1" customFormat="1" ht="13.5">
      <c r="G8312" s="6"/>
    </row>
    <row r="8313" s="1" customFormat="1" ht="13.5">
      <c r="G8313" s="6"/>
    </row>
    <row r="8314" s="1" customFormat="1" ht="13.5">
      <c r="G8314" s="6"/>
    </row>
    <row r="8315" s="1" customFormat="1" ht="13.5">
      <c r="G8315" s="6"/>
    </row>
    <row r="8316" s="1" customFormat="1" ht="13.5">
      <c r="G8316" s="6"/>
    </row>
    <row r="8317" s="1" customFormat="1" ht="13.5">
      <c r="G8317" s="6"/>
    </row>
    <row r="8318" s="1" customFormat="1" ht="13.5">
      <c r="G8318" s="6"/>
    </row>
    <row r="8319" s="1" customFormat="1" ht="13.5">
      <c r="G8319" s="6"/>
    </row>
    <row r="8320" s="1" customFormat="1" ht="13.5">
      <c r="G8320" s="6"/>
    </row>
    <row r="8321" s="1" customFormat="1" ht="13.5">
      <c r="G8321" s="6"/>
    </row>
    <row r="8322" s="1" customFormat="1" ht="13.5">
      <c r="G8322" s="6"/>
    </row>
    <row r="8323" s="1" customFormat="1" ht="13.5">
      <c r="G8323" s="6"/>
    </row>
    <row r="8324" s="1" customFormat="1" ht="13.5">
      <c r="G8324" s="6"/>
    </row>
    <row r="8325" s="1" customFormat="1" ht="13.5">
      <c r="G8325" s="6"/>
    </row>
    <row r="8326" s="1" customFormat="1" ht="13.5">
      <c r="G8326" s="6"/>
    </row>
    <row r="8327" s="1" customFormat="1" ht="13.5">
      <c r="G8327" s="6"/>
    </row>
    <row r="8328" s="1" customFormat="1" ht="13.5">
      <c r="G8328" s="6"/>
    </row>
    <row r="8329" s="1" customFormat="1" ht="13.5">
      <c r="G8329" s="6"/>
    </row>
    <row r="8330" s="1" customFormat="1" ht="13.5">
      <c r="G8330" s="6"/>
    </row>
    <row r="8331" s="1" customFormat="1" ht="13.5">
      <c r="G8331" s="6"/>
    </row>
    <row r="8332" s="1" customFormat="1" ht="13.5">
      <c r="G8332" s="6"/>
    </row>
    <row r="8333" s="1" customFormat="1" ht="13.5">
      <c r="G8333" s="6"/>
    </row>
    <row r="8334" s="1" customFormat="1" ht="13.5">
      <c r="G8334" s="6"/>
    </row>
    <row r="8335" s="1" customFormat="1" ht="13.5">
      <c r="G8335" s="6"/>
    </row>
    <row r="8336" s="1" customFormat="1" ht="13.5">
      <c r="G8336" s="6"/>
    </row>
    <row r="8337" s="1" customFormat="1" ht="13.5">
      <c r="G8337" s="6"/>
    </row>
    <row r="8338" s="1" customFormat="1" ht="13.5">
      <c r="G8338" s="6"/>
    </row>
    <row r="8339" s="1" customFormat="1" ht="13.5">
      <c r="G8339" s="6"/>
    </row>
    <row r="8340" s="1" customFormat="1" ht="13.5">
      <c r="G8340" s="6"/>
    </row>
    <row r="8341" s="1" customFormat="1" ht="13.5">
      <c r="G8341" s="6"/>
    </row>
    <row r="8342" s="1" customFormat="1" ht="13.5">
      <c r="G8342" s="6"/>
    </row>
    <row r="8343" s="1" customFormat="1" ht="13.5">
      <c r="G8343" s="6"/>
    </row>
    <row r="8344" s="1" customFormat="1" ht="13.5">
      <c r="G8344" s="6"/>
    </row>
    <row r="8345" s="1" customFormat="1" ht="13.5">
      <c r="G8345" s="6"/>
    </row>
    <row r="8346" s="1" customFormat="1" ht="13.5">
      <c r="G8346" s="6"/>
    </row>
    <row r="8347" s="1" customFormat="1" ht="13.5">
      <c r="G8347" s="6"/>
    </row>
    <row r="8348" s="1" customFormat="1" ht="13.5">
      <c r="G8348" s="6"/>
    </row>
    <row r="8349" s="1" customFormat="1" ht="13.5">
      <c r="G8349" s="6"/>
    </row>
    <row r="8350" s="1" customFormat="1" ht="13.5">
      <c r="G8350" s="6"/>
    </row>
    <row r="8351" s="1" customFormat="1" ht="13.5">
      <c r="G8351" s="6"/>
    </row>
    <row r="8352" s="1" customFormat="1" ht="13.5">
      <c r="G8352" s="6"/>
    </row>
    <row r="8353" s="1" customFormat="1" ht="13.5">
      <c r="G8353" s="6"/>
    </row>
    <row r="8354" s="1" customFormat="1" ht="13.5">
      <c r="G8354" s="6"/>
    </row>
    <row r="8355" s="1" customFormat="1" ht="13.5">
      <c r="G8355" s="6"/>
    </row>
    <row r="8356" s="1" customFormat="1" ht="13.5">
      <c r="G8356" s="6"/>
    </row>
    <row r="8357" s="1" customFormat="1" ht="13.5">
      <c r="G8357" s="6"/>
    </row>
    <row r="8358" s="1" customFormat="1" ht="13.5">
      <c r="G8358" s="6"/>
    </row>
    <row r="8359" s="1" customFormat="1" ht="13.5">
      <c r="G8359" s="6"/>
    </row>
    <row r="8360" s="1" customFormat="1" ht="13.5">
      <c r="G8360" s="6"/>
    </row>
    <row r="8361" s="1" customFormat="1" ht="13.5">
      <c r="G8361" s="6"/>
    </row>
    <row r="8362" s="1" customFormat="1" ht="13.5">
      <c r="G8362" s="6"/>
    </row>
    <row r="8363" s="1" customFormat="1" ht="13.5">
      <c r="G8363" s="6"/>
    </row>
    <row r="8364" s="1" customFormat="1" ht="13.5">
      <c r="G8364" s="6"/>
    </row>
    <row r="8365" s="1" customFormat="1" ht="13.5">
      <c r="G8365" s="6"/>
    </row>
    <row r="8366" s="1" customFormat="1" ht="13.5">
      <c r="G8366" s="6"/>
    </row>
    <row r="8367" s="1" customFormat="1" ht="13.5">
      <c r="G8367" s="6"/>
    </row>
    <row r="8368" s="1" customFormat="1" ht="13.5">
      <c r="G8368" s="6"/>
    </row>
    <row r="8369" s="1" customFormat="1" ht="13.5">
      <c r="G8369" s="6"/>
    </row>
    <row r="8370" s="1" customFormat="1" ht="13.5">
      <c r="G8370" s="6"/>
    </row>
    <row r="8371" s="1" customFormat="1" ht="13.5">
      <c r="G8371" s="6"/>
    </row>
    <row r="8372" s="1" customFormat="1" ht="13.5">
      <c r="G8372" s="6"/>
    </row>
    <row r="8373" s="1" customFormat="1" ht="13.5">
      <c r="G8373" s="6"/>
    </row>
    <row r="8374" s="1" customFormat="1" ht="13.5">
      <c r="G8374" s="6"/>
    </row>
    <row r="8375" s="1" customFormat="1" ht="13.5">
      <c r="G8375" s="6"/>
    </row>
    <row r="8376" s="1" customFormat="1" ht="13.5">
      <c r="G8376" s="6"/>
    </row>
    <row r="8377" s="1" customFormat="1" ht="13.5">
      <c r="G8377" s="6"/>
    </row>
    <row r="8378" s="1" customFormat="1" ht="13.5">
      <c r="G8378" s="6"/>
    </row>
    <row r="8379" s="1" customFormat="1" ht="13.5">
      <c r="G8379" s="6"/>
    </row>
    <row r="8380" s="1" customFormat="1" ht="13.5">
      <c r="G8380" s="6"/>
    </row>
    <row r="8381" s="1" customFormat="1" ht="13.5">
      <c r="G8381" s="6"/>
    </row>
    <row r="8382" s="1" customFormat="1" ht="13.5">
      <c r="G8382" s="6"/>
    </row>
    <row r="8383" s="1" customFormat="1" ht="13.5">
      <c r="G8383" s="6"/>
    </row>
    <row r="8384" s="1" customFormat="1" ht="13.5">
      <c r="G8384" s="6"/>
    </row>
    <row r="8385" s="1" customFormat="1" ht="13.5">
      <c r="G8385" s="6"/>
    </row>
    <row r="8386" s="1" customFormat="1" ht="13.5">
      <c r="G8386" s="6"/>
    </row>
    <row r="8387" s="1" customFormat="1" ht="13.5">
      <c r="G8387" s="6"/>
    </row>
    <row r="8388" s="1" customFormat="1" ht="13.5">
      <c r="G8388" s="6"/>
    </row>
    <row r="8389" s="1" customFormat="1" ht="13.5">
      <c r="G8389" s="6"/>
    </row>
    <row r="8390" s="1" customFormat="1" ht="13.5">
      <c r="G8390" s="6"/>
    </row>
    <row r="8391" s="1" customFormat="1" ht="13.5">
      <c r="G8391" s="6"/>
    </row>
    <row r="8392" s="1" customFormat="1" ht="13.5">
      <c r="G8392" s="6"/>
    </row>
    <row r="8393" s="1" customFormat="1" ht="13.5">
      <c r="G8393" s="6"/>
    </row>
    <row r="8394" s="1" customFormat="1" ht="13.5">
      <c r="G8394" s="6"/>
    </row>
    <row r="8395" s="1" customFormat="1" ht="13.5">
      <c r="G8395" s="6"/>
    </row>
    <row r="8396" s="1" customFormat="1" ht="13.5">
      <c r="G8396" s="6"/>
    </row>
    <row r="8397" s="1" customFormat="1" ht="13.5">
      <c r="G8397" s="6"/>
    </row>
    <row r="8398" s="1" customFormat="1" ht="13.5">
      <c r="G8398" s="6"/>
    </row>
    <row r="8399" s="1" customFormat="1" ht="13.5">
      <c r="G8399" s="6"/>
    </row>
    <row r="8400" s="1" customFormat="1" ht="13.5">
      <c r="G8400" s="6"/>
    </row>
    <row r="8401" s="1" customFormat="1" ht="13.5">
      <c r="G8401" s="6"/>
    </row>
    <row r="8402" s="1" customFormat="1" ht="13.5">
      <c r="G8402" s="6"/>
    </row>
    <row r="8403" s="1" customFormat="1" ht="13.5">
      <c r="G8403" s="6"/>
    </row>
    <row r="8404" s="1" customFormat="1" ht="13.5">
      <c r="G8404" s="6"/>
    </row>
    <row r="8405" s="1" customFormat="1" ht="13.5">
      <c r="G8405" s="6"/>
    </row>
    <row r="8406" s="1" customFormat="1" ht="13.5">
      <c r="G8406" s="6"/>
    </row>
    <row r="8407" s="1" customFormat="1" ht="13.5">
      <c r="G8407" s="6"/>
    </row>
    <row r="8408" s="1" customFormat="1" ht="13.5">
      <c r="G8408" s="6"/>
    </row>
    <row r="8409" s="1" customFormat="1" ht="13.5">
      <c r="G8409" s="6"/>
    </row>
    <row r="8410" s="1" customFormat="1" ht="13.5">
      <c r="G8410" s="6"/>
    </row>
    <row r="8411" s="1" customFormat="1" ht="13.5">
      <c r="G8411" s="6"/>
    </row>
    <row r="8412" s="1" customFormat="1" ht="13.5">
      <c r="G8412" s="6"/>
    </row>
    <row r="8413" s="1" customFormat="1" ht="13.5">
      <c r="G8413" s="6"/>
    </row>
    <row r="8414" s="1" customFormat="1" ht="13.5">
      <c r="G8414" s="6"/>
    </row>
    <row r="8415" s="1" customFormat="1" ht="13.5">
      <c r="G8415" s="6"/>
    </row>
    <row r="8416" s="1" customFormat="1" ht="13.5">
      <c r="G8416" s="6"/>
    </row>
    <row r="8417" s="1" customFormat="1" ht="13.5">
      <c r="G8417" s="6"/>
    </row>
    <row r="8418" s="1" customFormat="1" ht="13.5">
      <c r="G8418" s="6"/>
    </row>
    <row r="8419" s="1" customFormat="1" ht="13.5">
      <c r="G8419" s="6"/>
    </row>
    <row r="8420" s="1" customFormat="1" ht="13.5">
      <c r="G8420" s="6"/>
    </row>
    <row r="8421" s="1" customFormat="1" ht="13.5">
      <c r="G8421" s="6"/>
    </row>
    <row r="8422" s="1" customFormat="1" ht="13.5">
      <c r="G8422" s="6"/>
    </row>
    <row r="8423" s="1" customFormat="1" ht="13.5">
      <c r="G8423" s="6"/>
    </row>
    <row r="8424" s="1" customFormat="1" ht="13.5">
      <c r="G8424" s="6"/>
    </row>
    <row r="8425" s="1" customFormat="1" ht="13.5">
      <c r="G8425" s="6"/>
    </row>
    <row r="8426" s="1" customFormat="1" ht="13.5">
      <c r="G8426" s="6"/>
    </row>
    <row r="8427" s="1" customFormat="1" ht="13.5">
      <c r="G8427" s="6"/>
    </row>
    <row r="8428" s="1" customFormat="1" ht="13.5">
      <c r="G8428" s="6"/>
    </row>
    <row r="8429" s="1" customFormat="1" ht="13.5">
      <c r="G8429" s="6"/>
    </row>
    <row r="8430" s="1" customFormat="1" ht="13.5">
      <c r="G8430" s="6"/>
    </row>
    <row r="8431" s="1" customFormat="1" ht="13.5">
      <c r="G8431" s="6"/>
    </row>
    <row r="8432" s="1" customFormat="1" ht="13.5">
      <c r="G8432" s="6"/>
    </row>
    <row r="8433" s="1" customFormat="1" ht="13.5">
      <c r="G8433" s="6"/>
    </row>
    <row r="8434" s="1" customFormat="1" ht="13.5">
      <c r="G8434" s="6"/>
    </row>
    <row r="8435" s="1" customFormat="1" ht="13.5">
      <c r="G8435" s="6"/>
    </row>
    <row r="8436" s="1" customFormat="1" ht="13.5">
      <c r="G8436" s="6"/>
    </row>
    <row r="8437" s="1" customFormat="1" ht="13.5">
      <c r="G8437" s="6"/>
    </row>
    <row r="8438" s="1" customFormat="1" ht="13.5">
      <c r="G8438" s="6"/>
    </row>
    <row r="8439" s="1" customFormat="1" ht="13.5">
      <c r="G8439" s="6"/>
    </row>
    <row r="8440" s="1" customFormat="1" ht="13.5">
      <c r="G8440" s="6"/>
    </row>
    <row r="8441" s="1" customFormat="1" ht="13.5">
      <c r="G8441" s="6"/>
    </row>
    <row r="8442" s="1" customFormat="1" ht="13.5">
      <c r="G8442" s="6"/>
    </row>
    <row r="8443" s="1" customFormat="1" ht="13.5">
      <c r="G8443" s="6"/>
    </row>
    <row r="8444" s="1" customFormat="1" ht="13.5">
      <c r="G8444" s="6"/>
    </row>
    <row r="8445" s="1" customFormat="1" ht="13.5">
      <c r="G8445" s="6"/>
    </row>
    <row r="8446" s="1" customFormat="1" ht="13.5">
      <c r="G8446" s="6"/>
    </row>
    <row r="8447" s="1" customFormat="1" ht="13.5">
      <c r="G8447" s="6"/>
    </row>
    <row r="8448" s="1" customFormat="1" ht="13.5">
      <c r="G8448" s="6"/>
    </row>
    <row r="8449" s="1" customFormat="1" ht="13.5">
      <c r="G8449" s="6"/>
    </row>
    <row r="8450" s="1" customFormat="1" ht="13.5">
      <c r="G8450" s="6"/>
    </row>
    <row r="8451" s="1" customFormat="1" ht="13.5">
      <c r="G8451" s="6"/>
    </row>
    <row r="8452" s="1" customFormat="1" ht="13.5">
      <c r="G8452" s="6"/>
    </row>
    <row r="8453" s="1" customFormat="1" ht="13.5">
      <c r="G8453" s="6"/>
    </row>
    <row r="8454" s="1" customFormat="1" ht="13.5">
      <c r="G8454" s="6"/>
    </row>
    <row r="8455" s="1" customFormat="1" ht="13.5">
      <c r="G8455" s="6"/>
    </row>
    <row r="8456" s="1" customFormat="1" ht="13.5">
      <c r="G8456" s="6"/>
    </row>
    <row r="8457" s="1" customFormat="1" ht="13.5">
      <c r="G8457" s="6"/>
    </row>
    <row r="8458" s="1" customFormat="1" ht="13.5">
      <c r="G8458" s="6"/>
    </row>
    <row r="8459" s="1" customFormat="1" ht="13.5">
      <c r="G8459" s="6"/>
    </row>
    <row r="8460" s="1" customFormat="1" ht="13.5">
      <c r="G8460" s="6"/>
    </row>
    <row r="8461" s="1" customFormat="1" ht="13.5">
      <c r="G8461" s="6"/>
    </row>
    <row r="8462" s="1" customFormat="1" ht="13.5">
      <c r="G8462" s="6"/>
    </row>
    <row r="8463" s="1" customFormat="1" ht="13.5">
      <c r="G8463" s="6"/>
    </row>
    <row r="8464" s="1" customFormat="1" ht="13.5">
      <c r="G8464" s="6"/>
    </row>
    <row r="8465" s="1" customFormat="1" ht="13.5">
      <c r="G8465" s="6"/>
    </row>
    <row r="8466" s="1" customFormat="1" ht="13.5">
      <c r="G8466" s="6"/>
    </row>
    <row r="8467" s="1" customFormat="1" ht="13.5">
      <c r="G8467" s="6"/>
    </row>
    <row r="8468" s="1" customFormat="1" ht="13.5">
      <c r="G8468" s="6"/>
    </row>
    <row r="8469" s="1" customFormat="1" ht="13.5">
      <c r="G8469" s="6"/>
    </row>
    <row r="8470" s="1" customFormat="1" ht="13.5">
      <c r="G8470" s="6"/>
    </row>
    <row r="8471" s="1" customFormat="1" ht="13.5">
      <c r="G8471" s="6"/>
    </row>
    <row r="8472" s="1" customFormat="1" ht="13.5">
      <c r="G8472" s="6"/>
    </row>
    <row r="8473" s="1" customFormat="1" ht="13.5">
      <c r="G8473" s="6"/>
    </row>
    <row r="8474" s="1" customFormat="1" ht="13.5">
      <c r="G8474" s="6"/>
    </row>
    <row r="8475" s="1" customFormat="1" ht="13.5">
      <c r="G8475" s="6"/>
    </row>
    <row r="8476" s="1" customFormat="1" ht="13.5">
      <c r="G8476" s="6"/>
    </row>
    <row r="8477" s="1" customFormat="1" ht="13.5">
      <c r="G8477" s="6"/>
    </row>
    <row r="8478" s="1" customFormat="1" ht="13.5">
      <c r="G8478" s="6"/>
    </row>
    <row r="8479" s="1" customFormat="1" ht="13.5">
      <c r="G8479" s="6"/>
    </row>
    <row r="8480" s="1" customFormat="1" ht="13.5">
      <c r="G8480" s="6"/>
    </row>
    <row r="8481" s="1" customFormat="1" ht="13.5">
      <c r="G8481" s="6"/>
    </row>
    <row r="8482" s="1" customFormat="1" ht="13.5">
      <c r="G8482" s="6"/>
    </row>
    <row r="8483" s="1" customFormat="1" ht="13.5">
      <c r="G8483" s="6"/>
    </row>
    <row r="8484" s="1" customFormat="1" ht="13.5">
      <c r="G8484" s="6"/>
    </row>
    <row r="8485" s="1" customFormat="1" ht="13.5">
      <c r="G8485" s="6"/>
    </row>
    <row r="8486" s="1" customFormat="1" ht="13.5">
      <c r="G8486" s="6"/>
    </row>
    <row r="8487" s="1" customFormat="1" ht="13.5">
      <c r="G8487" s="6"/>
    </row>
    <row r="8488" s="1" customFormat="1" ht="13.5">
      <c r="G8488" s="6"/>
    </row>
    <row r="8489" s="1" customFormat="1" ht="13.5">
      <c r="G8489" s="6"/>
    </row>
    <row r="8490" s="1" customFormat="1" ht="13.5">
      <c r="G8490" s="6"/>
    </row>
    <row r="8491" s="1" customFormat="1" ht="13.5">
      <c r="G8491" s="6"/>
    </row>
    <row r="8492" s="1" customFormat="1" ht="13.5">
      <c r="G8492" s="6"/>
    </row>
    <row r="8493" s="1" customFormat="1" ht="13.5">
      <c r="G8493" s="6"/>
    </row>
    <row r="8494" s="1" customFormat="1" ht="13.5">
      <c r="G8494" s="6"/>
    </row>
    <row r="8495" s="1" customFormat="1" ht="13.5">
      <c r="G8495" s="6"/>
    </row>
    <row r="8496" s="1" customFormat="1" ht="13.5">
      <c r="G8496" s="6"/>
    </row>
    <row r="8497" s="1" customFormat="1" ht="13.5">
      <c r="G8497" s="6"/>
    </row>
    <row r="8498" s="1" customFormat="1" ht="13.5">
      <c r="G8498" s="6"/>
    </row>
    <row r="8499" s="1" customFormat="1" ht="13.5">
      <c r="G8499" s="6"/>
    </row>
    <row r="8500" s="1" customFormat="1" ht="13.5">
      <c r="G8500" s="6"/>
    </row>
    <row r="8501" s="1" customFormat="1" ht="13.5">
      <c r="G8501" s="6"/>
    </row>
    <row r="8502" s="1" customFormat="1" ht="13.5">
      <c r="G8502" s="6"/>
    </row>
    <row r="8503" s="1" customFormat="1" ht="13.5">
      <c r="G8503" s="6"/>
    </row>
    <row r="8504" s="1" customFormat="1" ht="13.5">
      <c r="G8504" s="6"/>
    </row>
    <row r="8505" s="1" customFormat="1" ht="13.5">
      <c r="G8505" s="6"/>
    </row>
    <row r="8506" s="1" customFormat="1" ht="13.5">
      <c r="G8506" s="6"/>
    </row>
    <row r="8507" s="1" customFormat="1" ht="13.5">
      <c r="G8507" s="6"/>
    </row>
    <row r="8508" s="1" customFormat="1" ht="13.5">
      <c r="G8508" s="6"/>
    </row>
    <row r="8509" s="1" customFormat="1" ht="13.5">
      <c r="G8509" s="6"/>
    </row>
    <row r="8510" s="1" customFormat="1" ht="13.5">
      <c r="G8510" s="6"/>
    </row>
    <row r="8511" s="1" customFormat="1" ht="13.5">
      <c r="G8511" s="6"/>
    </row>
    <row r="8512" s="1" customFormat="1" ht="13.5">
      <c r="G8512" s="6"/>
    </row>
    <row r="8513" s="1" customFormat="1" ht="13.5">
      <c r="G8513" s="6"/>
    </row>
    <row r="8514" s="1" customFormat="1" ht="13.5">
      <c r="G8514" s="6"/>
    </row>
    <row r="8515" s="1" customFormat="1" ht="13.5">
      <c r="G8515" s="6"/>
    </row>
    <row r="8516" s="1" customFormat="1" ht="13.5">
      <c r="G8516" s="6"/>
    </row>
    <row r="8517" s="1" customFormat="1" ht="13.5">
      <c r="G8517" s="6"/>
    </row>
    <row r="8518" s="1" customFormat="1" ht="13.5">
      <c r="G8518" s="6"/>
    </row>
    <row r="8519" s="1" customFormat="1" ht="13.5">
      <c r="G8519" s="6"/>
    </row>
    <row r="8520" s="1" customFormat="1" ht="13.5">
      <c r="G8520" s="6"/>
    </row>
    <row r="8521" s="1" customFormat="1" ht="13.5">
      <c r="G8521" s="6"/>
    </row>
    <row r="8522" s="1" customFormat="1" ht="13.5">
      <c r="G8522" s="6"/>
    </row>
    <row r="8523" s="1" customFormat="1" ht="13.5">
      <c r="G8523" s="6"/>
    </row>
    <row r="8524" s="1" customFormat="1" ht="13.5">
      <c r="G8524" s="6"/>
    </row>
    <row r="8525" s="1" customFormat="1" ht="13.5">
      <c r="G8525" s="6"/>
    </row>
    <row r="8526" s="1" customFormat="1" ht="13.5">
      <c r="G8526" s="6"/>
    </row>
    <row r="8527" s="1" customFormat="1" ht="13.5">
      <c r="G8527" s="6"/>
    </row>
    <row r="8528" s="1" customFormat="1" ht="13.5">
      <c r="G8528" s="6"/>
    </row>
    <row r="8529" s="1" customFormat="1" ht="13.5">
      <c r="G8529" s="6"/>
    </row>
    <row r="8530" s="1" customFormat="1" ht="13.5">
      <c r="G8530" s="6"/>
    </row>
    <row r="8531" s="1" customFormat="1" ht="13.5">
      <c r="G8531" s="6"/>
    </row>
    <row r="8532" s="1" customFormat="1" ht="13.5">
      <c r="G8532" s="6"/>
    </row>
    <row r="8533" s="1" customFormat="1" ht="13.5">
      <c r="G8533" s="6"/>
    </row>
    <row r="8534" s="1" customFormat="1" ht="13.5">
      <c r="G8534" s="6"/>
    </row>
    <row r="8535" s="1" customFormat="1" ht="13.5">
      <c r="G8535" s="6"/>
    </row>
    <row r="8536" s="1" customFormat="1" ht="13.5">
      <c r="G8536" s="6"/>
    </row>
    <row r="8537" s="1" customFormat="1" ht="13.5">
      <c r="G8537" s="6"/>
    </row>
    <row r="8538" s="1" customFormat="1" ht="13.5">
      <c r="G8538" s="6"/>
    </row>
    <row r="8539" s="1" customFormat="1" ht="13.5">
      <c r="G8539" s="6"/>
    </row>
    <row r="8540" s="1" customFormat="1" ht="13.5">
      <c r="G8540" s="6"/>
    </row>
    <row r="8541" s="1" customFormat="1" ht="13.5">
      <c r="G8541" s="6"/>
    </row>
    <row r="8542" s="1" customFormat="1" ht="13.5">
      <c r="G8542" s="6"/>
    </row>
    <row r="8543" s="1" customFormat="1" ht="13.5">
      <c r="G8543" s="6"/>
    </row>
    <row r="8544" s="1" customFormat="1" ht="13.5">
      <c r="G8544" s="6"/>
    </row>
    <row r="8545" s="1" customFormat="1" ht="13.5">
      <c r="G8545" s="6"/>
    </row>
    <row r="8546" s="1" customFormat="1" ht="13.5">
      <c r="G8546" s="6"/>
    </row>
    <row r="8547" s="1" customFormat="1" ht="13.5">
      <c r="G8547" s="6"/>
    </row>
    <row r="8548" s="1" customFormat="1" ht="13.5">
      <c r="G8548" s="6"/>
    </row>
    <row r="8549" s="1" customFormat="1" ht="13.5">
      <c r="G8549" s="6"/>
    </row>
    <row r="8550" s="1" customFormat="1" ht="13.5">
      <c r="G8550" s="6"/>
    </row>
    <row r="8551" s="1" customFormat="1" ht="13.5">
      <c r="G8551" s="6"/>
    </row>
    <row r="8552" s="1" customFormat="1" ht="13.5">
      <c r="G8552" s="6"/>
    </row>
    <row r="8553" s="1" customFormat="1" ht="13.5">
      <c r="G8553" s="6"/>
    </row>
    <row r="8554" s="1" customFormat="1" ht="13.5">
      <c r="G8554" s="6"/>
    </row>
    <row r="8555" s="1" customFormat="1" ht="13.5">
      <c r="G8555" s="6"/>
    </row>
    <row r="8556" s="1" customFormat="1" ht="13.5">
      <c r="G8556" s="6"/>
    </row>
    <row r="8557" s="1" customFormat="1" ht="13.5">
      <c r="G8557" s="6"/>
    </row>
    <row r="8558" s="1" customFormat="1" ht="13.5">
      <c r="G8558" s="6"/>
    </row>
    <row r="8559" s="1" customFormat="1" ht="13.5">
      <c r="G8559" s="6"/>
    </row>
    <row r="8560" s="1" customFormat="1" ht="13.5">
      <c r="G8560" s="6"/>
    </row>
    <row r="8561" s="1" customFormat="1" ht="13.5">
      <c r="G8561" s="6"/>
    </row>
    <row r="8562" s="1" customFormat="1" ht="13.5">
      <c r="G8562" s="6"/>
    </row>
    <row r="8563" s="1" customFormat="1" ht="13.5">
      <c r="G8563" s="6"/>
    </row>
    <row r="8564" s="1" customFormat="1" ht="13.5">
      <c r="G8564" s="6"/>
    </row>
    <row r="8565" s="1" customFormat="1" ht="13.5">
      <c r="G8565" s="6"/>
    </row>
    <row r="8566" s="1" customFormat="1" ht="13.5">
      <c r="G8566" s="6"/>
    </row>
    <row r="8567" s="1" customFormat="1" ht="13.5">
      <c r="G8567" s="6"/>
    </row>
    <row r="8568" s="1" customFormat="1" ht="13.5">
      <c r="G8568" s="6"/>
    </row>
    <row r="8569" s="1" customFormat="1" ht="13.5">
      <c r="G8569" s="6"/>
    </row>
    <row r="8570" s="1" customFormat="1" ht="13.5">
      <c r="G8570" s="6"/>
    </row>
    <row r="8571" s="1" customFormat="1" ht="13.5">
      <c r="G8571" s="6"/>
    </row>
    <row r="8572" s="1" customFormat="1" ht="13.5">
      <c r="G8572" s="6"/>
    </row>
    <row r="8573" s="1" customFormat="1" ht="13.5">
      <c r="G8573" s="6"/>
    </row>
    <row r="8574" s="1" customFormat="1" ht="13.5">
      <c r="G8574" s="6"/>
    </row>
    <row r="8575" s="1" customFormat="1" ht="13.5">
      <c r="G8575" s="6"/>
    </row>
    <row r="8576" s="1" customFormat="1" ht="13.5">
      <c r="G8576" s="6"/>
    </row>
    <row r="8577" s="1" customFormat="1" ht="13.5">
      <c r="G8577" s="6"/>
    </row>
    <row r="8578" s="1" customFormat="1" ht="13.5">
      <c r="G8578" s="6"/>
    </row>
    <row r="8579" s="1" customFormat="1" ht="13.5">
      <c r="G8579" s="6"/>
    </row>
    <row r="8580" s="1" customFormat="1" ht="13.5">
      <c r="G8580" s="6"/>
    </row>
    <row r="8581" s="1" customFormat="1" ht="13.5">
      <c r="G8581" s="6"/>
    </row>
    <row r="8582" s="1" customFormat="1" ht="13.5">
      <c r="G8582" s="6"/>
    </row>
    <row r="8583" s="1" customFormat="1" ht="13.5">
      <c r="G8583" s="6"/>
    </row>
    <row r="8584" s="1" customFormat="1" ht="13.5">
      <c r="G8584" s="6"/>
    </row>
    <row r="8585" s="1" customFormat="1" ht="13.5">
      <c r="G8585" s="6"/>
    </row>
    <row r="8586" s="1" customFormat="1" ht="13.5">
      <c r="G8586" s="6"/>
    </row>
    <row r="8587" s="1" customFormat="1" ht="13.5">
      <c r="G8587" s="6"/>
    </row>
    <row r="8588" s="1" customFormat="1" ht="13.5">
      <c r="G8588" s="6"/>
    </row>
    <row r="8589" s="1" customFormat="1" ht="13.5">
      <c r="G8589" s="6"/>
    </row>
    <row r="8590" s="1" customFormat="1" ht="13.5">
      <c r="G8590" s="6"/>
    </row>
    <row r="8591" s="1" customFormat="1" ht="13.5">
      <c r="G8591" s="6"/>
    </row>
    <row r="8592" s="1" customFormat="1" ht="13.5">
      <c r="G8592" s="6"/>
    </row>
    <row r="8593" s="1" customFormat="1" ht="13.5">
      <c r="G8593" s="6"/>
    </row>
    <row r="8594" s="1" customFormat="1" ht="13.5">
      <c r="G8594" s="6"/>
    </row>
    <row r="8595" s="1" customFormat="1" ht="13.5">
      <c r="G8595" s="6"/>
    </row>
    <row r="8596" s="1" customFormat="1" ht="13.5">
      <c r="G8596" s="6"/>
    </row>
    <row r="8597" s="1" customFormat="1" ht="13.5">
      <c r="G8597" s="6"/>
    </row>
    <row r="8598" s="1" customFormat="1" ht="13.5">
      <c r="G8598" s="6"/>
    </row>
    <row r="8599" s="1" customFormat="1" ht="13.5">
      <c r="G8599" s="6"/>
    </row>
    <row r="8600" s="1" customFormat="1" ht="13.5">
      <c r="G8600" s="6"/>
    </row>
    <row r="8601" s="1" customFormat="1" ht="13.5">
      <c r="G8601" s="6"/>
    </row>
    <row r="8602" s="1" customFormat="1" ht="13.5">
      <c r="G8602" s="6"/>
    </row>
    <row r="8603" s="1" customFormat="1" ht="13.5">
      <c r="G8603" s="6"/>
    </row>
    <row r="8604" s="1" customFormat="1" ht="13.5">
      <c r="G8604" s="6"/>
    </row>
    <row r="8605" s="1" customFormat="1" ht="13.5">
      <c r="G8605" s="6"/>
    </row>
    <row r="8606" s="1" customFormat="1" ht="13.5">
      <c r="G8606" s="6"/>
    </row>
    <row r="8607" s="1" customFormat="1" ht="13.5">
      <c r="G8607" s="6"/>
    </row>
    <row r="8608" s="1" customFormat="1" ht="13.5">
      <c r="G8608" s="6"/>
    </row>
    <row r="8609" s="1" customFormat="1" ht="13.5">
      <c r="G8609" s="6"/>
    </row>
    <row r="8610" s="1" customFormat="1" ht="13.5">
      <c r="G8610" s="6"/>
    </row>
    <row r="8611" s="1" customFormat="1" ht="13.5">
      <c r="G8611" s="6"/>
    </row>
    <row r="8612" s="1" customFormat="1" ht="13.5">
      <c r="G8612" s="6"/>
    </row>
    <row r="8613" s="1" customFormat="1" ht="13.5">
      <c r="G8613" s="6"/>
    </row>
    <row r="8614" s="1" customFormat="1" ht="13.5">
      <c r="G8614" s="6"/>
    </row>
    <row r="8615" s="1" customFormat="1" ht="13.5">
      <c r="G8615" s="6"/>
    </row>
    <row r="8616" s="1" customFormat="1" ht="13.5">
      <c r="G8616" s="6"/>
    </row>
    <row r="8617" s="1" customFormat="1" ht="13.5">
      <c r="G8617" s="6"/>
    </row>
    <row r="8618" s="1" customFormat="1" ht="13.5">
      <c r="G8618" s="6"/>
    </row>
    <row r="8619" s="1" customFormat="1" ht="13.5">
      <c r="G8619" s="6"/>
    </row>
    <row r="8620" s="1" customFormat="1" ht="13.5">
      <c r="G8620" s="6"/>
    </row>
    <row r="8621" s="1" customFormat="1" ht="13.5">
      <c r="G8621" s="6"/>
    </row>
    <row r="8622" s="1" customFormat="1" ht="13.5">
      <c r="G8622" s="6"/>
    </row>
    <row r="8623" s="1" customFormat="1" ht="13.5">
      <c r="G8623" s="6"/>
    </row>
    <row r="8624" s="1" customFormat="1" ht="13.5">
      <c r="G8624" s="6"/>
    </row>
    <row r="8625" s="1" customFormat="1" ht="13.5">
      <c r="G8625" s="6"/>
    </row>
    <row r="8626" s="1" customFormat="1" ht="13.5">
      <c r="G8626" s="6"/>
    </row>
    <row r="8627" s="1" customFormat="1" ht="13.5">
      <c r="G8627" s="6"/>
    </row>
    <row r="8628" s="1" customFormat="1" ht="13.5">
      <c r="G8628" s="6"/>
    </row>
    <row r="8629" s="1" customFormat="1" ht="13.5">
      <c r="G8629" s="6"/>
    </row>
    <row r="8630" s="1" customFormat="1" ht="13.5">
      <c r="G8630" s="6"/>
    </row>
    <row r="8631" s="1" customFormat="1" ht="13.5">
      <c r="G8631" s="6"/>
    </row>
    <row r="8632" s="1" customFormat="1" ht="13.5">
      <c r="G8632" s="6"/>
    </row>
    <row r="8633" s="1" customFormat="1" ht="13.5">
      <c r="G8633" s="6"/>
    </row>
    <row r="8634" s="1" customFormat="1" ht="13.5">
      <c r="G8634" s="6"/>
    </row>
    <row r="8635" s="1" customFormat="1" ht="13.5">
      <c r="G8635" s="6"/>
    </row>
    <row r="8636" s="1" customFormat="1" ht="13.5">
      <c r="G8636" s="6"/>
    </row>
    <row r="8637" s="1" customFormat="1" ht="13.5">
      <c r="G8637" s="6"/>
    </row>
    <row r="8638" s="1" customFormat="1" ht="13.5">
      <c r="G8638" s="6"/>
    </row>
    <row r="8639" s="1" customFormat="1" ht="13.5">
      <c r="G8639" s="6"/>
    </row>
    <row r="8640" s="1" customFormat="1" ht="13.5">
      <c r="G8640" s="6"/>
    </row>
    <row r="8641" s="1" customFormat="1" ht="13.5">
      <c r="G8641" s="6"/>
    </row>
    <row r="8642" s="1" customFormat="1" ht="13.5">
      <c r="G8642" s="6"/>
    </row>
    <row r="8643" s="1" customFormat="1" ht="13.5">
      <c r="G8643" s="6"/>
    </row>
    <row r="8644" s="1" customFormat="1" ht="13.5">
      <c r="G8644" s="6"/>
    </row>
    <row r="8645" s="1" customFormat="1" ht="13.5">
      <c r="G8645" s="6"/>
    </row>
    <row r="8646" s="1" customFormat="1" ht="13.5">
      <c r="G8646" s="6"/>
    </row>
    <row r="8647" s="1" customFormat="1" ht="13.5">
      <c r="G8647" s="6"/>
    </row>
    <row r="8648" s="1" customFormat="1" ht="13.5">
      <c r="G8648" s="6"/>
    </row>
    <row r="8649" s="1" customFormat="1" ht="13.5">
      <c r="G8649" s="6"/>
    </row>
    <row r="8650" s="1" customFormat="1" ht="13.5">
      <c r="G8650" s="6"/>
    </row>
    <row r="8651" s="1" customFormat="1" ht="13.5">
      <c r="G8651" s="6"/>
    </row>
    <row r="8652" s="1" customFormat="1" ht="13.5">
      <c r="G8652" s="6"/>
    </row>
    <row r="8653" s="1" customFormat="1" ht="13.5">
      <c r="G8653" s="6"/>
    </row>
    <row r="8654" s="1" customFormat="1" ht="13.5">
      <c r="G8654" s="6"/>
    </row>
    <row r="8655" s="1" customFormat="1" ht="13.5">
      <c r="G8655" s="6"/>
    </row>
    <row r="8656" s="1" customFormat="1" ht="13.5">
      <c r="G8656" s="6"/>
    </row>
    <row r="8657" s="1" customFormat="1" ht="13.5">
      <c r="G8657" s="6"/>
    </row>
    <row r="8658" s="1" customFormat="1" ht="13.5">
      <c r="G8658" s="6"/>
    </row>
    <row r="8659" s="1" customFormat="1" ht="13.5">
      <c r="G8659" s="6"/>
    </row>
    <row r="8660" s="1" customFormat="1" ht="13.5">
      <c r="G8660" s="6"/>
    </row>
    <row r="8661" s="1" customFormat="1" ht="13.5">
      <c r="G8661" s="6"/>
    </row>
    <row r="8662" s="1" customFormat="1" ht="13.5">
      <c r="G8662" s="6"/>
    </row>
    <row r="8663" s="1" customFormat="1" ht="13.5">
      <c r="G8663" s="6"/>
    </row>
    <row r="8664" s="1" customFormat="1" ht="13.5">
      <c r="G8664" s="6"/>
    </row>
    <row r="8665" s="1" customFormat="1" ht="13.5">
      <c r="G8665" s="6"/>
    </row>
    <row r="8666" s="1" customFormat="1" ht="13.5">
      <c r="G8666" s="6"/>
    </row>
    <row r="8667" s="1" customFormat="1" ht="13.5">
      <c r="G8667" s="6"/>
    </row>
    <row r="8668" s="1" customFormat="1" ht="13.5">
      <c r="G8668" s="6"/>
    </row>
    <row r="8669" s="1" customFormat="1" ht="13.5">
      <c r="G8669" s="6"/>
    </row>
    <row r="8670" s="1" customFormat="1" ht="13.5">
      <c r="G8670" s="6"/>
    </row>
    <row r="8671" s="1" customFormat="1" ht="13.5">
      <c r="G8671" s="6"/>
    </row>
    <row r="8672" s="1" customFormat="1" ht="13.5">
      <c r="G8672" s="6"/>
    </row>
    <row r="8673" s="1" customFormat="1" ht="13.5">
      <c r="G8673" s="6"/>
    </row>
    <row r="8674" s="1" customFormat="1" ht="13.5">
      <c r="G8674" s="6"/>
    </row>
    <row r="8675" s="1" customFormat="1" ht="13.5">
      <c r="G8675" s="6"/>
    </row>
    <row r="8676" s="1" customFormat="1" ht="13.5">
      <c r="G8676" s="6"/>
    </row>
    <row r="8677" s="1" customFormat="1" ht="13.5">
      <c r="G8677" s="6"/>
    </row>
    <row r="8678" s="1" customFormat="1" ht="13.5">
      <c r="G8678" s="6"/>
    </row>
    <row r="8679" s="1" customFormat="1" ht="13.5">
      <c r="G8679" s="6"/>
    </row>
    <row r="8680" s="1" customFormat="1" ht="13.5">
      <c r="G8680" s="6"/>
    </row>
    <row r="8681" s="1" customFormat="1" ht="13.5">
      <c r="G8681" s="6"/>
    </row>
    <row r="8682" s="1" customFormat="1" ht="13.5">
      <c r="G8682" s="6"/>
    </row>
    <row r="8683" s="1" customFormat="1" ht="13.5">
      <c r="G8683" s="6"/>
    </row>
    <row r="8684" s="1" customFormat="1" ht="13.5">
      <c r="G8684" s="6"/>
    </row>
    <row r="8685" s="1" customFormat="1" ht="13.5">
      <c r="G8685" s="6"/>
    </row>
    <row r="8686" s="1" customFormat="1" ht="13.5">
      <c r="G8686" s="6"/>
    </row>
    <row r="8687" s="1" customFormat="1" ht="13.5">
      <c r="G8687" s="6"/>
    </row>
    <row r="8688" s="1" customFormat="1" ht="13.5">
      <c r="G8688" s="6"/>
    </row>
    <row r="8689" s="1" customFormat="1" ht="13.5">
      <c r="G8689" s="6"/>
    </row>
    <row r="8690" s="1" customFormat="1" ht="13.5">
      <c r="G8690" s="6"/>
    </row>
    <row r="8691" s="1" customFormat="1" ht="13.5">
      <c r="G8691" s="6"/>
    </row>
    <row r="8692" s="1" customFormat="1" ht="13.5">
      <c r="G8692" s="6"/>
    </row>
    <row r="8693" s="1" customFormat="1" ht="13.5">
      <c r="G8693" s="6"/>
    </row>
    <row r="8694" s="1" customFormat="1" ht="13.5">
      <c r="G8694" s="6"/>
    </row>
    <row r="8695" s="1" customFormat="1" ht="13.5">
      <c r="G8695" s="6"/>
    </row>
    <row r="8696" s="1" customFormat="1" ht="13.5">
      <c r="G8696" s="6"/>
    </row>
    <row r="8697" s="1" customFormat="1" ht="13.5">
      <c r="G8697" s="6"/>
    </row>
    <row r="8698" s="1" customFormat="1" ht="13.5">
      <c r="G8698" s="6"/>
    </row>
    <row r="8699" s="1" customFormat="1" ht="13.5">
      <c r="G8699" s="6"/>
    </row>
    <row r="8700" s="1" customFormat="1" ht="13.5">
      <c r="G8700" s="6"/>
    </row>
    <row r="8701" s="1" customFormat="1" ht="13.5">
      <c r="G8701" s="6"/>
    </row>
    <row r="8702" s="1" customFormat="1" ht="13.5">
      <c r="G8702" s="6"/>
    </row>
    <row r="8703" s="1" customFormat="1" ht="13.5">
      <c r="G8703" s="6"/>
    </row>
    <row r="8704" s="1" customFormat="1" ht="13.5">
      <c r="G8704" s="6"/>
    </row>
    <row r="8705" s="1" customFormat="1" ht="13.5">
      <c r="G8705" s="6"/>
    </row>
    <row r="8706" s="1" customFormat="1" ht="13.5">
      <c r="G8706" s="6"/>
    </row>
    <row r="8707" s="1" customFormat="1" ht="13.5">
      <c r="G8707" s="6"/>
    </row>
    <row r="8708" s="1" customFormat="1" ht="13.5">
      <c r="G8708" s="6"/>
    </row>
    <row r="8709" s="1" customFormat="1" ht="13.5">
      <c r="G8709" s="6"/>
    </row>
    <row r="8710" s="1" customFormat="1" ht="13.5">
      <c r="G8710" s="6"/>
    </row>
    <row r="8711" s="1" customFormat="1" ht="13.5">
      <c r="G8711" s="6"/>
    </row>
    <row r="8712" s="1" customFormat="1" ht="13.5">
      <c r="G8712" s="6"/>
    </row>
    <row r="8713" s="1" customFormat="1" ht="13.5">
      <c r="G8713" s="6"/>
    </row>
    <row r="8714" s="1" customFormat="1" ht="13.5">
      <c r="G8714" s="6"/>
    </row>
    <row r="8715" s="1" customFormat="1" ht="13.5">
      <c r="G8715" s="6"/>
    </row>
    <row r="8716" s="1" customFormat="1" ht="13.5">
      <c r="G8716" s="6"/>
    </row>
    <row r="8717" s="1" customFormat="1" ht="13.5">
      <c r="G8717" s="6"/>
    </row>
    <row r="8718" s="1" customFormat="1" ht="13.5">
      <c r="G8718" s="6"/>
    </row>
    <row r="8719" s="1" customFormat="1" ht="13.5">
      <c r="G8719" s="6"/>
    </row>
    <row r="8720" s="1" customFormat="1" ht="13.5">
      <c r="G8720" s="6"/>
    </row>
    <row r="8721" s="1" customFormat="1" ht="13.5">
      <c r="G8721" s="6"/>
    </row>
    <row r="8722" s="1" customFormat="1" ht="13.5">
      <c r="G8722" s="6"/>
    </row>
    <row r="8723" s="1" customFormat="1" ht="13.5">
      <c r="G8723" s="6"/>
    </row>
    <row r="8724" s="1" customFormat="1" ht="13.5">
      <c r="G8724" s="6"/>
    </row>
    <row r="8725" s="1" customFormat="1" ht="13.5">
      <c r="G8725" s="6"/>
    </row>
    <row r="8726" s="1" customFormat="1" ht="13.5">
      <c r="G8726" s="6"/>
    </row>
    <row r="8727" s="1" customFormat="1" ht="13.5">
      <c r="G8727" s="6"/>
    </row>
    <row r="8728" s="1" customFormat="1" ht="13.5">
      <c r="G8728" s="6"/>
    </row>
    <row r="8729" s="1" customFormat="1" ht="13.5">
      <c r="G8729" s="6"/>
    </row>
    <row r="8730" s="1" customFormat="1" ht="13.5">
      <c r="G8730" s="6"/>
    </row>
    <row r="8731" s="1" customFormat="1" ht="13.5">
      <c r="G8731" s="6"/>
    </row>
    <row r="8732" s="1" customFormat="1" ht="13.5">
      <c r="G8732" s="6"/>
    </row>
    <row r="8733" s="1" customFormat="1" ht="13.5">
      <c r="G8733" s="6"/>
    </row>
    <row r="8734" s="1" customFormat="1" ht="13.5">
      <c r="G8734" s="6"/>
    </row>
    <row r="8735" s="1" customFormat="1" ht="13.5">
      <c r="G8735" s="6"/>
    </row>
    <row r="8736" s="1" customFormat="1" ht="13.5">
      <c r="G8736" s="6"/>
    </row>
    <row r="8737" s="1" customFormat="1" ht="13.5">
      <c r="G8737" s="6"/>
    </row>
    <row r="8738" s="1" customFormat="1" ht="13.5">
      <c r="G8738" s="6"/>
    </row>
    <row r="8739" s="1" customFormat="1" ht="13.5">
      <c r="G8739" s="6"/>
    </row>
    <row r="8740" s="1" customFormat="1" ht="13.5">
      <c r="G8740" s="6"/>
    </row>
    <row r="8741" s="1" customFormat="1" ht="13.5">
      <c r="G8741" s="6"/>
    </row>
    <row r="8742" s="1" customFormat="1" ht="13.5">
      <c r="G8742" s="6"/>
    </row>
    <row r="8743" s="1" customFormat="1" ht="13.5">
      <c r="G8743" s="6"/>
    </row>
    <row r="8744" s="1" customFormat="1" ht="13.5">
      <c r="G8744" s="6"/>
    </row>
    <row r="8745" s="1" customFormat="1" ht="13.5">
      <c r="G8745" s="6"/>
    </row>
    <row r="8746" s="1" customFormat="1" ht="13.5">
      <c r="G8746" s="6"/>
    </row>
    <row r="8747" s="1" customFormat="1" ht="13.5">
      <c r="G8747" s="6"/>
    </row>
    <row r="8748" s="1" customFormat="1" ht="13.5">
      <c r="G8748" s="6"/>
    </row>
    <row r="8749" s="1" customFormat="1" ht="13.5">
      <c r="G8749" s="6"/>
    </row>
    <row r="8750" s="1" customFormat="1" ht="13.5">
      <c r="G8750" s="6"/>
    </row>
    <row r="8751" s="1" customFormat="1" ht="13.5">
      <c r="G8751" s="6"/>
    </row>
    <row r="8752" s="1" customFormat="1" ht="13.5">
      <c r="G8752" s="6"/>
    </row>
    <row r="8753" s="1" customFormat="1" ht="13.5">
      <c r="G8753" s="6"/>
    </row>
    <row r="8754" s="1" customFormat="1" ht="13.5">
      <c r="G8754" s="6"/>
    </row>
    <row r="8755" s="1" customFormat="1" ht="13.5">
      <c r="G8755" s="6"/>
    </row>
    <row r="8756" s="1" customFormat="1" ht="13.5">
      <c r="G8756" s="6"/>
    </row>
    <row r="8757" s="1" customFormat="1" ht="13.5">
      <c r="G8757" s="6"/>
    </row>
    <row r="8758" s="1" customFormat="1" ht="13.5">
      <c r="G8758" s="6"/>
    </row>
    <row r="8759" s="1" customFormat="1" ht="13.5">
      <c r="G8759" s="6"/>
    </row>
    <row r="8760" s="1" customFormat="1" ht="13.5">
      <c r="G8760" s="6"/>
    </row>
    <row r="8761" s="1" customFormat="1" ht="13.5">
      <c r="G8761" s="6"/>
    </row>
    <row r="8762" s="1" customFormat="1" ht="13.5">
      <c r="G8762" s="6"/>
    </row>
    <row r="8763" s="1" customFormat="1" ht="13.5">
      <c r="G8763" s="6"/>
    </row>
    <row r="8764" s="1" customFormat="1" ht="13.5">
      <c r="G8764" s="6"/>
    </row>
    <row r="8765" s="1" customFormat="1" ht="13.5">
      <c r="G8765" s="6"/>
    </row>
    <row r="8766" s="1" customFormat="1" ht="13.5">
      <c r="G8766" s="6"/>
    </row>
    <row r="8767" s="1" customFormat="1" ht="13.5">
      <c r="G8767" s="6"/>
    </row>
    <row r="8768" s="1" customFormat="1" ht="13.5">
      <c r="G8768" s="6"/>
    </row>
    <row r="8769" s="1" customFormat="1" ht="13.5">
      <c r="G8769" s="6"/>
    </row>
    <row r="8770" s="1" customFormat="1" ht="13.5">
      <c r="G8770" s="6"/>
    </row>
    <row r="8771" s="1" customFormat="1" ht="13.5">
      <c r="G8771" s="6"/>
    </row>
    <row r="8772" s="1" customFormat="1" ht="13.5">
      <c r="G8772" s="6"/>
    </row>
    <row r="8773" s="1" customFormat="1" ht="13.5">
      <c r="G8773" s="6"/>
    </row>
    <row r="8774" s="1" customFormat="1" ht="13.5">
      <c r="G8774" s="6"/>
    </row>
    <row r="8775" s="1" customFormat="1" ht="13.5">
      <c r="G8775" s="6"/>
    </row>
    <row r="8776" s="1" customFormat="1" ht="13.5">
      <c r="G8776" s="6"/>
    </row>
    <row r="8777" s="1" customFormat="1" ht="13.5">
      <c r="G8777" s="6"/>
    </row>
    <row r="8778" s="1" customFormat="1" ht="13.5">
      <c r="G8778" s="6"/>
    </row>
    <row r="8779" s="1" customFormat="1" ht="13.5">
      <c r="G8779" s="6"/>
    </row>
    <row r="8780" s="1" customFormat="1" ht="13.5">
      <c r="G8780" s="6"/>
    </row>
    <row r="8781" s="1" customFormat="1" ht="13.5">
      <c r="G8781" s="6"/>
    </row>
    <row r="8782" s="1" customFormat="1" ht="13.5">
      <c r="G8782" s="6"/>
    </row>
    <row r="8783" s="1" customFormat="1" ht="13.5">
      <c r="G8783" s="6"/>
    </row>
    <row r="8784" s="1" customFormat="1" ht="13.5">
      <c r="G8784" s="6"/>
    </row>
    <row r="8785" s="1" customFormat="1" ht="13.5">
      <c r="G8785" s="6"/>
    </row>
    <row r="8786" s="1" customFormat="1" ht="13.5">
      <c r="G8786" s="6"/>
    </row>
    <row r="8787" s="1" customFormat="1" ht="13.5">
      <c r="G8787" s="6"/>
    </row>
    <row r="8788" s="1" customFormat="1" ht="13.5">
      <c r="G8788" s="6"/>
    </row>
    <row r="8789" s="1" customFormat="1" ht="13.5">
      <c r="G8789" s="6"/>
    </row>
    <row r="8790" s="1" customFormat="1" ht="13.5">
      <c r="G8790" s="6"/>
    </row>
    <row r="8791" s="1" customFormat="1" ht="13.5">
      <c r="G8791" s="6"/>
    </row>
    <row r="8792" s="1" customFormat="1" ht="13.5">
      <c r="G8792" s="6"/>
    </row>
    <row r="8793" s="1" customFormat="1" ht="13.5">
      <c r="G8793" s="6"/>
    </row>
    <row r="8794" s="1" customFormat="1" ht="13.5">
      <c r="G8794" s="6"/>
    </row>
    <row r="8795" s="1" customFormat="1" ht="13.5">
      <c r="G8795" s="6"/>
    </row>
    <row r="8796" s="1" customFormat="1" ht="13.5">
      <c r="G8796" s="6"/>
    </row>
    <row r="8797" s="1" customFormat="1" ht="13.5">
      <c r="G8797" s="6"/>
    </row>
    <row r="8798" s="1" customFormat="1" ht="13.5">
      <c r="G8798" s="6"/>
    </row>
    <row r="8799" s="1" customFormat="1" ht="13.5">
      <c r="G8799" s="6"/>
    </row>
    <row r="8800" s="1" customFormat="1" ht="13.5">
      <c r="G8800" s="6"/>
    </row>
    <row r="8801" s="1" customFormat="1" ht="13.5">
      <c r="G8801" s="6"/>
    </row>
    <row r="8802" s="1" customFormat="1" ht="13.5">
      <c r="G8802" s="6"/>
    </row>
    <row r="8803" s="1" customFormat="1" ht="13.5">
      <c r="G8803" s="6"/>
    </row>
    <row r="8804" s="1" customFormat="1" ht="13.5">
      <c r="G8804" s="6"/>
    </row>
    <row r="8805" s="1" customFormat="1" ht="13.5">
      <c r="G8805" s="6"/>
    </row>
    <row r="8806" s="1" customFormat="1" ht="13.5">
      <c r="G8806" s="6"/>
    </row>
    <row r="8807" s="1" customFormat="1" ht="13.5">
      <c r="G8807" s="6"/>
    </row>
    <row r="8808" s="1" customFormat="1" ht="13.5">
      <c r="G8808" s="6"/>
    </row>
    <row r="8809" s="1" customFormat="1" ht="13.5">
      <c r="G8809" s="6"/>
    </row>
    <row r="8810" s="1" customFormat="1" ht="13.5">
      <c r="G8810" s="6"/>
    </row>
    <row r="8811" s="1" customFormat="1" ht="13.5">
      <c r="G8811" s="6"/>
    </row>
    <row r="8812" s="1" customFormat="1" ht="13.5">
      <c r="G8812" s="6"/>
    </row>
    <row r="8813" s="1" customFormat="1" ht="13.5">
      <c r="G8813" s="6"/>
    </row>
    <row r="8814" s="1" customFormat="1" ht="13.5">
      <c r="G8814" s="6"/>
    </row>
    <row r="8815" s="1" customFormat="1" ht="13.5">
      <c r="G8815" s="6"/>
    </row>
    <row r="8816" s="1" customFormat="1" ht="13.5">
      <c r="G8816" s="6"/>
    </row>
    <row r="8817" s="1" customFormat="1" ht="13.5">
      <c r="G8817" s="6"/>
    </row>
    <row r="8818" s="1" customFormat="1" ht="13.5">
      <c r="G8818" s="6"/>
    </row>
    <row r="8819" s="1" customFormat="1" ht="13.5">
      <c r="G8819" s="6"/>
    </row>
    <row r="8820" s="1" customFormat="1" ht="13.5">
      <c r="G8820" s="6"/>
    </row>
    <row r="8821" s="1" customFormat="1" ht="13.5">
      <c r="G8821" s="6"/>
    </row>
    <row r="8822" s="1" customFormat="1" ht="13.5">
      <c r="G8822" s="6"/>
    </row>
    <row r="8823" s="1" customFormat="1" ht="13.5">
      <c r="G8823" s="6"/>
    </row>
    <row r="8824" s="1" customFormat="1" ht="13.5">
      <c r="G8824" s="6"/>
    </row>
    <row r="8825" s="1" customFormat="1" ht="13.5">
      <c r="G8825" s="6"/>
    </row>
    <row r="8826" s="1" customFormat="1" ht="13.5">
      <c r="G8826" s="6"/>
    </row>
    <row r="8827" s="1" customFormat="1" ht="13.5">
      <c r="G8827" s="6"/>
    </row>
    <row r="8828" s="1" customFormat="1" ht="13.5">
      <c r="G8828" s="6"/>
    </row>
    <row r="8829" s="1" customFormat="1" ht="13.5">
      <c r="G8829" s="6"/>
    </row>
    <row r="8830" s="1" customFormat="1" ht="13.5">
      <c r="G8830" s="6"/>
    </row>
    <row r="8831" s="1" customFormat="1" ht="13.5">
      <c r="G8831" s="6"/>
    </row>
    <row r="8832" s="1" customFormat="1" ht="13.5">
      <c r="G8832" s="6"/>
    </row>
    <row r="8833" s="1" customFormat="1" ht="13.5">
      <c r="G8833" s="6"/>
    </row>
    <row r="8834" s="1" customFormat="1" ht="13.5">
      <c r="G8834" s="6"/>
    </row>
    <row r="8835" s="1" customFormat="1" ht="13.5">
      <c r="G8835" s="6"/>
    </row>
    <row r="8836" s="1" customFormat="1" ht="13.5">
      <c r="G8836" s="6"/>
    </row>
    <row r="8837" s="1" customFormat="1" ht="13.5">
      <c r="G8837" s="6"/>
    </row>
    <row r="8838" s="1" customFormat="1" ht="13.5">
      <c r="G8838" s="6"/>
    </row>
    <row r="8839" s="1" customFormat="1" ht="13.5">
      <c r="G8839" s="6"/>
    </row>
    <row r="8840" s="1" customFormat="1" ht="13.5">
      <c r="G8840" s="6"/>
    </row>
    <row r="8841" s="1" customFormat="1" ht="13.5">
      <c r="G8841" s="6"/>
    </row>
    <row r="8842" s="1" customFormat="1" ht="13.5">
      <c r="G8842" s="6"/>
    </row>
    <row r="8843" s="1" customFormat="1" ht="13.5">
      <c r="G8843" s="6"/>
    </row>
    <row r="8844" s="1" customFormat="1" ht="13.5">
      <c r="G8844" s="6"/>
    </row>
    <row r="8845" s="1" customFormat="1" ht="13.5">
      <c r="G8845" s="6"/>
    </row>
    <row r="8846" s="1" customFormat="1" ht="13.5">
      <c r="G8846" s="6"/>
    </row>
    <row r="8847" s="1" customFormat="1" ht="13.5">
      <c r="G8847" s="6"/>
    </row>
    <row r="8848" s="1" customFormat="1" ht="13.5">
      <c r="G8848" s="6"/>
    </row>
    <row r="8849" s="1" customFormat="1" ht="13.5">
      <c r="G8849" s="6"/>
    </row>
    <row r="8850" s="1" customFormat="1" ht="13.5">
      <c r="G8850" s="6"/>
    </row>
    <row r="8851" s="1" customFormat="1" ht="13.5">
      <c r="G8851" s="6"/>
    </row>
    <row r="8852" s="1" customFormat="1" ht="13.5">
      <c r="G8852" s="6"/>
    </row>
    <row r="8853" s="1" customFormat="1" ht="13.5">
      <c r="G8853" s="6"/>
    </row>
    <row r="8854" s="1" customFormat="1" ht="13.5">
      <c r="G8854" s="6"/>
    </row>
    <row r="8855" s="1" customFormat="1" ht="13.5">
      <c r="G8855" s="6"/>
    </row>
    <row r="8856" s="1" customFormat="1" ht="13.5">
      <c r="G8856" s="6"/>
    </row>
    <row r="8857" s="1" customFormat="1" ht="13.5">
      <c r="G8857" s="6"/>
    </row>
    <row r="8858" s="1" customFormat="1" ht="13.5">
      <c r="G8858" s="6"/>
    </row>
    <row r="8859" s="1" customFormat="1" ht="13.5">
      <c r="G8859" s="6"/>
    </row>
    <row r="8860" s="1" customFormat="1" ht="13.5">
      <c r="G8860" s="6"/>
    </row>
    <row r="8861" s="1" customFormat="1" ht="13.5">
      <c r="G8861" s="6"/>
    </row>
    <row r="8862" s="1" customFormat="1" ht="13.5">
      <c r="G8862" s="6"/>
    </row>
    <row r="8863" s="1" customFormat="1" ht="13.5">
      <c r="G8863" s="6"/>
    </row>
    <row r="8864" s="1" customFormat="1" ht="13.5">
      <c r="G8864" s="6"/>
    </row>
    <row r="8865" s="1" customFormat="1" ht="13.5">
      <c r="G8865" s="6"/>
    </row>
    <row r="8866" s="1" customFormat="1" ht="13.5">
      <c r="G8866" s="6"/>
    </row>
    <row r="8867" s="1" customFormat="1" ht="13.5">
      <c r="G8867" s="6"/>
    </row>
    <row r="8868" s="1" customFormat="1" ht="13.5">
      <c r="G8868" s="6"/>
    </row>
    <row r="8869" s="1" customFormat="1" ht="13.5">
      <c r="G8869" s="6"/>
    </row>
    <row r="8870" s="1" customFormat="1" ht="13.5">
      <c r="G8870" s="6"/>
    </row>
    <row r="8871" s="1" customFormat="1" ht="13.5">
      <c r="G8871" s="6"/>
    </row>
    <row r="8872" s="1" customFormat="1" ht="13.5">
      <c r="G8872" s="6"/>
    </row>
    <row r="8873" s="1" customFormat="1" ht="13.5">
      <c r="G8873" s="6"/>
    </row>
    <row r="8874" s="1" customFormat="1" ht="13.5">
      <c r="G8874" s="6"/>
    </row>
    <row r="8875" s="1" customFormat="1" ht="13.5">
      <c r="G8875" s="6"/>
    </row>
    <row r="8876" s="1" customFormat="1" ht="13.5">
      <c r="G8876" s="6"/>
    </row>
    <row r="8877" s="1" customFormat="1" ht="13.5">
      <c r="G8877" s="6"/>
    </row>
    <row r="8878" s="1" customFormat="1" ht="13.5">
      <c r="G8878" s="6"/>
    </row>
    <row r="8879" s="1" customFormat="1" ht="13.5">
      <c r="G8879" s="6"/>
    </row>
    <row r="8880" s="1" customFormat="1" ht="13.5">
      <c r="G8880" s="6"/>
    </row>
    <row r="8881" s="1" customFormat="1" ht="13.5">
      <c r="G8881" s="6"/>
    </row>
    <row r="8882" s="1" customFormat="1" ht="13.5">
      <c r="G8882" s="6"/>
    </row>
    <row r="8883" s="1" customFormat="1" ht="13.5">
      <c r="G8883" s="6"/>
    </row>
    <row r="8884" s="1" customFormat="1" ht="13.5">
      <c r="G8884" s="6"/>
    </row>
    <row r="8885" s="1" customFormat="1" ht="13.5">
      <c r="G8885" s="6"/>
    </row>
    <row r="8886" s="1" customFormat="1" ht="13.5">
      <c r="G8886" s="6"/>
    </row>
    <row r="8887" s="1" customFormat="1" ht="13.5">
      <c r="G8887" s="6"/>
    </row>
    <row r="8888" s="1" customFormat="1" ht="13.5">
      <c r="G8888" s="6"/>
    </row>
    <row r="8889" s="1" customFormat="1" ht="13.5">
      <c r="G8889" s="6"/>
    </row>
    <row r="8890" s="1" customFormat="1" ht="13.5">
      <c r="G8890" s="6"/>
    </row>
    <row r="8891" s="1" customFormat="1" ht="13.5">
      <c r="G8891" s="6"/>
    </row>
    <row r="8892" s="1" customFormat="1" ht="13.5">
      <c r="G8892" s="6"/>
    </row>
    <row r="8893" s="1" customFormat="1" ht="13.5">
      <c r="G8893" s="6"/>
    </row>
    <row r="8894" s="1" customFormat="1" ht="13.5">
      <c r="G8894" s="6"/>
    </row>
    <row r="8895" s="1" customFormat="1" ht="13.5">
      <c r="G8895" s="6"/>
    </row>
    <row r="8896" s="1" customFormat="1" ht="13.5">
      <c r="G8896" s="6"/>
    </row>
    <row r="8897" s="1" customFormat="1" ht="13.5">
      <c r="G8897" s="6"/>
    </row>
    <row r="8898" s="1" customFormat="1" ht="13.5">
      <c r="G8898" s="6"/>
    </row>
    <row r="8899" s="1" customFormat="1" ht="13.5">
      <c r="G8899" s="6"/>
    </row>
    <row r="8900" s="1" customFormat="1" ht="13.5">
      <c r="G8900" s="6"/>
    </row>
    <row r="8901" s="1" customFormat="1" ht="13.5">
      <c r="G8901" s="6"/>
    </row>
    <row r="8902" s="1" customFormat="1" ht="13.5">
      <c r="G8902" s="6"/>
    </row>
    <row r="8903" s="1" customFormat="1" ht="13.5">
      <c r="G8903" s="6"/>
    </row>
    <row r="8904" s="1" customFormat="1" ht="13.5">
      <c r="G8904" s="6"/>
    </row>
    <row r="8905" s="1" customFormat="1" ht="13.5">
      <c r="G8905" s="6"/>
    </row>
    <row r="8906" s="1" customFormat="1" ht="13.5">
      <c r="G8906" s="6"/>
    </row>
    <row r="8907" s="1" customFormat="1" ht="13.5">
      <c r="G8907" s="6"/>
    </row>
    <row r="8908" s="1" customFormat="1" ht="13.5">
      <c r="G8908" s="6"/>
    </row>
    <row r="8909" s="1" customFormat="1" ht="13.5">
      <c r="G8909" s="6"/>
    </row>
    <row r="8910" s="1" customFormat="1" ht="13.5">
      <c r="G8910" s="6"/>
    </row>
    <row r="8911" s="1" customFormat="1" ht="13.5">
      <c r="G8911" s="6"/>
    </row>
    <row r="8912" s="1" customFormat="1" ht="13.5">
      <c r="G8912" s="6"/>
    </row>
    <row r="8913" s="1" customFormat="1" ht="13.5">
      <c r="G8913" s="6"/>
    </row>
    <row r="8914" s="1" customFormat="1" ht="13.5">
      <c r="G8914" s="6"/>
    </row>
    <row r="8915" s="1" customFormat="1" ht="13.5">
      <c r="G8915" s="6"/>
    </row>
    <row r="8916" s="1" customFormat="1" ht="13.5">
      <c r="G8916" s="6"/>
    </row>
    <row r="8917" s="1" customFormat="1" ht="13.5">
      <c r="G8917" s="6"/>
    </row>
    <row r="8918" s="1" customFormat="1" ht="13.5">
      <c r="G8918" s="6"/>
    </row>
    <row r="8919" s="1" customFormat="1" ht="13.5">
      <c r="G8919" s="6"/>
    </row>
    <row r="8920" s="1" customFormat="1" ht="13.5">
      <c r="G8920" s="6"/>
    </row>
    <row r="8921" s="1" customFormat="1" ht="13.5">
      <c r="G8921" s="6"/>
    </row>
    <row r="8922" s="1" customFormat="1" ht="13.5">
      <c r="G8922" s="6"/>
    </row>
    <row r="8923" s="1" customFormat="1" ht="13.5">
      <c r="G8923" s="6"/>
    </row>
    <row r="8924" s="1" customFormat="1" ht="13.5">
      <c r="G8924" s="6"/>
    </row>
    <row r="8925" s="1" customFormat="1" ht="13.5">
      <c r="G8925" s="6"/>
    </row>
    <row r="8926" s="1" customFormat="1" ht="13.5">
      <c r="G8926" s="6"/>
    </row>
    <row r="8927" s="1" customFormat="1" ht="13.5">
      <c r="G8927" s="6"/>
    </row>
    <row r="8928" s="1" customFormat="1" ht="13.5">
      <c r="G8928" s="6"/>
    </row>
    <row r="8929" s="1" customFormat="1" ht="13.5">
      <c r="G8929" s="6"/>
    </row>
    <row r="8930" s="1" customFormat="1" ht="13.5">
      <c r="G8930" s="6"/>
    </row>
    <row r="8931" s="1" customFormat="1" ht="13.5">
      <c r="G8931" s="6"/>
    </row>
    <row r="8932" s="1" customFormat="1" ht="13.5">
      <c r="G8932" s="6"/>
    </row>
    <row r="8933" s="1" customFormat="1" ht="13.5">
      <c r="G8933" s="6"/>
    </row>
    <row r="8934" s="1" customFormat="1" ht="13.5">
      <c r="G8934" s="6"/>
    </row>
    <row r="8935" s="1" customFormat="1" ht="13.5">
      <c r="G8935" s="6"/>
    </row>
    <row r="8936" s="1" customFormat="1" ht="13.5">
      <c r="G8936" s="6"/>
    </row>
    <row r="8937" s="1" customFormat="1" ht="13.5">
      <c r="G8937" s="6"/>
    </row>
    <row r="8938" s="1" customFormat="1" ht="13.5">
      <c r="G8938" s="6"/>
    </row>
    <row r="8939" s="1" customFormat="1" ht="13.5">
      <c r="G8939" s="6"/>
    </row>
    <row r="8940" s="1" customFormat="1" ht="13.5">
      <c r="G8940" s="6"/>
    </row>
    <row r="8941" s="1" customFormat="1" ht="13.5">
      <c r="G8941" s="6"/>
    </row>
    <row r="8942" s="1" customFormat="1" ht="13.5">
      <c r="G8942" s="6"/>
    </row>
    <row r="8943" s="1" customFormat="1" ht="13.5">
      <c r="G8943" s="6"/>
    </row>
    <row r="8944" s="1" customFormat="1" ht="13.5">
      <c r="G8944" s="6"/>
    </row>
    <row r="8945" s="1" customFormat="1" ht="13.5">
      <c r="G8945" s="6"/>
    </row>
    <row r="8946" s="1" customFormat="1" ht="13.5">
      <c r="G8946" s="6"/>
    </row>
    <row r="8947" s="1" customFormat="1" ht="13.5">
      <c r="G8947" s="6"/>
    </row>
    <row r="8948" s="1" customFormat="1" ht="13.5">
      <c r="G8948" s="6"/>
    </row>
    <row r="8949" s="1" customFormat="1" ht="13.5">
      <c r="G8949" s="6"/>
    </row>
    <row r="8950" s="1" customFormat="1" ht="13.5">
      <c r="G8950" s="6"/>
    </row>
    <row r="8951" s="1" customFormat="1" ht="13.5">
      <c r="G8951" s="6"/>
    </row>
    <row r="8952" s="1" customFormat="1" ht="13.5">
      <c r="G8952" s="6"/>
    </row>
    <row r="8953" s="1" customFormat="1" ht="13.5">
      <c r="G8953" s="6"/>
    </row>
    <row r="8954" s="1" customFormat="1" ht="13.5">
      <c r="G8954" s="6"/>
    </row>
    <row r="8955" s="1" customFormat="1" ht="13.5">
      <c r="G8955" s="6"/>
    </row>
    <row r="8956" s="1" customFormat="1" ht="13.5">
      <c r="G8956" s="6"/>
    </row>
    <row r="8957" s="1" customFormat="1" ht="13.5">
      <c r="G8957" s="6"/>
    </row>
    <row r="8958" s="1" customFormat="1" ht="13.5">
      <c r="G8958" s="6"/>
    </row>
    <row r="8959" s="1" customFormat="1" ht="13.5">
      <c r="G8959" s="6"/>
    </row>
    <row r="8960" s="1" customFormat="1" ht="13.5">
      <c r="G8960" s="6"/>
    </row>
    <row r="8961" s="1" customFormat="1" ht="13.5">
      <c r="G8961" s="6"/>
    </row>
    <row r="8962" s="1" customFormat="1" ht="13.5">
      <c r="G8962" s="6"/>
    </row>
    <row r="8963" s="1" customFormat="1" ht="13.5">
      <c r="G8963" s="6"/>
    </row>
    <row r="8964" s="1" customFormat="1" ht="13.5">
      <c r="G8964" s="6"/>
    </row>
    <row r="8965" s="1" customFormat="1" ht="13.5">
      <c r="G8965" s="6"/>
    </row>
    <row r="8966" s="1" customFormat="1" ht="13.5">
      <c r="G8966" s="6"/>
    </row>
    <row r="8967" s="1" customFormat="1" ht="13.5">
      <c r="G8967" s="6"/>
    </row>
    <row r="8968" s="1" customFormat="1" ht="13.5">
      <c r="G8968" s="6"/>
    </row>
    <row r="8969" s="1" customFormat="1" ht="13.5">
      <c r="G8969" s="6"/>
    </row>
    <row r="8970" s="1" customFormat="1" ht="13.5">
      <c r="G8970" s="6"/>
    </row>
    <row r="8971" s="1" customFormat="1" ht="13.5">
      <c r="G8971" s="6"/>
    </row>
    <row r="8972" s="1" customFormat="1" ht="13.5">
      <c r="G8972" s="6"/>
    </row>
    <row r="8973" s="1" customFormat="1" ht="13.5">
      <c r="G8973" s="6"/>
    </row>
    <row r="8974" s="1" customFormat="1" ht="13.5">
      <c r="G8974" s="6"/>
    </row>
    <row r="8975" s="1" customFormat="1" ht="13.5">
      <c r="G8975" s="6"/>
    </row>
    <row r="8976" s="1" customFormat="1" ht="13.5">
      <c r="G8976" s="6"/>
    </row>
    <row r="8977" s="1" customFormat="1" ht="13.5">
      <c r="G8977" s="6"/>
    </row>
    <row r="8978" s="1" customFormat="1" ht="13.5">
      <c r="G8978" s="6"/>
    </row>
    <row r="8979" s="1" customFormat="1" ht="13.5">
      <c r="G8979" s="6"/>
    </row>
    <row r="8980" s="1" customFormat="1" ht="13.5">
      <c r="G8980" s="6"/>
    </row>
    <row r="8981" s="1" customFormat="1" ht="13.5">
      <c r="G8981" s="6"/>
    </row>
    <row r="8982" s="1" customFormat="1" ht="13.5">
      <c r="G8982" s="6"/>
    </row>
    <row r="8983" s="1" customFormat="1" ht="13.5">
      <c r="G8983" s="6"/>
    </row>
    <row r="8984" s="1" customFormat="1" ht="13.5">
      <c r="G8984" s="6"/>
    </row>
    <row r="8985" s="1" customFormat="1" ht="13.5">
      <c r="G8985" s="6"/>
    </row>
    <row r="8986" s="1" customFormat="1" ht="13.5">
      <c r="G8986" s="6"/>
    </row>
    <row r="8987" s="1" customFormat="1" ht="13.5">
      <c r="G8987" s="6"/>
    </row>
    <row r="8988" s="1" customFormat="1" ht="13.5">
      <c r="G8988" s="6"/>
    </row>
    <row r="8989" s="1" customFormat="1" ht="13.5">
      <c r="G8989" s="6"/>
    </row>
    <row r="8990" s="1" customFormat="1" ht="13.5">
      <c r="G8990" s="6"/>
    </row>
    <row r="8991" s="1" customFormat="1" ht="13.5">
      <c r="G8991" s="6"/>
    </row>
    <row r="8992" s="1" customFormat="1" ht="13.5">
      <c r="G8992" s="6"/>
    </row>
    <row r="8993" s="1" customFormat="1" ht="13.5">
      <c r="G8993" s="6"/>
    </row>
    <row r="8994" s="1" customFormat="1" ht="13.5">
      <c r="G8994" s="6"/>
    </row>
    <row r="8995" s="1" customFormat="1" ht="13.5">
      <c r="G8995" s="6"/>
    </row>
    <row r="8996" s="1" customFormat="1" ht="13.5">
      <c r="G8996" s="6"/>
    </row>
    <row r="8997" s="1" customFormat="1" ht="13.5">
      <c r="G8997" s="6"/>
    </row>
    <row r="8998" s="1" customFormat="1" ht="13.5">
      <c r="G8998" s="6"/>
    </row>
    <row r="8999" s="1" customFormat="1" ht="13.5">
      <c r="G8999" s="6"/>
    </row>
    <row r="9000" s="1" customFormat="1" ht="13.5">
      <c r="G9000" s="6"/>
    </row>
    <row r="9001" s="1" customFormat="1" ht="13.5">
      <c r="G9001" s="6"/>
    </row>
    <row r="9002" s="1" customFormat="1" ht="13.5">
      <c r="G9002" s="6"/>
    </row>
    <row r="9003" s="1" customFormat="1" ht="13.5">
      <c r="G9003" s="6"/>
    </row>
    <row r="9004" s="1" customFormat="1" ht="13.5">
      <c r="G9004" s="6"/>
    </row>
    <row r="9005" s="1" customFormat="1" ht="13.5">
      <c r="G9005" s="6"/>
    </row>
    <row r="9006" s="1" customFormat="1" ht="13.5">
      <c r="G9006" s="6"/>
    </row>
    <row r="9007" s="1" customFormat="1" ht="13.5">
      <c r="G9007" s="6"/>
    </row>
    <row r="9008" s="1" customFormat="1" ht="13.5">
      <c r="G9008" s="6"/>
    </row>
    <row r="9009" s="1" customFormat="1" ht="13.5">
      <c r="G9009" s="6"/>
    </row>
    <row r="9010" s="1" customFormat="1" ht="13.5">
      <c r="G9010" s="6"/>
    </row>
    <row r="9011" s="1" customFormat="1" ht="13.5">
      <c r="G9011" s="6"/>
    </row>
    <row r="9012" s="1" customFormat="1" ht="13.5">
      <c r="G9012" s="6"/>
    </row>
    <row r="9013" s="1" customFormat="1" ht="13.5">
      <c r="G9013" s="6"/>
    </row>
    <row r="9014" s="1" customFormat="1" ht="13.5">
      <c r="G9014" s="6"/>
    </row>
    <row r="9015" s="1" customFormat="1" ht="13.5">
      <c r="G9015" s="6"/>
    </row>
    <row r="9016" s="1" customFormat="1" ht="13.5">
      <c r="G9016" s="6"/>
    </row>
    <row r="9017" s="1" customFormat="1" ht="13.5">
      <c r="G9017" s="6"/>
    </row>
    <row r="9018" s="1" customFormat="1" ht="13.5">
      <c r="G9018" s="6"/>
    </row>
    <row r="9019" s="1" customFormat="1" ht="13.5">
      <c r="G9019" s="6"/>
    </row>
    <row r="9020" s="1" customFormat="1" ht="13.5">
      <c r="G9020" s="6"/>
    </row>
    <row r="9021" s="1" customFormat="1" ht="13.5">
      <c r="G9021" s="6"/>
    </row>
    <row r="9022" s="1" customFormat="1" ht="13.5">
      <c r="G9022" s="6"/>
    </row>
    <row r="9023" s="1" customFormat="1" ht="13.5">
      <c r="G9023" s="6"/>
    </row>
    <row r="9024" s="1" customFormat="1" ht="13.5">
      <c r="G9024" s="6"/>
    </row>
    <row r="9025" s="1" customFormat="1" ht="13.5">
      <c r="G9025" s="6"/>
    </row>
    <row r="9026" s="1" customFormat="1" ht="13.5">
      <c r="G9026" s="6"/>
    </row>
    <row r="9027" s="1" customFormat="1" ht="13.5">
      <c r="G9027" s="6"/>
    </row>
    <row r="9028" s="1" customFormat="1" ht="13.5">
      <c r="G9028" s="6"/>
    </row>
    <row r="9029" s="1" customFormat="1" ht="13.5">
      <c r="G9029" s="6"/>
    </row>
    <row r="9030" s="1" customFormat="1" ht="13.5">
      <c r="G9030" s="6"/>
    </row>
    <row r="9031" s="1" customFormat="1" ht="13.5">
      <c r="G9031" s="6"/>
    </row>
    <row r="9032" s="1" customFormat="1" ht="13.5">
      <c r="G9032" s="6"/>
    </row>
    <row r="9033" s="1" customFormat="1" ht="13.5">
      <c r="G9033" s="6"/>
    </row>
    <row r="9034" s="1" customFormat="1" ht="13.5">
      <c r="G9034" s="6"/>
    </row>
    <row r="9035" s="1" customFormat="1" ht="13.5">
      <c r="G9035" s="6"/>
    </row>
    <row r="9036" s="1" customFormat="1" ht="13.5">
      <c r="G9036" s="6"/>
    </row>
    <row r="9037" s="1" customFormat="1" ht="13.5">
      <c r="G9037" s="6"/>
    </row>
    <row r="9038" s="1" customFormat="1" ht="13.5">
      <c r="G9038" s="6"/>
    </row>
    <row r="9039" s="1" customFormat="1" ht="13.5">
      <c r="G9039" s="6"/>
    </row>
    <row r="9040" s="1" customFormat="1" ht="13.5">
      <c r="G9040" s="6"/>
    </row>
    <row r="9041" s="1" customFormat="1" ht="13.5">
      <c r="G9041" s="6"/>
    </row>
    <row r="9042" s="1" customFormat="1" ht="13.5">
      <c r="G9042" s="6"/>
    </row>
    <row r="9043" s="1" customFormat="1" ht="13.5">
      <c r="G9043" s="6"/>
    </row>
    <row r="9044" s="1" customFormat="1" ht="13.5">
      <c r="G9044" s="6"/>
    </row>
    <row r="9045" s="1" customFormat="1" ht="13.5">
      <c r="G9045" s="6"/>
    </row>
    <row r="9046" s="1" customFormat="1" ht="13.5">
      <c r="G9046" s="6"/>
    </row>
    <row r="9047" s="1" customFormat="1" ht="13.5">
      <c r="G9047" s="6"/>
    </row>
    <row r="9048" s="1" customFormat="1" ht="13.5">
      <c r="G9048" s="6"/>
    </row>
    <row r="9049" s="1" customFormat="1" ht="13.5">
      <c r="G9049" s="6"/>
    </row>
    <row r="9050" s="1" customFormat="1" ht="13.5">
      <c r="G9050" s="6"/>
    </row>
    <row r="9051" s="1" customFormat="1" ht="13.5">
      <c r="G9051" s="6"/>
    </row>
    <row r="9052" s="1" customFormat="1" ht="13.5">
      <c r="G9052" s="6"/>
    </row>
    <row r="9053" s="1" customFormat="1" ht="13.5">
      <c r="G9053" s="6"/>
    </row>
    <row r="9054" s="1" customFormat="1" ht="13.5">
      <c r="G9054" s="6"/>
    </row>
    <row r="9055" s="1" customFormat="1" ht="13.5">
      <c r="G9055" s="6"/>
    </row>
    <row r="9056" s="1" customFormat="1" ht="13.5">
      <c r="G9056" s="6"/>
    </row>
    <row r="9057" s="1" customFormat="1" ht="13.5">
      <c r="G9057" s="6"/>
    </row>
    <row r="9058" s="1" customFormat="1" ht="13.5">
      <c r="G9058" s="6"/>
    </row>
    <row r="9059" s="1" customFormat="1" ht="13.5">
      <c r="G9059" s="6"/>
    </row>
    <row r="9060" s="1" customFormat="1" ht="13.5">
      <c r="G9060" s="6"/>
    </row>
    <row r="9061" s="1" customFormat="1" ht="13.5">
      <c r="G9061" s="6"/>
    </row>
    <row r="9062" s="1" customFormat="1" ht="13.5">
      <c r="G9062" s="6"/>
    </row>
    <row r="9063" s="1" customFormat="1" ht="13.5">
      <c r="G9063" s="6"/>
    </row>
    <row r="9064" s="1" customFormat="1" ht="13.5">
      <c r="G9064" s="6"/>
    </row>
    <row r="9065" s="1" customFormat="1" ht="13.5">
      <c r="G9065" s="6"/>
    </row>
    <row r="9066" s="1" customFormat="1" ht="13.5">
      <c r="G9066" s="6"/>
    </row>
    <row r="9067" s="1" customFormat="1" ht="13.5">
      <c r="G9067" s="6"/>
    </row>
    <row r="9068" s="1" customFormat="1" ht="13.5">
      <c r="G9068" s="6"/>
    </row>
    <row r="9069" s="1" customFormat="1" ht="13.5">
      <c r="G9069" s="6"/>
    </row>
    <row r="9070" s="1" customFormat="1" ht="13.5">
      <c r="G9070" s="6"/>
    </row>
    <row r="9071" s="1" customFormat="1" ht="13.5">
      <c r="G9071" s="6"/>
    </row>
    <row r="9072" s="1" customFormat="1" ht="13.5">
      <c r="G9072" s="6"/>
    </row>
    <row r="9073" s="1" customFormat="1" ht="13.5">
      <c r="G9073" s="6"/>
    </row>
    <row r="9074" s="1" customFormat="1" ht="13.5">
      <c r="G9074" s="6"/>
    </row>
    <row r="9075" s="1" customFormat="1" ht="13.5">
      <c r="G9075" s="6"/>
    </row>
    <row r="9076" s="1" customFormat="1" ht="13.5">
      <c r="G9076" s="6"/>
    </row>
    <row r="9077" s="1" customFormat="1" ht="13.5">
      <c r="G9077" s="6"/>
    </row>
    <row r="9078" s="1" customFormat="1" ht="13.5">
      <c r="G9078" s="6"/>
    </row>
    <row r="9079" s="1" customFormat="1" ht="13.5">
      <c r="G9079" s="6"/>
    </row>
    <row r="9080" s="1" customFormat="1" ht="13.5">
      <c r="G9080" s="6"/>
    </row>
    <row r="9081" s="1" customFormat="1" ht="13.5">
      <c r="G9081" s="6"/>
    </row>
    <row r="9082" s="1" customFormat="1" ht="13.5">
      <c r="G9082" s="6"/>
    </row>
    <row r="9083" s="1" customFormat="1" ht="13.5">
      <c r="G9083" s="6"/>
    </row>
    <row r="9084" s="1" customFormat="1" ht="13.5">
      <c r="G9084" s="6"/>
    </row>
    <row r="9085" s="1" customFormat="1" ht="13.5">
      <c r="G9085" s="6"/>
    </row>
    <row r="9086" s="1" customFormat="1" ht="13.5">
      <c r="G9086" s="6"/>
    </row>
    <row r="9087" s="1" customFormat="1" ht="13.5">
      <c r="G9087" s="6"/>
    </row>
    <row r="9088" s="1" customFormat="1" ht="13.5">
      <c r="G9088" s="6"/>
    </row>
    <row r="9089" s="1" customFormat="1" ht="13.5">
      <c r="G9089" s="6"/>
    </row>
    <row r="9090" s="1" customFormat="1" ht="13.5">
      <c r="G9090" s="6"/>
    </row>
    <row r="9091" s="1" customFormat="1" ht="13.5">
      <c r="G9091" s="6"/>
    </row>
    <row r="9092" s="1" customFormat="1" ht="13.5">
      <c r="G9092" s="6"/>
    </row>
    <row r="9093" s="1" customFormat="1" ht="13.5">
      <c r="G9093" s="6"/>
    </row>
    <row r="9094" s="1" customFormat="1" ht="13.5">
      <c r="G9094" s="6"/>
    </row>
    <row r="9095" s="1" customFormat="1" ht="13.5">
      <c r="G9095" s="6"/>
    </row>
    <row r="9096" s="1" customFormat="1" ht="13.5">
      <c r="G9096" s="6"/>
    </row>
    <row r="9097" s="1" customFormat="1" ht="13.5">
      <c r="G9097" s="6"/>
    </row>
    <row r="9098" s="1" customFormat="1" ht="13.5">
      <c r="G9098" s="6"/>
    </row>
    <row r="9099" s="1" customFormat="1" ht="13.5">
      <c r="G9099" s="6"/>
    </row>
    <row r="9100" s="1" customFormat="1" ht="13.5">
      <c r="G9100" s="6"/>
    </row>
    <row r="9101" s="1" customFormat="1" ht="13.5">
      <c r="G9101" s="6"/>
    </row>
    <row r="9102" s="1" customFormat="1" ht="13.5">
      <c r="G9102" s="6"/>
    </row>
    <row r="9103" s="1" customFormat="1" ht="13.5">
      <c r="G9103" s="6"/>
    </row>
    <row r="9104" s="1" customFormat="1" ht="13.5">
      <c r="G9104" s="6"/>
    </row>
    <row r="9105" s="1" customFormat="1" ht="13.5">
      <c r="G9105" s="6"/>
    </row>
    <row r="9106" s="1" customFormat="1" ht="13.5">
      <c r="G9106" s="6"/>
    </row>
    <row r="9107" s="1" customFormat="1" ht="13.5">
      <c r="G9107" s="6"/>
    </row>
    <row r="9108" s="1" customFormat="1" ht="13.5">
      <c r="G9108" s="6"/>
    </row>
    <row r="9109" s="1" customFormat="1" ht="13.5">
      <c r="G9109" s="6"/>
    </row>
    <row r="9110" s="1" customFormat="1" ht="13.5">
      <c r="G9110" s="6"/>
    </row>
    <row r="9111" s="1" customFormat="1" ht="13.5">
      <c r="G9111" s="6"/>
    </row>
    <row r="9112" s="1" customFormat="1" ht="13.5">
      <c r="G9112" s="6"/>
    </row>
    <row r="9113" s="1" customFormat="1" ht="13.5">
      <c r="G9113" s="6"/>
    </row>
    <row r="9114" s="1" customFormat="1" ht="13.5">
      <c r="G9114" s="6"/>
    </row>
    <row r="9115" s="1" customFormat="1" ht="13.5">
      <c r="G9115" s="6"/>
    </row>
    <row r="9116" s="1" customFormat="1" ht="13.5">
      <c r="G9116" s="6"/>
    </row>
    <row r="9117" s="1" customFormat="1" ht="13.5">
      <c r="G9117" s="6"/>
    </row>
    <row r="9118" s="1" customFormat="1" ht="13.5">
      <c r="G9118" s="6"/>
    </row>
    <row r="9119" s="1" customFormat="1" ht="13.5">
      <c r="G9119" s="6"/>
    </row>
    <row r="9120" s="1" customFormat="1" ht="13.5">
      <c r="G9120" s="6"/>
    </row>
    <row r="9121" s="1" customFormat="1" ht="13.5">
      <c r="G9121" s="6"/>
    </row>
    <row r="9122" s="1" customFormat="1" ht="13.5">
      <c r="G9122" s="6"/>
    </row>
    <row r="9123" s="1" customFormat="1" ht="13.5">
      <c r="G9123" s="6"/>
    </row>
    <row r="9124" s="1" customFormat="1" ht="13.5">
      <c r="G9124" s="6"/>
    </row>
    <row r="9125" s="1" customFormat="1" ht="13.5">
      <c r="G9125" s="6"/>
    </row>
    <row r="9126" s="1" customFormat="1" ht="13.5">
      <c r="G9126" s="6"/>
    </row>
    <row r="9127" s="1" customFormat="1" ht="13.5">
      <c r="G9127" s="6"/>
    </row>
    <row r="9128" s="1" customFormat="1" ht="13.5">
      <c r="G9128" s="6"/>
    </row>
    <row r="9129" s="1" customFormat="1" ht="13.5">
      <c r="G9129" s="6"/>
    </row>
    <row r="9130" s="1" customFormat="1" ht="13.5">
      <c r="G9130" s="6"/>
    </row>
    <row r="9131" s="1" customFormat="1" ht="13.5">
      <c r="G9131" s="6"/>
    </row>
    <row r="9132" s="1" customFormat="1" ht="13.5">
      <c r="G9132" s="6"/>
    </row>
    <row r="9133" s="1" customFormat="1" ht="13.5">
      <c r="G9133" s="6"/>
    </row>
    <row r="9134" s="1" customFormat="1" ht="13.5">
      <c r="G9134" s="6"/>
    </row>
    <row r="9135" s="1" customFormat="1" ht="13.5">
      <c r="G9135" s="6"/>
    </row>
    <row r="9136" s="1" customFormat="1" ht="13.5">
      <c r="G9136" s="6"/>
    </row>
    <row r="9137" s="1" customFormat="1" ht="13.5">
      <c r="G9137" s="6"/>
    </row>
    <row r="9138" s="1" customFormat="1" ht="13.5">
      <c r="G9138" s="6"/>
    </row>
    <row r="9139" s="1" customFormat="1" ht="13.5">
      <c r="G9139" s="6"/>
    </row>
    <row r="9140" s="1" customFormat="1" ht="13.5">
      <c r="G9140" s="6"/>
    </row>
    <row r="9141" s="1" customFormat="1" ht="13.5">
      <c r="G9141" s="6"/>
    </row>
    <row r="9142" s="1" customFormat="1" ht="13.5">
      <c r="G9142" s="6"/>
    </row>
    <row r="9143" s="1" customFormat="1" ht="13.5">
      <c r="G9143" s="6"/>
    </row>
    <row r="9144" s="1" customFormat="1" ht="13.5">
      <c r="G9144" s="6"/>
    </row>
    <row r="9145" s="1" customFormat="1" ht="13.5">
      <c r="G9145" s="6"/>
    </row>
    <row r="9146" s="1" customFormat="1" ht="13.5">
      <c r="G9146" s="6"/>
    </row>
    <row r="9147" s="1" customFormat="1" ht="13.5">
      <c r="G9147" s="6"/>
    </row>
    <row r="9148" s="1" customFormat="1" ht="13.5">
      <c r="G9148" s="6"/>
    </row>
    <row r="9149" s="1" customFormat="1" ht="13.5">
      <c r="G9149" s="6"/>
    </row>
    <row r="9150" s="1" customFormat="1" ht="13.5">
      <c r="G9150" s="6"/>
    </row>
    <row r="9151" s="1" customFormat="1" ht="13.5">
      <c r="G9151" s="6"/>
    </row>
    <row r="9152" s="1" customFormat="1" ht="13.5">
      <c r="G9152" s="6"/>
    </row>
    <row r="9153" s="1" customFormat="1" ht="13.5">
      <c r="G9153" s="6"/>
    </row>
    <row r="9154" s="1" customFormat="1" ht="13.5">
      <c r="G9154" s="6"/>
    </row>
    <row r="9155" s="1" customFormat="1" ht="13.5">
      <c r="G9155" s="6"/>
    </row>
    <row r="9156" s="1" customFormat="1" ht="13.5">
      <c r="G9156" s="6"/>
    </row>
    <row r="9157" s="1" customFormat="1" ht="13.5">
      <c r="G9157" s="6"/>
    </row>
    <row r="9158" s="1" customFormat="1" ht="13.5">
      <c r="G9158" s="6"/>
    </row>
    <row r="9159" s="1" customFormat="1" ht="13.5">
      <c r="G9159" s="6"/>
    </row>
    <row r="9160" s="1" customFormat="1" ht="13.5">
      <c r="G9160" s="6"/>
    </row>
    <row r="9161" s="1" customFormat="1" ht="13.5">
      <c r="G9161" s="6"/>
    </row>
    <row r="9162" s="1" customFormat="1" ht="13.5">
      <c r="G9162" s="6"/>
    </row>
    <row r="9163" s="1" customFormat="1" ht="13.5">
      <c r="G9163" s="6"/>
    </row>
    <row r="9164" s="1" customFormat="1" ht="13.5">
      <c r="G9164" s="6"/>
    </row>
    <row r="9165" s="1" customFormat="1" ht="13.5">
      <c r="G9165" s="6"/>
    </row>
    <row r="9166" s="1" customFormat="1" ht="13.5">
      <c r="G9166" s="6"/>
    </row>
    <row r="9167" s="1" customFormat="1" ht="13.5">
      <c r="G9167" s="6"/>
    </row>
    <row r="9168" s="1" customFormat="1" ht="13.5">
      <c r="G9168" s="6"/>
    </row>
    <row r="9169" s="1" customFormat="1" ht="13.5">
      <c r="G9169" s="6"/>
    </row>
    <row r="9170" s="1" customFormat="1" ht="13.5">
      <c r="G9170" s="6"/>
    </row>
    <row r="9171" s="1" customFormat="1" ht="13.5">
      <c r="G9171" s="6"/>
    </row>
    <row r="9172" s="1" customFormat="1" ht="13.5">
      <c r="G9172" s="6"/>
    </row>
    <row r="9173" s="1" customFormat="1" ht="13.5">
      <c r="G9173" s="6"/>
    </row>
    <row r="9174" s="1" customFormat="1" ht="13.5">
      <c r="G9174" s="6"/>
    </row>
    <row r="9175" s="1" customFormat="1" ht="13.5">
      <c r="G9175" s="6"/>
    </row>
    <row r="9176" s="1" customFormat="1" ht="13.5">
      <c r="G9176" s="6"/>
    </row>
    <row r="9177" s="1" customFormat="1" ht="13.5">
      <c r="G9177" s="6"/>
    </row>
    <row r="9178" s="1" customFormat="1" ht="13.5">
      <c r="G9178" s="6"/>
    </row>
    <row r="9179" s="1" customFormat="1" ht="13.5">
      <c r="G9179" s="6"/>
    </row>
    <row r="9180" s="1" customFormat="1" ht="13.5">
      <c r="G9180" s="6"/>
    </row>
    <row r="9181" s="1" customFormat="1" ht="13.5">
      <c r="G9181" s="6"/>
    </row>
    <row r="9182" s="1" customFormat="1" ht="13.5">
      <c r="G9182" s="6"/>
    </row>
    <row r="9183" s="1" customFormat="1" ht="13.5">
      <c r="G9183" s="6"/>
    </row>
    <row r="9184" s="1" customFormat="1" ht="13.5">
      <c r="G9184" s="6"/>
    </row>
    <row r="9185" s="1" customFormat="1" ht="13.5">
      <c r="G9185" s="6"/>
    </row>
    <row r="9186" s="1" customFormat="1" ht="13.5">
      <c r="G9186" s="6"/>
    </row>
    <row r="9187" s="1" customFormat="1" ht="13.5">
      <c r="G9187" s="6"/>
    </row>
    <row r="9188" s="1" customFormat="1" ht="13.5">
      <c r="G9188" s="6"/>
    </row>
    <row r="9189" s="1" customFormat="1" ht="13.5">
      <c r="G9189" s="6"/>
    </row>
    <row r="9190" s="1" customFormat="1" ht="13.5">
      <c r="G9190" s="6"/>
    </row>
    <row r="9191" s="1" customFormat="1" ht="13.5">
      <c r="G9191" s="6"/>
    </row>
    <row r="9192" s="1" customFormat="1" ht="13.5">
      <c r="G9192" s="6"/>
    </row>
    <row r="9193" s="1" customFormat="1" ht="13.5">
      <c r="G9193" s="6"/>
    </row>
    <row r="9194" s="1" customFormat="1" ht="13.5">
      <c r="G9194" s="6"/>
    </row>
    <row r="9195" s="1" customFormat="1" ht="13.5">
      <c r="G9195" s="6"/>
    </row>
    <row r="9196" s="1" customFormat="1" ht="13.5">
      <c r="G9196" s="6"/>
    </row>
    <row r="9197" s="1" customFormat="1" ht="13.5">
      <c r="G9197" s="6"/>
    </row>
    <row r="9198" s="1" customFormat="1" ht="13.5">
      <c r="G9198" s="6"/>
    </row>
    <row r="9199" s="1" customFormat="1" ht="13.5">
      <c r="G9199" s="6"/>
    </row>
    <row r="9200" s="1" customFormat="1" ht="13.5">
      <c r="G9200" s="6"/>
    </row>
    <row r="9201" s="1" customFormat="1" ht="13.5">
      <c r="G9201" s="6"/>
    </row>
    <row r="9202" s="1" customFormat="1" ht="13.5">
      <c r="G9202" s="6"/>
    </row>
    <row r="9203" s="1" customFormat="1" ht="13.5">
      <c r="G9203" s="6"/>
    </row>
    <row r="9204" s="1" customFormat="1" ht="13.5">
      <c r="G9204" s="6"/>
    </row>
    <row r="9205" s="1" customFormat="1" ht="13.5">
      <c r="G9205" s="6"/>
    </row>
    <row r="9206" s="1" customFormat="1" ht="13.5">
      <c r="G9206" s="6"/>
    </row>
    <row r="9207" s="1" customFormat="1" ht="13.5">
      <c r="G9207" s="6"/>
    </row>
    <row r="9208" s="1" customFormat="1" ht="13.5">
      <c r="G9208" s="6"/>
    </row>
    <row r="9209" s="1" customFormat="1" ht="13.5">
      <c r="G9209" s="6"/>
    </row>
    <row r="9210" s="1" customFormat="1" ht="13.5">
      <c r="G9210" s="6"/>
    </row>
    <row r="9211" s="1" customFormat="1" ht="13.5">
      <c r="G9211" s="6"/>
    </row>
    <row r="9212" s="1" customFormat="1" ht="13.5">
      <c r="G9212" s="6"/>
    </row>
    <row r="9213" s="1" customFormat="1" ht="13.5">
      <c r="G9213" s="6"/>
    </row>
    <row r="9214" s="1" customFormat="1" ht="13.5">
      <c r="G9214" s="6"/>
    </row>
    <row r="9215" s="1" customFormat="1" ht="13.5">
      <c r="G9215" s="6"/>
    </row>
    <row r="9216" s="1" customFormat="1" ht="13.5">
      <c r="G9216" s="6"/>
    </row>
    <row r="9217" s="1" customFormat="1" ht="13.5">
      <c r="G9217" s="6"/>
    </row>
    <row r="9218" s="1" customFormat="1" ht="13.5">
      <c r="G9218" s="6"/>
    </row>
    <row r="9219" s="1" customFormat="1" ht="13.5">
      <c r="G9219" s="6"/>
    </row>
    <row r="9220" s="1" customFormat="1" ht="13.5">
      <c r="G9220" s="6"/>
    </row>
    <row r="9221" s="1" customFormat="1" ht="13.5">
      <c r="G9221" s="6"/>
    </row>
    <row r="9222" s="1" customFormat="1" ht="13.5">
      <c r="G9222" s="6"/>
    </row>
    <row r="9223" s="1" customFormat="1" ht="13.5">
      <c r="G9223" s="6"/>
    </row>
    <row r="9224" s="1" customFormat="1" ht="13.5">
      <c r="G9224" s="6"/>
    </row>
    <row r="9225" s="1" customFormat="1" ht="13.5">
      <c r="G9225" s="6"/>
    </row>
    <row r="9226" s="1" customFormat="1" ht="13.5">
      <c r="G9226" s="6"/>
    </row>
    <row r="9227" s="1" customFormat="1" ht="13.5">
      <c r="G9227" s="6"/>
    </row>
    <row r="9228" s="1" customFormat="1" ht="13.5">
      <c r="G9228" s="6"/>
    </row>
    <row r="9229" s="1" customFormat="1" ht="13.5">
      <c r="G9229" s="6"/>
    </row>
    <row r="9230" s="1" customFormat="1" ht="13.5">
      <c r="G9230" s="6"/>
    </row>
    <row r="9231" s="1" customFormat="1" ht="13.5">
      <c r="G9231" s="6"/>
    </row>
    <row r="9232" s="1" customFormat="1" ht="13.5">
      <c r="G9232" s="6"/>
    </row>
    <row r="9233" s="1" customFormat="1" ht="13.5">
      <c r="G9233" s="6"/>
    </row>
    <row r="9234" s="1" customFormat="1" ht="13.5">
      <c r="G9234" s="6"/>
    </row>
    <row r="9235" s="1" customFormat="1" ht="13.5">
      <c r="G9235" s="6"/>
    </row>
    <row r="9236" s="1" customFormat="1" ht="13.5">
      <c r="G9236" s="6"/>
    </row>
    <row r="9237" s="1" customFormat="1" ht="13.5">
      <c r="G9237" s="6"/>
    </row>
    <row r="9238" s="1" customFormat="1" ht="13.5">
      <c r="G9238" s="6"/>
    </row>
    <row r="9239" s="1" customFormat="1" ht="13.5">
      <c r="G9239" s="6"/>
    </row>
    <row r="9240" s="1" customFormat="1" ht="13.5">
      <c r="G9240" s="6"/>
    </row>
    <row r="9241" s="1" customFormat="1" ht="13.5">
      <c r="G9241" s="6"/>
    </row>
    <row r="9242" s="1" customFormat="1" ht="13.5">
      <c r="G9242" s="6"/>
    </row>
    <row r="9243" s="1" customFormat="1" ht="13.5">
      <c r="G9243" s="6"/>
    </row>
    <row r="9244" s="1" customFormat="1" ht="13.5">
      <c r="G9244" s="6"/>
    </row>
    <row r="9245" s="1" customFormat="1" ht="13.5">
      <c r="G9245" s="6"/>
    </row>
    <row r="9246" s="1" customFormat="1" ht="13.5">
      <c r="G9246" s="6"/>
    </row>
    <row r="9247" s="1" customFormat="1" ht="13.5">
      <c r="G9247" s="6"/>
    </row>
    <row r="9248" s="1" customFormat="1" ht="13.5">
      <c r="G9248" s="6"/>
    </row>
    <row r="9249" s="1" customFormat="1" ht="13.5">
      <c r="G9249" s="6"/>
    </row>
    <row r="9250" s="1" customFormat="1" ht="13.5">
      <c r="G9250" s="6"/>
    </row>
    <row r="9251" s="1" customFormat="1" ht="13.5">
      <c r="G9251" s="6"/>
    </row>
    <row r="9252" s="1" customFormat="1" ht="13.5">
      <c r="G9252" s="6"/>
    </row>
    <row r="9253" s="1" customFormat="1" ht="13.5">
      <c r="G9253" s="6"/>
    </row>
    <row r="9254" s="1" customFormat="1" ht="13.5">
      <c r="G9254" s="6"/>
    </row>
    <row r="9255" s="1" customFormat="1" ht="13.5">
      <c r="G9255" s="6"/>
    </row>
    <row r="9256" s="1" customFormat="1" ht="13.5">
      <c r="G9256" s="6"/>
    </row>
    <row r="9257" s="1" customFormat="1" ht="13.5">
      <c r="G9257" s="6"/>
    </row>
    <row r="9258" s="1" customFormat="1" ht="13.5">
      <c r="G9258" s="6"/>
    </row>
    <row r="9259" s="1" customFormat="1" ht="13.5">
      <c r="G9259" s="6"/>
    </row>
    <row r="9260" s="1" customFormat="1" ht="13.5">
      <c r="G9260" s="6"/>
    </row>
    <row r="9261" s="1" customFormat="1" ht="13.5">
      <c r="G9261" s="6"/>
    </row>
    <row r="9262" s="1" customFormat="1" ht="13.5">
      <c r="G9262" s="6"/>
    </row>
    <row r="9263" s="1" customFormat="1" ht="13.5">
      <c r="G9263" s="6"/>
    </row>
    <row r="9264" s="1" customFormat="1" ht="13.5">
      <c r="G9264" s="6"/>
    </row>
    <row r="9265" s="1" customFormat="1" ht="13.5">
      <c r="G9265" s="6"/>
    </row>
    <row r="9266" s="1" customFormat="1" ht="13.5">
      <c r="G9266" s="6"/>
    </row>
    <row r="9267" s="1" customFormat="1" ht="13.5">
      <c r="G9267" s="6"/>
    </row>
    <row r="9268" s="1" customFormat="1" ht="13.5">
      <c r="G9268" s="6"/>
    </row>
    <row r="9269" s="1" customFormat="1" ht="13.5">
      <c r="G9269" s="6"/>
    </row>
    <row r="9270" s="1" customFormat="1" ht="13.5">
      <c r="G9270" s="6"/>
    </row>
    <row r="9271" s="1" customFormat="1" ht="13.5">
      <c r="G9271" s="6"/>
    </row>
    <row r="9272" s="1" customFormat="1" ht="13.5">
      <c r="G9272" s="6"/>
    </row>
    <row r="9273" s="1" customFormat="1" ht="13.5">
      <c r="G9273" s="6"/>
    </row>
    <row r="9274" s="1" customFormat="1" ht="13.5">
      <c r="G9274" s="6"/>
    </row>
    <row r="9275" s="1" customFormat="1" ht="13.5">
      <c r="G9275" s="6"/>
    </row>
    <row r="9276" s="1" customFormat="1" ht="13.5">
      <c r="G9276" s="6"/>
    </row>
    <row r="9277" s="1" customFormat="1" ht="13.5">
      <c r="G9277" s="6"/>
    </row>
    <row r="9278" s="1" customFormat="1" ht="13.5">
      <c r="G9278" s="6"/>
    </row>
    <row r="9279" s="1" customFormat="1" ht="13.5">
      <c r="G9279" s="6"/>
    </row>
    <row r="9280" s="1" customFormat="1" ht="13.5">
      <c r="G9280" s="6"/>
    </row>
    <row r="9281" s="1" customFormat="1" ht="13.5">
      <c r="G9281" s="6"/>
    </row>
    <row r="9282" s="1" customFormat="1" ht="13.5">
      <c r="G9282" s="6"/>
    </row>
    <row r="9283" s="1" customFormat="1" ht="13.5">
      <c r="G9283" s="6"/>
    </row>
    <row r="9284" s="1" customFormat="1" ht="13.5">
      <c r="G9284" s="6"/>
    </row>
    <row r="9285" s="1" customFormat="1" ht="13.5">
      <c r="G9285" s="6"/>
    </row>
    <row r="9286" s="1" customFormat="1" ht="13.5">
      <c r="G9286" s="6"/>
    </row>
    <row r="9287" s="1" customFormat="1" ht="13.5">
      <c r="G9287" s="6"/>
    </row>
    <row r="9288" s="1" customFormat="1" ht="13.5">
      <c r="G9288" s="6"/>
    </row>
    <row r="9289" s="1" customFormat="1" ht="13.5">
      <c r="G9289" s="6"/>
    </row>
    <row r="9290" s="1" customFormat="1" ht="13.5">
      <c r="G9290" s="6"/>
    </row>
    <row r="9291" s="1" customFormat="1" ht="13.5">
      <c r="G9291" s="6"/>
    </row>
    <row r="9292" s="1" customFormat="1" ht="13.5">
      <c r="G9292" s="6"/>
    </row>
    <row r="9293" s="1" customFormat="1" ht="13.5">
      <c r="G9293" s="6"/>
    </row>
    <row r="9294" s="1" customFormat="1" ht="13.5">
      <c r="G9294" s="6"/>
    </row>
    <row r="9295" s="1" customFormat="1" ht="13.5">
      <c r="G9295" s="6"/>
    </row>
    <row r="9296" s="1" customFormat="1" ht="13.5">
      <c r="G9296" s="6"/>
    </row>
    <row r="9297" s="1" customFormat="1" ht="13.5">
      <c r="G9297" s="6"/>
    </row>
    <row r="9298" s="1" customFormat="1" ht="13.5">
      <c r="G9298" s="6"/>
    </row>
    <row r="9299" s="1" customFormat="1" ht="13.5">
      <c r="G9299" s="6"/>
    </row>
    <row r="9300" s="1" customFormat="1" ht="13.5">
      <c r="G9300" s="6"/>
    </row>
    <row r="9301" s="1" customFormat="1" ht="13.5">
      <c r="G9301" s="6"/>
    </row>
    <row r="9302" s="1" customFormat="1" ht="13.5">
      <c r="G9302" s="6"/>
    </row>
    <row r="9303" s="1" customFormat="1" ht="13.5">
      <c r="G9303" s="6"/>
    </row>
    <row r="9304" s="1" customFormat="1" ht="13.5">
      <c r="G9304" s="6"/>
    </row>
    <row r="9305" s="1" customFormat="1" ht="13.5">
      <c r="G9305" s="6"/>
    </row>
    <row r="9306" s="1" customFormat="1" ht="13.5">
      <c r="G9306" s="6"/>
    </row>
    <row r="9307" s="1" customFormat="1" ht="13.5">
      <c r="G9307" s="6"/>
    </row>
    <row r="9308" s="1" customFormat="1" ht="13.5">
      <c r="G9308" s="6"/>
    </row>
    <row r="9309" s="1" customFormat="1" ht="13.5">
      <c r="G9309" s="6"/>
    </row>
    <row r="9310" s="1" customFormat="1" ht="13.5">
      <c r="G9310" s="6"/>
    </row>
    <row r="9311" s="1" customFormat="1" ht="13.5">
      <c r="G9311" s="6"/>
    </row>
    <row r="9312" s="1" customFormat="1" ht="13.5">
      <c r="G9312" s="6"/>
    </row>
    <row r="9313" s="1" customFormat="1" ht="13.5">
      <c r="G9313" s="6"/>
    </row>
    <row r="9314" s="1" customFormat="1" ht="13.5">
      <c r="G9314" s="6"/>
    </row>
    <row r="9315" s="1" customFormat="1" ht="13.5">
      <c r="G9315" s="6"/>
    </row>
    <row r="9316" s="1" customFormat="1" ht="13.5">
      <c r="G9316" s="6"/>
    </row>
    <row r="9317" s="1" customFormat="1" ht="13.5">
      <c r="G9317" s="6"/>
    </row>
    <row r="9318" s="1" customFormat="1" ht="13.5">
      <c r="G9318" s="6"/>
    </row>
    <row r="9319" s="1" customFormat="1" ht="13.5">
      <c r="G9319" s="6"/>
    </row>
    <row r="9320" s="1" customFormat="1" ht="13.5">
      <c r="G9320" s="6"/>
    </row>
    <row r="9321" s="1" customFormat="1" ht="13.5">
      <c r="G9321" s="6"/>
    </row>
    <row r="9322" s="1" customFormat="1" ht="13.5">
      <c r="G9322" s="6"/>
    </row>
    <row r="9323" s="1" customFormat="1" ht="13.5">
      <c r="G9323" s="6"/>
    </row>
    <row r="9324" s="1" customFormat="1" ht="13.5">
      <c r="G9324" s="6"/>
    </row>
    <row r="9325" s="1" customFormat="1" ht="13.5">
      <c r="G9325" s="6"/>
    </row>
    <row r="9326" s="1" customFormat="1" ht="13.5">
      <c r="G9326" s="6"/>
    </row>
    <row r="9327" s="1" customFormat="1" ht="13.5">
      <c r="G9327" s="6"/>
    </row>
    <row r="9328" s="1" customFormat="1" ht="13.5">
      <c r="G9328" s="6"/>
    </row>
    <row r="9329" s="1" customFormat="1" ht="13.5">
      <c r="G9329" s="6"/>
    </row>
    <row r="9330" s="1" customFormat="1" ht="13.5">
      <c r="G9330" s="6"/>
    </row>
    <row r="9331" s="1" customFormat="1" ht="13.5">
      <c r="G9331" s="6"/>
    </row>
    <row r="9332" s="1" customFormat="1" ht="13.5">
      <c r="G9332" s="6"/>
    </row>
    <row r="9333" s="1" customFormat="1" ht="13.5">
      <c r="G9333" s="6"/>
    </row>
    <row r="9334" s="1" customFormat="1" ht="13.5">
      <c r="G9334" s="6"/>
    </row>
    <row r="9335" s="1" customFormat="1" ht="13.5">
      <c r="G9335" s="6"/>
    </row>
    <row r="9336" s="1" customFormat="1" ht="13.5">
      <c r="G9336" s="6"/>
    </row>
    <row r="9337" s="1" customFormat="1" ht="13.5">
      <c r="G9337" s="6"/>
    </row>
    <row r="9338" s="1" customFormat="1" ht="13.5">
      <c r="G9338" s="6"/>
    </row>
    <row r="9339" s="1" customFormat="1" ht="13.5">
      <c r="G9339" s="6"/>
    </row>
    <row r="9340" s="1" customFormat="1" ht="13.5">
      <c r="G9340" s="6"/>
    </row>
    <row r="9341" s="1" customFormat="1" ht="13.5">
      <c r="G9341" s="6"/>
    </row>
    <row r="9342" s="1" customFormat="1" ht="13.5">
      <c r="G9342" s="6"/>
    </row>
    <row r="9343" s="1" customFormat="1" ht="13.5">
      <c r="G9343" s="6"/>
    </row>
    <row r="9344" s="1" customFormat="1" ht="13.5">
      <c r="G9344" s="6"/>
    </row>
    <row r="9345" s="1" customFormat="1" ht="13.5">
      <c r="G9345" s="6"/>
    </row>
    <row r="9346" s="1" customFormat="1" ht="13.5">
      <c r="G9346" s="6"/>
    </row>
    <row r="9347" s="1" customFormat="1" ht="13.5">
      <c r="G9347" s="6"/>
    </row>
    <row r="9348" s="1" customFormat="1" ht="13.5">
      <c r="G9348" s="6"/>
    </row>
    <row r="9349" s="1" customFormat="1" ht="13.5">
      <c r="G9349" s="6"/>
    </row>
    <row r="9350" s="1" customFormat="1" ht="13.5">
      <c r="G9350" s="6"/>
    </row>
    <row r="9351" s="1" customFormat="1" ht="13.5">
      <c r="G9351" s="6"/>
    </row>
    <row r="9352" s="1" customFormat="1" ht="13.5">
      <c r="G9352" s="6"/>
    </row>
    <row r="9353" s="1" customFormat="1" ht="13.5">
      <c r="G9353" s="6"/>
    </row>
    <row r="9354" s="1" customFormat="1" ht="13.5">
      <c r="G9354" s="6"/>
    </row>
    <row r="9355" s="1" customFormat="1" ht="13.5">
      <c r="G9355" s="6"/>
    </row>
    <row r="9356" s="1" customFormat="1" ht="13.5">
      <c r="G9356" s="6"/>
    </row>
    <row r="9357" s="1" customFormat="1" ht="13.5">
      <c r="G9357" s="6"/>
    </row>
    <row r="9358" s="1" customFormat="1" ht="13.5">
      <c r="G9358" s="6"/>
    </row>
    <row r="9359" s="1" customFormat="1" ht="13.5">
      <c r="G9359" s="6"/>
    </row>
    <row r="9360" s="1" customFormat="1" ht="13.5">
      <c r="G9360" s="6"/>
    </row>
    <row r="9361" s="1" customFormat="1" ht="13.5">
      <c r="G9361" s="6"/>
    </row>
    <row r="9362" s="1" customFormat="1" ht="13.5">
      <c r="G9362" s="6"/>
    </row>
    <row r="9363" s="1" customFormat="1" ht="13.5">
      <c r="G9363" s="6"/>
    </row>
    <row r="9364" s="1" customFormat="1" ht="13.5">
      <c r="G9364" s="6"/>
    </row>
    <row r="9365" s="1" customFormat="1" ht="13.5">
      <c r="G9365" s="6"/>
    </row>
    <row r="9366" s="1" customFormat="1" ht="13.5">
      <c r="G9366" s="6"/>
    </row>
    <row r="9367" s="1" customFormat="1" ht="13.5">
      <c r="G9367" s="6"/>
    </row>
    <row r="9368" s="1" customFormat="1" ht="13.5">
      <c r="G9368" s="6"/>
    </row>
    <row r="9369" s="1" customFormat="1" ht="13.5">
      <c r="G9369" s="6"/>
    </row>
    <row r="9370" s="1" customFormat="1" ht="13.5">
      <c r="G9370" s="6"/>
    </row>
    <row r="9371" s="1" customFormat="1" ht="13.5">
      <c r="G9371" s="6"/>
    </row>
    <row r="9372" s="1" customFormat="1" ht="13.5">
      <c r="G9372" s="6"/>
    </row>
    <row r="9373" s="1" customFormat="1" ht="13.5">
      <c r="G9373" s="6"/>
    </row>
    <row r="9374" s="1" customFormat="1" ht="13.5">
      <c r="G9374" s="6"/>
    </row>
    <row r="9375" s="1" customFormat="1" ht="13.5">
      <c r="G9375" s="6"/>
    </row>
    <row r="9376" s="1" customFormat="1" ht="13.5">
      <c r="G9376" s="6"/>
    </row>
    <row r="9377" s="1" customFormat="1" ht="13.5">
      <c r="G9377" s="6"/>
    </row>
    <row r="9378" s="1" customFormat="1" ht="13.5">
      <c r="G9378" s="6"/>
    </row>
    <row r="9379" s="1" customFormat="1" ht="13.5">
      <c r="G9379" s="6"/>
    </row>
    <row r="9380" s="1" customFormat="1" ht="13.5">
      <c r="G9380" s="6"/>
    </row>
    <row r="9381" s="1" customFormat="1" ht="13.5">
      <c r="G9381" s="6"/>
    </row>
    <row r="9382" s="1" customFormat="1" ht="13.5">
      <c r="G9382" s="6"/>
    </row>
    <row r="9383" s="1" customFormat="1" ht="13.5">
      <c r="G9383" s="6"/>
    </row>
    <row r="9384" s="1" customFormat="1" ht="13.5">
      <c r="G9384" s="6"/>
    </row>
    <row r="9385" s="1" customFormat="1" ht="13.5">
      <c r="G9385" s="6"/>
    </row>
    <row r="9386" s="1" customFormat="1" ht="13.5">
      <c r="G9386" s="6"/>
    </row>
    <row r="9387" s="1" customFormat="1" ht="13.5">
      <c r="G9387" s="6"/>
    </row>
    <row r="9388" s="1" customFormat="1" ht="13.5">
      <c r="G9388" s="6"/>
    </row>
    <row r="9389" s="1" customFormat="1" ht="13.5">
      <c r="G9389" s="6"/>
    </row>
    <row r="9390" s="1" customFormat="1" ht="13.5">
      <c r="G9390" s="6"/>
    </row>
    <row r="9391" s="1" customFormat="1" ht="13.5">
      <c r="G9391" s="6"/>
    </row>
    <row r="9392" s="1" customFormat="1" ht="13.5">
      <c r="G9392" s="6"/>
    </row>
    <row r="9393" s="1" customFormat="1" ht="13.5">
      <c r="G9393" s="6"/>
    </row>
    <row r="9394" s="1" customFormat="1" ht="13.5">
      <c r="G9394" s="6"/>
    </row>
    <row r="9395" s="1" customFormat="1" ht="13.5">
      <c r="G9395" s="6"/>
    </row>
    <row r="9396" s="1" customFormat="1" ht="13.5">
      <c r="G9396" s="6"/>
    </row>
    <row r="9397" s="1" customFormat="1" ht="13.5">
      <c r="G9397" s="6"/>
    </row>
    <row r="9398" s="1" customFormat="1" ht="13.5">
      <c r="G9398" s="6"/>
    </row>
    <row r="9399" s="1" customFormat="1" ht="13.5">
      <c r="G9399" s="6"/>
    </row>
    <row r="9400" s="1" customFormat="1" ht="13.5">
      <c r="G9400" s="6"/>
    </row>
    <row r="9401" s="1" customFormat="1" ht="13.5">
      <c r="G9401" s="6"/>
    </row>
    <row r="9402" s="1" customFormat="1" ht="13.5">
      <c r="G9402" s="6"/>
    </row>
    <row r="9403" s="1" customFormat="1" ht="13.5">
      <c r="G9403" s="6"/>
    </row>
    <row r="9404" s="1" customFormat="1" ht="13.5">
      <c r="G9404" s="6"/>
    </row>
    <row r="9405" s="1" customFormat="1" ht="13.5">
      <c r="G9405" s="6"/>
    </row>
    <row r="9406" s="1" customFormat="1" ht="13.5">
      <c r="G9406" s="6"/>
    </row>
    <row r="9407" s="1" customFormat="1" ht="13.5">
      <c r="G9407" s="6"/>
    </row>
    <row r="9408" s="1" customFormat="1" ht="13.5">
      <c r="G9408" s="6"/>
    </row>
    <row r="9409" s="1" customFormat="1" ht="13.5">
      <c r="G9409" s="6"/>
    </row>
    <row r="9410" s="1" customFormat="1" ht="13.5">
      <c r="G9410" s="6"/>
    </row>
    <row r="9411" s="1" customFormat="1" ht="13.5">
      <c r="G9411" s="6"/>
    </row>
    <row r="9412" s="1" customFormat="1" ht="13.5">
      <c r="G9412" s="6"/>
    </row>
    <row r="9413" s="1" customFormat="1" ht="13.5">
      <c r="G9413" s="6"/>
    </row>
    <row r="9414" s="1" customFormat="1" ht="13.5">
      <c r="G9414" s="6"/>
    </row>
    <row r="9415" s="1" customFormat="1" ht="13.5">
      <c r="G9415" s="6"/>
    </row>
    <row r="9416" s="1" customFormat="1" ht="13.5">
      <c r="G9416" s="6"/>
    </row>
    <row r="9417" s="1" customFormat="1" ht="13.5">
      <c r="G9417" s="6"/>
    </row>
    <row r="9418" s="1" customFormat="1" ht="13.5">
      <c r="G9418" s="6"/>
    </row>
    <row r="9419" s="1" customFormat="1" ht="13.5">
      <c r="G9419" s="6"/>
    </row>
    <row r="9420" s="1" customFormat="1" ht="13.5">
      <c r="G9420" s="6"/>
    </row>
    <row r="9421" s="1" customFormat="1" ht="13.5">
      <c r="G9421" s="6"/>
    </row>
    <row r="9422" s="1" customFormat="1" ht="13.5">
      <c r="G9422" s="6"/>
    </row>
    <row r="9423" s="1" customFormat="1" ht="13.5">
      <c r="G9423" s="6"/>
    </row>
    <row r="9424" s="1" customFormat="1" ht="13.5">
      <c r="G9424" s="6"/>
    </row>
    <row r="9425" s="1" customFormat="1" ht="13.5">
      <c r="G9425" s="6"/>
    </row>
    <row r="9426" s="1" customFormat="1" ht="13.5">
      <c r="G9426" s="6"/>
    </row>
    <row r="9427" s="1" customFormat="1" ht="13.5">
      <c r="G9427" s="6"/>
    </row>
    <row r="9428" s="1" customFormat="1" ht="13.5">
      <c r="G9428" s="6"/>
    </row>
    <row r="9429" s="1" customFormat="1" ht="13.5">
      <c r="G9429" s="6"/>
    </row>
    <row r="9430" s="1" customFormat="1" ht="13.5">
      <c r="G9430" s="6"/>
    </row>
    <row r="9431" s="1" customFormat="1" ht="13.5">
      <c r="G9431" s="6"/>
    </row>
    <row r="9432" s="1" customFormat="1" ht="13.5">
      <c r="G9432" s="6"/>
    </row>
    <row r="9433" s="1" customFormat="1" ht="13.5">
      <c r="G9433" s="6"/>
    </row>
    <row r="9434" s="1" customFormat="1" ht="13.5">
      <c r="G9434" s="6"/>
    </row>
    <row r="9435" s="1" customFormat="1" ht="13.5">
      <c r="G9435" s="6"/>
    </row>
    <row r="9436" s="1" customFormat="1" ht="13.5">
      <c r="G9436" s="6"/>
    </row>
    <row r="9437" s="1" customFormat="1" ht="13.5">
      <c r="G9437" s="6"/>
    </row>
    <row r="9438" s="1" customFormat="1" ht="13.5">
      <c r="G9438" s="6"/>
    </row>
    <row r="9439" s="1" customFormat="1" ht="13.5">
      <c r="G9439" s="6"/>
    </row>
    <row r="9440" s="1" customFormat="1" ht="13.5">
      <c r="G9440" s="6"/>
    </row>
    <row r="9441" s="1" customFormat="1" ht="13.5">
      <c r="G9441" s="6"/>
    </row>
    <row r="9442" s="1" customFormat="1" ht="13.5">
      <c r="G9442" s="6"/>
    </row>
    <row r="9443" s="1" customFormat="1" ht="13.5">
      <c r="G9443" s="6"/>
    </row>
    <row r="9444" s="1" customFormat="1" ht="13.5">
      <c r="G9444" s="6"/>
    </row>
    <row r="9445" s="1" customFormat="1" ht="13.5">
      <c r="G9445" s="6"/>
    </row>
    <row r="9446" s="1" customFormat="1" ht="13.5">
      <c r="G9446" s="6"/>
    </row>
    <row r="9447" s="1" customFormat="1" ht="13.5">
      <c r="G9447" s="6"/>
    </row>
    <row r="9448" s="1" customFormat="1" ht="13.5">
      <c r="G9448" s="6"/>
    </row>
    <row r="9449" s="1" customFormat="1" ht="13.5">
      <c r="G9449" s="6"/>
    </row>
    <row r="9450" s="1" customFormat="1" ht="13.5">
      <c r="G9450" s="6"/>
    </row>
    <row r="9451" s="1" customFormat="1" ht="13.5">
      <c r="G9451" s="6"/>
    </row>
    <row r="9452" s="1" customFormat="1" ht="13.5">
      <c r="G9452" s="6"/>
    </row>
    <row r="9453" s="1" customFormat="1" ht="13.5">
      <c r="G9453" s="6"/>
    </row>
    <row r="9454" s="1" customFormat="1" ht="13.5">
      <c r="G9454" s="6"/>
    </row>
    <row r="9455" s="1" customFormat="1" ht="13.5">
      <c r="G9455" s="6"/>
    </row>
    <row r="9456" s="1" customFormat="1" ht="13.5">
      <c r="G9456" s="6"/>
    </row>
    <row r="9457" s="1" customFormat="1" ht="13.5">
      <c r="G9457" s="6"/>
    </row>
    <row r="9458" s="1" customFormat="1" ht="13.5">
      <c r="G9458" s="6"/>
    </row>
    <row r="9459" s="1" customFormat="1" ht="13.5">
      <c r="G9459" s="6"/>
    </row>
    <row r="9460" s="1" customFormat="1" ht="13.5">
      <c r="G9460" s="6"/>
    </row>
    <row r="9461" s="1" customFormat="1" ht="13.5">
      <c r="G9461" s="6"/>
    </row>
    <row r="9462" s="1" customFormat="1" ht="13.5">
      <c r="G9462" s="6"/>
    </row>
    <row r="9463" s="1" customFormat="1" ht="13.5">
      <c r="G9463" s="6"/>
    </row>
    <row r="9464" s="1" customFormat="1" ht="13.5">
      <c r="G9464" s="6"/>
    </row>
    <row r="9465" s="1" customFormat="1" ht="13.5">
      <c r="G9465" s="6"/>
    </row>
    <row r="9466" s="1" customFormat="1" ht="13.5">
      <c r="G9466" s="6"/>
    </row>
    <row r="9467" s="1" customFormat="1" ht="13.5">
      <c r="G9467" s="6"/>
    </row>
    <row r="9468" s="1" customFormat="1" ht="13.5">
      <c r="G9468" s="6"/>
    </row>
    <row r="9469" s="1" customFormat="1" ht="13.5">
      <c r="G9469" s="6"/>
    </row>
    <row r="9470" s="1" customFormat="1" ht="13.5">
      <c r="G9470" s="6"/>
    </row>
    <row r="9471" s="1" customFormat="1" ht="13.5">
      <c r="G9471" s="6"/>
    </row>
    <row r="9472" s="1" customFormat="1" ht="13.5">
      <c r="G9472" s="6"/>
    </row>
    <row r="9473" s="1" customFormat="1" ht="13.5">
      <c r="G9473" s="6"/>
    </row>
    <row r="9474" s="1" customFormat="1" ht="13.5">
      <c r="G9474" s="6"/>
    </row>
    <row r="9475" s="1" customFormat="1" ht="13.5">
      <c r="G9475" s="6"/>
    </row>
    <row r="9476" s="1" customFormat="1" ht="13.5">
      <c r="G9476" s="6"/>
    </row>
    <row r="9477" s="1" customFormat="1" ht="13.5">
      <c r="G9477" s="6"/>
    </row>
    <row r="9478" s="1" customFormat="1" ht="13.5">
      <c r="G9478" s="6"/>
    </row>
    <row r="9479" s="1" customFormat="1" ht="13.5">
      <c r="G9479" s="6"/>
    </row>
    <row r="9480" s="1" customFormat="1" ht="13.5">
      <c r="G9480" s="6"/>
    </row>
    <row r="9481" s="1" customFormat="1" ht="13.5">
      <c r="G9481" s="6"/>
    </row>
    <row r="9482" s="1" customFormat="1" ht="13.5">
      <c r="G9482" s="6"/>
    </row>
    <row r="9483" s="1" customFormat="1" ht="13.5">
      <c r="G9483" s="6"/>
    </row>
    <row r="9484" s="1" customFormat="1" ht="13.5">
      <c r="G9484" s="6"/>
    </row>
    <row r="9485" s="1" customFormat="1" ht="13.5">
      <c r="G9485" s="6"/>
    </row>
    <row r="9486" s="1" customFormat="1" ht="13.5">
      <c r="G9486" s="6"/>
    </row>
    <row r="9487" s="1" customFormat="1" ht="13.5">
      <c r="G9487" s="6"/>
    </row>
    <row r="9488" s="1" customFormat="1" ht="13.5">
      <c r="G9488" s="6"/>
    </row>
    <row r="9489" s="1" customFormat="1" ht="13.5">
      <c r="G9489" s="6"/>
    </row>
    <row r="9490" s="1" customFormat="1" ht="13.5">
      <c r="G9490" s="6"/>
    </row>
    <row r="9491" s="1" customFormat="1" ht="13.5">
      <c r="G9491" s="6"/>
    </row>
    <row r="9492" s="1" customFormat="1" ht="13.5">
      <c r="G9492" s="6"/>
    </row>
    <row r="9493" s="1" customFormat="1" ht="13.5">
      <c r="G9493" s="6"/>
    </row>
    <row r="9494" s="1" customFormat="1" ht="13.5">
      <c r="G9494" s="6"/>
    </row>
    <row r="9495" s="1" customFormat="1" ht="13.5">
      <c r="G9495" s="6"/>
    </row>
    <row r="9496" s="1" customFormat="1" ht="13.5">
      <c r="G9496" s="6"/>
    </row>
    <row r="9497" s="1" customFormat="1" ht="13.5">
      <c r="G9497" s="6"/>
    </row>
    <row r="9498" s="1" customFormat="1" ht="13.5">
      <c r="G9498" s="6"/>
    </row>
    <row r="9499" s="1" customFormat="1" ht="13.5">
      <c r="G9499" s="6"/>
    </row>
    <row r="9500" s="1" customFormat="1" ht="13.5">
      <c r="G9500" s="6"/>
    </row>
    <row r="9501" s="1" customFormat="1" ht="13.5">
      <c r="G9501" s="6"/>
    </row>
    <row r="9502" s="1" customFormat="1" ht="13.5">
      <c r="G9502" s="6"/>
    </row>
    <row r="9503" s="1" customFormat="1" ht="13.5">
      <c r="G9503" s="6"/>
    </row>
    <row r="9504" s="1" customFormat="1" ht="13.5">
      <c r="G9504" s="6"/>
    </row>
    <row r="9505" s="1" customFormat="1" ht="13.5">
      <c r="G9505" s="6"/>
    </row>
    <row r="9506" s="1" customFormat="1" ht="13.5">
      <c r="G9506" s="6"/>
    </row>
    <row r="9507" s="1" customFormat="1" ht="13.5">
      <c r="G9507" s="6"/>
    </row>
    <row r="9508" s="1" customFormat="1" ht="13.5">
      <c r="G9508" s="6"/>
    </row>
    <row r="9509" s="1" customFormat="1" ht="13.5">
      <c r="G9509" s="6"/>
    </row>
    <row r="9510" s="1" customFormat="1" ht="13.5">
      <c r="G9510" s="6"/>
    </row>
    <row r="9511" s="1" customFormat="1" ht="13.5">
      <c r="G9511" s="6"/>
    </row>
    <row r="9512" s="1" customFormat="1" ht="13.5">
      <c r="G9512" s="6"/>
    </row>
    <row r="9513" s="1" customFormat="1" ht="13.5">
      <c r="G9513" s="6"/>
    </row>
    <row r="9514" s="1" customFormat="1" ht="13.5">
      <c r="G9514" s="6"/>
    </row>
    <row r="9515" s="1" customFormat="1" ht="13.5">
      <c r="G9515" s="6"/>
    </row>
    <row r="9516" s="1" customFormat="1" ht="13.5">
      <c r="G9516" s="6"/>
    </row>
    <row r="9517" s="1" customFormat="1" ht="13.5">
      <c r="G9517" s="6"/>
    </row>
    <row r="9518" s="1" customFormat="1" ht="13.5">
      <c r="G9518" s="6"/>
    </row>
    <row r="9519" s="1" customFormat="1" ht="13.5">
      <c r="G9519" s="6"/>
    </row>
    <row r="9520" s="1" customFormat="1" ht="13.5">
      <c r="G9520" s="6"/>
    </row>
    <row r="9521" s="1" customFormat="1" ht="13.5">
      <c r="G9521" s="6"/>
    </row>
    <row r="9522" s="1" customFormat="1" ht="13.5">
      <c r="G9522" s="6"/>
    </row>
    <row r="9523" s="1" customFormat="1" ht="13.5">
      <c r="G9523" s="6"/>
    </row>
    <row r="9524" s="1" customFormat="1" ht="13.5">
      <c r="G9524" s="6"/>
    </row>
    <row r="9525" s="1" customFormat="1" ht="13.5">
      <c r="G9525" s="6"/>
    </row>
    <row r="9526" s="1" customFormat="1" ht="13.5">
      <c r="G9526" s="6"/>
    </row>
    <row r="9527" s="1" customFormat="1" ht="13.5">
      <c r="G9527" s="6"/>
    </row>
    <row r="9528" s="1" customFormat="1" ht="13.5">
      <c r="G9528" s="6"/>
    </row>
    <row r="9529" s="1" customFormat="1" ht="13.5">
      <c r="G9529" s="6"/>
    </row>
    <row r="9530" s="1" customFormat="1" ht="13.5">
      <c r="G9530" s="6"/>
    </row>
    <row r="9531" s="1" customFormat="1" ht="13.5">
      <c r="G9531" s="6"/>
    </row>
    <row r="9532" s="1" customFormat="1" ht="13.5">
      <c r="G9532" s="6"/>
    </row>
    <row r="9533" s="1" customFormat="1" ht="13.5">
      <c r="G9533" s="6"/>
    </row>
    <row r="9534" s="1" customFormat="1" ht="13.5">
      <c r="G9534" s="6"/>
    </row>
    <row r="9535" s="1" customFormat="1" ht="13.5">
      <c r="G9535" s="6"/>
    </row>
    <row r="9536" s="1" customFormat="1" ht="13.5">
      <c r="G9536" s="6"/>
    </row>
    <row r="9537" s="1" customFormat="1" ht="13.5">
      <c r="G9537" s="6"/>
    </row>
    <row r="9538" s="1" customFormat="1" ht="13.5">
      <c r="G9538" s="6"/>
    </row>
    <row r="9539" s="1" customFormat="1" ht="13.5">
      <c r="G9539" s="6"/>
    </row>
    <row r="9540" s="1" customFormat="1" ht="13.5">
      <c r="G9540" s="6"/>
    </row>
    <row r="9541" s="1" customFormat="1" ht="13.5">
      <c r="G9541" s="6"/>
    </row>
    <row r="9542" s="1" customFormat="1" ht="13.5">
      <c r="G9542" s="6"/>
    </row>
    <row r="9543" s="1" customFormat="1" ht="13.5">
      <c r="G9543" s="6"/>
    </row>
    <row r="9544" s="1" customFormat="1" ht="13.5">
      <c r="G9544" s="6"/>
    </row>
    <row r="9545" s="1" customFormat="1" ht="13.5">
      <c r="G9545" s="6"/>
    </row>
    <row r="9546" s="1" customFormat="1" ht="13.5">
      <c r="G9546" s="6"/>
    </row>
    <row r="9547" s="1" customFormat="1" ht="13.5">
      <c r="G9547" s="6"/>
    </row>
    <row r="9548" s="1" customFormat="1" ht="13.5">
      <c r="G9548" s="6"/>
    </row>
    <row r="9549" s="1" customFormat="1" ht="13.5">
      <c r="G9549" s="6"/>
    </row>
    <row r="9550" s="1" customFormat="1" ht="13.5">
      <c r="G9550" s="6"/>
    </row>
    <row r="9551" s="1" customFormat="1" ht="13.5">
      <c r="G9551" s="6"/>
    </row>
    <row r="9552" s="1" customFormat="1" ht="13.5">
      <c r="G9552" s="6"/>
    </row>
    <row r="9553" s="1" customFormat="1" ht="13.5">
      <c r="G9553" s="6"/>
    </row>
    <row r="9554" s="1" customFormat="1" ht="13.5">
      <c r="G9554" s="6"/>
    </row>
    <row r="9555" s="1" customFormat="1" ht="13.5">
      <c r="G9555" s="6"/>
    </row>
    <row r="9556" s="1" customFormat="1" ht="13.5">
      <c r="G9556" s="6"/>
    </row>
    <row r="9557" s="1" customFormat="1" ht="13.5">
      <c r="G9557" s="6"/>
    </row>
    <row r="9558" s="1" customFormat="1" ht="13.5">
      <c r="G9558" s="6"/>
    </row>
    <row r="9559" s="1" customFormat="1" ht="13.5">
      <c r="G9559" s="6"/>
    </row>
    <row r="9560" s="1" customFormat="1" ht="13.5">
      <c r="G9560" s="6"/>
    </row>
    <row r="9561" s="1" customFormat="1" ht="13.5">
      <c r="G9561" s="6"/>
    </row>
    <row r="9562" s="1" customFormat="1" ht="13.5">
      <c r="G9562" s="6"/>
    </row>
    <row r="9563" s="1" customFormat="1" ht="13.5">
      <c r="G9563" s="6"/>
    </row>
    <row r="9564" s="1" customFormat="1" ht="13.5">
      <c r="G9564" s="6"/>
    </row>
    <row r="9565" s="1" customFormat="1" ht="13.5">
      <c r="G9565" s="6"/>
    </row>
    <row r="9566" s="1" customFormat="1" ht="13.5">
      <c r="G9566" s="6"/>
    </row>
    <row r="9567" s="1" customFormat="1" ht="13.5">
      <c r="G9567" s="6"/>
    </row>
    <row r="9568" s="1" customFormat="1" ht="13.5">
      <c r="G9568" s="6"/>
    </row>
    <row r="9569" s="1" customFormat="1" ht="13.5">
      <c r="G9569" s="6"/>
    </row>
    <row r="9570" s="1" customFormat="1" ht="13.5">
      <c r="G9570" s="6"/>
    </row>
    <row r="9571" s="1" customFormat="1" ht="13.5">
      <c r="G9571" s="6"/>
    </row>
    <row r="9572" s="1" customFormat="1" ht="13.5">
      <c r="G9572" s="6"/>
    </row>
    <row r="9573" s="1" customFormat="1" ht="13.5">
      <c r="G9573" s="6"/>
    </row>
    <row r="9574" s="1" customFormat="1" ht="13.5">
      <c r="G9574" s="6"/>
    </row>
    <row r="9575" s="1" customFormat="1" ht="13.5">
      <c r="G9575" s="6"/>
    </row>
    <row r="9576" s="1" customFormat="1" ht="13.5">
      <c r="G9576" s="6"/>
    </row>
    <row r="9577" s="1" customFormat="1" ht="13.5">
      <c r="G9577" s="6"/>
    </row>
    <row r="9578" s="1" customFormat="1" ht="13.5">
      <c r="G9578" s="6"/>
    </row>
    <row r="9579" s="1" customFormat="1" ht="13.5">
      <c r="G9579" s="6"/>
    </row>
    <row r="9580" s="1" customFormat="1" ht="13.5">
      <c r="G9580" s="6"/>
    </row>
    <row r="9581" s="1" customFormat="1" ht="13.5">
      <c r="G9581" s="6"/>
    </row>
    <row r="9582" s="1" customFormat="1" ht="13.5">
      <c r="G9582" s="6"/>
    </row>
    <row r="9583" s="1" customFormat="1" ht="13.5">
      <c r="G9583" s="6"/>
    </row>
    <row r="9584" s="1" customFormat="1" ht="13.5">
      <c r="G9584" s="6"/>
    </row>
    <row r="9585" s="1" customFormat="1" ht="13.5">
      <c r="G9585" s="6"/>
    </row>
    <row r="9586" s="1" customFormat="1" ht="13.5">
      <c r="G9586" s="6"/>
    </row>
    <row r="9587" s="1" customFormat="1" ht="13.5">
      <c r="G9587" s="6"/>
    </row>
    <row r="9588" s="1" customFormat="1" ht="13.5">
      <c r="G9588" s="6"/>
    </row>
    <row r="9589" s="1" customFormat="1" ht="13.5">
      <c r="G9589" s="6"/>
    </row>
    <row r="9590" s="1" customFormat="1" ht="13.5">
      <c r="G9590" s="6"/>
    </row>
    <row r="9591" s="1" customFormat="1" ht="13.5">
      <c r="G9591" s="6"/>
    </row>
    <row r="9592" s="1" customFormat="1" ht="13.5">
      <c r="G9592" s="6"/>
    </row>
    <row r="9593" s="1" customFormat="1" ht="13.5">
      <c r="G9593" s="6"/>
    </row>
    <row r="9594" s="1" customFormat="1" ht="13.5">
      <c r="G9594" s="6"/>
    </row>
    <row r="9595" s="1" customFormat="1" ht="13.5">
      <c r="G9595" s="6"/>
    </row>
    <row r="9596" s="1" customFormat="1" ht="13.5">
      <c r="G9596" s="6"/>
    </row>
    <row r="9597" s="1" customFormat="1" ht="13.5">
      <c r="G9597" s="6"/>
    </row>
    <row r="9598" s="1" customFormat="1" ht="13.5">
      <c r="G9598" s="6"/>
    </row>
    <row r="9599" s="1" customFormat="1" ht="13.5">
      <c r="G9599" s="6"/>
    </row>
    <row r="9600" s="1" customFormat="1" ht="13.5">
      <c r="G9600" s="6"/>
    </row>
    <row r="9601" s="1" customFormat="1" ht="13.5">
      <c r="G9601" s="6"/>
    </row>
    <row r="9602" s="1" customFormat="1" ht="13.5">
      <c r="G9602" s="6"/>
    </row>
    <row r="9603" s="1" customFormat="1" ht="13.5">
      <c r="G9603" s="6"/>
    </row>
    <row r="9604" s="1" customFormat="1" ht="13.5">
      <c r="G9604" s="6"/>
    </row>
    <row r="9605" s="1" customFormat="1" ht="13.5">
      <c r="G9605" s="6"/>
    </row>
    <row r="9606" s="1" customFormat="1" ht="13.5">
      <c r="G9606" s="6"/>
    </row>
    <row r="9607" s="1" customFormat="1" ht="13.5">
      <c r="G9607" s="6"/>
    </row>
    <row r="9608" s="1" customFormat="1" ht="13.5">
      <c r="G9608" s="6"/>
    </row>
    <row r="9609" s="1" customFormat="1" ht="13.5">
      <c r="G9609" s="6"/>
    </row>
    <row r="9610" s="1" customFormat="1" ht="13.5">
      <c r="G9610" s="6"/>
    </row>
    <row r="9611" s="1" customFormat="1" ht="13.5">
      <c r="G9611" s="6"/>
    </row>
    <row r="9612" s="1" customFormat="1" ht="13.5">
      <c r="G9612" s="6"/>
    </row>
    <row r="9613" s="1" customFormat="1" ht="13.5">
      <c r="G9613" s="6"/>
    </row>
    <row r="9614" s="1" customFormat="1" ht="13.5">
      <c r="G9614" s="6"/>
    </row>
    <row r="9615" s="1" customFormat="1" ht="13.5">
      <c r="G9615" s="6"/>
    </row>
    <row r="9616" s="1" customFormat="1" ht="13.5">
      <c r="G9616" s="6"/>
    </row>
    <row r="9617" s="1" customFormat="1" ht="13.5">
      <c r="G9617" s="6"/>
    </row>
    <row r="9618" s="1" customFormat="1" ht="13.5">
      <c r="G9618" s="6"/>
    </row>
    <row r="9619" s="1" customFormat="1" ht="13.5">
      <c r="G9619" s="6"/>
    </row>
    <row r="9620" s="1" customFormat="1" ht="13.5">
      <c r="G9620" s="6"/>
    </row>
    <row r="9621" s="1" customFormat="1" ht="13.5">
      <c r="G9621" s="6"/>
    </row>
    <row r="9622" s="1" customFormat="1" ht="13.5">
      <c r="G9622" s="6"/>
    </row>
    <row r="9623" s="1" customFormat="1" ht="13.5">
      <c r="G9623" s="6"/>
    </row>
    <row r="9624" s="1" customFormat="1" ht="13.5">
      <c r="G9624" s="6"/>
    </row>
    <row r="9625" s="1" customFormat="1" ht="13.5">
      <c r="G9625" s="6"/>
    </row>
    <row r="9626" s="1" customFormat="1" ht="13.5">
      <c r="G9626" s="6"/>
    </row>
    <row r="9627" s="1" customFormat="1" ht="13.5">
      <c r="G9627" s="6"/>
    </row>
    <row r="9628" s="1" customFormat="1" ht="13.5">
      <c r="G9628" s="6"/>
    </row>
    <row r="9629" s="1" customFormat="1" ht="13.5">
      <c r="G9629" s="6"/>
    </row>
    <row r="9630" s="1" customFormat="1" ht="13.5">
      <c r="G9630" s="6"/>
    </row>
    <row r="9631" s="1" customFormat="1" ht="13.5">
      <c r="G9631" s="6"/>
    </row>
    <row r="9632" s="1" customFormat="1" ht="13.5">
      <c r="G9632" s="6"/>
    </row>
    <row r="9633" s="1" customFormat="1" ht="13.5">
      <c r="G9633" s="6"/>
    </row>
    <row r="9634" s="1" customFormat="1" ht="13.5">
      <c r="G9634" s="6"/>
    </row>
    <row r="9635" s="1" customFormat="1" ht="13.5">
      <c r="G9635" s="6"/>
    </row>
    <row r="9636" s="1" customFormat="1" ht="13.5">
      <c r="G9636" s="6"/>
    </row>
    <row r="9637" s="1" customFormat="1" ht="13.5">
      <c r="G9637" s="6"/>
    </row>
    <row r="9638" s="1" customFormat="1" ht="13.5">
      <c r="G9638" s="6"/>
    </row>
    <row r="9639" s="1" customFormat="1" ht="13.5">
      <c r="G9639" s="6"/>
    </row>
    <row r="9640" s="1" customFormat="1" ht="13.5">
      <c r="G9640" s="6"/>
    </row>
    <row r="9641" s="1" customFormat="1" ht="13.5">
      <c r="G9641" s="6"/>
    </row>
    <row r="9642" s="1" customFormat="1" ht="13.5">
      <c r="G9642" s="6"/>
    </row>
    <row r="9643" s="1" customFormat="1" ht="13.5">
      <c r="G9643" s="6"/>
    </row>
    <row r="9644" s="1" customFormat="1" ht="13.5">
      <c r="G9644" s="6"/>
    </row>
    <row r="9645" s="1" customFormat="1" ht="13.5">
      <c r="G9645" s="6"/>
    </row>
    <row r="9646" s="1" customFormat="1" ht="13.5">
      <c r="G9646" s="6"/>
    </row>
    <row r="9647" s="1" customFormat="1" ht="13.5">
      <c r="G9647" s="6"/>
    </row>
    <row r="9648" s="1" customFormat="1" ht="13.5">
      <c r="G9648" s="6"/>
    </row>
    <row r="9649" s="1" customFormat="1" ht="13.5">
      <c r="G9649" s="6"/>
    </row>
    <row r="9650" s="1" customFormat="1" ht="13.5">
      <c r="G9650" s="6"/>
    </row>
    <row r="9651" s="1" customFormat="1" ht="13.5">
      <c r="G9651" s="6"/>
    </row>
    <row r="9652" s="1" customFormat="1" ht="13.5">
      <c r="G9652" s="6"/>
    </row>
    <row r="9653" s="1" customFormat="1" ht="13.5">
      <c r="G9653" s="6"/>
    </row>
    <row r="9654" s="1" customFormat="1" ht="13.5">
      <c r="G9654" s="6"/>
    </row>
    <row r="9655" s="1" customFormat="1" ht="13.5">
      <c r="G9655" s="6"/>
    </row>
    <row r="9656" s="1" customFormat="1" ht="13.5">
      <c r="G9656" s="6"/>
    </row>
    <row r="9657" s="1" customFormat="1" ht="13.5">
      <c r="G9657" s="6"/>
    </row>
    <row r="9658" s="1" customFormat="1" ht="13.5">
      <c r="G9658" s="6"/>
    </row>
    <row r="9659" s="1" customFormat="1" ht="13.5">
      <c r="G9659" s="6"/>
    </row>
    <row r="9660" s="1" customFormat="1" ht="13.5">
      <c r="G9660" s="6"/>
    </row>
    <row r="9661" s="1" customFormat="1" ht="13.5">
      <c r="G9661" s="6"/>
    </row>
    <row r="9662" s="1" customFormat="1" ht="13.5">
      <c r="G9662" s="6"/>
    </row>
    <row r="9663" s="1" customFormat="1" ht="13.5">
      <c r="G9663" s="6"/>
    </row>
    <row r="9664" s="1" customFormat="1" ht="13.5">
      <c r="G9664" s="6"/>
    </row>
    <row r="9665" s="1" customFormat="1" ht="13.5">
      <c r="G9665" s="6"/>
    </row>
    <row r="9666" s="1" customFormat="1" ht="13.5">
      <c r="G9666" s="6"/>
    </row>
    <row r="9667" s="1" customFormat="1" ht="13.5">
      <c r="G9667" s="6"/>
    </row>
    <row r="9668" s="1" customFormat="1" ht="13.5">
      <c r="G9668" s="6"/>
    </row>
    <row r="9669" s="1" customFormat="1" ht="13.5">
      <c r="G9669" s="6"/>
    </row>
    <row r="9670" s="1" customFormat="1" ht="13.5">
      <c r="G9670" s="6"/>
    </row>
    <row r="9671" s="1" customFormat="1" ht="13.5">
      <c r="G9671" s="6"/>
    </row>
    <row r="9672" s="1" customFormat="1" ht="13.5">
      <c r="G9672" s="6"/>
    </row>
    <row r="9673" s="1" customFormat="1" ht="13.5">
      <c r="G9673" s="6"/>
    </row>
    <row r="9674" s="1" customFormat="1" ht="13.5">
      <c r="G9674" s="6"/>
    </row>
    <row r="9675" s="1" customFormat="1" ht="13.5">
      <c r="G9675" s="6"/>
    </row>
    <row r="9676" s="1" customFormat="1" ht="13.5">
      <c r="G9676" s="6"/>
    </row>
    <row r="9677" s="1" customFormat="1" ht="13.5">
      <c r="G9677" s="6"/>
    </row>
    <row r="9678" s="1" customFormat="1" ht="13.5">
      <c r="G9678" s="6"/>
    </row>
    <row r="9679" s="1" customFormat="1" ht="13.5">
      <c r="G9679" s="6"/>
    </row>
    <row r="9680" s="1" customFormat="1" ht="13.5">
      <c r="G9680" s="6"/>
    </row>
    <row r="9681" s="1" customFormat="1" ht="13.5">
      <c r="G9681" s="6"/>
    </row>
    <row r="9682" s="1" customFormat="1" ht="13.5">
      <c r="G9682" s="6"/>
    </row>
    <row r="9683" s="1" customFormat="1" ht="13.5">
      <c r="G9683" s="6"/>
    </row>
    <row r="9684" s="1" customFormat="1" ht="13.5">
      <c r="G9684" s="6"/>
    </row>
    <row r="9685" s="1" customFormat="1" ht="13.5">
      <c r="G9685" s="6"/>
    </row>
    <row r="9686" s="1" customFormat="1" ht="13.5">
      <c r="G9686" s="6"/>
    </row>
    <row r="9687" s="1" customFormat="1" ht="13.5">
      <c r="G9687" s="6"/>
    </row>
    <row r="9688" s="1" customFormat="1" ht="13.5">
      <c r="G9688" s="6"/>
    </row>
    <row r="9689" s="1" customFormat="1" ht="13.5">
      <c r="G9689" s="6"/>
    </row>
    <row r="9690" s="1" customFormat="1" ht="13.5">
      <c r="G9690" s="6"/>
    </row>
    <row r="9691" s="1" customFormat="1" ht="13.5">
      <c r="G9691" s="6"/>
    </row>
    <row r="9692" s="1" customFormat="1" ht="13.5">
      <c r="G9692" s="6"/>
    </row>
    <row r="9693" s="1" customFormat="1" ht="13.5">
      <c r="G9693" s="6"/>
    </row>
    <row r="9694" s="1" customFormat="1" ht="13.5">
      <c r="G9694" s="6"/>
    </row>
    <row r="9695" s="1" customFormat="1" ht="13.5">
      <c r="G9695" s="6"/>
    </row>
    <row r="9696" s="1" customFormat="1" ht="13.5">
      <c r="G9696" s="6"/>
    </row>
    <row r="9697" s="1" customFormat="1" ht="13.5">
      <c r="G9697" s="6"/>
    </row>
    <row r="9698" s="1" customFormat="1" ht="13.5">
      <c r="G9698" s="6"/>
    </row>
    <row r="9699" s="1" customFormat="1" ht="13.5">
      <c r="G9699" s="6"/>
    </row>
    <row r="9700" s="1" customFormat="1" ht="13.5">
      <c r="G9700" s="6"/>
    </row>
    <row r="9701" s="1" customFormat="1" ht="13.5">
      <c r="G9701" s="6"/>
    </row>
    <row r="9702" s="1" customFormat="1" ht="13.5">
      <c r="G9702" s="6"/>
    </row>
    <row r="9703" s="1" customFormat="1" ht="13.5">
      <c r="G9703" s="6"/>
    </row>
    <row r="9704" s="1" customFormat="1" ht="13.5">
      <c r="G9704" s="6"/>
    </row>
    <row r="9705" s="1" customFormat="1" ht="13.5">
      <c r="G9705" s="6"/>
    </row>
    <row r="9706" s="1" customFormat="1" ht="13.5">
      <c r="G9706" s="6"/>
    </row>
    <row r="9707" s="1" customFormat="1" ht="13.5">
      <c r="G9707" s="6"/>
    </row>
    <row r="9708" s="1" customFormat="1" ht="13.5">
      <c r="G9708" s="6"/>
    </row>
    <row r="9709" s="1" customFormat="1" ht="13.5">
      <c r="G9709" s="6"/>
    </row>
    <row r="9710" s="1" customFormat="1" ht="13.5">
      <c r="G9710" s="6"/>
    </row>
    <row r="9711" s="1" customFormat="1" ht="13.5">
      <c r="G9711" s="6"/>
    </row>
    <row r="9712" s="1" customFormat="1" ht="13.5">
      <c r="G9712" s="6"/>
    </row>
    <row r="9713" s="1" customFormat="1" ht="13.5">
      <c r="G9713" s="6"/>
    </row>
    <row r="9714" s="1" customFormat="1" ht="13.5">
      <c r="G9714" s="6"/>
    </row>
    <row r="9715" s="1" customFormat="1" ht="13.5">
      <c r="G9715" s="6"/>
    </row>
    <row r="9716" s="1" customFormat="1" ht="13.5">
      <c r="G9716" s="6"/>
    </row>
    <row r="9717" s="1" customFormat="1" ht="13.5">
      <c r="G9717" s="6"/>
    </row>
    <row r="9718" s="1" customFormat="1" ht="13.5">
      <c r="G9718" s="6"/>
    </row>
    <row r="9719" s="1" customFormat="1" ht="13.5">
      <c r="G9719" s="6"/>
    </row>
    <row r="9720" s="1" customFormat="1" ht="13.5">
      <c r="G9720" s="6"/>
    </row>
    <row r="9721" s="1" customFormat="1" ht="13.5">
      <c r="G9721" s="6"/>
    </row>
    <row r="9722" s="1" customFormat="1" ht="13.5">
      <c r="G9722" s="6"/>
    </row>
    <row r="9723" s="1" customFormat="1" ht="13.5">
      <c r="G9723" s="6"/>
    </row>
    <row r="9724" s="1" customFormat="1" ht="13.5">
      <c r="G9724" s="6"/>
    </row>
    <row r="9725" s="1" customFormat="1" ht="13.5">
      <c r="G9725" s="6"/>
    </row>
    <row r="9726" s="1" customFormat="1" ht="13.5">
      <c r="G9726" s="6"/>
    </row>
    <row r="9727" s="1" customFormat="1" ht="13.5">
      <c r="G9727" s="6"/>
    </row>
    <row r="9728" s="1" customFormat="1" ht="13.5">
      <c r="G9728" s="6"/>
    </row>
    <row r="9729" s="1" customFormat="1" ht="13.5">
      <c r="G9729" s="6"/>
    </row>
    <row r="9730" s="1" customFormat="1" ht="13.5">
      <c r="G9730" s="6"/>
    </row>
    <row r="9731" s="1" customFormat="1" ht="13.5">
      <c r="G9731" s="6"/>
    </row>
    <row r="9732" s="1" customFormat="1" ht="13.5">
      <c r="G9732" s="6"/>
    </row>
    <row r="9733" s="1" customFormat="1" ht="13.5">
      <c r="G9733" s="6"/>
    </row>
    <row r="9734" s="1" customFormat="1" ht="13.5">
      <c r="G9734" s="6"/>
    </row>
    <row r="9735" s="1" customFormat="1" ht="13.5">
      <c r="G9735" s="6"/>
    </row>
    <row r="9736" s="1" customFormat="1" ht="13.5">
      <c r="G9736" s="6"/>
    </row>
    <row r="9737" s="1" customFormat="1" ht="13.5">
      <c r="G9737" s="6"/>
    </row>
    <row r="9738" s="1" customFormat="1" ht="13.5">
      <c r="G9738" s="6"/>
    </row>
    <row r="9739" s="1" customFormat="1" ht="13.5">
      <c r="G9739" s="6"/>
    </row>
    <row r="9740" s="1" customFormat="1" ht="13.5">
      <c r="G9740" s="6"/>
    </row>
    <row r="9741" s="1" customFormat="1" ht="13.5">
      <c r="G9741" s="6"/>
    </row>
    <row r="9742" s="1" customFormat="1" ht="13.5">
      <c r="G9742" s="6"/>
    </row>
    <row r="9743" s="1" customFormat="1" ht="13.5">
      <c r="G9743" s="6"/>
    </row>
    <row r="9744" s="1" customFormat="1" ht="13.5">
      <c r="G9744" s="6"/>
    </row>
    <row r="9745" s="1" customFormat="1" ht="13.5">
      <c r="G9745" s="6"/>
    </row>
    <row r="9746" s="1" customFormat="1" ht="13.5">
      <c r="G9746" s="6"/>
    </row>
    <row r="9747" s="1" customFormat="1" ht="13.5">
      <c r="G9747" s="6"/>
    </row>
    <row r="9748" s="1" customFormat="1" ht="13.5">
      <c r="G9748" s="6"/>
    </row>
    <row r="9749" s="1" customFormat="1" ht="13.5">
      <c r="G9749" s="6"/>
    </row>
    <row r="9750" s="1" customFormat="1" ht="13.5">
      <c r="G9750" s="6"/>
    </row>
    <row r="9751" s="1" customFormat="1" ht="13.5">
      <c r="G9751" s="6"/>
    </row>
    <row r="9752" s="1" customFormat="1" ht="13.5">
      <c r="G9752" s="6"/>
    </row>
    <row r="9753" s="1" customFormat="1" ht="13.5">
      <c r="G9753" s="6"/>
    </row>
    <row r="9754" s="1" customFormat="1" ht="13.5">
      <c r="G9754" s="6"/>
    </row>
    <row r="9755" s="1" customFormat="1" ht="13.5">
      <c r="G9755" s="6"/>
    </row>
    <row r="9756" s="1" customFormat="1" ht="13.5">
      <c r="G9756" s="6"/>
    </row>
    <row r="9757" s="1" customFormat="1" ht="13.5">
      <c r="G9757" s="6"/>
    </row>
    <row r="9758" s="1" customFormat="1" ht="13.5">
      <c r="G9758" s="6"/>
    </row>
    <row r="9759" s="1" customFormat="1" ht="13.5">
      <c r="G9759" s="6"/>
    </row>
    <row r="9760" s="1" customFormat="1" ht="13.5">
      <c r="G9760" s="6"/>
    </row>
    <row r="9761" s="1" customFormat="1" ht="13.5">
      <c r="G9761" s="6"/>
    </row>
    <row r="9762" s="1" customFormat="1" ht="13.5">
      <c r="G9762" s="6"/>
    </row>
    <row r="9763" s="1" customFormat="1" ht="13.5">
      <c r="G9763" s="6"/>
    </row>
    <row r="9764" s="1" customFormat="1" ht="13.5">
      <c r="G9764" s="6"/>
    </row>
    <row r="9765" s="1" customFormat="1" ht="13.5">
      <c r="G9765" s="6"/>
    </row>
    <row r="9766" s="1" customFormat="1" ht="13.5">
      <c r="G9766" s="6"/>
    </row>
    <row r="9767" s="1" customFormat="1" ht="13.5">
      <c r="G9767" s="6"/>
    </row>
    <row r="9768" s="1" customFormat="1" ht="13.5">
      <c r="G9768" s="6"/>
    </row>
    <row r="9769" s="1" customFormat="1" ht="13.5">
      <c r="G9769" s="6"/>
    </row>
    <row r="9770" s="1" customFormat="1" ht="13.5">
      <c r="G9770" s="6"/>
    </row>
    <row r="9771" s="1" customFormat="1" ht="13.5">
      <c r="G9771" s="6"/>
    </row>
    <row r="9772" s="1" customFormat="1" ht="13.5">
      <c r="G9772" s="6"/>
    </row>
    <row r="9773" s="1" customFormat="1" ht="13.5">
      <c r="G9773" s="6"/>
    </row>
    <row r="9774" s="1" customFormat="1" ht="13.5">
      <c r="G9774" s="6"/>
    </row>
    <row r="9775" s="1" customFormat="1" ht="13.5">
      <c r="G9775" s="6"/>
    </row>
    <row r="9776" s="1" customFormat="1" ht="13.5">
      <c r="G9776" s="6"/>
    </row>
    <row r="9777" s="1" customFormat="1" ht="13.5">
      <c r="G9777" s="6"/>
    </row>
    <row r="9778" s="1" customFormat="1" ht="13.5">
      <c r="G9778" s="6"/>
    </row>
    <row r="9779" s="1" customFormat="1" ht="13.5">
      <c r="G9779" s="6"/>
    </row>
    <row r="9780" s="1" customFormat="1" ht="13.5">
      <c r="G9780" s="6"/>
    </row>
    <row r="9781" s="1" customFormat="1" ht="13.5">
      <c r="G9781" s="6"/>
    </row>
    <row r="9782" s="1" customFormat="1" ht="13.5">
      <c r="G9782" s="6"/>
    </row>
    <row r="9783" s="1" customFormat="1" ht="13.5">
      <c r="G9783" s="6"/>
    </row>
    <row r="9784" s="1" customFormat="1" ht="13.5">
      <c r="G9784" s="6"/>
    </row>
    <row r="9785" s="1" customFormat="1" ht="13.5">
      <c r="G9785" s="6"/>
    </row>
    <row r="9786" s="1" customFormat="1" ht="13.5">
      <c r="G9786" s="6"/>
    </row>
    <row r="9787" s="1" customFormat="1" ht="13.5">
      <c r="G9787" s="6"/>
    </row>
    <row r="9788" s="1" customFormat="1" ht="13.5">
      <c r="G9788" s="6"/>
    </row>
    <row r="9789" s="1" customFormat="1" ht="13.5">
      <c r="G9789" s="6"/>
    </row>
    <row r="9790" s="1" customFormat="1" ht="13.5">
      <c r="G9790" s="6"/>
    </row>
    <row r="9791" s="1" customFormat="1" ht="13.5">
      <c r="G9791" s="6"/>
    </row>
    <row r="9792" s="1" customFormat="1" ht="13.5">
      <c r="G9792" s="6"/>
    </row>
    <row r="9793" s="1" customFormat="1" ht="13.5">
      <c r="G9793" s="6"/>
    </row>
    <row r="9794" s="1" customFormat="1" ht="13.5">
      <c r="G9794" s="6"/>
    </row>
    <row r="9795" s="1" customFormat="1" ht="13.5">
      <c r="G9795" s="6"/>
    </row>
    <row r="9796" s="1" customFormat="1" ht="13.5">
      <c r="G9796" s="6"/>
    </row>
    <row r="9797" s="1" customFormat="1" ht="13.5">
      <c r="G9797" s="6"/>
    </row>
    <row r="9798" s="1" customFormat="1" ht="13.5">
      <c r="G9798" s="6"/>
    </row>
    <row r="9799" s="1" customFormat="1" ht="13.5">
      <c r="G9799" s="6"/>
    </row>
    <row r="9800" s="1" customFormat="1" ht="13.5">
      <c r="G9800" s="6"/>
    </row>
    <row r="9801" s="1" customFormat="1" ht="13.5">
      <c r="G9801" s="6"/>
    </row>
    <row r="9802" s="1" customFormat="1" ht="13.5">
      <c r="G9802" s="6"/>
    </row>
    <row r="9803" s="1" customFormat="1" ht="13.5">
      <c r="G9803" s="6"/>
    </row>
    <row r="9804" s="1" customFormat="1" ht="13.5">
      <c r="G9804" s="6"/>
    </row>
    <row r="9805" s="1" customFormat="1" ht="13.5">
      <c r="G9805" s="6"/>
    </row>
    <row r="9806" s="1" customFormat="1" ht="13.5">
      <c r="G9806" s="6"/>
    </row>
    <row r="9807" s="1" customFormat="1" ht="13.5">
      <c r="G9807" s="6"/>
    </row>
    <row r="9808" s="1" customFormat="1" ht="13.5">
      <c r="G9808" s="6"/>
    </row>
    <row r="9809" s="1" customFormat="1" ht="13.5">
      <c r="G9809" s="6"/>
    </row>
    <row r="9810" s="1" customFormat="1" ht="13.5">
      <c r="G9810" s="6"/>
    </row>
    <row r="9811" s="1" customFormat="1" ht="13.5">
      <c r="G9811" s="6"/>
    </row>
    <row r="9812" s="1" customFormat="1" ht="13.5">
      <c r="G9812" s="6"/>
    </row>
    <row r="9813" s="1" customFormat="1" ht="13.5">
      <c r="G9813" s="6"/>
    </row>
    <row r="9814" s="1" customFormat="1" ht="13.5">
      <c r="G9814" s="6"/>
    </row>
    <row r="9815" s="1" customFormat="1" ht="13.5">
      <c r="G9815" s="6"/>
    </row>
    <row r="9816" s="1" customFormat="1" ht="13.5">
      <c r="G9816" s="6"/>
    </row>
    <row r="9817" s="1" customFormat="1" ht="13.5">
      <c r="G9817" s="6"/>
    </row>
    <row r="9818" s="1" customFormat="1" ht="13.5">
      <c r="G9818" s="6"/>
    </row>
    <row r="9819" s="1" customFormat="1" ht="13.5">
      <c r="G9819" s="6"/>
    </row>
    <row r="9820" s="1" customFormat="1" ht="13.5">
      <c r="G9820" s="6"/>
    </row>
    <row r="9821" s="1" customFormat="1" ht="13.5">
      <c r="G9821" s="6"/>
    </row>
    <row r="9822" s="1" customFormat="1" ht="13.5">
      <c r="G9822" s="6"/>
    </row>
    <row r="9823" s="1" customFormat="1" ht="13.5">
      <c r="G9823" s="6"/>
    </row>
    <row r="9824" s="1" customFormat="1" ht="13.5">
      <c r="G9824" s="6"/>
    </row>
    <row r="9825" s="1" customFormat="1" ht="13.5">
      <c r="G9825" s="6"/>
    </row>
    <row r="9826" s="1" customFormat="1" ht="13.5">
      <c r="G9826" s="6"/>
    </row>
    <row r="9827" s="1" customFormat="1" ht="13.5">
      <c r="G9827" s="6"/>
    </row>
    <row r="9828" s="1" customFormat="1" ht="13.5">
      <c r="G9828" s="6"/>
    </row>
    <row r="9829" s="1" customFormat="1" ht="13.5">
      <c r="G9829" s="6"/>
    </row>
    <row r="9830" s="1" customFormat="1" ht="13.5">
      <c r="G9830" s="6"/>
    </row>
    <row r="9831" s="1" customFormat="1" ht="13.5">
      <c r="G9831" s="6"/>
    </row>
    <row r="9832" s="1" customFormat="1" ht="13.5">
      <c r="G9832" s="6"/>
    </row>
    <row r="9833" s="1" customFormat="1" ht="13.5">
      <c r="G9833" s="6"/>
    </row>
    <row r="9834" s="1" customFormat="1" ht="13.5">
      <c r="G9834" s="6"/>
    </row>
    <row r="9835" s="1" customFormat="1" ht="13.5">
      <c r="G9835" s="6"/>
    </row>
    <row r="9836" s="1" customFormat="1" ht="13.5">
      <c r="G9836" s="6"/>
    </row>
    <row r="9837" s="1" customFormat="1" ht="13.5">
      <c r="G9837" s="6"/>
    </row>
    <row r="9838" s="1" customFormat="1" ht="13.5">
      <c r="G9838" s="6"/>
    </row>
    <row r="9839" s="1" customFormat="1" ht="13.5">
      <c r="G9839" s="6"/>
    </row>
    <row r="9840" s="1" customFormat="1" ht="13.5">
      <c r="G9840" s="6"/>
    </row>
    <row r="9841" s="1" customFormat="1" ht="13.5">
      <c r="G9841" s="6"/>
    </row>
    <row r="9842" s="1" customFormat="1" ht="13.5">
      <c r="G9842" s="6"/>
    </row>
    <row r="9843" s="1" customFormat="1" ht="13.5">
      <c r="G9843" s="6"/>
    </row>
    <row r="9844" s="1" customFormat="1" ht="13.5">
      <c r="G9844" s="6"/>
    </row>
    <row r="9845" s="1" customFormat="1" ht="13.5">
      <c r="G9845" s="6"/>
    </row>
    <row r="9846" s="1" customFormat="1" ht="13.5">
      <c r="G9846" s="6"/>
    </row>
    <row r="9847" s="1" customFormat="1" ht="13.5">
      <c r="G9847" s="6"/>
    </row>
    <row r="9848" s="1" customFormat="1" ht="13.5">
      <c r="G9848" s="6"/>
    </row>
    <row r="9849" s="1" customFormat="1" ht="13.5">
      <c r="G9849" s="6"/>
    </row>
    <row r="9850" s="1" customFormat="1" ht="13.5">
      <c r="G9850" s="6"/>
    </row>
    <row r="9851" s="1" customFormat="1" ht="13.5">
      <c r="G9851" s="6"/>
    </row>
    <row r="9852" s="1" customFormat="1" ht="13.5">
      <c r="G9852" s="6"/>
    </row>
    <row r="9853" s="1" customFormat="1" ht="13.5">
      <c r="G9853" s="6"/>
    </row>
    <row r="9854" s="1" customFormat="1" ht="13.5">
      <c r="G9854" s="6"/>
    </row>
    <row r="9855" s="1" customFormat="1" ht="13.5">
      <c r="G9855" s="6"/>
    </row>
    <row r="9856" s="1" customFormat="1" ht="13.5">
      <c r="G9856" s="6"/>
    </row>
    <row r="9857" s="1" customFormat="1" ht="13.5">
      <c r="G9857" s="6"/>
    </row>
    <row r="9858" s="1" customFormat="1" ht="13.5">
      <c r="G9858" s="6"/>
    </row>
    <row r="9859" s="1" customFormat="1" ht="13.5">
      <c r="G9859" s="6"/>
    </row>
    <row r="9860" s="1" customFormat="1" ht="13.5">
      <c r="G9860" s="6"/>
    </row>
    <row r="9861" s="1" customFormat="1" ht="13.5">
      <c r="G9861" s="6"/>
    </row>
    <row r="9862" s="1" customFormat="1" ht="13.5">
      <c r="G9862" s="6"/>
    </row>
    <row r="9863" s="1" customFormat="1" ht="13.5">
      <c r="G9863" s="6"/>
    </row>
    <row r="9864" s="1" customFormat="1" ht="13.5">
      <c r="G9864" s="6"/>
    </row>
    <row r="9865" s="1" customFormat="1" ht="13.5">
      <c r="G9865" s="6"/>
    </row>
    <row r="9866" s="1" customFormat="1" ht="13.5">
      <c r="G9866" s="6"/>
    </row>
    <row r="9867" s="1" customFormat="1" ht="13.5">
      <c r="G9867" s="6"/>
    </row>
    <row r="9868" s="1" customFormat="1" ht="13.5">
      <c r="G9868" s="6"/>
    </row>
    <row r="9869" s="1" customFormat="1" ht="13.5">
      <c r="G9869" s="6"/>
    </row>
    <row r="9870" s="1" customFormat="1" ht="13.5">
      <c r="G9870" s="6"/>
    </row>
    <row r="9871" s="1" customFormat="1" ht="13.5">
      <c r="G9871" s="6"/>
    </row>
    <row r="9872" s="1" customFormat="1" ht="13.5">
      <c r="G9872" s="6"/>
    </row>
    <row r="9873" s="1" customFormat="1" ht="13.5">
      <c r="G9873" s="6"/>
    </row>
    <row r="9874" s="1" customFormat="1" ht="13.5">
      <c r="G9874" s="6"/>
    </row>
    <row r="9875" s="1" customFormat="1" ht="13.5">
      <c r="G9875" s="6"/>
    </row>
    <row r="9876" s="1" customFormat="1" ht="13.5">
      <c r="G9876" s="6"/>
    </row>
    <row r="9877" s="1" customFormat="1" ht="13.5">
      <c r="G9877" s="6"/>
    </row>
    <row r="9878" s="1" customFormat="1" ht="13.5">
      <c r="G9878" s="6"/>
    </row>
    <row r="9879" s="1" customFormat="1" ht="13.5">
      <c r="G9879" s="6"/>
    </row>
    <row r="9880" s="1" customFormat="1" ht="13.5">
      <c r="G9880" s="6"/>
    </row>
    <row r="9881" s="1" customFormat="1" ht="13.5">
      <c r="G9881" s="6"/>
    </row>
    <row r="9882" s="1" customFormat="1" ht="13.5">
      <c r="G9882" s="6"/>
    </row>
    <row r="9883" s="1" customFormat="1" ht="13.5">
      <c r="G9883" s="6"/>
    </row>
    <row r="9884" s="1" customFormat="1" ht="13.5">
      <c r="G9884" s="6"/>
    </row>
    <row r="9885" s="1" customFormat="1" ht="13.5">
      <c r="G9885" s="6"/>
    </row>
    <row r="9886" s="1" customFormat="1" ht="13.5">
      <c r="G9886" s="6"/>
    </row>
    <row r="9887" s="1" customFormat="1" ht="13.5">
      <c r="G9887" s="6"/>
    </row>
    <row r="9888" s="1" customFormat="1" ht="13.5">
      <c r="G9888" s="6"/>
    </row>
    <row r="9889" s="1" customFormat="1" ht="13.5">
      <c r="G9889" s="6"/>
    </row>
    <row r="9890" s="1" customFormat="1" ht="13.5">
      <c r="G9890" s="6"/>
    </row>
    <row r="9891" s="1" customFormat="1" ht="13.5">
      <c r="G9891" s="6"/>
    </row>
    <row r="9892" s="1" customFormat="1" ht="13.5">
      <c r="G9892" s="6"/>
    </row>
    <row r="9893" s="1" customFormat="1" ht="13.5">
      <c r="G9893" s="6"/>
    </row>
    <row r="9894" s="1" customFormat="1" ht="13.5">
      <c r="G9894" s="6"/>
    </row>
    <row r="9895" s="1" customFormat="1" ht="13.5">
      <c r="G9895" s="6"/>
    </row>
    <row r="9896" s="1" customFormat="1" ht="13.5">
      <c r="G9896" s="6"/>
    </row>
    <row r="9897" s="1" customFormat="1" ht="13.5">
      <c r="G9897" s="6"/>
    </row>
    <row r="9898" s="1" customFormat="1" ht="13.5">
      <c r="G9898" s="6"/>
    </row>
    <row r="9899" s="1" customFormat="1" ht="13.5">
      <c r="G9899" s="6"/>
    </row>
    <row r="9900" s="1" customFormat="1" ht="13.5">
      <c r="G9900" s="6"/>
    </row>
    <row r="9901" s="1" customFormat="1" ht="13.5">
      <c r="G9901" s="6"/>
    </row>
    <row r="9902" s="1" customFormat="1" ht="13.5">
      <c r="G9902" s="6"/>
    </row>
    <row r="9903" s="1" customFormat="1" ht="13.5">
      <c r="G9903" s="6"/>
    </row>
    <row r="9904" s="1" customFormat="1" ht="13.5">
      <c r="G9904" s="6"/>
    </row>
    <row r="9905" s="1" customFormat="1" ht="13.5">
      <c r="G9905" s="6"/>
    </row>
    <row r="9906" s="1" customFormat="1" ht="13.5">
      <c r="G9906" s="6"/>
    </row>
    <row r="9907" s="1" customFormat="1" ht="13.5">
      <c r="G9907" s="6"/>
    </row>
    <row r="9908" s="1" customFormat="1" ht="13.5">
      <c r="G9908" s="6"/>
    </row>
    <row r="9909" s="1" customFormat="1" ht="13.5">
      <c r="G9909" s="6"/>
    </row>
    <row r="9910" s="1" customFormat="1" ht="13.5">
      <c r="G9910" s="6"/>
    </row>
    <row r="9911" s="1" customFormat="1" ht="13.5">
      <c r="G9911" s="6"/>
    </row>
    <row r="9912" s="1" customFormat="1" ht="13.5">
      <c r="G9912" s="6"/>
    </row>
    <row r="9913" s="1" customFormat="1" ht="13.5">
      <c r="G9913" s="6"/>
    </row>
    <row r="9914" s="1" customFormat="1" ht="13.5">
      <c r="G9914" s="6"/>
    </row>
    <row r="9915" s="1" customFormat="1" ht="13.5">
      <c r="G9915" s="6"/>
    </row>
    <row r="9916" s="1" customFormat="1" ht="13.5">
      <c r="G9916" s="6"/>
    </row>
    <row r="9917" s="1" customFormat="1" ht="13.5">
      <c r="G9917" s="6"/>
    </row>
    <row r="9918" s="1" customFormat="1" ht="13.5">
      <c r="G9918" s="6"/>
    </row>
    <row r="9919" s="1" customFormat="1" ht="13.5">
      <c r="G9919" s="6"/>
    </row>
    <row r="9920" s="1" customFormat="1" ht="13.5">
      <c r="G9920" s="6"/>
    </row>
    <row r="9921" s="1" customFormat="1" ht="13.5">
      <c r="G9921" s="6"/>
    </row>
    <row r="9922" s="1" customFormat="1" ht="13.5">
      <c r="G9922" s="6"/>
    </row>
    <row r="9923" s="1" customFormat="1" ht="13.5">
      <c r="G9923" s="6"/>
    </row>
    <row r="9924" s="1" customFormat="1" ht="13.5">
      <c r="G9924" s="6"/>
    </row>
    <row r="9925" s="1" customFormat="1" ht="13.5">
      <c r="G9925" s="6"/>
    </row>
    <row r="9926" s="1" customFormat="1" ht="13.5">
      <c r="G9926" s="6"/>
    </row>
    <row r="9927" s="1" customFormat="1" ht="13.5">
      <c r="G9927" s="6"/>
    </row>
    <row r="9928" s="1" customFormat="1" ht="13.5">
      <c r="G9928" s="6"/>
    </row>
    <row r="9929" s="1" customFormat="1" ht="13.5">
      <c r="G9929" s="6"/>
    </row>
    <row r="9930" s="1" customFormat="1" ht="13.5">
      <c r="G9930" s="6"/>
    </row>
    <row r="9931" s="1" customFormat="1" ht="13.5">
      <c r="G9931" s="6"/>
    </row>
    <row r="9932" s="1" customFormat="1" ht="13.5">
      <c r="G9932" s="6"/>
    </row>
    <row r="9933" s="1" customFormat="1" ht="13.5">
      <c r="G9933" s="6"/>
    </row>
    <row r="9934" s="1" customFormat="1" ht="13.5">
      <c r="G9934" s="6"/>
    </row>
    <row r="9935" s="1" customFormat="1" ht="13.5">
      <c r="G9935" s="6"/>
    </row>
    <row r="9936" s="1" customFormat="1" ht="13.5">
      <c r="G9936" s="6"/>
    </row>
    <row r="9937" s="1" customFormat="1" ht="13.5">
      <c r="G9937" s="6"/>
    </row>
    <row r="9938" s="1" customFormat="1" ht="13.5">
      <c r="G9938" s="6"/>
    </row>
    <row r="9939" s="1" customFormat="1" ht="13.5">
      <c r="G9939" s="6"/>
    </row>
    <row r="9940" s="1" customFormat="1" ht="13.5">
      <c r="G9940" s="6"/>
    </row>
    <row r="9941" s="1" customFormat="1" ht="13.5">
      <c r="G9941" s="6"/>
    </row>
    <row r="9942" s="1" customFormat="1" ht="13.5">
      <c r="G9942" s="6"/>
    </row>
    <row r="9943" s="1" customFormat="1" ht="13.5">
      <c r="G9943" s="6"/>
    </row>
    <row r="9944" s="1" customFormat="1" ht="13.5">
      <c r="G9944" s="6"/>
    </row>
    <row r="9945" s="1" customFormat="1" ht="13.5">
      <c r="G9945" s="6"/>
    </row>
    <row r="9946" s="1" customFormat="1" ht="13.5">
      <c r="G9946" s="6"/>
    </row>
    <row r="9947" s="1" customFormat="1" ht="13.5">
      <c r="G9947" s="6"/>
    </row>
    <row r="9948" s="1" customFormat="1" ht="13.5">
      <c r="G9948" s="6"/>
    </row>
    <row r="9949" s="1" customFormat="1" ht="13.5">
      <c r="G9949" s="6"/>
    </row>
    <row r="9950" s="1" customFormat="1" ht="13.5">
      <c r="G9950" s="6"/>
    </row>
    <row r="9951" s="1" customFormat="1" ht="13.5">
      <c r="G9951" s="6"/>
    </row>
    <row r="9952" s="1" customFormat="1" ht="13.5">
      <c r="G9952" s="6"/>
    </row>
    <row r="9953" s="1" customFormat="1" ht="13.5">
      <c r="G9953" s="6"/>
    </row>
    <row r="9954" s="1" customFormat="1" ht="13.5">
      <c r="G9954" s="6"/>
    </row>
    <row r="9955" s="1" customFormat="1" ht="13.5">
      <c r="G9955" s="6"/>
    </row>
    <row r="9956" s="1" customFormat="1" ht="13.5">
      <c r="G9956" s="6"/>
    </row>
    <row r="9957" s="1" customFormat="1" ht="13.5">
      <c r="G9957" s="6"/>
    </row>
    <row r="9958" s="1" customFormat="1" ht="13.5">
      <c r="G9958" s="6"/>
    </row>
    <row r="9959" s="1" customFormat="1" ht="13.5">
      <c r="G9959" s="6"/>
    </row>
    <row r="9960" s="1" customFormat="1" ht="13.5">
      <c r="G9960" s="6"/>
    </row>
    <row r="9961" s="1" customFormat="1" ht="13.5">
      <c r="G9961" s="6"/>
    </row>
    <row r="9962" s="1" customFormat="1" ht="13.5">
      <c r="G9962" s="6"/>
    </row>
    <row r="9963" s="1" customFormat="1" ht="13.5">
      <c r="G9963" s="6"/>
    </row>
    <row r="9964" s="1" customFormat="1" ht="13.5">
      <c r="G9964" s="6"/>
    </row>
    <row r="9965" s="1" customFormat="1" ht="13.5">
      <c r="G9965" s="6"/>
    </row>
    <row r="9966" s="1" customFormat="1" ht="13.5">
      <c r="G9966" s="6"/>
    </row>
    <row r="9967" s="1" customFormat="1" ht="13.5">
      <c r="G9967" s="6"/>
    </row>
    <row r="9968" s="1" customFormat="1" ht="13.5">
      <c r="G9968" s="6"/>
    </row>
    <row r="9969" s="1" customFormat="1" ht="13.5">
      <c r="G9969" s="6"/>
    </row>
    <row r="9970" s="1" customFormat="1" ht="13.5">
      <c r="G9970" s="6"/>
    </row>
    <row r="9971" s="1" customFormat="1" ht="13.5">
      <c r="G9971" s="6"/>
    </row>
    <row r="9972" s="1" customFormat="1" ht="13.5">
      <c r="G9972" s="6"/>
    </row>
    <row r="9973" s="1" customFormat="1" ht="13.5">
      <c r="G9973" s="6"/>
    </row>
    <row r="9974" s="1" customFormat="1" ht="13.5">
      <c r="G9974" s="6"/>
    </row>
    <row r="9975" s="1" customFormat="1" ht="13.5">
      <c r="G9975" s="6"/>
    </row>
    <row r="9976" s="1" customFormat="1" ht="13.5">
      <c r="G9976" s="6"/>
    </row>
    <row r="9977" s="1" customFormat="1" ht="13.5">
      <c r="G9977" s="6"/>
    </row>
    <row r="9978" s="1" customFormat="1" ht="13.5">
      <c r="G9978" s="6"/>
    </row>
    <row r="9979" s="1" customFormat="1" ht="13.5">
      <c r="G9979" s="6"/>
    </row>
    <row r="9980" s="1" customFormat="1" ht="13.5">
      <c r="G9980" s="6"/>
    </row>
    <row r="9981" s="1" customFormat="1" ht="13.5">
      <c r="G9981" s="6"/>
    </row>
    <row r="9982" s="1" customFormat="1" ht="13.5">
      <c r="G9982" s="6"/>
    </row>
    <row r="9983" s="1" customFormat="1" ht="13.5">
      <c r="G9983" s="6"/>
    </row>
    <row r="9984" s="1" customFormat="1" ht="13.5">
      <c r="G9984" s="6"/>
    </row>
    <row r="9985" s="1" customFormat="1" ht="13.5">
      <c r="G9985" s="6"/>
    </row>
    <row r="9986" s="1" customFormat="1" ht="13.5">
      <c r="G9986" s="6"/>
    </row>
    <row r="9987" s="1" customFormat="1" ht="13.5">
      <c r="G9987" s="6"/>
    </row>
    <row r="9988" s="1" customFormat="1" ht="13.5">
      <c r="G9988" s="6"/>
    </row>
    <row r="9989" s="1" customFormat="1" ht="13.5">
      <c r="G9989" s="6"/>
    </row>
    <row r="9990" s="1" customFormat="1" ht="13.5">
      <c r="G9990" s="6"/>
    </row>
    <row r="9991" s="1" customFormat="1" ht="13.5">
      <c r="G9991" s="6"/>
    </row>
    <row r="9992" s="1" customFormat="1" ht="13.5">
      <c r="G9992" s="6"/>
    </row>
    <row r="9993" s="1" customFormat="1" ht="13.5">
      <c r="G9993" s="6"/>
    </row>
    <row r="9994" s="1" customFormat="1" ht="13.5">
      <c r="G9994" s="6"/>
    </row>
    <row r="9995" s="1" customFormat="1" ht="13.5">
      <c r="G9995" s="6"/>
    </row>
    <row r="9996" s="1" customFormat="1" ht="13.5">
      <c r="G9996" s="6"/>
    </row>
    <row r="9997" s="1" customFormat="1" ht="13.5">
      <c r="G9997" s="6"/>
    </row>
    <row r="9998" s="1" customFormat="1" ht="13.5">
      <c r="G9998" s="6"/>
    </row>
    <row r="9999" s="1" customFormat="1" ht="13.5">
      <c r="G9999" s="6"/>
    </row>
    <row r="10000" s="1" customFormat="1" ht="13.5">
      <c r="G10000" s="6"/>
    </row>
    <row r="10001" s="1" customFormat="1" ht="13.5">
      <c r="G10001" s="6"/>
    </row>
    <row r="10002" s="1" customFormat="1" ht="13.5">
      <c r="G10002" s="6"/>
    </row>
    <row r="10003" s="1" customFormat="1" ht="13.5">
      <c r="G10003" s="6"/>
    </row>
    <row r="10004" s="1" customFormat="1" ht="13.5">
      <c r="G10004" s="6"/>
    </row>
    <row r="10005" s="1" customFormat="1" ht="13.5">
      <c r="G10005" s="6"/>
    </row>
    <row r="10006" s="1" customFormat="1" ht="13.5">
      <c r="G10006" s="6"/>
    </row>
    <row r="10007" s="1" customFormat="1" ht="13.5">
      <c r="G10007" s="6"/>
    </row>
    <row r="10008" s="1" customFormat="1" ht="13.5">
      <c r="G10008" s="6"/>
    </row>
    <row r="10009" s="1" customFormat="1" ht="13.5">
      <c r="G10009" s="6"/>
    </row>
    <row r="10010" s="1" customFormat="1" ht="13.5">
      <c r="G10010" s="6"/>
    </row>
    <row r="10011" s="1" customFormat="1" ht="13.5">
      <c r="G10011" s="6"/>
    </row>
    <row r="10012" s="1" customFormat="1" ht="13.5">
      <c r="G10012" s="6"/>
    </row>
    <row r="10013" s="1" customFormat="1" ht="13.5">
      <c r="G10013" s="6"/>
    </row>
    <row r="10014" s="1" customFormat="1" ht="13.5">
      <c r="G10014" s="6"/>
    </row>
    <row r="10015" s="1" customFormat="1" ht="13.5">
      <c r="G10015" s="6"/>
    </row>
    <row r="10016" s="1" customFormat="1" ht="13.5">
      <c r="G10016" s="6"/>
    </row>
    <row r="10017" s="1" customFormat="1" ht="13.5">
      <c r="G10017" s="6"/>
    </row>
    <row r="10018" s="1" customFormat="1" ht="13.5">
      <c r="G10018" s="6"/>
    </row>
    <row r="10019" s="1" customFormat="1" ht="13.5">
      <c r="G10019" s="6"/>
    </row>
    <row r="10020" s="1" customFormat="1" ht="13.5">
      <c r="G10020" s="6"/>
    </row>
    <row r="10021" s="1" customFormat="1" ht="13.5">
      <c r="G10021" s="6"/>
    </row>
    <row r="10022" s="1" customFormat="1" ht="13.5">
      <c r="G10022" s="6"/>
    </row>
    <row r="10023" s="1" customFormat="1" ht="13.5">
      <c r="G10023" s="6"/>
    </row>
    <row r="10024" s="1" customFormat="1" ht="13.5">
      <c r="G10024" s="6"/>
    </row>
    <row r="10025" s="1" customFormat="1" ht="13.5">
      <c r="G10025" s="6"/>
    </row>
    <row r="10026" s="1" customFormat="1" ht="13.5">
      <c r="G10026" s="6"/>
    </row>
    <row r="10027" s="1" customFormat="1" ht="13.5">
      <c r="G10027" s="6"/>
    </row>
    <row r="10028" s="1" customFormat="1" ht="13.5">
      <c r="G10028" s="6"/>
    </row>
    <row r="10029" s="1" customFormat="1" ht="13.5">
      <c r="G10029" s="6"/>
    </row>
    <row r="10030" s="1" customFormat="1" ht="13.5">
      <c r="G10030" s="6"/>
    </row>
    <row r="10031" s="1" customFormat="1" ht="13.5">
      <c r="G10031" s="6"/>
    </row>
    <row r="10032" s="1" customFormat="1" ht="13.5">
      <c r="G10032" s="6"/>
    </row>
    <row r="10033" s="1" customFormat="1" ht="13.5">
      <c r="G10033" s="6"/>
    </row>
    <row r="10034" s="1" customFormat="1" ht="13.5">
      <c r="G10034" s="6"/>
    </row>
    <row r="10035" s="1" customFormat="1" ht="13.5">
      <c r="G10035" s="6"/>
    </row>
    <row r="10036" s="1" customFormat="1" ht="13.5">
      <c r="G10036" s="6"/>
    </row>
    <row r="10037" s="1" customFormat="1" ht="13.5">
      <c r="G10037" s="6"/>
    </row>
    <row r="10038" s="1" customFormat="1" ht="13.5">
      <c r="G10038" s="6"/>
    </row>
    <row r="10039" s="1" customFormat="1" ht="13.5">
      <c r="G10039" s="6"/>
    </row>
    <row r="10040" s="1" customFormat="1" ht="13.5">
      <c r="G10040" s="6"/>
    </row>
    <row r="10041" s="1" customFormat="1" ht="13.5">
      <c r="G10041" s="6"/>
    </row>
    <row r="10042" s="1" customFormat="1" ht="13.5">
      <c r="G10042" s="6"/>
    </row>
    <row r="10043" s="1" customFormat="1" ht="13.5">
      <c r="G10043" s="6"/>
    </row>
    <row r="10044" s="1" customFormat="1" ht="13.5">
      <c r="G10044" s="6"/>
    </row>
    <row r="10045" s="1" customFormat="1" ht="13.5">
      <c r="G10045" s="6"/>
    </row>
    <row r="10046" s="1" customFormat="1" ht="13.5">
      <c r="G10046" s="6"/>
    </row>
    <row r="10047" s="1" customFormat="1" ht="13.5">
      <c r="G10047" s="6"/>
    </row>
    <row r="10048" s="1" customFormat="1" ht="13.5">
      <c r="G10048" s="6"/>
    </row>
    <row r="10049" s="1" customFormat="1" ht="13.5">
      <c r="G10049" s="6"/>
    </row>
    <row r="10050" s="1" customFormat="1" ht="13.5">
      <c r="G10050" s="6"/>
    </row>
    <row r="10051" s="1" customFormat="1" ht="13.5">
      <c r="G10051" s="6"/>
    </row>
    <row r="10052" s="1" customFormat="1" ht="13.5">
      <c r="G10052" s="6"/>
    </row>
    <row r="10053" s="1" customFormat="1" ht="13.5">
      <c r="G10053" s="6"/>
    </row>
    <row r="10054" s="1" customFormat="1" ht="13.5">
      <c r="G10054" s="6"/>
    </row>
    <row r="10055" s="1" customFormat="1" ht="13.5">
      <c r="G10055" s="6"/>
    </row>
    <row r="10056" s="1" customFormat="1" ht="13.5">
      <c r="G10056" s="6"/>
    </row>
    <row r="10057" s="1" customFormat="1" ht="13.5">
      <c r="G10057" s="6"/>
    </row>
    <row r="10058" s="1" customFormat="1" ht="13.5">
      <c r="G10058" s="6"/>
    </row>
    <row r="10059" s="1" customFormat="1" ht="13.5">
      <c r="G10059" s="6"/>
    </row>
    <row r="10060" s="1" customFormat="1" ht="13.5">
      <c r="G10060" s="6"/>
    </row>
    <row r="10061" s="1" customFormat="1" ht="13.5">
      <c r="G10061" s="6"/>
    </row>
    <row r="10062" s="1" customFormat="1" ht="13.5">
      <c r="G10062" s="6"/>
    </row>
    <row r="10063" s="1" customFormat="1" ht="13.5">
      <c r="G10063" s="6"/>
    </row>
    <row r="10064" s="1" customFormat="1" ht="13.5">
      <c r="G10064" s="6"/>
    </row>
    <row r="10065" s="1" customFormat="1" ht="13.5">
      <c r="G10065" s="6"/>
    </row>
    <row r="10066" s="1" customFormat="1" ht="13.5">
      <c r="G10066" s="6"/>
    </row>
    <row r="10067" s="1" customFormat="1" ht="13.5">
      <c r="G10067" s="6"/>
    </row>
    <row r="10068" s="1" customFormat="1" ht="13.5">
      <c r="G10068" s="6"/>
    </row>
    <row r="10069" s="1" customFormat="1" ht="13.5">
      <c r="G10069" s="6"/>
    </row>
    <row r="10070" s="1" customFormat="1" ht="13.5">
      <c r="G10070" s="6"/>
    </row>
    <row r="10071" s="1" customFormat="1" ht="13.5">
      <c r="G10071" s="6"/>
    </row>
    <row r="10072" s="1" customFormat="1" ht="13.5">
      <c r="G10072" s="6"/>
    </row>
    <row r="10073" s="1" customFormat="1" ht="13.5">
      <c r="G10073" s="6"/>
    </row>
    <row r="10074" s="1" customFormat="1" ht="13.5">
      <c r="G10074" s="6"/>
    </row>
    <row r="10075" s="1" customFormat="1" ht="13.5">
      <c r="G10075" s="6"/>
    </row>
    <row r="10076" s="1" customFormat="1" ht="13.5">
      <c r="G10076" s="6"/>
    </row>
    <row r="10077" s="1" customFormat="1" ht="13.5">
      <c r="G10077" s="6"/>
    </row>
    <row r="10078" s="1" customFormat="1" ht="13.5">
      <c r="G10078" s="6"/>
    </row>
    <row r="10079" s="1" customFormat="1" ht="13.5">
      <c r="G10079" s="6"/>
    </row>
    <row r="10080" s="1" customFormat="1" ht="13.5">
      <c r="G10080" s="6"/>
    </row>
    <row r="10081" s="1" customFormat="1" ht="13.5">
      <c r="G10081" s="6"/>
    </row>
    <row r="10082" s="1" customFormat="1" ht="13.5">
      <c r="G10082" s="6"/>
    </row>
    <row r="10083" s="1" customFormat="1" ht="13.5">
      <c r="G10083" s="6"/>
    </row>
    <row r="10084" s="1" customFormat="1" ht="13.5">
      <c r="G10084" s="6"/>
    </row>
    <row r="10085" s="1" customFormat="1" ht="13.5">
      <c r="G10085" s="6"/>
    </row>
    <row r="10086" s="1" customFormat="1" ht="13.5">
      <c r="G10086" s="6"/>
    </row>
    <row r="10087" s="1" customFormat="1" ht="13.5">
      <c r="G10087" s="6"/>
    </row>
    <row r="10088" s="1" customFormat="1" ht="13.5">
      <c r="G10088" s="6"/>
    </row>
    <row r="10089" s="1" customFormat="1" ht="13.5">
      <c r="G10089" s="6"/>
    </row>
    <row r="10090" s="1" customFormat="1" ht="13.5">
      <c r="G10090" s="6"/>
    </row>
    <row r="10091" s="1" customFormat="1" ht="13.5">
      <c r="G10091" s="6"/>
    </row>
    <row r="10092" s="1" customFormat="1" ht="13.5">
      <c r="G10092" s="6"/>
    </row>
    <row r="10093" s="1" customFormat="1" ht="13.5">
      <c r="G10093" s="6"/>
    </row>
    <row r="10094" s="1" customFormat="1" ht="13.5">
      <c r="G10094" s="6"/>
    </row>
    <row r="10095" s="1" customFormat="1" ht="13.5">
      <c r="G10095" s="6"/>
    </row>
    <row r="10096" s="1" customFormat="1" ht="13.5">
      <c r="G10096" s="6"/>
    </row>
    <row r="10097" s="1" customFormat="1" ht="13.5">
      <c r="G10097" s="6"/>
    </row>
    <row r="10098" s="1" customFormat="1" ht="13.5">
      <c r="G10098" s="6"/>
    </row>
    <row r="10099" s="1" customFormat="1" ht="13.5">
      <c r="G10099" s="6"/>
    </row>
    <row r="10100" s="1" customFormat="1" ht="13.5">
      <c r="G10100" s="6"/>
    </row>
    <row r="10101" s="1" customFormat="1" ht="13.5">
      <c r="G10101" s="6"/>
    </row>
    <row r="10102" s="1" customFormat="1" ht="13.5">
      <c r="G10102" s="6"/>
    </row>
    <row r="10103" s="1" customFormat="1" ht="13.5">
      <c r="G10103" s="6"/>
    </row>
    <row r="10104" s="1" customFormat="1" ht="13.5">
      <c r="G10104" s="6"/>
    </row>
    <row r="10105" s="1" customFormat="1" ht="13.5">
      <c r="G10105" s="6"/>
    </row>
    <row r="10106" s="1" customFormat="1" ht="13.5">
      <c r="G10106" s="6"/>
    </row>
    <row r="10107" s="1" customFormat="1" ht="13.5">
      <c r="G10107" s="6"/>
    </row>
    <row r="10108" s="1" customFormat="1" ht="13.5">
      <c r="G10108" s="6"/>
    </row>
    <row r="10109" s="1" customFormat="1" ht="13.5">
      <c r="G10109" s="6"/>
    </row>
    <row r="10110" s="1" customFormat="1" ht="13.5">
      <c r="G10110" s="6"/>
    </row>
    <row r="10111" s="1" customFormat="1" ht="13.5">
      <c r="G10111" s="6"/>
    </row>
    <row r="10112" s="1" customFormat="1" ht="13.5">
      <c r="G10112" s="6"/>
    </row>
    <row r="10113" s="1" customFormat="1" ht="13.5">
      <c r="G10113" s="6"/>
    </row>
    <row r="10114" s="1" customFormat="1" ht="13.5">
      <c r="G10114" s="6"/>
    </row>
    <row r="10115" s="1" customFormat="1" ht="13.5">
      <c r="G10115" s="6"/>
    </row>
    <row r="10116" s="1" customFormat="1" ht="13.5">
      <c r="G10116" s="6"/>
    </row>
    <row r="10117" s="1" customFormat="1" ht="13.5">
      <c r="G10117" s="6"/>
    </row>
    <row r="10118" s="1" customFormat="1" ht="13.5">
      <c r="G10118" s="6"/>
    </row>
    <row r="10119" s="1" customFormat="1" ht="13.5">
      <c r="G10119" s="6"/>
    </row>
    <row r="10120" s="1" customFormat="1" ht="13.5">
      <c r="G10120" s="6"/>
    </row>
    <row r="10121" s="1" customFormat="1" ht="13.5">
      <c r="G10121" s="6"/>
    </row>
    <row r="10122" s="1" customFormat="1" ht="13.5">
      <c r="G10122" s="6"/>
    </row>
    <row r="10123" s="1" customFormat="1" ht="13.5">
      <c r="G10123" s="6"/>
    </row>
    <row r="10124" s="1" customFormat="1" ht="13.5">
      <c r="G10124" s="6"/>
    </row>
    <row r="10125" s="1" customFormat="1" ht="13.5">
      <c r="G10125" s="6"/>
    </row>
    <row r="10126" s="1" customFormat="1" ht="13.5">
      <c r="G10126" s="6"/>
    </row>
    <row r="10127" s="1" customFormat="1" ht="13.5">
      <c r="G10127" s="6"/>
    </row>
    <row r="10128" s="1" customFormat="1" ht="13.5">
      <c r="G10128" s="6"/>
    </row>
    <row r="10129" s="1" customFormat="1" ht="13.5">
      <c r="G10129" s="6"/>
    </row>
    <row r="10130" s="1" customFormat="1" ht="13.5">
      <c r="G10130" s="6"/>
    </row>
    <row r="10131" s="1" customFormat="1" ht="13.5">
      <c r="G10131" s="6"/>
    </row>
    <row r="10132" s="1" customFormat="1" ht="13.5">
      <c r="G10132" s="6"/>
    </row>
    <row r="10133" s="1" customFormat="1" ht="13.5">
      <c r="G10133" s="6"/>
    </row>
    <row r="10134" s="1" customFormat="1" ht="13.5">
      <c r="G10134" s="6"/>
    </row>
    <row r="10135" s="1" customFormat="1" ht="13.5">
      <c r="G10135" s="6"/>
    </row>
    <row r="10136" s="1" customFormat="1" ht="13.5">
      <c r="G10136" s="6"/>
    </row>
    <row r="10137" s="1" customFormat="1" ht="13.5">
      <c r="G10137" s="6"/>
    </row>
    <row r="10138" s="1" customFormat="1" ht="13.5">
      <c r="G10138" s="6"/>
    </row>
    <row r="10139" s="1" customFormat="1" ht="13.5">
      <c r="G10139" s="6"/>
    </row>
    <row r="10140" s="1" customFormat="1" ht="13.5">
      <c r="G10140" s="6"/>
    </row>
    <row r="10141" s="1" customFormat="1" ht="13.5">
      <c r="G10141" s="6"/>
    </row>
    <row r="10142" s="1" customFormat="1" ht="13.5">
      <c r="G10142" s="6"/>
    </row>
    <row r="10143" s="1" customFormat="1" ht="13.5">
      <c r="G10143" s="6"/>
    </row>
    <row r="10144" s="1" customFormat="1" ht="13.5">
      <c r="G10144" s="6"/>
    </row>
    <row r="10145" s="1" customFormat="1" ht="13.5">
      <c r="G10145" s="6"/>
    </row>
    <row r="10146" s="1" customFormat="1" ht="13.5">
      <c r="G10146" s="6"/>
    </row>
    <row r="10147" s="1" customFormat="1" ht="13.5">
      <c r="G10147" s="6"/>
    </row>
    <row r="10148" s="1" customFormat="1" ht="13.5">
      <c r="G10148" s="6"/>
    </row>
    <row r="10149" s="1" customFormat="1" ht="13.5">
      <c r="G10149" s="6"/>
    </row>
    <row r="10150" s="1" customFormat="1" ht="13.5">
      <c r="G10150" s="6"/>
    </row>
    <row r="10151" s="1" customFormat="1" ht="13.5">
      <c r="G10151" s="6"/>
    </row>
    <row r="10152" s="1" customFormat="1" ht="13.5">
      <c r="G10152" s="6"/>
    </row>
    <row r="10153" s="1" customFormat="1" ht="13.5">
      <c r="G10153" s="6"/>
    </row>
    <row r="10154" s="1" customFormat="1" ht="13.5">
      <c r="G10154" s="6"/>
    </row>
    <row r="10155" s="1" customFormat="1" ht="13.5">
      <c r="G10155" s="6"/>
    </row>
    <row r="10156" s="1" customFormat="1" ht="13.5">
      <c r="G10156" s="6"/>
    </row>
    <row r="10157" s="1" customFormat="1" ht="13.5">
      <c r="G10157" s="6"/>
    </row>
    <row r="10158" s="1" customFormat="1" ht="13.5">
      <c r="G10158" s="6"/>
    </row>
    <row r="10159" s="1" customFormat="1" ht="13.5">
      <c r="G10159" s="6"/>
    </row>
    <row r="10160" s="1" customFormat="1" ht="13.5">
      <c r="G10160" s="6"/>
    </row>
    <row r="10161" s="1" customFormat="1" ht="13.5">
      <c r="G10161" s="6"/>
    </row>
    <row r="10162" s="1" customFormat="1" ht="13.5">
      <c r="G10162" s="6"/>
    </row>
    <row r="10163" s="1" customFormat="1" ht="13.5">
      <c r="G10163" s="6"/>
    </row>
    <row r="10164" s="1" customFormat="1" ht="13.5">
      <c r="G10164" s="6"/>
    </row>
    <row r="10165" s="1" customFormat="1" ht="13.5">
      <c r="G10165" s="6"/>
    </row>
    <row r="10166" s="1" customFormat="1" ht="13.5">
      <c r="G10166" s="6"/>
    </row>
    <row r="10167" s="1" customFormat="1" ht="13.5">
      <c r="G10167" s="6"/>
    </row>
    <row r="10168" s="1" customFormat="1" ht="13.5">
      <c r="G10168" s="6"/>
    </row>
    <row r="10169" s="1" customFormat="1" ht="13.5">
      <c r="G10169" s="6"/>
    </row>
    <row r="10170" s="1" customFormat="1" ht="13.5">
      <c r="G10170" s="6"/>
    </row>
    <row r="10171" s="1" customFormat="1" ht="13.5">
      <c r="G10171" s="6"/>
    </row>
    <row r="10172" s="1" customFormat="1" ht="13.5">
      <c r="G10172" s="6"/>
    </row>
    <row r="10173" s="1" customFormat="1" ht="13.5">
      <c r="G10173" s="6"/>
    </row>
    <row r="10174" s="1" customFormat="1" ht="13.5">
      <c r="G10174" s="6"/>
    </row>
    <row r="10175" s="1" customFormat="1" ht="13.5">
      <c r="G10175" s="6"/>
    </row>
    <row r="10176" s="1" customFormat="1" ht="13.5">
      <c r="G10176" s="6"/>
    </row>
    <row r="10177" s="1" customFormat="1" ht="13.5">
      <c r="G10177" s="6"/>
    </row>
    <row r="10178" s="1" customFormat="1" ht="13.5">
      <c r="G10178" s="6"/>
    </row>
    <row r="10179" s="1" customFormat="1" ht="13.5">
      <c r="G10179" s="6"/>
    </row>
    <row r="10180" s="1" customFormat="1" ht="13.5">
      <c r="G10180" s="6"/>
    </row>
    <row r="10181" s="1" customFormat="1" ht="13.5">
      <c r="G10181" s="6"/>
    </row>
    <row r="10182" s="1" customFormat="1" ht="13.5">
      <c r="G10182" s="6"/>
    </row>
    <row r="10183" s="1" customFormat="1" ht="13.5">
      <c r="G10183" s="6"/>
    </row>
    <row r="10184" s="1" customFormat="1" ht="13.5">
      <c r="G10184" s="6"/>
    </row>
    <row r="10185" s="1" customFormat="1" ht="13.5">
      <c r="G10185" s="6"/>
    </row>
    <row r="10186" s="1" customFormat="1" ht="13.5">
      <c r="G10186" s="6"/>
    </row>
    <row r="10187" s="1" customFormat="1" ht="13.5">
      <c r="G10187" s="6"/>
    </row>
    <row r="10188" s="1" customFormat="1" ht="13.5">
      <c r="G10188" s="6"/>
    </row>
    <row r="10189" s="1" customFormat="1" ht="13.5">
      <c r="G10189" s="6"/>
    </row>
    <row r="10190" s="1" customFormat="1" ht="13.5">
      <c r="G10190" s="6"/>
    </row>
    <row r="10191" s="1" customFormat="1" ht="13.5">
      <c r="G10191" s="6"/>
    </row>
    <row r="10192" s="1" customFormat="1" ht="13.5">
      <c r="G10192" s="6"/>
    </row>
    <row r="10193" s="1" customFormat="1" ht="13.5">
      <c r="G10193" s="6"/>
    </row>
    <row r="10194" s="1" customFormat="1" ht="13.5">
      <c r="G10194" s="6"/>
    </row>
    <row r="10195" s="1" customFormat="1" ht="13.5">
      <c r="G10195" s="6"/>
    </row>
    <row r="10196" s="1" customFormat="1" ht="13.5">
      <c r="G10196" s="6"/>
    </row>
    <row r="10197" s="1" customFormat="1" ht="13.5">
      <c r="G10197" s="6"/>
    </row>
    <row r="10198" s="1" customFormat="1" ht="13.5">
      <c r="G10198" s="6"/>
    </row>
    <row r="10199" s="1" customFormat="1" ht="13.5">
      <c r="G10199" s="6"/>
    </row>
    <row r="10200" s="1" customFormat="1" ht="13.5">
      <c r="G10200" s="6"/>
    </row>
    <row r="10201" s="1" customFormat="1" ht="13.5">
      <c r="G10201" s="6"/>
    </row>
    <row r="10202" s="1" customFormat="1" ht="13.5">
      <c r="G10202" s="6"/>
    </row>
    <row r="10203" s="1" customFormat="1" ht="13.5">
      <c r="G10203" s="6"/>
    </row>
    <row r="10204" s="1" customFormat="1" ht="13.5">
      <c r="G10204" s="6"/>
    </row>
    <row r="10205" s="1" customFormat="1" ht="13.5">
      <c r="G10205" s="6"/>
    </row>
    <row r="10206" s="1" customFormat="1" ht="13.5">
      <c r="G10206" s="6"/>
    </row>
    <row r="10207" s="1" customFormat="1" ht="13.5">
      <c r="G10207" s="6"/>
    </row>
    <row r="10208" s="1" customFormat="1" ht="13.5">
      <c r="G10208" s="6"/>
    </row>
    <row r="10209" s="1" customFormat="1" ht="13.5">
      <c r="G10209" s="6"/>
    </row>
    <row r="10210" s="1" customFormat="1" ht="13.5">
      <c r="G10210" s="6"/>
    </row>
    <row r="10211" s="1" customFormat="1" ht="13.5">
      <c r="G10211" s="6"/>
    </row>
    <row r="10212" s="1" customFormat="1" ht="13.5">
      <c r="G10212" s="6"/>
    </row>
    <row r="10213" s="1" customFormat="1" ht="13.5">
      <c r="G10213" s="6"/>
    </row>
    <row r="10214" s="1" customFormat="1" ht="13.5">
      <c r="G10214" s="6"/>
    </row>
    <row r="10215" s="1" customFormat="1" ht="13.5">
      <c r="G10215" s="6"/>
    </row>
    <row r="10216" s="1" customFormat="1" ht="13.5">
      <c r="G10216" s="6"/>
    </row>
    <row r="10217" s="1" customFormat="1" ht="13.5">
      <c r="G10217" s="6"/>
    </row>
    <row r="10218" s="1" customFormat="1" ht="13.5">
      <c r="G10218" s="6"/>
    </row>
    <row r="10219" s="1" customFormat="1" ht="13.5">
      <c r="G10219" s="6"/>
    </row>
    <row r="10220" s="1" customFormat="1" ht="13.5">
      <c r="G10220" s="6"/>
    </row>
    <row r="10221" s="1" customFormat="1" ht="13.5">
      <c r="G10221" s="6"/>
    </row>
    <row r="10222" s="1" customFormat="1" ht="13.5">
      <c r="G10222" s="6"/>
    </row>
    <row r="10223" s="1" customFormat="1" ht="13.5">
      <c r="G10223" s="6"/>
    </row>
    <row r="10224" s="1" customFormat="1" ht="13.5">
      <c r="G10224" s="6"/>
    </row>
    <row r="10225" s="1" customFormat="1" ht="13.5">
      <c r="G10225" s="6"/>
    </row>
    <row r="10226" s="1" customFormat="1" ht="13.5">
      <c r="G10226" s="6"/>
    </row>
    <row r="10227" s="1" customFormat="1" ht="13.5">
      <c r="G10227" s="6"/>
    </row>
    <row r="10228" s="1" customFormat="1" ht="13.5">
      <c r="G10228" s="6"/>
    </row>
    <row r="10229" s="1" customFormat="1" ht="13.5">
      <c r="G10229" s="6"/>
    </row>
    <row r="10230" s="1" customFormat="1" ht="13.5">
      <c r="G10230" s="6"/>
    </row>
    <row r="10231" s="1" customFormat="1" ht="13.5">
      <c r="G10231" s="6"/>
    </row>
    <row r="10232" s="1" customFormat="1" ht="13.5">
      <c r="G10232" s="6"/>
    </row>
    <row r="10233" s="1" customFormat="1" ht="13.5">
      <c r="G10233" s="6"/>
    </row>
    <row r="10234" s="1" customFormat="1" ht="13.5">
      <c r="G10234" s="6"/>
    </row>
    <row r="10235" s="1" customFormat="1" ht="13.5">
      <c r="G10235" s="6"/>
    </row>
    <row r="10236" s="1" customFormat="1" ht="13.5">
      <c r="G10236" s="6"/>
    </row>
    <row r="10237" s="1" customFormat="1" ht="13.5">
      <c r="G10237" s="6"/>
    </row>
    <row r="10238" s="1" customFormat="1" ht="13.5">
      <c r="G10238" s="6"/>
    </row>
    <row r="10239" s="1" customFormat="1" ht="13.5">
      <c r="G10239" s="6"/>
    </row>
    <row r="10240" s="1" customFormat="1" ht="13.5">
      <c r="G10240" s="6"/>
    </row>
    <row r="10241" s="1" customFormat="1" ht="13.5">
      <c r="G10241" s="6"/>
    </row>
    <row r="10242" s="1" customFormat="1" ht="13.5">
      <c r="G10242" s="6"/>
    </row>
    <row r="10243" s="1" customFormat="1" ht="13.5">
      <c r="G10243" s="6"/>
    </row>
    <row r="10244" s="1" customFormat="1" ht="13.5">
      <c r="G10244" s="6"/>
    </row>
    <row r="10245" s="1" customFormat="1" ht="13.5">
      <c r="G10245" s="6"/>
    </row>
    <row r="10246" s="1" customFormat="1" ht="13.5">
      <c r="G10246" s="6"/>
    </row>
    <row r="10247" s="1" customFormat="1" ht="13.5">
      <c r="G10247" s="6"/>
    </row>
    <row r="10248" s="1" customFormat="1" ht="13.5">
      <c r="G10248" s="6"/>
    </row>
    <row r="10249" s="1" customFormat="1" ht="13.5">
      <c r="G10249" s="6"/>
    </row>
    <row r="10250" s="1" customFormat="1" ht="13.5">
      <c r="G10250" s="6"/>
    </row>
    <row r="10251" s="1" customFormat="1" ht="13.5">
      <c r="G10251" s="6"/>
    </row>
    <row r="10252" s="1" customFormat="1" ht="13.5">
      <c r="G10252" s="6"/>
    </row>
    <row r="10253" s="1" customFormat="1" ht="13.5">
      <c r="G10253" s="6"/>
    </row>
    <row r="10254" s="1" customFormat="1" ht="13.5">
      <c r="G10254" s="6"/>
    </row>
    <row r="10255" s="1" customFormat="1" ht="13.5">
      <c r="G10255" s="6"/>
    </row>
    <row r="10256" s="1" customFormat="1" ht="13.5">
      <c r="G10256" s="6"/>
    </row>
    <row r="10257" s="1" customFormat="1" ht="13.5">
      <c r="G10257" s="6"/>
    </row>
    <row r="10258" s="1" customFormat="1" ht="13.5">
      <c r="G10258" s="6"/>
    </row>
    <row r="10259" s="1" customFormat="1" ht="13.5">
      <c r="G10259" s="6"/>
    </row>
    <row r="10260" s="1" customFormat="1" ht="13.5">
      <c r="G10260" s="6"/>
    </row>
    <row r="10261" s="1" customFormat="1" ht="13.5">
      <c r="G10261" s="6"/>
    </row>
    <row r="10262" s="1" customFormat="1" ht="13.5">
      <c r="G10262" s="6"/>
    </row>
    <row r="10263" s="1" customFormat="1" ht="13.5">
      <c r="G10263" s="6"/>
    </row>
    <row r="10264" s="1" customFormat="1" ht="13.5">
      <c r="G10264" s="6"/>
    </row>
    <row r="10265" s="1" customFormat="1" ht="13.5">
      <c r="G10265" s="6"/>
    </row>
    <row r="10266" s="1" customFormat="1" ht="13.5">
      <c r="G10266" s="6"/>
    </row>
    <row r="10267" s="1" customFormat="1" ht="13.5">
      <c r="G10267" s="6"/>
    </row>
    <row r="10268" s="1" customFormat="1" ht="13.5">
      <c r="G10268" s="6"/>
    </row>
    <row r="10269" s="1" customFormat="1" ht="13.5">
      <c r="G10269" s="6"/>
    </row>
    <row r="10270" s="1" customFormat="1" ht="13.5">
      <c r="G10270" s="6"/>
    </row>
    <row r="10271" s="1" customFormat="1" ht="13.5">
      <c r="G10271" s="6"/>
    </row>
    <row r="10272" s="1" customFormat="1" ht="13.5">
      <c r="G10272" s="6"/>
    </row>
    <row r="10273" s="1" customFormat="1" ht="13.5">
      <c r="G10273" s="6"/>
    </row>
    <row r="10274" s="1" customFormat="1" ht="13.5">
      <c r="G10274" s="6"/>
    </row>
    <row r="10275" s="1" customFormat="1" ht="13.5">
      <c r="G10275" s="6"/>
    </row>
    <row r="10276" s="1" customFormat="1" ht="13.5">
      <c r="G10276" s="6"/>
    </row>
    <row r="10277" s="1" customFormat="1" ht="13.5">
      <c r="G10277" s="6"/>
    </row>
    <row r="10278" s="1" customFormat="1" ht="13.5">
      <c r="G10278" s="6"/>
    </row>
    <row r="10279" s="1" customFormat="1" ht="13.5">
      <c r="G10279" s="6"/>
    </row>
    <row r="10280" s="1" customFormat="1" ht="13.5">
      <c r="G10280" s="6"/>
    </row>
    <row r="10281" s="1" customFormat="1" ht="13.5">
      <c r="G10281" s="6"/>
    </row>
    <row r="10282" s="1" customFormat="1" ht="13.5">
      <c r="G10282" s="6"/>
    </row>
    <row r="10283" s="1" customFormat="1" ht="13.5">
      <c r="G10283" s="6"/>
    </row>
    <row r="10284" s="1" customFormat="1" ht="13.5">
      <c r="G10284" s="6"/>
    </row>
    <row r="10285" s="1" customFormat="1" ht="13.5">
      <c r="G10285" s="6"/>
    </row>
    <row r="10286" s="1" customFormat="1" ht="13.5">
      <c r="G10286" s="6"/>
    </row>
    <row r="10287" s="1" customFormat="1" ht="13.5">
      <c r="G10287" s="6"/>
    </row>
    <row r="10288" s="1" customFormat="1" ht="13.5">
      <c r="G10288" s="6"/>
    </row>
    <row r="10289" s="1" customFormat="1" ht="13.5">
      <c r="G10289" s="6"/>
    </row>
    <row r="10290" s="1" customFormat="1" ht="13.5">
      <c r="G10290" s="6"/>
    </row>
    <row r="10291" s="1" customFormat="1" ht="13.5">
      <c r="G10291" s="6"/>
    </row>
    <row r="10292" s="1" customFormat="1" ht="13.5">
      <c r="G10292" s="6"/>
    </row>
    <row r="10293" s="1" customFormat="1" ht="13.5">
      <c r="G10293" s="6"/>
    </row>
    <row r="10294" s="1" customFormat="1" ht="13.5">
      <c r="G10294" s="6"/>
    </row>
    <row r="10295" s="1" customFormat="1" ht="13.5">
      <c r="G10295" s="6"/>
    </row>
    <row r="10296" s="1" customFormat="1" ht="13.5">
      <c r="G10296" s="6"/>
    </row>
    <row r="10297" s="1" customFormat="1" ht="13.5">
      <c r="G10297" s="6"/>
    </row>
    <row r="10298" s="1" customFormat="1" ht="13.5">
      <c r="G10298" s="6"/>
    </row>
    <row r="10299" s="1" customFormat="1" ht="13.5">
      <c r="G10299" s="6"/>
    </row>
    <row r="10300" s="1" customFormat="1" ht="13.5">
      <c r="G10300" s="6"/>
    </row>
    <row r="10301" s="1" customFormat="1" ht="13.5">
      <c r="G10301" s="6"/>
    </row>
    <row r="10302" s="1" customFormat="1" ht="13.5">
      <c r="G10302" s="6"/>
    </row>
    <row r="10303" s="1" customFormat="1" ht="13.5">
      <c r="G10303" s="6"/>
    </row>
    <row r="10304" s="1" customFormat="1" ht="13.5">
      <c r="G10304" s="6"/>
    </row>
    <row r="10305" s="1" customFormat="1" ht="13.5">
      <c r="G10305" s="6"/>
    </row>
    <row r="10306" s="1" customFormat="1" ht="13.5">
      <c r="G10306" s="6"/>
    </row>
    <row r="10307" s="1" customFormat="1" ht="13.5">
      <c r="G10307" s="6"/>
    </row>
    <row r="10308" s="1" customFormat="1" ht="13.5">
      <c r="G10308" s="6"/>
    </row>
    <row r="10309" s="1" customFormat="1" ht="13.5">
      <c r="G10309" s="6"/>
    </row>
    <row r="10310" s="1" customFormat="1" ht="13.5">
      <c r="G10310" s="6"/>
    </row>
    <row r="10311" s="1" customFormat="1" ht="13.5">
      <c r="G10311" s="6"/>
    </row>
    <row r="10312" s="1" customFormat="1" ht="13.5">
      <c r="G10312" s="6"/>
    </row>
    <row r="10313" s="1" customFormat="1" ht="13.5">
      <c r="G10313" s="6"/>
    </row>
    <row r="10314" s="1" customFormat="1" ht="13.5">
      <c r="G10314" s="6"/>
    </row>
    <row r="10315" s="1" customFormat="1" ht="13.5">
      <c r="G10315" s="6"/>
    </row>
    <row r="10316" s="1" customFormat="1" ht="13.5">
      <c r="G10316" s="6"/>
    </row>
    <row r="10317" s="1" customFormat="1" ht="13.5">
      <c r="G10317" s="6"/>
    </row>
    <row r="10318" s="1" customFormat="1" ht="13.5">
      <c r="G10318" s="6"/>
    </row>
    <row r="10319" s="1" customFormat="1" ht="13.5">
      <c r="G10319" s="6"/>
    </row>
    <row r="10320" s="1" customFormat="1" ht="13.5">
      <c r="G10320" s="6"/>
    </row>
    <row r="10321" s="1" customFormat="1" ht="13.5">
      <c r="G10321" s="6"/>
    </row>
    <row r="10322" s="1" customFormat="1" ht="13.5">
      <c r="G10322" s="6"/>
    </row>
    <row r="10323" s="1" customFormat="1" ht="13.5">
      <c r="G10323" s="6"/>
    </row>
    <row r="10324" s="1" customFormat="1" ht="13.5">
      <c r="G10324" s="6"/>
    </row>
    <row r="10325" s="1" customFormat="1" ht="13.5">
      <c r="G10325" s="6"/>
    </row>
    <row r="10326" s="1" customFormat="1" ht="13.5">
      <c r="G10326" s="6"/>
    </row>
    <row r="10327" s="1" customFormat="1" ht="13.5">
      <c r="G10327" s="6"/>
    </row>
    <row r="10328" s="1" customFormat="1" ht="13.5">
      <c r="G10328" s="6"/>
    </row>
    <row r="10329" s="1" customFormat="1" ht="13.5">
      <c r="G10329" s="6"/>
    </row>
    <row r="10330" s="1" customFormat="1" ht="13.5">
      <c r="G10330" s="6"/>
    </row>
    <row r="10331" s="1" customFormat="1" ht="13.5">
      <c r="G10331" s="6"/>
    </row>
    <row r="10332" s="1" customFormat="1" ht="13.5">
      <c r="G10332" s="6"/>
    </row>
    <row r="10333" s="1" customFormat="1" ht="13.5">
      <c r="G10333" s="6"/>
    </row>
    <row r="10334" s="1" customFormat="1" ht="13.5">
      <c r="G10334" s="6"/>
    </row>
    <row r="10335" s="1" customFormat="1" ht="13.5">
      <c r="G10335" s="6"/>
    </row>
    <row r="10336" s="1" customFormat="1" ht="13.5">
      <c r="G10336" s="6"/>
    </row>
    <row r="10337" s="1" customFormat="1" ht="13.5">
      <c r="G10337" s="6"/>
    </row>
    <row r="10338" s="1" customFormat="1" ht="13.5">
      <c r="G10338" s="6"/>
    </row>
    <row r="10339" s="1" customFormat="1" ht="13.5">
      <c r="G10339" s="6"/>
    </row>
    <row r="10340" s="1" customFormat="1" ht="13.5">
      <c r="G10340" s="6"/>
    </row>
    <row r="10341" s="1" customFormat="1" ht="13.5">
      <c r="G10341" s="6"/>
    </row>
    <row r="10342" s="1" customFormat="1" ht="13.5">
      <c r="G10342" s="6"/>
    </row>
    <row r="10343" s="1" customFormat="1" ht="13.5">
      <c r="G10343" s="6"/>
    </row>
    <row r="10344" s="1" customFormat="1" ht="13.5">
      <c r="G10344" s="6"/>
    </row>
    <row r="10345" s="1" customFormat="1" ht="13.5">
      <c r="G10345" s="6"/>
    </row>
    <row r="10346" s="1" customFormat="1" ht="13.5">
      <c r="G10346" s="6"/>
    </row>
    <row r="10347" s="1" customFormat="1" ht="13.5">
      <c r="G10347" s="6"/>
    </row>
    <row r="10348" s="1" customFormat="1" ht="13.5">
      <c r="G10348" s="6"/>
    </row>
    <row r="10349" s="1" customFormat="1" ht="13.5">
      <c r="G10349" s="6"/>
    </row>
    <row r="10350" s="1" customFormat="1" ht="13.5">
      <c r="G10350" s="6"/>
    </row>
    <row r="10351" s="1" customFormat="1" ht="13.5">
      <c r="G10351" s="6"/>
    </row>
    <row r="10352" s="1" customFormat="1" ht="13.5">
      <c r="G10352" s="6"/>
    </row>
    <row r="10353" s="1" customFormat="1" ht="13.5">
      <c r="G10353" s="6"/>
    </row>
    <row r="10354" s="1" customFormat="1" ht="13.5">
      <c r="G10354" s="6"/>
    </row>
    <row r="10355" s="1" customFormat="1" ht="13.5">
      <c r="G10355" s="6"/>
    </row>
    <row r="10356" s="1" customFormat="1" ht="13.5">
      <c r="G10356" s="6"/>
    </row>
    <row r="10357" s="1" customFormat="1" ht="13.5">
      <c r="G10357" s="6"/>
    </row>
    <row r="10358" s="1" customFormat="1" ht="13.5">
      <c r="G10358" s="6"/>
    </row>
    <row r="10359" s="1" customFormat="1" ht="13.5">
      <c r="G10359" s="6"/>
    </row>
    <row r="10360" s="1" customFormat="1" ht="13.5">
      <c r="G10360" s="6"/>
    </row>
    <row r="10361" s="1" customFormat="1" ht="13.5">
      <c r="G10361" s="6"/>
    </row>
    <row r="10362" s="1" customFormat="1" ht="13.5">
      <c r="G10362" s="6"/>
    </row>
    <row r="10363" s="1" customFormat="1" ht="13.5">
      <c r="G10363" s="6"/>
    </row>
    <row r="10364" s="1" customFormat="1" ht="13.5">
      <c r="G10364" s="6"/>
    </row>
    <row r="10365" s="1" customFormat="1" ht="13.5">
      <c r="G10365" s="6"/>
    </row>
    <row r="10366" s="1" customFormat="1" ht="13.5">
      <c r="G10366" s="6"/>
    </row>
    <row r="10367" s="1" customFormat="1" ht="13.5">
      <c r="G10367" s="6"/>
    </row>
    <row r="10368" s="1" customFormat="1" ht="13.5">
      <c r="G10368" s="6"/>
    </row>
    <row r="10369" s="1" customFormat="1" ht="13.5">
      <c r="G10369" s="6"/>
    </row>
    <row r="10370" s="1" customFormat="1" ht="13.5">
      <c r="G10370" s="6"/>
    </row>
    <row r="10371" s="1" customFormat="1" ht="13.5">
      <c r="G10371" s="6"/>
    </row>
    <row r="10372" s="1" customFormat="1" ht="13.5">
      <c r="G10372" s="6"/>
    </row>
    <row r="10373" s="1" customFormat="1" ht="13.5">
      <c r="G10373" s="6"/>
    </row>
    <row r="10374" s="1" customFormat="1" ht="13.5">
      <c r="G10374" s="6"/>
    </row>
    <row r="10375" s="1" customFormat="1" ht="13.5">
      <c r="G10375" s="6"/>
    </row>
    <row r="10376" s="1" customFormat="1" ht="13.5">
      <c r="G10376" s="6"/>
    </row>
    <row r="10377" s="1" customFormat="1" ht="13.5">
      <c r="G10377" s="6"/>
    </row>
    <row r="10378" s="1" customFormat="1" ht="13.5">
      <c r="G10378" s="6"/>
    </row>
    <row r="10379" s="1" customFormat="1" ht="13.5">
      <c r="G10379" s="6"/>
    </row>
    <row r="10380" s="1" customFormat="1" ht="13.5">
      <c r="G10380" s="6"/>
    </row>
    <row r="10381" s="1" customFormat="1" ht="13.5">
      <c r="G10381" s="6"/>
    </row>
    <row r="10382" s="1" customFormat="1" ht="13.5">
      <c r="G10382" s="6"/>
    </row>
    <row r="10383" s="1" customFormat="1" ht="13.5">
      <c r="G10383" s="6"/>
    </row>
    <row r="10384" s="1" customFormat="1" ht="13.5">
      <c r="G10384" s="6"/>
    </row>
    <row r="10385" s="1" customFormat="1" ht="13.5">
      <c r="G10385" s="6"/>
    </row>
    <row r="10386" s="1" customFormat="1" ht="13.5">
      <c r="G10386" s="6"/>
    </row>
    <row r="10387" s="1" customFormat="1" ht="13.5">
      <c r="G10387" s="6"/>
    </row>
    <row r="10388" s="1" customFormat="1" ht="13.5">
      <c r="G10388" s="6"/>
    </row>
    <row r="10389" s="1" customFormat="1" ht="13.5">
      <c r="G10389" s="6"/>
    </row>
    <row r="10390" s="1" customFormat="1" ht="13.5">
      <c r="G10390" s="6"/>
    </row>
    <row r="10391" s="1" customFormat="1" ht="13.5">
      <c r="G10391" s="6"/>
    </row>
    <row r="10392" s="1" customFormat="1" ht="13.5">
      <c r="G10392" s="6"/>
    </row>
    <row r="10393" s="1" customFormat="1" ht="13.5">
      <c r="G10393" s="6"/>
    </row>
    <row r="10394" s="1" customFormat="1" ht="13.5">
      <c r="G10394" s="6"/>
    </row>
    <row r="10395" s="1" customFormat="1" ht="13.5">
      <c r="G10395" s="6"/>
    </row>
    <row r="10396" s="1" customFormat="1" ht="13.5">
      <c r="G10396" s="6"/>
    </row>
    <row r="10397" s="1" customFormat="1" ht="13.5">
      <c r="G10397" s="6"/>
    </row>
    <row r="10398" s="1" customFormat="1" ht="13.5">
      <c r="G10398" s="6"/>
    </row>
    <row r="10399" s="1" customFormat="1" ht="13.5">
      <c r="G10399" s="6"/>
    </row>
    <row r="10400" s="1" customFormat="1" ht="13.5">
      <c r="G10400" s="6"/>
    </row>
    <row r="10401" s="1" customFormat="1" ht="13.5">
      <c r="G10401" s="6"/>
    </row>
    <row r="10402" s="1" customFormat="1" ht="13.5">
      <c r="G10402" s="6"/>
    </row>
    <row r="10403" s="1" customFormat="1" ht="13.5">
      <c r="G10403" s="6"/>
    </row>
    <row r="10404" s="1" customFormat="1" ht="13.5">
      <c r="G10404" s="6"/>
    </row>
    <row r="10405" s="1" customFormat="1" ht="13.5">
      <c r="G10405" s="6"/>
    </row>
    <row r="10406" s="1" customFormat="1" ht="13.5">
      <c r="G10406" s="6"/>
    </row>
    <row r="10407" s="1" customFormat="1" ht="13.5">
      <c r="G10407" s="6"/>
    </row>
    <row r="10408" s="1" customFormat="1" ht="13.5">
      <c r="G10408" s="6"/>
    </row>
    <row r="10409" s="1" customFormat="1" ht="13.5">
      <c r="G10409" s="6"/>
    </row>
    <row r="10410" s="1" customFormat="1" ht="13.5">
      <c r="G10410" s="6"/>
    </row>
    <row r="10411" s="1" customFormat="1" ht="13.5">
      <c r="G10411" s="6"/>
    </row>
    <row r="10412" s="1" customFormat="1" ht="13.5">
      <c r="G10412" s="6"/>
    </row>
    <row r="10413" s="1" customFormat="1" ht="13.5">
      <c r="G10413" s="6"/>
    </row>
    <row r="10414" s="1" customFormat="1" ht="13.5">
      <c r="G10414" s="6"/>
    </row>
    <row r="10415" s="1" customFormat="1" ht="13.5">
      <c r="G10415" s="6"/>
    </row>
    <row r="10416" s="1" customFormat="1" ht="13.5">
      <c r="G10416" s="6"/>
    </row>
    <row r="10417" s="1" customFormat="1" ht="13.5">
      <c r="G10417" s="6"/>
    </row>
    <row r="10418" s="1" customFormat="1" ht="13.5">
      <c r="G10418" s="6"/>
    </row>
    <row r="10419" s="1" customFormat="1" ht="13.5">
      <c r="G10419" s="6"/>
    </row>
    <row r="10420" s="1" customFormat="1" ht="13.5">
      <c r="G10420" s="6"/>
    </row>
    <row r="10421" s="1" customFormat="1" ht="13.5">
      <c r="G10421" s="6"/>
    </row>
    <row r="10422" s="1" customFormat="1" ht="13.5">
      <c r="G10422" s="6"/>
    </row>
    <row r="10423" s="1" customFormat="1" ht="13.5">
      <c r="G10423" s="6"/>
    </row>
    <row r="10424" s="1" customFormat="1" ht="13.5">
      <c r="G10424" s="6"/>
    </row>
    <row r="10425" s="1" customFormat="1" ht="13.5">
      <c r="G10425" s="6"/>
    </row>
    <row r="10426" s="1" customFormat="1" ht="13.5">
      <c r="G10426" s="6"/>
    </row>
    <row r="10427" s="1" customFormat="1" ht="13.5">
      <c r="G10427" s="6"/>
    </row>
    <row r="10428" s="1" customFormat="1" ht="13.5">
      <c r="G10428" s="6"/>
    </row>
    <row r="10429" s="1" customFormat="1" ht="13.5">
      <c r="G10429" s="6"/>
    </row>
    <row r="10430" s="1" customFormat="1" ht="13.5">
      <c r="G10430" s="6"/>
    </row>
    <row r="10431" s="1" customFormat="1" ht="13.5">
      <c r="G10431" s="6"/>
    </row>
    <row r="10432" s="1" customFormat="1" ht="13.5">
      <c r="G10432" s="6"/>
    </row>
    <row r="10433" s="1" customFormat="1" ht="13.5">
      <c r="G10433" s="6"/>
    </row>
    <row r="10434" s="1" customFormat="1" ht="13.5">
      <c r="G10434" s="6"/>
    </row>
    <row r="10435" s="1" customFormat="1" ht="13.5">
      <c r="G10435" s="6"/>
    </row>
    <row r="10436" s="1" customFormat="1" ht="13.5">
      <c r="G10436" s="6"/>
    </row>
    <row r="10437" s="1" customFormat="1" ht="13.5">
      <c r="G10437" s="6"/>
    </row>
    <row r="10438" s="1" customFormat="1" ht="13.5">
      <c r="G10438" s="6"/>
    </row>
    <row r="10439" s="1" customFormat="1" ht="13.5">
      <c r="G10439" s="6"/>
    </row>
    <row r="10440" s="1" customFormat="1" ht="13.5">
      <c r="G10440" s="6"/>
    </row>
    <row r="10441" s="1" customFormat="1" ht="13.5">
      <c r="G10441" s="6"/>
    </row>
    <row r="10442" s="1" customFormat="1" ht="13.5">
      <c r="G10442" s="6"/>
    </row>
    <row r="10443" s="1" customFormat="1" ht="13.5">
      <c r="G10443" s="6"/>
    </row>
    <row r="10444" s="1" customFormat="1" ht="13.5">
      <c r="G10444" s="6"/>
    </row>
    <row r="10445" s="1" customFormat="1" ht="13.5">
      <c r="G10445" s="6"/>
    </row>
    <row r="10446" s="1" customFormat="1" ht="13.5">
      <c r="G10446" s="6"/>
    </row>
    <row r="10447" s="1" customFormat="1" ht="13.5">
      <c r="G10447" s="6"/>
    </row>
    <row r="10448" s="1" customFormat="1" ht="13.5">
      <c r="G10448" s="6"/>
    </row>
    <row r="10449" s="1" customFormat="1" ht="13.5">
      <c r="G10449" s="6"/>
    </row>
    <row r="10450" s="1" customFormat="1" ht="13.5">
      <c r="G10450" s="6"/>
    </row>
    <row r="10451" s="1" customFormat="1" ht="13.5">
      <c r="G10451" s="6"/>
    </row>
    <row r="10452" s="1" customFormat="1" ht="13.5">
      <c r="G10452" s="6"/>
    </row>
    <row r="10453" s="1" customFormat="1" ht="13.5">
      <c r="G10453" s="6"/>
    </row>
    <row r="10454" s="1" customFormat="1" ht="13.5">
      <c r="G10454" s="6"/>
    </row>
    <row r="10455" s="1" customFormat="1" ht="13.5">
      <c r="G10455" s="6"/>
    </row>
    <row r="10456" s="1" customFormat="1" ht="13.5">
      <c r="G10456" s="6"/>
    </row>
    <row r="10457" s="1" customFormat="1" ht="13.5">
      <c r="G10457" s="6"/>
    </row>
    <row r="10458" s="1" customFormat="1" ht="13.5">
      <c r="G10458" s="6"/>
    </row>
    <row r="10459" s="1" customFormat="1" ht="13.5">
      <c r="G10459" s="6"/>
    </row>
    <row r="10460" s="1" customFormat="1" ht="13.5">
      <c r="G10460" s="6"/>
    </row>
    <row r="10461" s="1" customFormat="1" ht="13.5">
      <c r="G10461" s="6"/>
    </row>
    <row r="10462" s="1" customFormat="1" ht="13.5">
      <c r="G10462" s="6"/>
    </row>
    <row r="10463" s="1" customFormat="1" ht="13.5">
      <c r="G10463" s="6"/>
    </row>
    <row r="10464" s="1" customFormat="1" ht="13.5">
      <c r="G10464" s="6"/>
    </row>
    <row r="10465" s="1" customFormat="1" ht="13.5">
      <c r="G10465" s="6"/>
    </row>
    <row r="10466" s="1" customFormat="1" ht="13.5">
      <c r="G10466" s="6"/>
    </row>
    <row r="10467" s="1" customFormat="1" ht="13.5">
      <c r="G10467" s="6"/>
    </row>
    <row r="10468" s="1" customFormat="1" ht="13.5">
      <c r="G10468" s="6"/>
    </row>
    <row r="10469" s="1" customFormat="1" ht="13.5">
      <c r="G10469" s="6"/>
    </row>
    <row r="10470" s="1" customFormat="1" ht="13.5">
      <c r="G10470" s="6"/>
    </row>
    <row r="10471" s="1" customFormat="1" ht="13.5">
      <c r="G10471" s="6"/>
    </row>
    <row r="10472" s="1" customFormat="1" ht="13.5">
      <c r="G10472" s="6"/>
    </row>
    <row r="10473" s="1" customFormat="1" ht="13.5">
      <c r="G10473" s="6"/>
    </row>
    <row r="10474" s="1" customFormat="1" ht="13.5">
      <c r="G10474" s="6"/>
    </row>
    <row r="10475" s="1" customFormat="1" ht="13.5">
      <c r="G10475" s="6"/>
    </row>
    <row r="10476" s="1" customFormat="1" ht="13.5">
      <c r="G10476" s="6"/>
    </row>
    <row r="10477" s="1" customFormat="1" ht="13.5">
      <c r="G10477" s="6"/>
    </row>
    <row r="10478" s="1" customFormat="1" ht="13.5">
      <c r="G10478" s="6"/>
    </row>
    <row r="10479" s="1" customFormat="1" ht="13.5">
      <c r="G10479" s="6"/>
    </row>
    <row r="10480" s="1" customFormat="1" ht="13.5">
      <c r="G10480" s="6"/>
    </row>
    <row r="10481" s="1" customFormat="1" ht="13.5">
      <c r="G10481" s="6"/>
    </row>
    <row r="10482" s="1" customFormat="1" ht="13.5">
      <c r="G10482" s="6"/>
    </row>
    <row r="10483" s="1" customFormat="1" ht="13.5">
      <c r="G10483" s="6"/>
    </row>
    <row r="10484" s="1" customFormat="1" ht="13.5">
      <c r="G10484" s="6"/>
    </row>
    <row r="10485" s="1" customFormat="1" ht="13.5">
      <c r="G10485" s="6"/>
    </row>
    <row r="10486" s="1" customFormat="1" ht="13.5">
      <c r="G10486" s="6"/>
    </row>
    <row r="10487" s="1" customFormat="1" ht="13.5">
      <c r="G10487" s="6"/>
    </row>
    <row r="10488" s="1" customFormat="1" ht="13.5">
      <c r="G10488" s="6"/>
    </row>
    <row r="10489" s="1" customFormat="1" ht="13.5">
      <c r="G10489" s="6"/>
    </row>
    <row r="10490" s="1" customFormat="1" ht="13.5">
      <c r="G10490" s="6"/>
    </row>
    <row r="10491" s="1" customFormat="1" ht="13.5">
      <c r="G10491" s="6"/>
    </row>
    <row r="10492" s="1" customFormat="1" ht="13.5">
      <c r="G10492" s="6"/>
    </row>
    <row r="10493" s="1" customFormat="1" ht="13.5">
      <c r="G10493" s="6"/>
    </row>
    <row r="10494" s="1" customFormat="1" ht="13.5">
      <c r="G10494" s="6"/>
    </row>
    <row r="10495" s="1" customFormat="1" ht="13.5">
      <c r="G10495" s="6"/>
    </row>
    <row r="10496" s="1" customFormat="1" ht="13.5">
      <c r="G10496" s="6"/>
    </row>
    <row r="10497" s="1" customFormat="1" ht="13.5">
      <c r="G10497" s="6"/>
    </row>
    <row r="10498" s="1" customFormat="1" ht="13.5">
      <c r="G10498" s="6"/>
    </row>
    <row r="10499" s="1" customFormat="1" ht="13.5">
      <c r="G10499" s="6"/>
    </row>
    <row r="10500" s="1" customFormat="1" ht="13.5">
      <c r="G10500" s="6"/>
    </row>
    <row r="10501" s="1" customFormat="1" ht="13.5">
      <c r="G10501" s="6"/>
    </row>
    <row r="10502" s="1" customFormat="1" ht="13.5">
      <c r="G10502" s="6"/>
    </row>
    <row r="10503" s="1" customFormat="1" ht="13.5">
      <c r="G10503" s="6"/>
    </row>
    <row r="10504" s="1" customFormat="1" ht="13.5">
      <c r="G10504" s="6"/>
    </row>
    <row r="10505" s="1" customFormat="1" ht="13.5">
      <c r="G10505" s="6"/>
    </row>
    <row r="10506" s="1" customFormat="1" ht="13.5">
      <c r="G10506" s="6"/>
    </row>
    <row r="10507" s="1" customFormat="1" ht="13.5">
      <c r="G10507" s="6"/>
    </row>
    <row r="10508" s="1" customFormat="1" ht="13.5">
      <c r="G10508" s="6"/>
    </row>
    <row r="10509" s="1" customFormat="1" ht="13.5">
      <c r="G10509" s="6"/>
    </row>
    <row r="10510" s="1" customFormat="1" ht="13.5">
      <c r="G10510" s="6"/>
    </row>
    <row r="10511" s="1" customFormat="1" ht="13.5">
      <c r="G10511" s="6"/>
    </row>
    <row r="10512" s="1" customFormat="1" ht="13.5">
      <c r="G10512" s="6"/>
    </row>
    <row r="10513" s="1" customFormat="1" ht="13.5">
      <c r="G10513" s="6"/>
    </row>
    <row r="10514" s="1" customFormat="1" ht="13.5">
      <c r="G10514" s="6"/>
    </row>
    <row r="10515" s="1" customFormat="1" ht="13.5">
      <c r="G10515" s="6"/>
    </row>
    <row r="10516" s="1" customFormat="1" ht="13.5">
      <c r="G10516" s="6"/>
    </row>
    <row r="10517" s="1" customFormat="1" ht="13.5">
      <c r="G10517" s="6"/>
    </row>
    <row r="10518" s="1" customFormat="1" ht="13.5">
      <c r="G10518" s="6"/>
    </row>
    <row r="10519" s="1" customFormat="1" ht="13.5">
      <c r="G10519" s="6"/>
    </row>
    <row r="10520" s="1" customFormat="1" ht="13.5">
      <c r="G10520" s="6"/>
    </row>
    <row r="10521" s="1" customFormat="1" ht="13.5">
      <c r="G10521" s="6"/>
    </row>
    <row r="10522" s="1" customFormat="1" ht="13.5">
      <c r="G10522" s="6"/>
    </row>
    <row r="10523" s="1" customFormat="1" ht="13.5">
      <c r="G10523" s="6"/>
    </row>
    <row r="10524" s="1" customFormat="1" ht="13.5">
      <c r="G10524" s="6"/>
    </row>
    <row r="10525" s="1" customFormat="1" ht="13.5">
      <c r="G10525" s="6"/>
    </row>
    <row r="10526" s="1" customFormat="1" ht="13.5">
      <c r="G10526" s="6"/>
    </row>
    <row r="10527" s="1" customFormat="1" ht="13.5">
      <c r="G10527" s="6"/>
    </row>
    <row r="10528" s="1" customFormat="1" ht="13.5">
      <c r="G10528" s="6"/>
    </row>
    <row r="10529" s="1" customFormat="1" ht="13.5">
      <c r="G10529" s="6"/>
    </row>
    <row r="10530" s="1" customFormat="1" ht="13.5">
      <c r="G10530" s="6"/>
    </row>
    <row r="10531" s="1" customFormat="1" ht="13.5">
      <c r="G10531" s="6"/>
    </row>
    <row r="10532" s="1" customFormat="1" ht="13.5">
      <c r="G10532" s="6"/>
    </row>
    <row r="10533" s="1" customFormat="1" ht="13.5">
      <c r="G10533" s="6"/>
    </row>
    <row r="10534" s="1" customFormat="1" ht="13.5">
      <c r="G10534" s="6"/>
    </row>
    <row r="10535" s="1" customFormat="1" ht="13.5">
      <c r="G10535" s="6"/>
    </row>
    <row r="10536" s="1" customFormat="1" ht="13.5">
      <c r="G10536" s="6"/>
    </row>
    <row r="10537" s="1" customFormat="1" ht="13.5">
      <c r="G10537" s="6"/>
    </row>
    <row r="10538" s="1" customFormat="1" ht="13.5">
      <c r="G10538" s="6"/>
    </row>
    <row r="10539" s="1" customFormat="1" ht="13.5">
      <c r="G10539" s="6"/>
    </row>
    <row r="10540" s="1" customFormat="1" ht="13.5">
      <c r="G10540" s="6"/>
    </row>
    <row r="10541" s="1" customFormat="1" ht="13.5">
      <c r="G10541" s="6"/>
    </row>
    <row r="10542" s="1" customFormat="1" ht="13.5">
      <c r="G10542" s="6"/>
    </row>
    <row r="10543" s="1" customFormat="1" ht="13.5">
      <c r="G10543" s="6"/>
    </row>
    <row r="10544" s="1" customFormat="1" ht="13.5">
      <c r="G10544" s="6"/>
    </row>
    <row r="10545" s="1" customFormat="1" ht="13.5">
      <c r="G10545" s="6"/>
    </row>
    <row r="10546" s="1" customFormat="1" ht="13.5">
      <c r="G10546" s="6"/>
    </row>
    <row r="10547" s="1" customFormat="1" ht="13.5">
      <c r="G10547" s="6"/>
    </row>
    <row r="10548" s="1" customFormat="1" ht="13.5">
      <c r="G10548" s="6"/>
    </row>
    <row r="10549" s="1" customFormat="1" ht="13.5">
      <c r="G10549" s="6"/>
    </row>
    <row r="10550" s="1" customFormat="1" ht="13.5">
      <c r="G10550" s="6"/>
    </row>
    <row r="10551" s="1" customFormat="1" ht="13.5">
      <c r="G10551" s="6"/>
    </row>
    <row r="10552" s="1" customFormat="1" ht="13.5">
      <c r="G10552" s="6"/>
    </row>
    <row r="10553" s="1" customFormat="1" ht="13.5">
      <c r="G10553" s="6"/>
    </row>
    <row r="10554" s="1" customFormat="1" ht="13.5">
      <c r="G10554" s="6"/>
    </row>
    <row r="10555" s="1" customFormat="1" ht="13.5">
      <c r="G10555" s="6"/>
    </row>
    <row r="10556" s="1" customFormat="1" ht="13.5">
      <c r="G10556" s="6"/>
    </row>
    <row r="10557" s="1" customFormat="1" ht="13.5">
      <c r="G10557" s="6"/>
    </row>
    <row r="10558" s="1" customFormat="1" ht="13.5">
      <c r="G10558" s="6"/>
    </row>
    <row r="10559" s="1" customFormat="1" ht="13.5">
      <c r="G10559" s="6"/>
    </row>
    <row r="10560" s="1" customFormat="1" ht="13.5">
      <c r="G10560" s="6"/>
    </row>
    <row r="10561" s="1" customFormat="1" ht="13.5">
      <c r="G10561" s="6"/>
    </row>
    <row r="10562" s="1" customFormat="1" ht="13.5">
      <c r="G10562" s="6"/>
    </row>
    <row r="10563" s="1" customFormat="1" ht="13.5">
      <c r="G10563" s="6"/>
    </row>
    <row r="10564" s="1" customFormat="1" ht="13.5">
      <c r="G10564" s="6"/>
    </row>
    <row r="10565" s="1" customFormat="1" ht="13.5">
      <c r="G10565" s="6"/>
    </row>
    <row r="10566" s="1" customFormat="1" ht="13.5">
      <c r="G10566" s="6"/>
    </row>
    <row r="10567" s="1" customFormat="1" ht="13.5">
      <c r="G10567" s="6"/>
    </row>
    <row r="10568" s="1" customFormat="1" ht="13.5">
      <c r="G10568" s="6"/>
    </row>
    <row r="10569" s="1" customFormat="1" ht="13.5">
      <c r="G10569" s="6"/>
    </row>
    <row r="10570" s="1" customFormat="1" ht="13.5">
      <c r="G10570" s="6"/>
    </row>
    <row r="10571" s="1" customFormat="1" ht="13.5">
      <c r="G10571" s="6"/>
    </row>
    <row r="10572" s="1" customFormat="1" ht="13.5">
      <c r="G10572" s="6"/>
    </row>
    <row r="10573" s="1" customFormat="1" ht="13.5">
      <c r="G10573" s="6"/>
    </row>
    <row r="10574" s="1" customFormat="1" ht="13.5">
      <c r="G10574" s="6"/>
    </row>
    <row r="10575" s="1" customFormat="1" ht="13.5">
      <c r="G10575" s="6"/>
    </row>
    <row r="10576" s="1" customFormat="1" ht="13.5">
      <c r="G10576" s="6"/>
    </row>
    <row r="10577" s="1" customFormat="1" ht="13.5">
      <c r="G10577" s="6"/>
    </row>
    <row r="10578" s="1" customFormat="1" ht="13.5">
      <c r="G10578" s="6"/>
    </row>
    <row r="10579" s="1" customFormat="1" ht="13.5">
      <c r="G10579" s="6"/>
    </row>
    <row r="10580" s="1" customFormat="1" ht="13.5">
      <c r="G10580" s="6"/>
    </row>
    <row r="10581" s="1" customFormat="1" ht="13.5">
      <c r="G10581" s="6"/>
    </row>
    <row r="10582" s="1" customFormat="1" ht="13.5">
      <c r="G10582" s="6"/>
    </row>
    <row r="10583" s="1" customFormat="1" ht="13.5">
      <c r="G10583" s="6"/>
    </row>
    <row r="10584" s="1" customFormat="1" ht="13.5">
      <c r="G10584" s="6"/>
    </row>
    <row r="10585" s="1" customFormat="1" ht="13.5">
      <c r="G10585" s="6"/>
    </row>
    <row r="10586" s="1" customFormat="1" ht="13.5">
      <c r="G10586" s="6"/>
    </row>
    <row r="10587" s="1" customFormat="1" ht="13.5">
      <c r="G10587" s="6"/>
    </row>
    <row r="10588" s="1" customFormat="1" ht="13.5">
      <c r="G10588" s="6"/>
    </row>
    <row r="10589" s="1" customFormat="1" ht="13.5">
      <c r="G10589" s="6"/>
    </row>
    <row r="10590" s="1" customFormat="1" ht="13.5">
      <c r="G10590" s="6"/>
    </row>
    <row r="10591" s="1" customFormat="1" ht="13.5">
      <c r="G10591" s="6"/>
    </row>
    <row r="10592" s="1" customFormat="1" ht="13.5">
      <c r="G10592" s="6"/>
    </row>
    <row r="10593" s="1" customFormat="1" ht="13.5">
      <c r="G10593" s="6"/>
    </row>
    <row r="10594" s="1" customFormat="1" ht="13.5">
      <c r="G10594" s="6"/>
    </row>
    <row r="10595" s="1" customFormat="1" ht="13.5">
      <c r="G10595" s="6"/>
    </row>
    <row r="10596" s="1" customFormat="1" ht="13.5">
      <c r="G10596" s="6"/>
    </row>
    <row r="10597" s="1" customFormat="1" ht="13.5">
      <c r="G10597" s="6"/>
    </row>
    <row r="10598" s="1" customFormat="1" ht="13.5">
      <c r="G10598" s="6"/>
    </row>
    <row r="10599" s="1" customFormat="1" ht="13.5">
      <c r="G10599" s="6"/>
    </row>
    <row r="10600" s="1" customFormat="1" ht="13.5">
      <c r="G10600" s="6"/>
    </row>
    <row r="10601" s="1" customFormat="1" ht="13.5">
      <c r="G10601" s="6"/>
    </row>
    <row r="10602" s="1" customFormat="1" ht="13.5">
      <c r="G10602" s="6"/>
    </row>
    <row r="10603" s="1" customFormat="1" ht="13.5">
      <c r="G10603" s="6"/>
    </row>
    <row r="10604" s="1" customFormat="1" ht="13.5">
      <c r="G10604" s="6"/>
    </row>
    <row r="10605" s="1" customFormat="1" ht="13.5">
      <c r="G10605" s="6"/>
    </row>
    <row r="10606" s="1" customFormat="1" ht="13.5">
      <c r="G10606" s="6"/>
    </row>
    <row r="10607" s="1" customFormat="1" ht="13.5">
      <c r="G10607" s="6"/>
    </row>
    <row r="10608" s="1" customFormat="1" ht="13.5">
      <c r="G10608" s="6"/>
    </row>
    <row r="10609" s="1" customFormat="1" ht="13.5">
      <c r="G10609" s="6"/>
    </row>
    <row r="10610" s="1" customFormat="1" ht="13.5">
      <c r="G10610" s="6"/>
    </row>
    <row r="10611" s="1" customFormat="1" ht="13.5">
      <c r="G10611" s="6"/>
    </row>
    <row r="10612" s="1" customFormat="1" ht="13.5">
      <c r="G10612" s="6"/>
    </row>
    <row r="10613" s="1" customFormat="1" ht="13.5">
      <c r="G10613" s="6"/>
    </row>
    <row r="10614" s="1" customFormat="1" ht="13.5">
      <c r="G10614" s="6"/>
    </row>
    <row r="10615" s="1" customFormat="1" ht="13.5">
      <c r="G10615" s="6"/>
    </row>
    <row r="10616" s="1" customFormat="1" ht="13.5">
      <c r="G10616" s="6"/>
    </row>
    <row r="10617" s="1" customFormat="1" ht="13.5">
      <c r="G10617" s="6"/>
    </row>
    <row r="10618" s="1" customFormat="1" ht="13.5">
      <c r="G10618" s="6"/>
    </row>
    <row r="10619" s="1" customFormat="1" ht="13.5">
      <c r="G10619" s="6"/>
    </row>
    <row r="10620" s="1" customFormat="1" ht="13.5">
      <c r="G10620" s="6"/>
    </row>
    <row r="10621" s="1" customFormat="1" ht="13.5">
      <c r="G10621" s="6"/>
    </row>
    <row r="10622" s="1" customFormat="1" ht="13.5">
      <c r="G10622" s="6"/>
    </row>
    <row r="10623" s="1" customFormat="1" ht="13.5">
      <c r="G10623" s="6"/>
    </row>
    <row r="10624" s="1" customFormat="1" ht="13.5">
      <c r="G10624" s="6"/>
    </row>
    <row r="10625" s="1" customFormat="1" ht="13.5">
      <c r="G10625" s="6"/>
    </row>
    <row r="10626" s="1" customFormat="1" ht="13.5">
      <c r="G10626" s="6"/>
    </row>
    <row r="10627" s="1" customFormat="1" ht="13.5">
      <c r="G10627" s="6"/>
    </row>
    <row r="10628" s="1" customFormat="1" ht="13.5">
      <c r="G10628" s="6"/>
    </row>
    <row r="10629" s="1" customFormat="1" ht="13.5">
      <c r="G10629" s="6"/>
    </row>
    <row r="10630" s="1" customFormat="1" ht="13.5">
      <c r="G10630" s="6"/>
    </row>
    <row r="10631" s="1" customFormat="1" ht="13.5">
      <c r="G10631" s="6"/>
    </row>
    <row r="10632" s="1" customFormat="1" ht="13.5">
      <c r="G10632" s="6"/>
    </row>
    <row r="10633" s="1" customFormat="1" ht="13.5">
      <c r="G10633" s="6"/>
    </row>
    <row r="10634" s="1" customFormat="1" ht="13.5">
      <c r="G10634" s="6"/>
    </row>
    <row r="10635" s="1" customFormat="1" ht="13.5">
      <c r="G10635" s="6"/>
    </row>
    <row r="10636" s="1" customFormat="1" ht="13.5">
      <c r="G10636" s="6"/>
    </row>
    <row r="10637" s="1" customFormat="1" ht="13.5">
      <c r="G10637" s="6"/>
    </row>
    <row r="10638" s="1" customFormat="1" ht="13.5">
      <c r="G10638" s="6"/>
    </row>
    <row r="10639" s="1" customFormat="1" ht="13.5">
      <c r="G10639" s="6"/>
    </row>
    <row r="10640" s="1" customFormat="1" ht="13.5">
      <c r="G10640" s="6"/>
    </row>
    <row r="10641" s="1" customFormat="1" ht="13.5">
      <c r="G10641" s="6"/>
    </row>
    <row r="10642" s="1" customFormat="1" ht="13.5">
      <c r="G10642" s="6"/>
    </row>
    <row r="10643" s="1" customFormat="1" ht="13.5">
      <c r="G10643" s="6"/>
    </row>
    <row r="10644" s="1" customFormat="1" ht="13.5">
      <c r="G10644" s="6"/>
    </row>
    <row r="10645" s="1" customFormat="1" ht="13.5">
      <c r="G10645" s="6"/>
    </row>
    <row r="10646" s="1" customFormat="1" ht="13.5">
      <c r="G10646" s="6"/>
    </row>
    <row r="10647" s="1" customFormat="1" ht="13.5">
      <c r="G10647" s="6"/>
    </row>
    <row r="10648" s="1" customFormat="1" ht="13.5">
      <c r="G10648" s="6"/>
    </row>
    <row r="10649" s="1" customFormat="1" ht="13.5">
      <c r="G10649" s="6"/>
    </row>
    <row r="10650" s="1" customFormat="1" ht="13.5">
      <c r="G10650" s="6"/>
    </row>
    <row r="10651" s="1" customFormat="1" ht="13.5">
      <c r="G10651" s="6"/>
    </row>
    <row r="10652" s="1" customFormat="1" ht="13.5">
      <c r="G10652" s="6"/>
    </row>
    <row r="10653" s="1" customFormat="1" ht="13.5">
      <c r="G10653" s="6"/>
    </row>
    <row r="10654" s="1" customFormat="1" ht="13.5">
      <c r="G10654" s="6"/>
    </row>
    <row r="10655" s="1" customFormat="1" ht="13.5">
      <c r="G10655" s="6"/>
    </row>
    <row r="10656" s="1" customFormat="1" ht="13.5">
      <c r="G10656" s="6"/>
    </row>
    <row r="10657" s="1" customFormat="1" ht="13.5">
      <c r="G10657" s="6"/>
    </row>
    <row r="10658" s="1" customFormat="1" ht="13.5">
      <c r="G10658" s="6"/>
    </row>
    <row r="10659" s="1" customFormat="1" ht="13.5">
      <c r="G10659" s="6"/>
    </row>
    <row r="10660" s="1" customFormat="1" ht="13.5">
      <c r="G10660" s="6"/>
    </row>
    <row r="10661" s="1" customFormat="1" ht="13.5">
      <c r="G10661" s="6"/>
    </row>
    <row r="10662" s="1" customFormat="1" ht="13.5">
      <c r="G10662" s="6"/>
    </row>
    <row r="10663" s="1" customFormat="1" ht="13.5">
      <c r="G10663" s="6"/>
    </row>
    <row r="10664" s="1" customFormat="1" ht="13.5">
      <c r="G10664" s="6"/>
    </row>
    <row r="10665" s="1" customFormat="1" ht="13.5">
      <c r="G10665" s="6"/>
    </row>
    <row r="10666" s="1" customFormat="1" ht="13.5">
      <c r="G10666" s="6"/>
    </row>
    <row r="10667" s="1" customFormat="1" ht="13.5">
      <c r="G10667" s="6"/>
    </row>
    <row r="10668" s="1" customFormat="1" ht="13.5">
      <c r="G10668" s="6"/>
    </row>
    <row r="10669" s="1" customFormat="1" ht="13.5">
      <c r="G10669" s="6"/>
    </row>
    <row r="10670" s="1" customFormat="1" ht="13.5">
      <c r="G10670" s="6"/>
    </row>
    <row r="10671" s="1" customFormat="1" ht="13.5">
      <c r="G10671" s="6"/>
    </row>
    <row r="10672" s="1" customFormat="1" ht="13.5">
      <c r="G10672" s="6"/>
    </row>
    <row r="10673" s="1" customFormat="1" ht="13.5">
      <c r="G10673" s="6"/>
    </row>
    <row r="10674" s="1" customFormat="1" ht="13.5">
      <c r="G10674" s="6"/>
    </row>
    <row r="10675" s="1" customFormat="1" ht="13.5">
      <c r="G10675" s="6"/>
    </row>
    <row r="10676" s="1" customFormat="1" ht="13.5">
      <c r="G10676" s="6"/>
    </row>
    <row r="10677" s="1" customFormat="1" ht="13.5">
      <c r="G10677" s="6"/>
    </row>
    <row r="10678" s="1" customFormat="1" ht="13.5">
      <c r="G10678" s="6"/>
    </row>
    <row r="10679" s="1" customFormat="1" ht="13.5">
      <c r="G10679" s="6"/>
    </row>
    <row r="10680" s="1" customFormat="1" ht="13.5">
      <c r="G10680" s="6"/>
    </row>
    <row r="10681" s="1" customFormat="1" ht="13.5">
      <c r="G10681" s="6"/>
    </row>
    <row r="10682" s="1" customFormat="1" ht="13.5">
      <c r="G10682" s="6"/>
    </row>
    <row r="10683" s="1" customFormat="1" ht="13.5">
      <c r="G10683" s="6"/>
    </row>
    <row r="10684" s="1" customFormat="1" ht="13.5">
      <c r="G10684" s="6"/>
    </row>
    <row r="10685" s="1" customFormat="1" ht="13.5">
      <c r="G10685" s="6"/>
    </row>
    <row r="10686" s="1" customFormat="1" ht="13.5">
      <c r="G10686" s="6"/>
    </row>
    <row r="10687" s="1" customFormat="1" ht="13.5">
      <c r="G10687" s="6"/>
    </row>
    <row r="10688" s="1" customFormat="1" ht="13.5">
      <c r="G10688" s="6"/>
    </row>
    <row r="10689" s="1" customFormat="1" ht="13.5">
      <c r="G10689" s="6"/>
    </row>
    <row r="10690" s="1" customFormat="1" ht="13.5">
      <c r="G10690" s="6"/>
    </row>
    <row r="10691" s="1" customFormat="1" ht="13.5">
      <c r="G10691" s="6"/>
    </row>
    <row r="10692" s="1" customFormat="1" ht="13.5">
      <c r="G10692" s="6"/>
    </row>
    <row r="10693" s="1" customFormat="1" ht="13.5">
      <c r="G10693" s="6"/>
    </row>
    <row r="10694" s="1" customFormat="1" ht="13.5">
      <c r="G10694" s="6"/>
    </row>
    <row r="10695" s="1" customFormat="1" ht="13.5">
      <c r="G10695" s="6"/>
    </row>
    <row r="10696" s="1" customFormat="1" ht="13.5">
      <c r="G10696" s="6"/>
    </row>
    <row r="10697" s="1" customFormat="1" ht="13.5">
      <c r="G10697" s="6"/>
    </row>
    <row r="10698" s="1" customFormat="1" ht="13.5">
      <c r="G10698" s="6"/>
    </row>
    <row r="10699" s="1" customFormat="1" ht="13.5">
      <c r="G10699" s="6"/>
    </row>
    <row r="10700" s="1" customFormat="1" ht="13.5">
      <c r="G10700" s="6"/>
    </row>
    <row r="10701" s="1" customFormat="1" ht="13.5">
      <c r="G10701" s="6"/>
    </row>
    <row r="10702" s="1" customFormat="1" ht="13.5">
      <c r="G10702" s="6"/>
    </row>
    <row r="10703" s="1" customFormat="1" ht="13.5">
      <c r="G10703" s="6"/>
    </row>
    <row r="10704" s="1" customFormat="1" ht="13.5">
      <c r="G10704" s="6"/>
    </row>
    <row r="10705" s="1" customFormat="1" ht="13.5">
      <c r="G10705" s="6"/>
    </row>
    <row r="10706" s="1" customFormat="1" ht="13.5">
      <c r="G10706" s="6"/>
    </row>
    <row r="10707" s="1" customFormat="1" ht="13.5">
      <c r="G10707" s="6"/>
    </row>
    <row r="10708" s="1" customFormat="1" ht="13.5">
      <c r="G10708" s="6"/>
    </row>
    <row r="10709" s="1" customFormat="1" ht="13.5">
      <c r="G10709" s="6"/>
    </row>
    <row r="10710" s="1" customFormat="1" ht="13.5">
      <c r="G10710" s="6"/>
    </row>
    <row r="10711" s="1" customFormat="1" ht="13.5">
      <c r="G10711" s="6"/>
    </row>
    <row r="10712" s="1" customFormat="1" ht="13.5">
      <c r="G10712" s="6"/>
    </row>
    <row r="10713" s="1" customFormat="1" ht="13.5">
      <c r="G10713" s="6"/>
    </row>
    <row r="10714" s="1" customFormat="1" ht="13.5">
      <c r="G10714" s="6"/>
    </row>
    <row r="10715" s="1" customFormat="1" ht="13.5">
      <c r="G10715" s="6"/>
    </row>
    <row r="10716" s="1" customFormat="1" ht="13.5">
      <c r="G10716" s="6"/>
    </row>
    <row r="10717" s="1" customFormat="1" ht="13.5">
      <c r="G10717" s="6"/>
    </row>
    <row r="10718" s="1" customFormat="1" ht="13.5">
      <c r="G10718" s="6"/>
    </row>
    <row r="10719" s="1" customFormat="1" ht="13.5">
      <c r="G10719" s="6"/>
    </row>
    <row r="10720" s="1" customFormat="1" ht="13.5">
      <c r="G10720" s="6"/>
    </row>
    <row r="10721" s="1" customFormat="1" ht="13.5">
      <c r="G10721" s="6"/>
    </row>
    <row r="10722" s="1" customFormat="1" ht="13.5">
      <c r="G10722" s="6"/>
    </row>
    <row r="10723" s="1" customFormat="1" ht="13.5">
      <c r="G10723" s="6"/>
    </row>
    <row r="10724" s="1" customFormat="1" ht="13.5">
      <c r="G10724" s="6"/>
    </row>
    <row r="10725" s="1" customFormat="1" ht="13.5">
      <c r="G10725" s="6"/>
    </row>
    <row r="10726" s="1" customFormat="1" ht="13.5">
      <c r="G10726" s="6"/>
    </row>
    <row r="10727" s="1" customFormat="1" ht="13.5">
      <c r="G10727" s="6"/>
    </row>
    <row r="10728" s="1" customFormat="1" ht="13.5">
      <c r="G10728" s="6"/>
    </row>
    <row r="10729" s="1" customFormat="1" ht="13.5">
      <c r="G10729" s="6"/>
    </row>
    <row r="10730" s="1" customFormat="1" ht="13.5">
      <c r="G10730" s="6"/>
    </row>
    <row r="10731" s="1" customFormat="1" ht="13.5">
      <c r="G10731" s="6"/>
    </row>
    <row r="10732" s="1" customFormat="1" ht="13.5">
      <c r="G10732" s="6"/>
    </row>
    <row r="10733" s="1" customFormat="1" ht="13.5">
      <c r="G10733" s="6"/>
    </row>
    <row r="10734" s="1" customFormat="1" ht="13.5">
      <c r="G10734" s="6"/>
    </row>
    <row r="10735" s="1" customFormat="1" ht="13.5">
      <c r="G10735" s="6"/>
    </row>
    <row r="10736" s="1" customFormat="1" ht="13.5">
      <c r="G10736" s="6"/>
    </row>
    <row r="10737" s="1" customFormat="1" ht="13.5">
      <c r="G10737" s="6"/>
    </row>
    <row r="10738" s="1" customFormat="1" ht="13.5">
      <c r="G10738" s="6"/>
    </row>
    <row r="10739" s="1" customFormat="1" ht="13.5">
      <c r="G10739" s="6"/>
    </row>
    <row r="10740" s="1" customFormat="1" ht="13.5">
      <c r="G10740" s="6"/>
    </row>
    <row r="10741" s="1" customFormat="1" ht="13.5">
      <c r="G10741" s="6"/>
    </row>
    <row r="10742" s="1" customFormat="1" ht="13.5">
      <c r="G10742" s="6"/>
    </row>
    <row r="10743" s="1" customFormat="1" ht="13.5">
      <c r="G10743" s="6"/>
    </row>
    <row r="10744" s="1" customFormat="1" ht="13.5">
      <c r="G10744" s="6"/>
    </row>
    <row r="10745" s="1" customFormat="1" ht="13.5">
      <c r="G10745" s="6"/>
    </row>
    <row r="10746" s="1" customFormat="1" ht="13.5">
      <c r="G10746" s="6"/>
    </row>
    <row r="10747" s="1" customFormat="1" ht="13.5">
      <c r="G10747" s="6"/>
    </row>
    <row r="10748" s="1" customFormat="1" ht="13.5">
      <c r="G10748" s="6"/>
    </row>
    <row r="10749" s="1" customFormat="1" ht="13.5">
      <c r="G10749" s="6"/>
    </row>
    <row r="10750" s="1" customFormat="1" ht="13.5">
      <c r="G10750" s="6"/>
    </row>
    <row r="10751" s="1" customFormat="1" ht="13.5">
      <c r="G10751" s="6"/>
    </row>
    <row r="10752" s="1" customFormat="1" ht="13.5">
      <c r="G10752" s="6"/>
    </row>
    <row r="10753" s="1" customFormat="1" ht="13.5">
      <c r="G10753" s="6"/>
    </row>
    <row r="10754" s="1" customFormat="1" ht="13.5">
      <c r="G10754" s="6"/>
    </row>
    <row r="10755" s="1" customFormat="1" ht="13.5">
      <c r="G10755" s="6"/>
    </row>
    <row r="10756" s="1" customFormat="1" ht="13.5">
      <c r="G10756" s="6"/>
    </row>
    <row r="10757" s="1" customFormat="1" ht="13.5">
      <c r="G10757" s="6"/>
    </row>
    <row r="10758" s="1" customFormat="1" ht="13.5">
      <c r="G10758" s="6"/>
    </row>
    <row r="10759" s="1" customFormat="1" ht="13.5">
      <c r="G10759" s="6"/>
    </row>
    <row r="10760" s="1" customFormat="1" ht="13.5">
      <c r="G10760" s="6"/>
    </row>
    <row r="10761" s="1" customFormat="1" ht="13.5">
      <c r="G10761" s="6"/>
    </row>
    <row r="10762" s="1" customFormat="1" ht="13.5">
      <c r="G10762" s="6"/>
    </row>
    <row r="10763" s="1" customFormat="1" ht="13.5">
      <c r="G10763" s="6"/>
    </row>
    <row r="10764" s="1" customFormat="1" ht="13.5">
      <c r="G10764" s="6"/>
    </row>
    <row r="10765" s="1" customFormat="1" ht="13.5">
      <c r="G10765" s="6"/>
    </row>
    <row r="10766" s="1" customFormat="1" ht="13.5">
      <c r="G10766" s="6"/>
    </row>
    <row r="10767" s="1" customFormat="1" ht="13.5">
      <c r="G10767" s="6"/>
    </row>
    <row r="10768" s="1" customFormat="1" ht="13.5">
      <c r="G10768" s="6"/>
    </row>
    <row r="10769" s="1" customFormat="1" ht="13.5">
      <c r="G10769" s="6"/>
    </row>
    <row r="10770" s="1" customFormat="1" ht="13.5">
      <c r="G10770" s="6"/>
    </row>
    <row r="10771" s="1" customFormat="1" ht="13.5">
      <c r="G10771" s="6"/>
    </row>
    <row r="10772" s="1" customFormat="1" ht="13.5">
      <c r="G10772" s="6"/>
    </row>
    <row r="10773" s="1" customFormat="1" ht="13.5">
      <c r="G10773" s="6"/>
    </row>
    <row r="10774" s="1" customFormat="1" ht="13.5">
      <c r="G10774" s="6"/>
    </row>
    <row r="10775" s="1" customFormat="1" ht="13.5">
      <c r="G10775" s="6"/>
    </row>
    <row r="10776" s="1" customFormat="1" ht="13.5">
      <c r="G10776" s="6"/>
    </row>
    <row r="10777" s="1" customFormat="1" ht="13.5">
      <c r="G10777" s="6"/>
    </row>
    <row r="10778" s="1" customFormat="1" ht="13.5">
      <c r="G10778" s="6"/>
    </row>
    <row r="10779" s="1" customFormat="1" ht="13.5">
      <c r="G10779" s="6"/>
    </row>
    <row r="10780" s="1" customFormat="1" ht="13.5">
      <c r="G10780" s="6"/>
    </row>
    <row r="10781" s="1" customFormat="1" ht="13.5">
      <c r="G10781" s="6"/>
    </row>
    <row r="10782" s="1" customFormat="1" ht="13.5">
      <c r="G10782" s="6"/>
    </row>
    <row r="10783" s="1" customFormat="1" ht="13.5">
      <c r="G10783" s="6"/>
    </row>
    <row r="10784" s="1" customFormat="1" ht="13.5">
      <c r="G10784" s="6"/>
    </row>
    <row r="10785" s="1" customFormat="1" ht="13.5">
      <c r="G10785" s="6"/>
    </row>
    <row r="10786" s="1" customFormat="1" ht="13.5">
      <c r="G10786" s="6"/>
    </row>
    <row r="10787" s="1" customFormat="1" ht="13.5">
      <c r="G10787" s="6"/>
    </row>
    <row r="10788" s="1" customFormat="1" ht="13.5">
      <c r="G10788" s="6"/>
    </row>
    <row r="10789" s="1" customFormat="1" ht="13.5">
      <c r="G10789" s="6"/>
    </row>
    <row r="10790" s="1" customFormat="1" ht="13.5">
      <c r="G10790" s="6"/>
    </row>
    <row r="10791" s="1" customFormat="1" ht="13.5">
      <c r="G10791" s="6"/>
    </row>
    <row r="10792" s="1" customFormat="1" ht="13.5">
      <c r="G10792" s="6"/>
    </row>
    <row r="10793" s="1" customFormat="1" ht="13.5">
      <c r="G10793" s="6"/>
    </row>
    <row r="10794" s="1" customFormat="1" ht="13.5">
      <c r="G10794" s="6"/>
    </row>
    <row r="10795" s="1" customFormat="1" ht="13.5">
      <c r="G10795" s="6"/>
    </row>
    <row r="10796" s="1" customFormat="1" ht="13.5">
      <c r="G10796" s="6"/>
    </row>
    <row r="10797" s="1" customFormat="1" ht="13.5">
      <c r="G10797" s="6"/>
    </row>
    <row r="10798" s="1" customFormat="1" ht="13.5">
      <c r="G10798" s="6"/>
    </row>
    <row r="10799" s="1" customFormat="1" ht="13.5">
      <c r="G10799" s="6"/>
    </row>
    <row r="10800" s="1" customFormat="1" ht="13.5">
      <c r="G10800" s="6"/>
    </row>
    <row r="10801" s="1" customFormat="1" ht="13.5">
      <c r="G10801" s="6"/>
    </row>
    <row r="10802" s="1" customFormat="1" ht="13.5">
      <c r="G10802" s="6"/>
    </row>
    <row r="10803" s="1" customFormat="1" ht="13.5">
      <c r="G10803" s="6"/>
    </row>
    <row r="10804" s="1" customFormat="1" ht="13.5">
      <c r="G10804" s="6"/>
    </row>
    <row r="10805" s="1" customFormat="1" ht="13.5">
      <c r="G10805" s="6"/>
    </row>
    <row r="10806" s="1" customFormat="1" ht="13.5">
      <c r="G10806" s="6"/>
    </row>
    <row r="10807" s="1" customFormat="1" ht="13.5">
      <c r="G10807" s="6"/>
    </row>
    <row r="10808" s="1" customFormat="1" ht="13.5">
      <c r="G10808" s="6"/>
    </row>
    <row r="10809" s="1" customFormat="1" ht="13.5">
      <c r="G10809" s="6"/>
    </row>
    <row r="10810" s="1" customFormat="1" ht="13.5">
      <c r="G10810" s="6"/>
    </row>
    <row r="10811" s="1" customFormat="1" ht="13.5">
      <c r="G10811" s="6"/>
    </row>
    <row r="10812" s="1" customFormat="1" ht="13.5">
      <c r="G10812" s="6"/>
    </row>
    <row r="10813" s="1" customFormat="1" ht="13.5">
      <c r="G10813" s="6"/>
    </row>
    <row r="10814" s="1" customFormat="1" ht="13.5">
      <c r="G10814" s="6"/>
    </row>
    <row r="10815" s="1" customFormat="1" ht="13.5">
      <c r="G10815" s="6"/>
    </row>
    <row r="10816" s="1" customFormat="1" ht="13.5">
      <c r="G10816" s="6"/>
    </row>
    <row r="10817" s="1" customFormat="1" ht="13.5">
      <c r="G10817" s="6"/>
    </row>
    <row r="10818" s="1" customFormat="1" ht="13.5">
      <c r="G10818" s="6"/>
    </row>
    <row r="10819" s="1" customFormat="1" ht="13.5">
      <c r="G10819" s="6"/>
    </row>
    <row r="10820" s="1" customFormat="1" ht="13.5">
      <c r="G10820" s="6"/>
    </row>
    <row r="10821" s="1" customFormat="1" ht="13.5">
      <c r="G10821" s="6"/>
    </row>
    <row r="10822" s="1" customFormat="1" ht="13.5">
      <c r="G10822" s="6"/>
    </row>
    <row r="10823" s="1" customFormat="1" ht="13.5">
      <c r="G10823" s="6"/>
    </row>
    <row r="10824" s="1" customFormat="1" ht="13.5">
      <c r="G10824" s="6"/>
    </row>
    <row r="10825" s="1" customFormat="1" ht="13.5">
      <c r="G10825" s="6"/>
    </row>
    <row r="10826" s="1" customFormat="1" ht="13.5">
      <c r="G10826" s="6"/>
    </row>
    <row r="10827" s="1" customFormat="1" ht="13.5">
      <c r="G10827" s="6"/>
    </row>
    <row r="10828" s="1" customFormat="1" ht="13.5">
      <c r="G10828" s="6"/>
    </row>
    <row r="10829" s="1" customFormat="1" ht="13.5">
      <c r="G10829" s="6"/>
    </row>
    <row r="10830" s="1" customFormat="1" ht="13.5">
      <c r="G10830" s="6"/>
    </row>
    <row r="10831" s="1" customFormat="1" ht="13.5">
      <c r="G10831" s="6"/>
    </row>
    <row r="10832" s="1" customFormat="1" ht="13.5">
      <c r="G10832" s="6"/>
    </row>
    <row r="10833" s="1" customFormat="1" ht="13.5">
      <c r="G10833" s="6"/>
    </row>
    <row r="10834" s="1" customFormat="1" ht="13.5">
      <c r="G10834" s="6"/>
    </row>
    <row r="10835" s="1" customFormat="1" ht="13.5">
      <c r="G10835" s="6"/>
    </row>
    <row r="10836" s="1" customFormat="1" ht="13.5">
      <c r="G10836" s="6"/>
    </row>
    <row r="10837" s="1" customFormat="1" ht="13.5">
      <c r="G10837" s="6"/>
    </row>
    <row r="10838" s="1" customFormat="1" ht="13.5">
      <c r="G10838" s="6"/>
    </row>
    <row r="10839" s="1" customFormat="1" ht="13.5">
      <c r="G10839" s="6"/>
    </row>
    <row r="10840" s="1" customFormat="1" ht="13.5">
      <c r="G10840" s="6"/>
    </row>
    <row r="10841" s="1" customFormat="1" ht="13.5">
      <c r="G10841" s="6"/>
    </row>
    <row r="10842" s="1" customFormat="1" ht="13.5">
      <c r="G10842" s="6"/>
    </row>
    <row r="10843" s="1" customFormat="1" ht="13.5">
      <c r="G10843" s="6"/>
    </row>
    <row r="10844" s="1" customFormat="1" ht="13.5">
      <c r="G10844" s="6"/>
    </row>
    <row r="10845" s="1" customFormat="1" ht="13.5">
      <c r="G10845" s="6"/>
    </row>
    <row r="10846" s="1" customFormat="1" ht="13.5">
      <c r="G10846" s="6"/>
    </row>
    <row r="10847" s="1" customFormat="1" ht="13.5">
      <c r="G10847" s="6"/>
    </row>
    <row r="10848" s="1" customFormat="1" ht="13.5">
      <c r="G10848" s="6"/>
    </row>
    <row r="10849" s="1" customFormat="1" ht="13.5">
      <c r="G10849" s="6"/>
    </row>
    <row r="10850" s="1" customFormat="1" ht="13.5">
      <c r="G10850" s="6"/>
    </row>
    <row r="10851" s="1" customFormat="1" ht="13.5">
      <c r="G10851" s="6"/>
    </row>
    <row r="10852" s="1" customFormat="1" ht="13.5">
      <c r="G10852" s="6"/>
    </row>
    <row r="10853" s="1" customFormat="1" ht="13.5">
      <c r="G10853" s="6"/>
    </row>
    <row r="10854" s="1" customFormat="1" ht="13.5">
      <c r="G10854" s="6"/>
    </row>
    <row r="10855" s="1" customFormat="1" ht="13.5">
      <c r="G10855" s="6"/>
    </row>
    <row r="10856" s="1" customFormat="1" ht="13.5">
      <c r="G10856" s="6"/>
    </row>
    <row r="10857" s="1" customFormat="1" ht="13.5">
      <c r="G10857" s="6"/>
    </row>
    <row r="10858" s="1" customFormat="1" ht="13.5">
      <c r="G10858" s="6"/>
    </row>
    <row r="10859" s="1" customFormat="1" ht="13.5">
      <c r="G10859" s="6"/>
    </row>
    <row r="10860" s="1" customFormat="1" ht="13.5">
      <c r="G10860" s="6"/>
    </row>
    <row r="10861" s="1" customFormat="1" ht="13.5">
      <c r="G10861" s="6"/>
    </row>
    <row r="10862" s="1" customFormat="1" ht="13.5">
      <c r="G10862" s="6"/>
    </row>
    <row r="10863" s="1" customFormat="1" ht="13.5">
      <c r="G10863" s="6"/>
    </row>
    <row r="10864" s="1" customFormat="1" ht="13.5">
      <c r="G10864" s="6"/>
    </row>
    <row r="10865" s="1" customFormat="1" ht="13.5">
      <c r="G10865" s="6"/>
    </row>
    <row r="10866" s="1" customFormat="1" ht="13.5">
      <c r="G10866" s="6"/>
    </row>
    <row r="10867" s="1" customFormat="1" ht="13.5">
      <c r="G10867" s="6"/>
    </row>
    <row r="10868" s="1" customFormat="1" ht="13.5">
      <c r="G10868" s="6"/>
    </row>
    <row r="10869" s="1" customFormat="1" ht="13.5">
      <c r="G10869" s="6"/>
    </row>
    <row r="10870" s="1" customFormat="1" ht="13.5">
      <c r="G10870" s="6"/>
    </row>
    <row r="10871" s="1" customFormat="1" ht="13.5">
      <c r="G10871" s="6"/>
    </row>
    <row r="10872" s="1" customFormat="1" ht="13.5">
      <c r="G10872" s="6"/>
    </row>
    <row r="10873" s="1" customFormat="1" ht="13.5">
      <c r="G10873" s="6"/>
    </row>
    <row r="10874" s="1" customFormat="1" ht="13.5">
      <c r="G10874" s="6"/>
    </row>
    <row r="10875" s="1" customFormat="1" ht="13.5">
      <c r="G10875" s="6"/>
    </row>
    <row r="10876" s="1" customFormat="1" ht="13.5">
      <c r="G10876" s="6"/>
    </row>
    <row r="10877" s="1" customFormat="1" ht="13.5">
      <c r="G10877" s="6"/>
    </row>
    <row r="10878" s="1" customFormat="1" ht="13.5">
      <c r="G10878" s="6"/>
    </row>
    <row r="10879" s="1" customFormat="1" ht="13.5">
      <c r="G10879" s="6"/>
    </row>
    <row r="10880" s="1" customFormat="1" ht="13.5">
      <c r="G10880" s="6"/>
    </row>
    <row r="10881" s="1" customFormat="1" ht="13.5">
      <c r="G10881" s="6"/>
    </row>
    <row r="10882" s="1" customFormat="1" ht="13.5">
      <c r="G10882" s="6"/>
    </row>
    <row r="10883" s="1" customFormat="1" ht="13.5">
      <c r="G10883" s="6"/>
    </row>
    <row r="10884" s="1" customFormat="1" ht="13.5">
      <c r="G10884" s="6"/>
    </row>
    <row r="10885" s="1" customFormat="1" ht="13.5">
      <c r="G10885" s="6"/>
    </row>
    <row r="10886" s="1" customFormat="1" ht="13.5">
      <c r="G10886" s="6"/>
    </row>
    <row r="10887" s="1" customFormat="1" ht="13.5">
      <c r="G10887" s="6"/>
    </row>
    <row r="10888" s="1" customFormat="1" ht="13.5">
      <c r="G10888" s="6"/>
    </row>
    <row r="10889" s="1" customFormat="1" ht="13.5">
      <c r="G10889" s="6"/>
    </row>
    <row r="10890" s="1" customFormat="1" ht="13.5">
      <c r="G10890" s="6"/>
    </row>
    <row r="10891" s="1" customFormat="1" ht="13.5">
      <c r="G10891" s="6"/>
    </row>
    <row r="10892" s="1" customFormat="1" ht="13.5">
      <c r="G10892" s="6"/>
    </row>
    <row r="10893" s="1" customFormat="1" ht="13.5">
      <c r="G10893" s="6"/>
    </row>
    <row r="10894" s="1" customFormat="1" ht="13.5">
      <c r="G10894" s="6"/>
    </row>
    <row r="10895" s="1" customFormat="1" ht="13.5">
      <c r="G10895" s="6"/>
    </row>
    <row r="10896" s="1" customFormat="1" ht="13.5">
      <c r="G10896" s="6"/>
    </row>
    <row r="10897" s="1" customFormat="1" ht="13.5">
      <c r="G10897" s="6"/>
    </row>
    <row r="10898" s="1" customFormat="1" ht="13.5">
      <c r="G10898" s="6"/>
    </row>
    <row r="10899" s="1" customFormat="1" ht="13.5">
      <c r="G10899" s="6"/>
    </row>
    <row r="10900" s="1" customFormat="1" ht="13.5">
      <c r="G10900" s="6"/>
    </row>
    <row r="10901" s="1" customFormat="1" ht="13.5">
      <c r="G10901" s="6"/>
    </row>
    <row r="10902" s="1" customFormat="1" ht="13.5">
      <c r="G10902" s="6"/>
    </row>
    <row r="10903" s="1" customFormat="1" ht="13.5">
      <c r="G10903" s="6"/>
    </row>
    <row r="10904" s="1" customFormat="1" ht="13.5">
      <c r="G10904" s="6"/>
    </row>
    <row r="10905" s="1" customFormat="1" ht="13.5">
      <c r="G10905" s="6"/>
    </row>
    <row r="10906" s="1" customFormat="1" ht="13.5">
      <c r="G10906" s="6"/>
    </row>
    <row r="10907" s="1" customFormat="1" ht="13.5">
      <c r="G10907" s="6"/>
    </row>
    <row r="10908" s="1" customFormat="1" ht="13.5">
      <c r="G10908" s="6"/>
    </row>
    <row r="10909" s="1" customFormat="1" ht="13.5">
      <c r="G10909" s="6"/>
    </row>
    <row r="10910" s="1" customFormat="1" ht="13.5">
      <c r="G10910" s="6"/>
    </row>
    <row r="10911" s="1" customFormat="1" ht="13.5">
      <c r="G10911" s="6"/>
    </row>
    <row r="10912" s="1" customFormat="1" ht="13.5">
      <c r="G10912" s="6"/>
    </row>
    <row r="10913" s="1" customFormat="1" ht="13.5">
      <c r="G10913" s="6"/>
    </row>
    <row r="10914" s="1" customFormat="1" ht="13.5">
      <c r="G10914" s="6"/>
    </row>
    <row r="10915" s="1" customFormat="1" ht="13.5">
      <c r="G10915" s="6"/>
    </row>
    <row r="10916" s="1" customFormat="1" ht="13.5">
      <c r="G10916" s="6"/>
    </row>
    <row r="10917" s="1" customFormat="1" ht="13.5">
      <c r="G10917" s="6"/>
    </row>
    <row r="10918" s="1" customFormat="1" ht="13.5">
      <c r="G10918" s="6"/>
    </row>
    <row r="10919" s="1" customFormat="1" ht="13.5">
      <c r="G10919" s="6"/>
    </row>
    <row r="10920" s="1" customFormat="1" ht="13.5">
      <c r="G10920" s="6"/>
    </row>
    <row r="10921" s="1" customFormat="1" ht="13.5">
      <c r="G10921" s="6"/>
    </row>
    <row r="10922" s="1" customFormat="1" ht="13.5">
      <c r="G10922" s="6"/>
    </row>
    <row r="10923" s="1" customFormat="1" ht="13.5">
      <c r="G10923" s="6"/>
    </row>
    <row r="10924" s="1" customFormat="1" ht="13.5">
      <c r="G10924" s="6"/>
    </row>
    <row r="10925" s="1" customFormat="1" ht="13.5">
      <c r="G10925" s="6"/>
    </row>
    <row r="10926" s="1" customFormat="1" ht="13.5">
      <c r="G10926" s="6"/>
    </row>
    <row r="10927" s="1" customFormat="1" ht="13.5">
      <c r="G10927" s="6"/>
    </row>
    <row r="10928" s="1" customFormat="1" ht="13.5">
      <c r="G10928" s="6"/>
    </row>
    <row r="10929" s="1" customFormat="1" ht="13.5">
      <c r="G10929" s="6"/>
    </row>
    <row r="10930" s="1" customFormat="1" ht="13.5">
      <c r="G10930" s="6"/>
    </row>
    <row r="10931" s="1" customFormat="1" ht="13.5">
      <c r="G10931" s="6"/>
    </row>
    <row r="10932" s="1" customFormat="1" ht="13.5">
      <c r="G10932" s="6"/>
    </row>
    <row r="10933" s="1" customFormat="1" ht="13.5">
      <c r="G10933" s="6"/>
    </row>
    <row r="10934" s="1" customFormat="1" ht="13.5">
      <c r="G10934" s="6"/>
    </row>
    <row r="10935" s="1" customFormat="1" ht="13.5">
      <c r="G10935" s="6"/>
    </row>
    <row r="10936" s="1" customFormat="1" ht="13.5">
      <c r="G10936" s="6"/>
    </row>
    <row r="10937" s="1" customFormat="1" ht="13.5">
      <c r="G10937" s="6"/>
    </row>
    <row r="10938" s="1" customFormat="1" ht="13.5">
      <c r="G10938" s="6"/>
    </row>
    <row r="10939" s="1" customFormat="1" ht="13.5">
      <c r="G10939" s="6"/>
    </row>
    <row r="10940" s="1" customFormat="1" ht="13.5">
      <c r="G10940" s="6"/>
    </row>
    <row r="10941" s="1" customFormat="1" ht="13.5">
      <c r="G10941" s="6"/>
    </row>
    <row r="10942" s="1" customFormat="1" ht="13.5">
      <c r="G10942" s="6"/>
    </row>
    <row r="10943" s="1" customFormat="1" ht="13.5">
      <c r="G10943" s="6"/>
    </row>
    <row r="10944" s="1" customFormat="1" ht="13.5">
      <c r="G10944" s="6"/>
    </row>
    <row r="10945" s="1" customFormat="1" ht="13.5">
      <c r="G10945" s="6"/>
    </row>
    <row r="10946" s="1" customFormat="1" ht="13.5">
      <c r="G10946" s="6"/>
    </row>
    <row r="10947" s="1" customFormat="1" ht="13.5">
      <c r="G10947" s="6"/>
    </row>
    <row r="10948" s="1" customFormat="1" ht="13.5">
      <c r="G10948" s="6"/>
    </row>
    <row r="10949" s="1" customFormat="1" ht="13.5">
      <c r="G10949" s="6"/>
    </row>
    <row r="10950" s="1" customFormat="1" ht="13.5">
      <c r="G10950" s="6"/>
    </row>
    <row r="10951" s="1" customFormat="1" ht="13.5">
      <c r="G10951" s="6"/>
    </row>
    <row r="10952" s="1" customFormat="1" ht="13.5">
      <c r="G10952" s="6"/>
    </row>
    <row r="10953" s="1" customFormat="1" ht="13.5">
      <c r="G10953" s="6"/>
    </row>
    <row r="10954" s="1" customFormat="1" ht="13.5">
      <c r="G10954" s="6"/>
    </row>
    <row r="10955" s="1" customFormat="1" ht="13.5">
      <c r="G10955" s="6"/>
    </row>
    <row r="10956" s="1" customFormat="1" ht="13.5">
      <c r="G10956" s="6"/>
    </row>
    <row r="10957" s="1" customFormat="1" ht="13.5">
      <c r="G10957" s="6"/>
    </row>
    <row r="10958" s="1" customFormat="1" ht="13.5">
      <c r="G10958" s="6"/>
    </row>
    <row r="10959" s="1" customFormat="1" ht="13.5">
      <c r="G10959" s="6"/>
    </row>
    <row r="10960" s="1" customFormat="1" ht="13.5">
      <c r="G10960" s="6"/>
    </row>
    <row r="10961" s="1" customFormat="1" ht="13.5">
      <c r="G10961" s="6"/>
    </row>
    <row r="10962" s="1" customFormat="1" ht="13.5">
      <c r="G10962" s="6"/>
    </row>
    <row r="10963" s="1" customFormat="1" ht="13.5">
      <c r="G10963" s="6"/>
    </row>
    <row r="10964" s="1" customFormat="1" ht="13.5">
      <c r="G10964" s="6"/>
    </row>
    <row r="10965" s="1" customFormat="1" ht="13.5">
      <c r="G10965" s="6"/>
    </row>
    <row r="10966" s="1" customFormat="1" ht="13.5">
      <c r="G10966" s="6"/>
    </row>
    <row r="10967" s="1" customFormat="1" ht="13.5">
      <c r="G10967" s="6"/>
    </row>
    <row r="10968" s="1" customFormat="1" ht="13.5">
      <c r="G10968" s="6"/>
    </row>
    <row r="10969" s="1" customFormat="1" ht="13.5">
      <c r="G10969" s="6"/>
    </row>
    <row r="10970" s="1" customFormat="1" ht="13.5">
      <c r="G10970" s="6"/>
    </row>
    <row r="10971" s="1" customFormat="1" ht="13.5">
      <c r="G10971" s="6"/>
    </row>
    <row r="10972" s="1" customFormat="1" ht="13.5">
      <c r="G10972" s="6"/>
    </row>
    <row r="10973" s="1" customFormat="1" ht="13.5">
      <c r="G10973" s="6"/>
    </row>
    <row r="10974" s="1" customFormat="1" ht="13.5">
      <c r="G10974" s="6"/>
    </row>
    <row r="10975" s="1" customFormat="1" ht="13.5">
      <c r="G10975" s="6"/>
    </row>
    <row r="10976" s="1" customFormat="1" ht="13.5">
      <c r="G10976" s="6"/>
    </row>
    <row r="10977" s="1" customFormat="1" ht="13.5">
      <c r="G10977" s="6"/>
    </row>
    <row r="10978" s="1" customFormat="1" ht="13.5">
      <c r="G10978" s="6"/>
    </row>
    <row r="10979" s="1" customFormat="1" ht="13.5">
      <c r="G10979" s="6"/>
    </row>
    <row r="10980" s="1" customFormat="1" ht="13.5">
      <c r="G10980" s="6"/>
    </row>
    <row r="10981" s="1" customFormat="1" ht="13.5">
      <c r="G10981" s="6"/>
    </row>
    <row r="10982" s="1" customFormat="1" ht="13.5">
      <c r="G10982" s="6"/>
    </row>
    <row r="10983" s="1" customFormat="1" ht="13.5">
      <c r="G10983" s="6"/>
    </row>
    <row r="10984" s="1" customFormat="1" ht="13.5">
      <c r="G10984" s="6"/>
    </row>
    <row r="10985" s="1" customFormat="1" ht="13.5">
      <c r="G10985" s="6"/>
    </row>
    <row r="10986" s="1" customFormat="1" ht="13.5">
      <c r="G10986" s="6"/>
    </row>
    <row r="10987" s="1" customFormat="1" ht="13.5">
      <c r="G10987" s="6"/>
    </row>
    <row r="10988" s="1" customFormat="1" ht="13.5">
      <c r="G10988" s="6"/>
    </row>
    <row r="10989" s="1" customFormat="1" ht="13.5">
      <c r="G10989" s="6"/>
    </row>
    <row r="10990" s="1" customFormat="1" ht="13.5">
      <c r="G10990" s="6"/>
    </row>
    <row r="10991" s="1" customFormat="1" ht="13.5">
      <c r="G10991" s="6"/>
    </row>
    <row r="10992" s="1" customFormat="1" ht="13.5">
      <c r="G10992" s="6"/>
    </row>
    <row r="10993" s="1" customFormat="1" ht="13.5">
      <c r="G10993" s="6"/>
    </row>
    <row r="10994" s="1" customFormat="1" ht="13.5">
      <c r="G10994" s="6"/>
    </row>
    <row r="10995" s="1" customFormat="1" ht="13.5">
      <c r="G10995" s="6"/>
    </row>
    <row r="10996" s="1" customFormat="1" ht="13.5">
      <c r="G10996" s="6"/>
    </row>
    <row r="10997" s="1" customFormat="1" ht="13.5">
      <c r="G10997" s="6"/>
    </row>
    <row r="10998" s="1" customFormat="1" ht="13.5">
      <c r="G10998" s="6"/>
    </row>
    <row r="10999" s="1" customFormat="1" ht="13.5">
      <c r="G10999" s="6"/>
    </row>
    <row r="11000" s="1" customFormat="1" ht="13.5">
      <c r="G11000" s="6"/>
    </row>
    <row r="11001" s="1" customFormat="1" ht="13.5">
      <c r="G11001" s="6"/>
    </row>
    <row r="11002" s="1" customFormat="1" ht="13.5">
      <c r="G11002" s="6"/>
    </row>
    <row r="11003" s="1" customFormat="1" ht="13.5">
      <c r="G11003" s="6"/>
    </row>
    <row r="11004" s="1" customFormat="1" ht="13.5">
      <c r="G11004" s="6"/>
    </row>
    <row r="11005" s="1" customFormat="1" ht="13.5">
      <c r="G11005" s="6"/>
    </row>
    <row r="11006" s="1" customFormat="1" ht="13.5">
      <c r="G11006" s="6"/>
    </row>
    <row r="11007" s="1" customFormat="1" ht="13.5">
      <c r="G11007" s="6"/>
    </row>
    <row r="11008" s="1" customFormat="1" ht="13.5">
      <c r="G11008" s="6"/>
    </row>
    <row r="11009" s="1" customFormat="1" ht="13.5">
      <c r="G11009" s="6"/>
    </row>
    <row r="11010" s="1" customFormat="1" ht="13.5">
      <c r="G11010" s="6"/>
    </row>
    <row r="11011" s="1" customFormat="1" ht="13.5">
      <c r="G11011" s="6"/>
    </row>
    <row r="11012" s="1" customFormat="1" ht="13.5">
      <c r="G11012" s="6"/>
    </row>
    <row r="11013" s="1" customFormat="1" ht="13.5">
      <c r="G11013" s="6"/>
    </row>
    <row r="11014" s="1" customFormat="1" ht="13.5">
      <c r="G11014" s="6"/>
    </row>
    <row r="11015" s="1" customFormat="1" ht="13.5">
      <c r="G11015" s="6"/>
    </row>
    <row r="11016" s="1" customFormat="1" ht="13.5">
      <c r="G11016" s="6"/>
    </row>
    <row r="11017" s="1" customFormat="1" ht="13.5">
      <c r="G11017" s="6"/>
    </row>
    <row r="11018" s="1" customFormat="1" ht="13.5">
      <c r="G11018" s="6"/>
    </row>
    <row r="11019" s="1" customFormat="1" ht="13.5">
      <c r="G11019" s="6"/>
    </row>
    <row r="11020" s="1" customFormat="1" ht="13.5">
      <c r="G11020" s="6"/>
    </row>
    <row r="11021" s="1" customFormat="1" ht="13.5">
      <c r="G11021" s="6"/>
    </row>
    <row r="11022" s="1" customFormat="1" ht="13.5">
      <c r="G11022" s="6"/>
    </row>
    <row r="11023" s="1" customFormat="1" ht="13.5">
      <c r="G11023" s="6"/>
    </row>
    <row r="11024" s="1" customFormat="1" ht="13.5">
      <c r="G11024" s="6"/>
    </row>
    <row r="11025" s="1" customFormat="1" ht="13.5">
      <c r="G11025" s="6"/>
    </row>
    <row r="11026" s="1" customFormat="1" ht="13.5">
      <c r="G11026" s="6"/>
    </row>
    <row r="11027" s="1" customFormat="1" ht="13.5">
      <c r="G11027" s="6"/>
    </row>
    <row r="11028" s="1" customFormat="1" ht="13.5">
      <c r="G11028" s="6"/>
    </row>
    <row r="11029" s="1" customFormat="1" ht="13.5">
      <c r="G11029" s="6"/>
    </row>
    <row r="11030" s="1" customFormat="1" ht="13.5">
      <c r="G11030" s="6"/>
    </row>
    <row r="11031" s="1" customFormat="1" ht="13.5">
      <c r="G11031" s="6"/>
    </row>
    <row r="11032" s="1" customFormat="1" ht="13.5">
      <c r="G11032" s="6"/>
    </row>
    <row r="11033" s="1" customFormat="1" ht="13.5">
      <c r="G11033" s="6"/>
    </row>
    <row r="11034" s="1" customFormat="1" ht="13.5">
      <c r="G11034" s="6"/>
    </row>
    <row r="11035" s="1" customFormat="1" ht="13.5">
      <c r="G11035" s="6"/>
    </row>
    <row r="11036" s="1" customFormat="1" ht="13.5">
      <c r="G11036" s="6"/>
    </row>
    <row r="11037" s="1" customFormat="1" ht="13.5">
      <c r="G11037" s="6"/>
    </row>
    <row r="11038" s="1" customFormat="1" ht="13.5">
      <c r="G11038" s="6"/>
    </row>
    <row r="11039" s="1" customFormat="1" ht="13.5">
      <c r="G11039" s="6"/>
    </row>
    <row r="11040" s="1" customFormat="1" ht="13.5">
      <c r="G11040" s="6"/>
    </row>
    <row r="11041" s="1" customFormat="1" ht="13.5">
      <c r="G11041" s="6"/>
    </row>
    <row r="11042" s="1" customFormat="1" ht="13.5">
      <c r="G11042" s="6"/>
    </row>
    <row r="11043" s="1" customFormat="1" ht="13.5">
      <c r="G11043" s="6"/>
    </row>
    <row r="11044" s="1" customFormat="1" ht="13.5">
      <c r="G11044" s="6"/>
    </row>
    <row r="11045" s="1" customFormat="1" ht="13.5">
      <c r="G11045" s="6"/>
    </row>
    <row r="11046" s="1" customFormat="1" ht="13.5">
      <c r="G11046" s="6"/>
    </row>
    <row r="11047" s="1" customFormat="1" ht="13.5">
      <c r="G11047" s="6"/>
    </row>
    <row r="11048" s="1" customFormat="1" ht="13.5">
      <c r="G11048" s="6"/>
    </row>
    <row r="11049" s="1" customFormat="1" ht="13.5">
      <c r="G11049" s="6"/>
    </row>
    <row r="11050" s="1" customFormat="1" ht="13.5">
      <c r="G11050" s="6"/>
    </row>
    <row r="11051" s="1" customFormat="1" ht="13.5">
      <c r="G11051" s="6"/>
    </row>
    <row r="11052" s="1" customFormat="1" ht="13.5">
      <c r="G11052" s="6"/>
    </row>
    <row r="11053" s="1" customFormat="1" ht="13.5">
      <c r="G11053" s="6"/>
    </row>
    <row r="11054" s="1" customFormat="1" ht="13.5">
      <c r="G11054" s="6"/>
    </row>
    <row r="11055" s="1" customFormat="1" ht="13.5">
      <c r="G11055" s="6"/>
    </row>
    <row r="11056" s="1" customFormat="1" ht="13.5">
      <c r="G11056" s="6"/>
    </row>
    <row r="11057" s="1" customFormat="1" ht="13.5">
      <c r="G11057" s="6"/>
    </row>
    <row r="11058" s="1" customFormat="1" ht="13.5">
      <c r="G11058" s="6"/>
    </row>
    <row r="11059" s="1" customFormat="1" ht="13.5">
      <c r="G11059" s="6"/>
    </row>
    <row r="11060" s="1" customFormat="1" ht="13.5">
      <c r="G11060" s="6"/>
    </row>
    <row r="11061" s="1" customFormat="1" ht="13.5">
      <c r="G11061" s="6"/>
    </row>
    <row r="11062" s="1" customFormat="1" ht="13.5">
      <c r="G11062" s="6"/>
    </row>
    <row r="11063" s="1" customFormat="1" ht="13.5">
      <c r="G11063" s="6"/>
    </row>
    <row r="11064" s="1" customFormat="1" ht="13.5">
      <c r="G11064" s="6"/>
    </row>
    <row r="11065" s="1" customFormat="1" ht="13.5">
      <c r="G11065" s="6"/>
    </row>
    <row r="11066" s="1" customFormat="1" ht="13.5">
      <c r="G11066" s="6"/>
    </row>
    <row r="11067" s="1" customFormat="1" ht="13.5">
      <c r="G11067" s="6"/>
    </row>
    <row r="11068" s="1" customFormat="1" ht="13.5">
      <c r="G11068" s="6"/>
    </row>
    <row r="11069" s="1" customFormat="1" ht="13.5">
      <c r="G11069" s="6"/>
    </row>
    <row r="11070" s="1" customFormat="1" ht="13.5">
      <c r="G11070" s="6"/>
    </row>
    <row r="11071" s="1" customFormat="1" ht="13.5">
      <c r="G11071" s="6"/>
    </row>
    <row r="11072" s="1" customFormat="1" ht="13.5">
      <c r="G11072" s="6"/>
    </row>
    <row r="11073" s="1" customFormat="1" ht="13.5">
      <c r="G11073" s="6"/>
    </row>
    <row r="11074" s="1" customFormat="1" ht="13.5">
      <c r="G11074" s="6"/>
    </row>
    <row r="11075" s="1" customFormat="1" ht="13.5">
      <c r="G11075" s="6"/>
    </row>
    <row r="11076" s="1" customFormat="1" ht="13.5">
      <c r="G11076" s="6"/>
    </row>
    <row r="11077" s="1" customFormat="1" ht="13.5">
      <c r="G11077" s="6"/>
    </row>
    <row r="11078" s="1" customFormat="1" ht="13.5">
      <c r="G11078" s="6"/>
    </row>
    <row r="11079" s="1" customFormat="1" ht="13.5">
      <c r="G11079" s="6"/>
    </row>
    <row r="11080" s="1" customFormat="1" ht="13.5">
      <c r="G11080" s="6"/>
    </row>
    <row r="11081" s="1" customFormat="1" ht="13.5">
      <c r="G11081" s="6"/>
    </row>
    <row r="11082" s="1" customFormat="1" ht="13.5">
      <c r="G11082" s="6"/>
    </row>
    <row r="11083" s="1" customFormat="1" ht="13.5">
      <c r="G11083" s="6"/>
    </row>
    <row r="11084" s="1" customFormat="1" ht="13.5">
      <c r="G11084" s="6"/>
    </row>
    <row r="11085" s="1" customFormat="1" ht="13.5">
      <c r="G11085" s="6"/>
    </row>
    <row r="11086" s="1" customFormat="1" ht="13.5">
      <c r="G11086" s="6"/>
    </row>
    <row r="11087" s="1" customFormat="1" ht="13.5">
      <c r="G11087" s="6"/>
    </row>
    <row r="11088" s="1" customFormat="1" ht="13.5">
      <c r="G11088" s="6"/>
    </row>
    <row r="11089" s="1" customFormat="1" ht="13.5">
      <c r="G11089" s="6"/>
    </row>
    <row r="11090" s="1" customFormat="1" ht="13.5">
      <c r="G11090" s="6"/>
    </row>
    <row r="11091" s="1" customFormat="1" ht="13.5">
      <c r="G11091" s="6"/>
    </row>
    <row r="11092" s="1" customFormat="1" ht="13.5">
      <c r="G11092" s="6"/>
    </row>
    <row r="11093" s="1" customFormat="1" ht="13.5">
      <c r="G11093" s="6"/>
    </row>
    <row r="11094" s="1" customFormat="1" ht="13.5">
      <c r="G11094" s="6"/>
    </row>
    <row r="11095" s="1" customFormat="1" ht="13.5">
      <c r="G11095" s="6"/>
    </row>
    <row r="11096" s="1" customFormat="1" ht="13.5">
      <c r="G11096" s="6"/>
    </row>
    <row r="11097" s="1" customFormat="1" ht="13.5">
      <c r="G11097" s="6"/>
    </row>
    <row r="11098" s="1" customFormat="1" ht="13.5">
      <c r="G11098" s="6"/>
    </row>
    <row r="11099" s="1" customFormat="1" ht="13.5">
      <c r="G11099" s="6"/>
    </row>
    <row r="11100" s="1" customFormat="1" ht="13.5">
      <c r="G11100" s="6"/>
    </row>
    <row r="11101" s="1" customFormat="1" ht="13.5">
      <c r="G11101" s="6"/>
    </row>
    <row r="11102" s="1" customFormat="1" ht="13.5">
      <c r="G11102" s="6"/>
    </row>
    <row r="11103" s="1" customFormat="1" ht="13.5">
      <c r="G11103" s="6"/>
    </row>
    <row r="11104" s="1" customFormat="1" ht="13.5">
      <c r="G11104" s="6"/>
    </row>
    <row r="11105" s="1" customFormat="1" ht="13.5">
      <c r="G11105" s="6"/>
    </row>
    <row r="11106" s="1" customFormat="1" ht="13.5">
      <c r="G11106" s="6"/>
    </row>
    <row r="11107" s="1" customFormat="1" ht="13.5">
      <c r="G11107" s="6"/>
    </row>
    <row r="11108" s="1" customFormat="1" ht="13.5">
      <c r="G11108" s="6"/>
    </row>
    <row r="11109" s="1" customFormat="1" ht="13.5">
      <c r="G11109" s="6"/>
    </row>
    <row r="11110" s="1" customFormat="1" ht="13.5">
      <c r="G11110" s="6"/>
    </row>
    <row r="11111" s="1" customFormat="1" ht="13.5">
      <c r="G11111" s="6"/>
    </row>
    <row r="11112" s="1" customFormat="1" ht="13.5">
      <c r="G11112" s="6"/>
    </row>
    <row r="11113" s="1" customFormat="1" ht="13.5">
      <c r="G11113" s="6"/>
    </row>
    <row r="11114" s="1" customFormat="1" ht="13.5">
      <c r="G11114" s="6"/>
    </row>
    <row r="11115" s="1" customFormat="1" ht="13.5">
      <c r="G11115" s="6"/>
    </row>
    <row r="11116" s="1" customFormat="1" ht="13.5">
      <c r="G11116" s="6"/>
    </row>
    <row r="11117" s="1" customFormat="1" ht="13.5">
      <c r="G11117" s="6"/>
    </row>
    <row r="11118" s="1" customFormat="1" ht="13.5">
      <c r="G11118" s="6"/>
    </row>
    <row r="11119" s="1" customFormat="1" ht="13.5">
      <c r="G11119" s="6"/>
    </row>
    <row r="11120" s="1" customFormat="1" ht="13.5">
      <c r="G11120" s="6"/>
    </row>
    <row r="11121" s="1" customFormat="1" ht="13.5">
      <c r="G11121" s="6"/>
    </row>
    <row r="11122" s="1" customFormat="1" ht="13.5">
      <c r="G11122" s="6"/>
    </row>
    <row r="11123" s="1" customFormat="1" ht="13.5">
      <c r="G11123" s="6"/>
    </row>
    <row r="11124" s="1" customFormat="1" ht="13.5">
      <c r="G11124" s="6"/>
    </row>
    <row r="11125" s="1" customFormat="1" ht="13.5">
      <c r="G11125" s="6"/>
    </row>
    <row r="11126" s="1" customFormat="1" ht="13.5">
      <c r="G11126" s="6"/>
    </row>
    <row r="11127" s="1" customFormat="1" ht="13.5">
      <c r="G11127" s="6"/>
    </row>
    <row r="11128" s="1" customFormat="1" ht="13.5">
      <c r="G11128" s="6"/>
    </row>
    <row r="11129" s="1" customFormat="1" ht="13.5">
      <c r="G11129" s="6"/>
    </row>
    <row r="11130" s="1" customFormat="1" ht="13.5">
      <c r="G11130" s="6"/>
    </row>
    <row r="11131" s="1" customFormat="1" ht="13.5">
      <c r="G11131" s="6"/>
    </row>
    <row r="11132" s="1" customFormat="1" ht="13.5">
      <c r="G11132" s="6"/>
    </row>
    <row r="11133" s="1" customFormat="1" ht="13.5">
      <c r="G11133" s="6"/>
    </row>
    <row r="11134" s="1" customFormat="1" ht="13.5">
      <c r="G11134" s="6"/>
    </row>
    <row r="11135" s="1" customFormat="1" ht="13.5">
      <c r="G11135" s="6"/>
    </row>
    <row r="11136" s="1" customFormat="1" ht="13.5">
      <c r="G11136" s="6"/>
    </row>
    <row r="11137" s="1" customFormat="1" ht="13.5">
      <c r="G11137" s="6"/>
    </row>
    <row r="11138" s="1" customFormat="1" ht="13.5">
      <c r="G11138" s="6"/>
    </row>
    <row r="11139" s="1" customFormat="1" ht="13.5">
      <c r="G11139" s="6"/>
    </row>
    <row r="11140" s="1" customFormat="1" ht="13.5">
      <c r="G11140" s="6"/>
    </row>
    <row r="11141" s="1" customFormat="1" ht="13.5">
      <c r="G11141" s="6"/>
    </row>
    <row r="11142" s="1" customFormat="1" ht="13.5">
      <c r="G11142" s="6"/>
    </row>
    <row r="11143" s="1" customFormat="1" ht="13.5">
      <c r="G11143" s="6"/>
    </row>
    <row r="11144" s="1" customFormat="1" ht="13.5">
      <c r="G11144" s="6"/>
    </row>
    <row r="11145" s="1" customFormat="1" ht="13.5">
      <c r="G11145" s="6"/>
    </row>
    <row r="11146" s="1" customFormat="1" ht="13.5">
      <c r="G11146" s="6"/>
    </row>
    <row r="11147" s="1" customFormat="1" ht="13.5">
      <c r="G11147" s="6"/>
    </row>
    <row r="11148" s="1" customFormat="1" ht="13.5">
      <c r="G11148" s="6"/>
    </row>
    <row r="11149" s="1" customFormat="1" ht="13.5">
      <c r="G11149" s="6"/>
    </row>
    <row r="11150" s="1" customFormat="1" ht="13.5">
      <c r="G11150" s="6"/>
    </row>
    <row r="11151" s="1" customFormat="1" ht="13.5">
      <c r="G11151" s="6"/>
    </row>
    <row r="11152" s="1" customFormat="1" ht="13.5">
      <c r="G11152" s="6"/>
    </row>
    <row r="11153" s="1" customFormat="1" ht="13.5">
      <c r="G11153" s="6"/>
    </row>
    <row r="11154" s="1" customFormat="1" ht="13.5">
      <c r="G11154" s="6"/>
    </row>
    <row r="11155" s="1" customFormat="1" ht="13.5">
      <c r="G11155" s="6"/>
    </row>
    <row r="11156" s="1" customFormat="1" ht="13.5">
      <c r="G11156" s="6"/>
    </row>
    <row r="11157" s="1" customFormat="1" ht="13.5">
      <c r="G11157" s="6"/>
    </row>
    <row r="11158" s="1" customFormat="1" ht="13.5">
      <c r="G11158" s="6"/>
    </row>
    <row r="11159" s="1" customFormat="1" ht="13.5">
      <c r="G11159" s="6"/>
    </row>
    <row r="11160" s="1" customFormat="1" ht="13.5">
      <c r="G11160" s="6"/>
    </row>
    <row r="11161" s="1" customFormat="1" ht="13.5">
      <c r="G11161" s="6"/>
    </row>
    <row r="11162" s="1" customFormat="1" ht="13.5">
      <c r="G11162" s="6"/>
    </row>
    <row r="11163" s="1" customFormat="1" ht="13.5">
      <c r="G11163" s="6"/>
    </row>
    <row r="11164" s="1" customFormat="1" ht="13.5">
      <c r="G11164" s="6"/>
    </row>
    <row r="11165" s="1" customFormat="1" ht="13.5">
      <c r="G11165" s="6"/>
    </row>
    <row r="11166" s="1" customFormat="1" ht="13.5">
      <c r="G11166" s="6"/>
    </row>
    <row r="11167" s="1" customFormat="1" ht="13.5">
      <c r="G11167" s="6"/>
    </row>
    <row r="11168" s="1" customFormat="1" ht="13.5">
      <c r="G11168" s="6"/>
    </row>
    <row r="11169" s="1" customFormat="1" ht="13.5">
      <c r="G11169" s="6"/>
    </row>
    <row r="11170" s="1" customFormat="1" ht="13.5">
      <c r="G11170" s="6"/>
    </row>
    <row r="11171" s="1" customFormat="1" ht="13.5">
      <c r="G11171" s="6"/>
    </row>
    <row r="11172" s="1" customFormat="1" ht="13.5">
      <c r="G11172" s="6"/>
    </row>
    <row r="11173" s="1" customFormat="1" ht="13.5">
      <c r="G11173" s="6"/>
    </row>
    <row r="11174" s="1" customFormat="1" ht="13.5">
      <c r="G11174" s="6"/>
    </row>
    <row r="11175" s="1" customFormat="1" ht="13.5">
      <c r="G11175" s="6"/>
    </row>
    <row r="11176" s="1" customFormat="1" ht="13.5">
      <c r="G11176" s="6"/>
    </row>
    <row r="11177" s="1" customFormat="1" ht="13.5">
      <c r="G11177" s="6"/>
    </row>
    <row r="11178" s="1" customFormat="1" ht="13.5">
      <c r="G11178" s="6"/>
    </row>
    <row r="11179" s="1" customFormat="1" ht="13.5">
      <c r="G11179" s="6"/>
    </row>
    <row r="11180" s="1" customFormat="1" ht="13.5">
      <c r="G11180" s="6"/>
    </row>
    <row r="11181" s="1" customFormat="1" ht="13.5">
      <c r="G11181" s="6"/>
    </row>
    <row r="11182" s="1" customFormat="1" ht="13.5">
      <c r="G11182" s="6"/>
    </row>
    <row r="11183" s="1" customFormat="1" ht="13.5">
      <c r="G11183" s="6"/>
    </row>
    <row r="11184" s="1" customFormat="1" ht="13.5">
      <c r="G11184" s="6"/>
    </row>
    <row r="11185" s="1" customFormat="1" ht="13.5">
      <c r="G11185" s="6"/>
    </row>
    <row r="11186" s="1" customFormat="1" ht="13.5">
      <c r="G11186" s="6"/>
    </row>
    <row r="11187" s="1" customFormat="1" ht="13.5">
      <c r="G11187" s="6"/>
    </row>
    <row r="11188" s="1" customFormat="1" ht="13.5">
      <c r="G11188" s="6"/>
    </row>
    <row r="11189" s="1" customFormat="1" ht="13.5">
      <c r="G11189" s="6"/>
    </row>
    <row r="11190" s="1" customFormat="1" ht="13.5">
      <c r="G11190" s="6"/>
    </row>
    <row r="11191" s="1" customFormat="1" ht="13.5">
      <c r="G11191" s="6"/>
    </row>
    <row r="11192" s="1" customFormat="1" ht="13.5">
      <c r="G11192" s="6"/>
    </row>
    <row r="11193" s="1" customFormat="1" ht="13.5">
      <c r="G11193" s="6"/>
    </row>
    <row r="11194" s="1" customFormat="1" ht="13.5">
      <c r="G11194" s="6"/>
    </row>
    <row r="11195" s="1" customFormat="1" ht="13.5">
      <c r="G11195" s="6"/>
    </row>
    <row r="11196" s="1" customFormat="1" ht="13.5">
      <c r="G11196" s="6"/>
    </row>
    <row r="11197" s="1" customFormat="1" ht="13.5">
      <c r="G11197" s="6"/>
    </row>
    <row r="11198" s="1" customFormat="1" ht="13.5">
      <c r="G11198" s="6"/>
    </row>
    <row r="11199" s="1" customFormat="1" ht="13.5">
      <c r="G11199" s="6"/>
    </row>
    <row r="11200" s="1" customFormat="1" ht="13.5">
      <c r="G11200" s="6"/>
    </row>
    <row r="11201" s="1" customFormat="1" ht="13.5">
      <c r="G11201" s="6"/>
    </row>
    <row r="11202" s="1" customFormat="1" ht="13.5">
      <c r="G11202" s="6"/>
    </row>
    <row r="11203" s="1" customFormat="1" ht="13.5">
      <c r="G11203" s="6"/>
    </row>
    <row r="11204" s="1" customFormat="1" ht="13.5">
      <c r="G11204" s="6"/>
    </row>
    <row r="11205" s="1" customFormat="1" ht="13.5">
      <c r="G11205" s="6"/>
    </row>
    <row r="11206" s="1" customFormat="1" ht="13.5">
      <c r="G11206" s="6"/>
    </row>
    <row r="11207" s="1" customFormat="1" ht="13.5">
      <c r="G11207" s="6"/>
    </row>
    <row r="11208" s="1" customFormat="1" ht="13.5">
      <c r="G11208" s="6"/>
    </row>
    <row r="11209" s="1" customFormat="1" ht="13.5">
      <c r="G11209" s="6"/>
    </row>
    <row r="11210" s="1" customFormat="1" ht="13.5">
      <c r="G11210" s="6"/>
    </row>
    <row r="11211" s="1" customFormat="1" ht="13.5">
      <c r="G11211" s="6"/>
    </row>
    <row r="11212" s="1" customFormat="1" ht="13.5">
      <c r="G11212" s="6"/>
    </row>
    <row r="11213" s="1" customFormat="1" ht="13.5">
      <c r="G11213" s="6"/>
    </row>
    <row r="11214" s="1" customFormat="1" ht="13.5">
      <c r="G11214" s="6"/>
    </row>
    <row r="11215" s="1" customFormat="1" ht="13.5">
      <c r="G11215" s="6"/>
    </row>
    <row r="11216" s="1" customFormat="1" ht="13.5">
      <c r="G11216" s="6"/>
    </row>
    <row r="11217" s="1" customFormat="1" ht="13.5">
      <c r="G11217" s="6"/>
    </row>
    <row r="11218" s="1" customFormat="1" ht="13.5">
      <c r="G11218" s="6"/>
    </row>
    <row r="11219" s="1" customFormat="1" ht="13.5">
      <c r="G11219" s="6"/>
    </row>
    <row r="11220" s="1" customFormat="1" ht="13.5">
      <c r="G11220" s="6"/>
    </row>
    <row r="11221" s="1" customFormat="1" ht="13.5">
      <c r="G11221" s="6"/>
    </row>
    <row r="11222" s="1" customFormat="1" ht="13.5">
      <c r="G11222" s="6"/>
    </row>
    <row r="11223" s="1" customFormat="1" ht="13.5">
      <c r="G11223" s="6"/>
    </row>
    <row r="11224" s="1" customFormat="1" ht="13.5">
      <c r="G11224" s="6"/>
    </row>
    <row r="11225" s="1" customFormat="1" ht="13.5">
      <c r="G11225" s="6"/>
    </row>
    <row r="11226" s="1" customFormat="1" ht="13.5">
      <c r="G11226" s="6"/>
    </row>
    <row r="11227" s="1" customFormat="1" ht="13.5">
      <c r="G11227" s="6"/>
    </row>
    <row r="11228" s="1" customFormat="1" ht="13.5">
      <c r="G11228" s="6"/>
    </row>
    <row r="11229" s="1" customFormat="1" ht="13.5">
      <c r="G11229" s="6"/>
    </row>
    <row r="11230" s="1" customFormat="1" ht="13.5">
      <c r="G11230" s="6"/>
    </row>
    <row r="11231" s="1" customFormat="1" ht="13.5">
      <c r="G11231" s="6"/>
    </row>
    <row r="11232" s="1" customFormat="1" ht="13.5">
      <c r="G11232" s="6"/>
    </row>
    <row r="11233" s="1" customFormat="1" ht="13.5">
      <c r="G11233" s="6"/>
    </row>
    <row r="11234" s="1" customFormat="1" ht="13.5">
      <c r="G11234" s="6"/>
    </row>
    <row r="11235" s="1" customFormat="1" ht="13.5">
      <c r="G11235" s="6"/>
    </row>
    <row r="11236" s="1" customFormat="1" ht="13.5">
      <c r="G11236" s="6"/>
    </row>
    <row r="11237" s="1" customFormat="1" ht="13.5">
      <c r="G11237" s="6"/>
    </row>
    <row r="11238" s="1" customFormat="1" ht="13.5">
      <c r="G11238" s="6"/>
    </row>
    <row r="11239" s="1" customFormat="1" ht="13.5">
      <c r="G11239" s="6"/>
    </row>
    <row r="11240" s="1" customFormat="1" ht="13.5">
      <c r="G11240" s="6"/>
    </row>
    <row r="11241" s="1" customFormat="1" ht="13.5">
      <c r="G11241" s="6"/>
    </row>
    <row r="11242" s="1" customFormat="1" ht="13.5">
      <c r="G11242" s="6"/>
    </row>
    <row r="11243" s="1" customFormat="1" ht="13.5">
      <c r="G11243" s="6"/>
    </row>
    <row r="11244" s="1" customFormat="1" ht="13.5">
      <c r="G11244" s="6"/>
    </row>
    <row r="11245" s="1" customFormat="1" ht="13.5">
      <c r="G11245" s="6"/>
    </row>
    <row r="11246" s="1" customFormat="1" ht="13.5">
      <c r="G11246" s="6"/>
    </row>
    <row r="11247" s="1" customFormat="1" ht="13.5">
      <c r="G11247" s="6"/>
    </row>
    <row r="11248" s="1" customFormat="1" ht="13.5">
      <c r="G11248" s="6"/>
    </row>
    <row r="11249" s="1" customFormat="1" ht="13.5">
      <c r="G11249" s="6"/>
    </row>
    <row r="11250" s="1" customFormat="1" ht="13.5">
      <c r="G11250" s="6"/>
    </row>
    <row r="11251" s="1" customFormat="1" ht="13.5">
      <c r="G11251" s="6"/>
    </row>
    <row r="11252" s="1" customFormat="1" ht="13.5">
      <c r="G11252" s="6"/>
    </row>
    <row r="11253" s="1" customFormat="1" ht="13.5">
      <c r="G11253" s="6"/>
    </row>
    <row r="11254" s="1" customFormat="1" ht="13.5">
      <c r="G11254" s="6"/>
    </row>
    <row r="11255" s="1" customFormat="1" ht="13.5">
      <c r="G11255" s="6"/>
    </row>
    <row r="11256" s="1" customFormat="1" ht="13.5">
      <c r="G11256" s="6"/>
    </row>
    <row r="11257" s="1" customFormat="1" ht="13.5">
      <c r="G11257" s="6"/>
    </row>
    <row r="11258" s="1" customFormat="1" ht="13.5">
      <c r="G11258" s="6"/>
    </row>
    <row r="11259" s="1" customFormat="1" ht="13.5">
      <c r="G11259" s="6"/>
    </row>
    <row r="11260" s="1" customFormat="1" ht="13.5">
      <c r="G11260" s="6"/>
    </row>
    <row r="11261" s="1" customFormat="1" ht="13.5">
      <c r="G11261" s="6"/>
    </row>
    <row r="11262" s="1" customFormat="1" ht="13.5">
      <c r="G11262" s="6"/>
    </row>
    <row r="11263" s="1" customFormat="1" ht="13.5">
      <c r="G11263" s="6"/>
    </row>
    <row r="11264" s="1" customFormat="1" ht="13.5">
      <c r="G11264" s="6"/>
    </row>
    <row r="11265" s="1" customFormat="1" ht="13.5">
      <c r="G11265" s="6"/>
    </row>
    <row r="11266" s="1" customFormat="1" ht="13.5">
      <c r="G11266" s="6"/>
    </row>
    <row r="11267" s="1" customFormat="1" ht="13.5">
      <c r="G11267" s="6"/>
    </row>
    <row r="11268" s="1" customFormat="1" ht="13.5">
      <c r="G11268" s="6"/>
    </row>
    <row r="11269" s="1" customFormat="1" ht="13.5">
      <c r="G11269" s="6"/>
    </row>
    <row r="11270" s="1" customFormat="1" ht="13.5">
      <c r="G11270" s="6"/>
    </row>
    <row r="11271" s="1" customFormat="1" ht="13.5">
      <c r="G11271" s="6"/>
    </row>
    <row r="11272" s="1" customFormat="1" ht="13.5">
      <c r="G11272" s="6"/>
    </row>
    <row r="11273" s="1" customFormat="1" ht="13.5">
      <c r="G11273" s="6"/>
    </row>
    <row r="11274" s="1" customFormat="1" ht="13.5">
      <c r="G11274" s="6"/>
    </row>
    <row r="11275" s="1" customFormat="1" ht="13.5">
      <c r="G11275" s="6"/>
    </row>
    <row r="11276" s="1" customFormat="1" ht="13.5">
      <c r="G11276" s="6"/>
    </row>
    <row r="11277" s="1" customFormat="1" ht="13.5">
      <c r="G11277" s="6"/>
    </row>
    <row r="11278" s="1" customFormat="1" ht="13.5">
      <c r="G11278" s="6"/>
    </row>
    <row r="11279" s="1" customFormat="1" ht="13.5">
      <c r="G11279" s="6"/>
    </row>
    <row r="11280" s="1" customFormat="1" ht="13.5">
      <c r="G11280" s="6"/>
    </row>
    <row r="11281" s="1" customFormat="1" ht="13.5">
      <c r="G11281" s="6"/>
    </row>
    <row r="11282" s="1" customFormat="1" ht="13.5">
      <c r="G11282" s="6"/>
    </row>
    <row r="11283" s="1" customFormat="1" ht="13.5">
      <c r="G11283" s="6"/>
    </row>
    <row r="11284" s="1" customFormat="1" ht="13.5">
      <c r="G11284" s="6"/>
    </row>
    <row r="11285" s="1" customFormat="1" ht="13.5">
      <c r="G11285" s="6"/>
    </row>
    <row r="11286" s="1" customFormat="1" ht="13.5">
      <c r="G11286" s="6"/>
    </row>
    <row r="11287" s="1" customFormat="1" ht="13.5">
      <c r="G11287" s="6"/>
    </row>
    <row r="11288" s="1" customFormat="1" ht="13.5">
      <c r="G11288" s="6"/>
    </row>
    <row r="11289" s="1" customFormat="1" ht="13.5">
      <c r="G11289" s="6"/>
    </row>
    <row r="11290" s="1" customFormat="1" ht="13.5">
      <c r="G11290" s="6"/>
    </row>
    <row r="11291" s="1" customFormat="1" ht="13.5">
      <c r="G11291" s="6"/>
    </row>
    <row r="11292" s="1" customFormat="1" ht="13.5">
      <c r="G11292" s="6"/>
    </row>
    <row r="11293" s="1" customFormat="1" ht="13.5">
      <c r="G11293" s="6"/>
    </row>
    <row r="11294" s="1" customFormat="1" ht="13.5">
      <c r="G11294" s="6"/>
    </row>
    <row r="11295" s="1" customFormat="1" ht="13.5">
      <c r="G11295" s="6"/>
    </row>
    <row r="11296" s="1" customFormat="1" ht="13.5">
      <c r="G11296" s="6"/>
    </row>
    <row r="11297" s="1" customFormat="1" ht="13.5">
      <c r="G11297" s="6"/>
    </row>
    <row r="11298" s="1" customFormat="1" ht="13.5">
      <c r="G11298" s="6"/>
    </row>
    <row r="11299" s="1" customFormat="1" ht="13.5">
      <c r="G11299" s="6"/>
    </row>
    <row r="11300" s="1" customFormat="1" ht="13.5">
      <c r="G11300" s="6"/>
    </row>
    <row r="11301" s="1" customFormat="1" ht="13.5">
      <c r="G11301" s="6"/>
    </row>
    <row r="11302" s="1" customFormat="1" ht="13.5">
      <c r="G11302" s="6"/>
    </row>
    <row r="11303" s="1" customFormat="1" ht="13.5">
      <c r="G11303" s="6"/>
    </row>
    <row r="11304" s="1" customFormat="1" ht="13.5">
      <c r="G11304" s="6"/>
    </row>
    <row r="11305" s="1" customFormat="1" ht="13.5">
      <c r="G11305" s="6"/>
    </row>
    <row r="11306" s="1" customFormat="1" ht="13.5">
      <c r="G11306" s="6"/>
    </row>
    <row r="11307" s="1" customFormat="1" ht="13.5">
      <c r="G11307" s="6"/>
    </row>
    <row r="11308" s="1" customFormat="1" ht="13.5">
      <c r="G11308" s="6"/>
    </row>
    <row r="11309" s="1" customFormat="1" ht="13.5">
      <c r="G11309" s="6"/>
    </row>
    <row r="11310" s="1" customFormat="1" ht="13.5">
      <c r="G11310" s="6"/>
    </row>
    <row r="11311" s="1" customFormat="1" ht="13.5">
      <c r="G11311" s="6"/>
    </row>
    <row r="11312" s="1" customFormat="1" ht="13.5">
      <c r="G11312" s="6"/>
    </row>
    <row r="11313" s="1" customFormat="1" ht="13.5">
      <c r="G11313" s="6"/>
    </row>
    <row r="11314" s="1" customFormat="1" ht="13.5">
      <c r="G11314" s="6"/>
    </row>
    <row r="11315" s="1" customFormat="1" ht="13.5">
      <c r="G11315" s="6"/>
    </row>
    <row r="11316" s="1" customFormat="1" ht="13.5">
      <c r="G11316" s="6"/>
    </row>
    <row r="11317" s="1" customFormat="1" ht="13.5">
      <c r="G11317" s="6"/>
    </row>
    <row r="11318" s="1" customFormat="1" ht="13.5">
      <c r="G11318" s="6"/>
    </row>
    <row r="11319" s="1" customFormat="1" ht="13.5">
      <c r="G11319" s="6"/>
    </row>
    <row r="11320" s="1" customFormat="1" ht="13.5">
      <c r="G11320" s="6"/>
    </row>
    <row r="11321" s="1" customFormat="1" ht="13.5">
      <c r="G11321" s="6"/>
    </row>
    <row r="11322" s="1" customFormat="1" ht="13.5">
      <c r="G11322" s="6"/>
    </row>
    <row r="11323" s="1" customFormat="1" ht="13.5">
      <c r="G11323" s="6"/>
    </row>
    <row r="11324" s="1" customFormat="1" ht="13.5">
      <c r="G11324" s="6"/>
    </row>
    <row r="11325" s="1" customFormat="1" ht="13.5">
      <c r="G11325" s="6"/>
    </row>
    <row r="11326" s="1" customFormat="1" ht="13.5">
      <c r="G11326" s="6"/>
    </row>
    <row r="11327" s="1" customFormat="1" ht="13.5">
      <c r="G11327" s="6"/>
    </row>
    <row r="11328" s="1" customFormat="1" ht="13.5">
      <c r="G11328" s="6"/>
    </row>
    <row r="11329" s="1" customFormat="1" ht="13.5">
      <c r="G11329" s="6"/>
    </row>
    <row r="11330" s="1" customFormat="1" ht="13.5">
      <c r="G11330" s="6"/>
    </row>
    <row r="11331" s="1" customFormat="1" ht="13.5">
      <c r="G11331" s="6"/>
    </row>
    <row r="11332" s="1" customFormat="1" ht="13.5">
      <c r="G11332" s="6"/>
    </row>
    <row r="11333" s="1" customFormat="1" ht="13.5">
      <c r="G11333" s="6"/>
    </row>
    <row r="11334" s="1" customFormat="1" ht="13.5">
      <c r="G11334" s="6"/>
    </row>
    <row r="11335" s="1" customFormat="1" ht="13.5">
      <c r="G11335" s="6"/>
    </row>
    <row r="11336" s="1" customFormat="1" ht="13.5">
      <c r="G11336" s="6"/>
    </row>
    <row r="11337" s="1" customFormat="1" ht="13.5">
      <c r="G11337" s="6"/>
    </row>
    <row r="11338" s="1" customFormat="1" ht="13.5">
      <c r="G11338" s="6"/>
    </row>
    <row r="11339" s="1" customFormat="1" ht="13.5">
      <c r="G11339" s="6"/>
    </row>
    <row r="11340" s="1" customFormat="1" ht="13.5">
      <c r="G11340" s="6"/>
    </row>
    <row r="11341" s="1" customFormat="1" ht="13.5">
      <c r="G11341" s="6"/>
    </row>
    <row r="11342" s="1" customFormat="1" ht="13.5">
      <c r="G11342" s="6"/>
    </row>
    <row r="11343" s="1" customFormat="1" ht="13.5">
      <c r="G11343" s="6"/>
    </row>
    <row r="11344" s="1" customFormat="1" ht="13.5">
      <c r="G11344" s="6"/>
    </row>
    <row r="11345" s="1" customFormat="1" ht="13.5">
      <c r="G11345" s="6"/>
    </row>
    <row r="11346" s="1" customFormat="1" ht="13.5">
      <c r="G11346" s="6"/>
    </row>
    <row r="11347" s="1" customFormat="1" ht="13.5">
      <c r="G11347" s="6"/>
    </row>
    <row r="11348" s="1" customFormat="1" ht="13.5">
      <c r="G11348" s="6"/>
    </row>
    <row r="11349" s="1" customFormat="1" ht="13.5">
      <c r="G11349" s="6"/>
    </row>
    <row r="11350" s="1" customFormat="1" ht="13.5">
      <c r="G11350" s="6"/>
    </row>
    <row r="11351" s="1" customFormat="1" ht="13.5">
      <c r="G11351" s="6"/>
    </row>
    <row r="11352" s="1" customFormat="1" ht="13.5">
      <c r="G11352" s="6"/>
    </row>
    <row r="11353" s="1" customFormat="1" ht="13.5">
      <c r="G11353" s="6"/>
    </row>
    <row r="11354" s="1" customFormat="1" ht="13.5">
      <c r="G11354" s="6"/>
    </row>
    <row r="11355" s="1" customFormat="1" ht="13.5">
      <c r="G11355" s="6"/>
    </row>
    <row r="11356" s="1" customFormat="1" ht="13.5">
      <c r="G11356" s="6"/>
    </row>
    <row r="11357" s="1" customFormat="1" ht="13.5">
      <c r="G11357" s="6"/>
    </row>
    <row r="11358" s="1" customFormat="1" ht="13.5">
      <c r="G11358" s="6"/>
    </row>
    <row r="11359" s="1" customFormat="1" ht="13.5">
      <c r="G11359" s="6"/>
    </row>
    <row r="11360" s="1" customFormat="1" ht="13.5">
      <c r="G11360" s="6"/>
    </row>
    <row r="11361" s="1" customFormat="1" ht="13.5">
      <c r="G11361" s="6"/>
    </row>
    <row r="11362" s="1" customFormat="1" ht="13.5">
      <c r="G11362" s="6"/>
    </row>
    <row r="11363" s="1" customFormat="1" ht="13.5">
      <c r="G11363" s="6"/>
    </row>
    <row r="11364" s="1" customFormat="1" ht="13.5">
      <c r="G11364" s="6"/>
    </row>
    <row r="11365" s="1" customFormat="1" ht="13.5">
      <c r="G11365" s="6"/>
    </row>
    <row r="11366" s="1" customFormat="1" ht="13.5">
      <c r="G11366" s="6"/>
    </row>
    <row r="11367" s="1" customFormat="1" ht="13.5">
      <c r="G11367" s="6"/>
    </row>
    <row r="11368" s="1" customFormat="1" ht="13.5">
      <c r="G11368" s="6"/>
    </row>
    <row r="11369" s="1" customFormat="1" ht="13.5">
      <c r="G11369" s="6"/>
    </row>
    <row r="11370" s="1" customFormat="1" ht="13.5">
      <c r="G11370" s="6"/>
    </row>
    <row r="11371" s="1" customFormat="1" ht="13.5">
      <c r="G11371" s="6"/>
    </row>
    <row r="11372" s="1" customFormat="1" ht="13.5">
      <c r="G11372" s="6"/>
    </row>
    <row r="11373" s="1" customFormat="1" ht="13.5">
      <c r="G11373" s="6"/>
    </row>
    <row r="11374" s="1" customFormat="1" ht="13.5">
      <c r="G11374" s="6"/>
    </row>
    <row r="11375" s="1" customFormat="1" ht="13.5">
      <c r="G11375" s="6"/>
    </row>
    <row r="11376" s="1" customFormat="1" ht="13.5">
      <c r="G11376" s="6"/>
    </row>
    <row r="11377" s="1" customFormat="1" ht="13.5">
      <c r="G11377" s="6"/>
    </row>
    <row r="11378" s="1" customFormat="1" ht="13.5">
      <c r="G11378" s="6"/>
    </row>
    <row r="11379" s="1" customFormat="1" ht="13.5">
      <c r="G11379" s="6"/>
    </row>
    <row r="11380" s="1" customFormat="1" ht="13.5">
      <c r="G11380" s="6"/>
    </row>
    <row r="11381" s="1" customFormat="1" ht="13.5">
      <c r="G11381" s="6"/>
    </row>
    <row r="11382" s="1" customFormat="1" ht="13.5">
      <c r="G11382" s="6"/>
    </row>
    <row r="11383" s="1" customFormat="1" ht="13.5">
      <c r="G11383" s="6"/>
    </row>
    <row r="11384" s="1" customFormat="1" ht="13.5">
      <c r="G11384" s="6"/>
    </row>
    <row r="11385" s="1" customFormat="1" ht="13.5">
      <c r="G11385" s="6"/>
    </row>
    <row r="11386" s="1" customFormat="1" ht="13.5">
      <c r="G11386" s="6"/>
    </row>
    <row r="11387" s="1" customFormat="1" ht="13.5">
      <c r="G11387" s="6"/>
    </row>
    <row r="11388" s="1" customFormat="1" ht="13.5">
      <c r="G11388" s="6"/>
    </row>
    <row r="11389" s="1" customFormat="1" ht="13.5">
      <c r="G11389" s="6"/>
    </row>
    <row r="11390" s="1" customFormat="1" ht="13.5">
      <c r="G11390" s="6"/>
    </row>
    <row r="11391" s="1" customFormat="1" ht="13.5">
      <c r="G11391" s="6"/>
    </row>
    <row r="11392" s="1" customFormat="1" ht="13.5">
      <c r="G11392" s="6"/>
    </row>
    <row r="11393" s="1" customFormat="1" ht="13.5">
      <c r="G11393" s="6"/>
    </row>
    <row r="11394" s="1" customFormat="1" ht="13.5">
      <c r="G11394" s="6"/>
    </row>
    <row r="11395" s="1" customFormat="1" ht="13.5">
      <c r="G11395" s="6"/>
    </row>
    <row r="11396" s="1" customFormat="1" ht="13.5">
      <c r="G11396" s="6"/>
    </row>
    <row r="11397" s="1" customFormat="1" ht="13.5">
      <c r="G11397" s="6"/>
    </row>
    <row r="11398" s="1" customFormat="1" ht="13.5">
      <c r="G11398" s="6"/>
    </row>
    <row r="11399" s="1" customFormat="1" ht="13.5">
      <c r="G11399" s="6"/>
    </row>
    <row r="11400" s="1" customFormat="1" ht="13.5">
      <c r="G11400" s="6"/>
    </row>
    <row r="11401" s="1" customFormat="1" ht="13.5">
      <c r="G11401" s="6"/>
    </row>
    <row r="11402" s="1" customFormat="1" ht="13.5">
      <c r="G11402" s="6"/>
    </row>
    <row r="11403" s="1" customFormat="1" ht="13.5">
      <c r="G11403" s="6"/>
    </row>
    <row r="11404" s="1" customFormat="1" ht="13.5">
      <c r="G11404" s="6"/>
    </row>
    <row r="11405" s="1" customFormat="1" ht="13.5">
      <c r="G11405" s="6"/>
    </row>
    <row r="11406" s="1" customFormat="1" ht="13.5">
      <c r="G11406" s="6"/>
    </row>
    <row r="11407" s="1" customFormat="1" ht="13.5">
      <c r="G11407" s="6"/>
    </row>
    <row r="11408" s="1" customFormat="1" ht="13.5">
      <c r="G11408" s="6"/>
    </row>
    <row r="11409" s="1" customFormat="1" ht="13.5">
      <c r="G11409" s="6"/>
    </row>
    <row r="11410" s="1" customFormat="1" ht="13.5">
      <c r="G11410" s="6"/>
    </row>
    <row r="11411" s="1" customFormat="1" ht="13.5">
      <c r="G11411" s="6"/>
    </row>
    <row r="11412" s="1" customFormat="1" ht="13.5">
      <c r="G11412" s="6"/>
    </row>
    <row r="11413" s="1" customFormat="1" ht="13.5">
      <c r="G11413" s="6"/>
    </row>
    <row r="11414" s="1" customFormat="1" ht="13.5">
      <c r="G11414" s="6"/>
    </row>
    <row r="11415" s="1" customFormat="1" ht="13.5">
      <c r="G11415" s="6"/>
    </row>
    <row r="11416" s="1" customFormat="1" ht="13.5">
      <c r="G11416" s="6"/>
    </row>
    <row r="11417" s="1" customFormat="1" ht="13.5">
      <c r="G11417" s="6"/>
    </row>
    <row r="11418" s="1" customFormat="1" ht="13.5">
      <c r="G11418" s="6"/>
    </row>
    <row r="11419" s="1" customFormat="1" ht="13.5">
      <c r="G11419" s="6"/>
    </row>
    <row r="11420" s="1" customFormat="1" ht="13.5">
      <c r="G11420" s="6"/>
    </row>
    <row r="11421" s="1" customFormat="1" ht="13.5">
      <c r="G11421" s="6"/>
    </row>
    <row r="11422" s="1" customFormat="1" ht="13.5">
      <c r="G11422" s="6"/>
    </row>
    <row r="11423" s="1" customFormat="1" ht="13.5">
      <c r="G11423" s="6"/>
    </row>
    <row r="11424" s="1" customFormat="1" ht="13.5">
      <c r="G11424" s="6"/>
    </row>
    <row r="11425" s="1" customFormat="1" ht="13.5">
      <c r="G11425" s="6"/>
    </row>
    <row r="11426" s="1" customFormat="1" ht="13.5">
      <c r="G11426" s="6"/>
    </row>
    <row r="11427" s="1" customFormat="1" ht="13.5">
      <c r="G11427" s="6"/>
    </row>
    <row r="11428" s="1" customFormat="1" ht="13.5">
      <c r="G11428" s="6"/>
    </row>
    <row r="11429" s="1" customFormat="1" ht="13.5">
      <c r="G11429" s="6"/>
    </row>
    <row r="11430" s="1" customFormat="1" ht="13.5">
      <c r="G11430" s="6"/>
    </row>
    <row r="11431" s="1" customFormat="1" ht="13.5">
      <c r="G11431" s="6"/>
    </row>
    <row r="11432" s="1" customFormat="1" ht="13.5">
      <c r="G11432" s="6"/>
    </row>
    <row r="11433" s="1" customFormat="1" ht="13.5">
      <c r="G11433" s="6"/>
    </row>
    <row r="11434" s="1" customFormat="1" ht="13.5">
      <c r="G11434" s="6"/>
    </row>
    <row r="11435" s="1" customFormat="1" ht="13.5">
      <c r="G11435" s="6"/>
    </row>
    <row r="11436" s="1" customFormat="1" ht="13.5">
      <c r="G11436" s="6"/>
    </row>
    <row r="11437" s="1" customFormat="1" ht="13.5">
      <c r="G11437" s="6"/>
    </row>
    <row r="11438" s="1" customFormat="1" ht="13.5">
      <c r="G11438" s="6"/>
    </row>
    <row r="11439" s="1" customFormat="1" ht="13.5">
      <c r="G11439" s="6"/>
    </row>
    <row r="11440" s="1" customFormat="1" ht="13.5">
      <c r="G11440" s="6"/>
    </row>
    <row r="11441" s="1" customFormat="1" ht="13.5">
      <c r="G11441" s="6"/>
    </row>
    <row r="11442" s="1" customFormat="1" ht="13.5">
      <c r="G11442" s="6"/>
    </row>
    <row r="11443" s="1" customFormat="1" ht="13.5">
      <c r="G11443" s="6"/>
    </row>
    <row r="11444" s="1" customFormat="1" ht="13.5">
      <c r="G11444" s="6"/>
    </row>
    <row r="11445" s="1" customFormat="1" ht="13.5">
      <c r="G11445" s="6"/>
    </row>
    <row r="11446" s="1" customFormat="1" ht="13.5">
      <c r="G11446" s="6"/>
    </row>
    <row r="11447" s="1" customFormat="1" ht="13.5">
      <c r="G11447" s="6"/>
    </row>
    <row r="11448" s="1" customFormat="1" ht="13.5">
      <c r="G11448" s="6"/>
    </row>
    <row r="11449" s="1" customFormat="1" ht="13.5">
      <c r="G11449" s="6"/>
    </row>
    <row r="11450" s="1" customFormat="1" ht="13.5">
      <c r="G11450" s="6"/>
    </row>
    <row r="11451" s="1" customFormat="1" ht="13.5">
      <c r="G11451" s="6"/>
    </row>
    <row r="11452" s="1" customFormat="1" ht="13.5">
      <c r="G11452" s="6"/>
    </row>
    <row r="11453" s="1" customFormat="1" ht="13.5">
      <c r="G11453" s="6"/>
    </row>
    <row r="11454" s="1" customFormat="1" ht="13.5">
      <c r="G11454" s="6"/>
    </row>
    <row r="11455" s="1" customFormat="1" ht="13.5">
      <c r="G11455" s="6"/>
    </row>
    <row r="11456" s="1" customFormat="1" ht="13.5">
      <c r="G11456" s="6"/>
    </row>
    <row r="11457" s="1" customFormat="1" ht="13.5">
      <c r="G11457" s="6"/>
    </row>
    <row r="11458" s="1" customFormat="1" ht="13.5">
      <c r="G11458" s="6"/>
    </row>
    <row r="11459" s="1" customFormat="1" ht="13.5">
      <c r="G11459" s="6"/>
    </row>
    <row r="11460" s="1" customFormat="1" ht="13.5">
      <c r="G11460" s="6"/>
    </row>
    <row r="11461" s="1" customFormat="1" ht="13.5">
      <c r="G11461" s="6"/>
    </row>
    <row r="11462" s="1" customFormat="1" ht="13.5">
      <c r="G11462" s="6"/>
    </row>
    <row r="11463" s="1" customFormat="1" ht="13.5">
      <c r="G11463" s="6"/>
    </row>
    <row r="11464" s="1" customFormat="1" ht="13.5">
      <c r="G11464" s="6"/>
    </row>
    <row r="11465" s="1" customFormat="1" ht="13.5">
      <c r="G11465" s="6"/>
    </row>
    <row r="11466" s="1" customFormat="1" ht="13.5">
      <c r="G11466" s="6"/>
    </row>
    <row r="11467" s="1" customFormat="1" ht="13.5">
      <c r="G11467" s="6"/>
    </row>
    <row r="11468" s="1" customFormat="1" ht="13.5">
      <c r="G11468" s="6"/>
    </row>
    <row r="11469" s="1" customFormat="1" ht="13.5">
      <c r="G11469" s="6"/>
    </row>
    <row r="11470" s="1" customFormat="1" ht="13.5">
      <c r="G11470" s="6"/>
    </row>
    <row r="11471" s="1" customFormat="1" ht="13.5">
      <c r="G11471" s="6"/>
    </row>
    <row r="11472" s="1" customFormat="1" ht="13.5">
      <c r="G11472" s="6"/>
    </row>
    <row r="11473" s="1" customFormat="1" ht="13.5">
      <c r="G11473" s="6"/>
    </row>
    <row r="11474" s="1" customFormat="1" ht="13.5">
      <c r="G11474" s="6"/>
    </row>
    <row r="11475" s="1" customFormat="1" ht="13.5">
      <c r="G11475" s="6"/>
    </row>
    <row r="11476" s="1" customFormat="1" ht="13.5">
      <c r="G11476" s="6"/>
    </row>
    <row r="11477" s="1" customFormat="1" ht="13.5">
      <c r="G11477" s="6"/>
    </row>
    <row r="11478" s="1" customFormat="1" ht="13.5">
      <c r="G11478" s="6"/>
    </row>
    <row r="11479" s="1" customFormat="1" ht="13.5">
      <c r="G11479" s="6"/>
    </row>
    <row r="11480" s="1" customFormat="1" ht="13.5">
      <c r="G11480" s="6"/>
    </row>
    <row r="11481" s="1" customFormat="1" ht="13.5">
      <c r="G11481" s="6"/>
    </row>
    <row r="11482" s="1" customFormat="1" ht="13.5">
      <c r="G11482" s="6"/>
    </row>
    <row r="11483" s="1" customFormat="1" ht="13.5">
      <c r="G11483" s="6"/>
    </row>
    <row r="11484" s="1" customFormat="1" ht="13.5">
      <c r="G11484" s="6"/>
    </row>
    <row r="11485" s="1" customFormat="1" ht="13.5">
      <c r="G11485" s="6"/>
    </row>
    <row r="11486" s="1" customFormat="1" ht="13.5">
      <c r="G11486" s="6"/>
    </row>
    <row r="11487" s="1" customFormat="1" ht="13.5">
      <c r="G11487" s="6"/>
    </row>
    <row r="11488" s="1" customFormat="1" ht="13.5">
      <c r="G11488" s="6"/>
    </row>
    <row r="11489" s="1" customFormat="1" ht="13.5">
      <c r="G11489" s="6"/>
    </row>
    <row r="11490" s="1" customFormat="1" ht="13.5">
      <c r="G11490" s="6"/>
    </row>
    <row r="11491" s="1" customFormat="1" ht="13.5">
      <c r="G11491" s="6"/>
    </row>
    <row r="11492" s="1" customFormat="1" ht="13.5">
      <c r="G11492" s="6"/>
    </row>
    <row r="11493" s="1" customFormat="1" ht="13.5">
      <c r="G11493" s="6"/>
    </row>
    <row r="11494" s="1" customFormat="1" ht="13.5">
      <c r="G11494" s="6"/>
    </row>
    <row r="11495" s="1" customFormat="1" ht="13.5">
      <c r="G11495" s="6"/>
    </row>
    <row r="11496" s="1" customFormat="1" ht="13.5">
      <c r="G11496" s="6"/>
    </row>
    <row r="11497" s="1" customFormat="1" ht="13.5">
      <c r="G11497" s="6"/>
    </row>
    <row r="11498" s="1" customFormat="1" ht="13.5">
      <c r="G11498" s="6"/>
    </row>
    <row r="11499" s="1" customFormat="1" ht="13.5">
      <c r="G11499" s="6"/>
    </row>
    <row r="11500" s="1" customFormat="1" ht="13.5">
      <c r="G11500" s="6"/>
    </row>
    <row r="11501" s="1" customFormat="1" ht="13.5">
      <c r="G11501" s="6"/>
    </row>
    <row r="11502" s="1" customFormat="1" ht="13.5">
      <c r="G11502" s="6"/>
    </row>
    <row r="11503" s="1" customFormat="1" ht="13.5">
      <c r="G11503" s="6"/>
    </row>
    <row r="11504" s="1" customFormat="1" ht="13.5">
      <c r="G11504" s="6"/>
    </row>
    <row r="11505" s="1" customFormat="1" ht="13.5">
      <c r="G11505" s="6"/>
    </row>
    <row r="11506" s="1" customFormat="1" ht="13.5">
      <c r="G11506" s="6"/>
    </row>
    <row r="11507" s="1" customFormat="1" ht="13.5">
      <c r="G11507" s="6"/>
    </row>
    <row r="11508" s="1" customFormat="1" ht="13.5">
      <c r="G11508" s="6"/>
    </row>
    <row r="11509" s="1" customFormat="1" ht="13.5">
      <c r="G11509" s="6"/>
    </row>
    <row r="11510" s="1" customFormat="1" ht="13.5">
      <c r="G11510" s="6"/>
    </row>
    <row r="11511" s="1" customFormat="1" ht="13.5">
      <c r="G11511" s="6"/>
    </row>
    <row r="11512" s="1" customFormat="1" ht="13.5">
      <c r="G11512" s="6"/>
    </row>
    <row r="11513" s="1" customFormat="1" ht="13.5">
      <c r="G11513" s="6"/>
    </row>
    <row r="11514" s="1" customFormat="1" ht="13.5">
      <c r="G11514" s="6"/>
    </row>
    <row r="11515" s="1" customFormat="1" ht="13.5">
      <c r="G11515" s="6"/>
    </row>
    <row r="11516" s="1" customFormat="1" ht="13.5">
      <c r="G11516" s="6"/>
    </row>
    <row r="11517" s="1" customFormat="1" ht="13.5">
      <c r="G11517" s="6"/>
    </row>
    <row r="11518" s="1" customFormat="1" ht="13.5">
      <c r="G11518" s="6"/>
    </row>
    <row r="11519" s="1" customFormat="1" ht="13.5">
      <c r="G11519" s="6"/>
    </row>
    <row r="11520" s="1" customFormat="1" ht="13.5">
      <c r="G11520" s="6"/>
    </row>
    <row r="11521" s="1" customFormat="1" ht="13.5">
      <c r="G11521" s="6"/>
    </row>
    <row r="11522" s="1" customFormat="1" ht="13.5">
      <c r="G11522" s="6"/>
    </row>
    <row r="11523" s="1" customFormat="1" ht="13.5">
      <c r="G11523" s="6"/>
    </row>
    <row r="11524" s="1" customFormat="1" ht="13.5">
      <c r="G11524" s="6"/>
    </row>
    <row r="11525" s="1" customFormat="1" ht="13.5">
      <c r="G11525" s="6"/>
    </row>
    <row r="11526" s="1" customFormat="1" ht="13.5">
      <c r="G11526" s="6"/>
    </row>
    <row r="11527" s="1" customFormat="1" ht="13.5">
      <c r="G11527" s="6"/>
    </row>
    <row r="11528" s="1" customFormat="1" ht="13.5">
      <c r="G11528" s="6"/>
    </row>
    <row r="11529" s="1" customFormat="1" ht="13.5">
      <c r="G11529" s="6"/>
    </row>
    <row r="11530" s="1" customFormat="1" ht="13.5">
      <c r="G11530" s="6"/>
    </row>
    <row r="11531" s="1" customFormat="1" ht="13.5">
      <c r="G11531" s="6"/>
    </row>
    <row r="11532" s="1" customFormat="1" ht="13.5">
      <c r="G11532" s="6"/>
    </row>
    <row r="11533" s="1" customFormat="1" ht="13.5">
      <c r="G11533" s="6"/>
    </row>
    <row r="11534" s="1" customFormat="1" ht="13.5">
      <c r="G11534" s="6"/>
    </row>
    <row r="11535" s="1" customFormat="1" ht="13.5">
      <c r="G11535" s="6"/>
    </row>
    <row r="11536" s="1" customFormat="1" ht="13.5">
      <c r="G11536" s="6"/>
    </row>
    <row r="11537" s="1" customFormat="1" ht="13.5">
      <c r="G11537" s="6"/>
    </row>
    <row r="11538" s="1" customFormat="1" ht="13.5">
      <c r="G11538" s="6"/>
    </row>
    <row r="11539" s="1" customFormat="1" ht="13.5">
      <c r="G11539" s="6"/>
    </row>
    <row r="11540" s="1" customFormat="1" ht="13.5">
      <c r="G11540" s="6"/>
    </row>
    <row r="11541" s="1" customFormat="1" ht="13.5">
      <c r="G11541" s="6"/>
    </row>
    <row r="11542" s="1" customFormat="1" ht="13.5">
      <c r="G11542" s="6"/>
    </row>
    <row r="11543" s="1" customFormat="1" ht="13.5">
      <c r="G11543" s="6"/>
    </row>
    <row r="11544" s="1" customFormat="1" ht="13.5">
      <c r="G11544" s="6"/>
    </row>
    <row r="11545" s="1" customFormat="1" ht="13.5">
      <c r="G11545" s="6"/>
    </row>
    <row r="11546" s="1" customFormat="1" ht="13.5">
      <c r="G11546" s="6"/>
    </row>
    <row r="11547" s="1" customFormat="1" ht="13.5">
      <c r="G11547" s="6"/>
    </row>
    <row r="11548" s="1" customFormat="1" ht="13.5">
      <c r="G11548" s="6"/>
    </row>
    <row r="11549" s="1" customFormat="1" ht="13.5">
      <c r="G11549" s="6"/>
    </row>
    <row r="11550" s="1" customFormat="1" ht="13.5">
      <c r="G11550" s="6"/>
    </row>
    <row r="11551" s="1" customFormat="1" ht="13.5">
      <c r="G11551" s="6"/>
    </row>
    <row r="11552" s="1" customFormat="1" ht="13.5">
      <c r="G11552" s="6"/>
    </row>
    <row r="11553" s="1" customFormat="1" ht="13.5">
      <c r="G11553" s="6"/>
    </row>
    <row r="11554" s="1" customFormat="1" ht="13.5">
      <c r="G11554" s="6"/>
    </row>
    <row r="11555" s="1" customFormat="1" ht="13.5">
      <c r="G11555" s="6"/>
    </row>
    <row r="11556" s="1" customFormat="1" ht="13.5">
      <c r="G11556" s="6"/>
    </row>
    <row r="11557" s="1" customFormat="1" ht="13.5">
      <c r="G11557" s="6"/>
    </row>
    <row r="11558" s="1" customFormat="1" ht="13.5">
      <c r="G11558" s="6"/>
    </row>
    <row r="11559" s="1" customFormat="1" ht="13.5">
      <c r="G11559" s="6"/>
    </row>
    <row r="11560" s="1" customFormat="1" ht="13.5">
      <c r="G11560" s="6"/>
    </row>
    <row r="11561" s="1" customFormat="1" ht="13.5">
      <c r="G11561" s="6"/>
    </row>
    <row r="11562" s="1" customFormat="1" ht="13.5">
      <c r="G11562" s="6"/>
    </row>
    <row r="11563" s="1" customFormat="1" ht="13.5">
      <c r="G11563" s="6"/>
    </row>
    <row r="11564" s="1" customFormat="1" ht="13.5">
      <c r="G11564" s="6"/>
    </row>
    <row r="11565" s="1" customFormat="1" ht="13.5">
      <c r="G11565" s="6"/>
    </row>
    <row r="11566" s="1" customFormat="1" ht="13.5">
      <c r="G11566" s="6"/>
    </row>
    <row r="11567" s="1" customFormat="1" ht="13.5">
      <c r="G11567" s="6"/>
    </row>
    <row r="11568" s="1" customFormat="1" ht="13.5">
      <c r="G11568" s="6"/>
    </row>
    <row r="11569" s="1" customFormat="1" ht="13.5">
      <c r="G11569" s="6"/>
    </row>
    <row r="11570" s="1" customFormat="1" ht="13.5">
      <c r="G11570" s="6"/>
    </row>
    <row r="11571" s="1" customFormat="1" ht="13.5">
      <c r="G11571" s="6"/>
    </row>
    <row r="11572" s="1" customFormat="1" ht="13.5">
      <c r="G11572" s="6"/>
    </row>
    <row r="11573" s="1" customFormat="1" ht="13.5">
      <c r="G11573" s="6"/>
    </row>
    <row r="11574" s="1" customFormat="1" ht="13.5">
      <c r="G11574" s="6"/>
    </row>
    <row r="11575" s="1" customFormat="1" ht="13.5">
      <c r="G11575" s="6"/>
    </row>
    <row r="11576" s="1" customFormat="1" ht="13.5">
      <c r="G11576" s="6"/>
    </row>
    <row r="11577" s="1" customFormat="1" ht="13.5">
      <c r="G11577" s="6"/>
    </row>
    <row r="11578" s="1" customFormat="1" ht="13.5">
      <c r="G11578" s="6"/>
    </row>
    <row r="11579" s="1" customFormat="1" ht="13.5">
      <c r="G11579" s="6"/>
    </row>
    <row r="11580" s="1" customFormat="1" ht="13.5">
      <c r="G11580" s="6"/>
    </row>
    <row r="11581" s="1" customFormat="1" ht="13.5">
      <c r="G11581" s="6"/>
    </row>
    <row r="11582" s="1" customFormat="1" ht="13.5">
      <c r="G11582" s="6"/>
    </row>
    <row r="11583" s="1" customFormat="1" ht="13.5">
      <c r="G11583" s="6"/>
    </row>
    <row r="11584" s="1" customFormat="1" ht="13.5">
      <c r="G11584" s="6"/>
    </row>
    <row r="11585" s="1" customFormat="1" ht="13.5">
      <c r="G11585" s="6"/>
    </row>
    <row r="11586" s="1" customFormat="1" ht="13.5">
      <c r="G11586" s="6"/>
    </row>
    <row r="11587" s="1" customFormat="1" ht="13.5">
      <c r="G11587" s="6"/>
    </row>
    <row r="11588" s="1" customFormat="1" ht="13.5">
      <c r="G11588" s="6"/>
    </row>
    <row r="11589" s="1" customFormat="1" ht="13.5">
      <c r="G11589" s="6"/>
    </row>
    <row r="11590" s="1" customFormat="1" ht="13.5">
      <c r="G11590" s="6"/>
    </row>
    <row r="11591" s="1" customFormat="1" ht="13.5">
      <c r="G11591" s="6"/>
    </row>
    <row r="11592" s="1" customFormat="1" ht="13.5">
      <c r="G11592" s="6"/>
    </row>
    <row r="11593" s="1" customFormat="1" ht="13.5">
      <c r="G11593" s="6"/>
    </row>
    <row r="11594" s="1" customFormat="1" ht="13.5">
      <c r="G11594" s="6"/>
    </row>
    <row r="11595" s="1" customFormat="1" ht="13.5">
      <c r="G11595" s="6"/>
    </row>
    <row r="11596" s="1" customFormat="1" ht="13.5">
      <c r="G11596" s="6"/>
    </row>
    <row r="11597" s="1" customFormat="1" ht="13.5">
      <c r="G11597" s="6"/>
    </row>
    <row r="11598" s="1" customFormat="1" ht="13.5">
      <c r="G11598" s="6"/>
    </row>
    <row r="11599" s="1" customFormat="1" ht="13.5">
      <c r="G11599" s="6"/>
    </row>
    <row r="11600" s="1" customFormat="1" ht="13.5">
      <c r="G11600" s="6"/>
    </row>
    <row r="11601" s="1" customFormat="1" ht="13.5">
      <c r="G11601" s="6"/>
    </row>
    <row r="11602" s="1" customFormat="1" ht="13.5">
      <c r="G11602" s="6"/>
    </row>
    <row r="11603" s="1" customFormat="1" ht="13.5">
      <c r="G11603" s="6"/>
    </row>
    <row r="11604" s="1" customFormat="1" ht="13.5">
      <c r="G11604" s="6"/>
    </row>
    <row r="11605" s="1" customFormat="1" ht="13.5">
      <c r="G11605" s="6"/>
    </row>
    <row r="11606" s="1" customFormat="1" ht="13.5">
      <c r="G11606" s="6"/>
    </row>
    <row r="11607" s="1" customFormat="1" ht="13.5">
      <c r="G11607" s="6"/>
    </row>
    <row r="11608" s="1" customFormat="1" ht="13.5">
      <c r="G11608" s="6"/>
    </row>
    <row r="11609" s="1" customFormat="1" ht="13.5">
      <c r="G11609" s="6"/>
    </row>
    <row r="11610" s="1" customFormat="1" ht="13.5">
      <c r="G11610" s="6"/>
    </row>
    <row r="11611" s="1" customFormat="1" ht="13.5">
      <c r="G11611" s="6"/>
    </row>
    <row r="11612" s="1" customFormat="1" ht="13.5">
      <c r="G11612" s="6"/>
    </row>
    <row r="11613" s="1" customFormat="1" ht="13.5">
      <c r="G11613" s="6"/>
    </row>
    <row r="11614" s="1" customFormat="1" ht="13.5">
      <c r="G11614" s="6"/>
    </row>
    <row r="11615" s="1" customFormat="1" ht="13.5">
      <c r="G11615" s="6"/>
    </row>
    <row r="11616" s="1" customFormat="1" ht="13.5">
      <c r="G11616" s="6"/>
    </row>
    <row r="11617" s="1" customFormat="1" ht="13.5">
      <c r="G11617" s="6"/>
    </row>
    <row r="11618" s="1" customFormat="1" ht="13.5">
      <c r="G11618" s="6"/>
    </row>
    <row r="11619" s="1" customFormat="1" ht="13.5">
      <c r="G11619" s="6"/>
    </row>
    <row r="11620" s="1" customFormat="1" ht="13.5">
      <c r="G11620" s="6"/>
    </row>
    <row r="11621" s="1" customFormat="1" ht="13.5">
      <c r="G11621" s="6"/>
    </row>
    <row r="11622" s="1" customFormat="1" ht="13.5">
      <c r="G11622" s="6"/>
    </row>
    <row r="11623" s="1" customFormat="1" ht="13.5">
      <c r="G11623" s="6"/>
    </row>
    <row r="11624" s="1" customFormat="1" ht="13.5">
      <c r="G11624" s="6"/>
    </row>
    <row r="11625" s="1" customFormat="1" ht="13.5">
      <c r="G11625" s="6"/>
    </row>
    <row r="11626" s="1" customFormat="1" ht="13.5">
      <c r="G11626" s="6"/>
    </row>
    <row r="11627" s="1" customFormat="1" ht="13.5">
      <c r="G11627" s="6"/>
    </row>
    <row r="11628" s="1" customFormat="1" ht="13.5">
      <c r="G11628" s="6"/>
    </row>
    <row r="11629" s="1" customFormat="1" ht="13.5">
      <c r="G11629" s="6"/>
    </row>
    <row r="11630" s="1" customFormat="1" ht="13.5">
      <c r="G11630" s="6"/>
    </row>
    <row r="11631" s="1" customFormat="1" ht="13.5">
      <c r="G11631" s="6"/>
    </row>
    <row r="11632" s="1" customFormat="1" ht="13.5">
      <c r="G11632" s="6"/>
    </row>
    <row r="11633" s="1" customFormat="1" ht="13.5">
      <c r="G11633" s="6"/>
    </row>
    <row r="11634" s="1" customFormat="1" ht="13.5">
      <c r="G11634" s="6"/>
    </row>
    <row r="11635" s="1" customFormat="1" ht="13.5">
      <c r="G11635" s="6"/>
    </row>
    <row r="11636" s="1" customFormat="1" ht="13.5">
      <c r="G11636" s="6"/>
    </row>
    <row r="11637" s="1" customFormat="1" ht="13.5">
      <c r="G11637" s="6"/>
    </row>
    <row r="11638" s="1" customFormat="1" ht="13.5">
      <c r="G11638" s="6"/>
    </row>
    <row r="11639" s="1" customFormat="1" ht="13.5">
      <c r="G11639" s="6"/>
    </row>
    <row r="11640" s="1" customFormat="1" ht="13.5">
      <c r="G11640" s="6"/>
    </row>
    <row r="11641" s="1" customFormat="1" ht="13.5">
      <c r="G11641" s="6"/>
    </row>
    <row r="11642" s="1" customFormat="1" ht="13.5">
      <c r="G11642" s="6"/>
    </row>
    <row r="11643" s="1" customFormat="1" ht="13.5">
      <c r="G11643" s="6"/>
    </row>
    <row r="11644" s="1" customFormat="1" ht="13.5">
      <c r="G11644" s="6"/>
    </row>
    <row r="11645" s="1" customFormat="1" ht="13.5">
      <c r="G11645" s="6"/>
    </row>
    <row r="11646" s="1" customFormat="1" ht="13.5">
      <c r="G11646" s="6"/>
    </row>
    <row r="11647" s="1" customFormat="1" ht="13.5">
      <c r="G11647" s="6"/>
    </row>
    <row r="11648" s="1" customFormat="1" ht="13.5">
      <c r="G11648" s="6"/>
    </row>
    <row r="11649" s="1" customFormat="1" ht="13.5">
      <c r="G11649" s="6"/>
    </row>
    <row r="11650" s="1" customFormat="1" ht="13.5">
      <c r="G11650" s="6"/>
    </row>
    <row r="11651" s="1" customFormat="1" ht="13.5">
      <c r="G11651" s="6"/>
    </row>
    <row r="11652" s="1" customFormat="1" ht="13.5">
      <c r="G11652" s="6"/>
    </row>
    <row r="11653" s="1" customFormat="1" ht="13.5">
      <c r="G11653" s="6"/>
    </row>
    <row r="11654" s="1" customFormat="1" ht="13.5">
      <c r="G11654" s="6"/>
    </row>
    <row r="11655" s="1" customFormat="1" ht="13.5">
      <c r="G11655" s="6"/>
    </row>
    <row r="11656" s="1" customFormat="1" ht="13.5">
      <c r="G11656" s="6"/>
    </row>
    <row r="11657" s="1" customFormat="1" ht="13.5">
      <c r="G11657" s="6"/>
    </row>
    <row r="11658" s="1" customFormat="1" ht="13.5">
      <c r="G11658" s="6"/>
    </row>
    <row r="11659" s="1" customFormat="1" ht="13.5">
      <c r="G11659" s="6"/>
    </row>
    <row r="11660" s="1" customFormat="1" ht="13.5">
      <c r="G11660" s="6"/>
    </row>
    <row r="11661" s="1" customFormat="1" ht="13.5">
      <c r="G11661" s="6"/>
    </row>
    <row r="11662" s="1" customFormat="1" ht="13.5">
      <c r="G11662" s="6"/>
    </row>
    <row r="11663" s="1" customFormat="1" ht="13.5">
      <c r="G11663" s="6"/>
    </row>
    <row r="11664" s="1" customFormat="1" ht="13.5">
      <c r="G11664" s="6"/>
    </row>
    <row r="11665" s="1" customFormat="1" ht="13.5">
      <c r="G11665" s="6"/>
    </row>
    <row r="11666" s="1" customFormat="1" ht="13.5">
      <c r="G11666" s="6"/>
    </row>
    <row r="11667" s="1" customFormat="1" ht="13.5">
      <c r="G11667" s="6"/>
    </row>
    <row r="11668" s="1" customFormat="1" ht="13.5">
      <c r="G11668" s="6"/>
    </row>
    <row r="11669" s="1" customFormat="1" ht="13.5">
      <c r="G11669" s="6"/>
    </row>
    <row r="11670" s="1" customFormat="1" ht="13.5">
      <c r="G11670" s="6"/>
    </row>
    <row r="11671" s="1" customFormat="1" ht="13.5">
      <c r="G11671" s="6"/>
    </row>
    <row r="11672" s="1" customFormat="1" ht="13.5">
      <c r="G11672" s="6"/>
    </row>
    <row r="11673" s="1" customFormat="1" ht="13.5">
      <c r="G11673" s="6"/>
    </row>
    <row r="11674" s="1" customFormat="1" ht="13.5">
      <c r="G11674" s="6"/>
    </row>
    <row r="11675" s="1" customFormat="1" ht="13.5">
      <c r="G11675" s="6"/>
    </row>
    <row r="11676" s="1" customFormat="1" ht="13.5">
      <c r="G11676" s="6"/>
    </row>
    <row r="11677" s="1" customFormat="1" ht="13.5">
      <c r="G11677" s="6"/>
    </row>
    <row r="11678" s="1" customFormat="1" ht="13.5">
      <c r="G11678" s="6"/>
    </row>
    <row r="11679" s="1" customFormat="1" ht="13.5">
      <c r="G11679" s="6"/>
    </row>
    <row r="11680" s="1" customFormat="1" ht="13.5">
      <c r="G11680" s="6"/>
    </row>
    <row r="11681" s="1" customFormat="1" ht="13.5">
      <c r="G11681" s="6"/>
    </row>
    <row r="11682" s="1" customFormat="1" ht="13.5">
      <c r="G11682" s="6"/>
    </row>
    <row r="11683" s="1" customFormat="1" ht="13.5">
      <c r="G11683" s="6"/>
    </row>
    <row r="11684" s="1" customFormat="1" ht="13.5">
      <c r="G11684" s="6"/>
    </row>
    <row r="11685" s="1" customFormat="1" ht="13.5">
      <c r="G11685" s="6"/>
    </row>
    <row r="11686" s="1" customFormat="1" ht="13.5">
      <c r="G11686" s="6"/>
    </row>
    <row r="11687" s="1" customFormat="1" ht="13.5">
      <c r="G11687" s="6"/>
    </row>
    <row r="11688" s="1" customFormat="1" ht="13.5">
      <c r="G11688" s="6"/>
    </row>
    <row r="11689" s="1" customFormat="1" ht="13.5">
      <c r="G11689" s="6"/>
    </row>
    <row r="11690" s="1" customFormat="1" ht="13.5">
      <c r="G11690" s="6"/>
    </row>
    <row r="11691" s="1" customFormat="1" ht="13.5">
      <c r="G11691" s="6"/>
    </row>
    <row r="11692" s="1" customFormat="1" ht="13.5">
      <c r="G11692" s="6"/>
    </row>
    <row r="11693" s="1" customFormat="1" ht="13.5">
      <c r="G11693" s="6"/>
    </row>
    <row r="11694" s="1" customFormat="1" ht="13.5">
      <c r="G11694" s="6"/>
    </row>
    <row r="11695" s="1" customFormat="1" ht="13.5">
      <c r="G11695" s="6"/>
    </row>
    <row r="11696" s="1" customFormat="1" ht="13.5">
      <c r="G11696" s="6"/>
    </row>
    <row r="11697" s="1" customFormat="1" ht="13.5">
      <c r="G11697" s="6"/>
    </row>
    <row r="11698" s="1" customFormat="1" ht="13.5">
      <c r="G11698" s="6"/>
    </row>
    <row r="11699" s="1" customFormat="1" ht="13.5">
      <c r="G11699" s="6"/>
    </row>
    <row r="11700" s="1" customFormat="1" ht="13.5">
      <c r="G11700" s="6"/>
    </row>
    <row r="11701" s="1" customFormat="1" ht="13.5">
      <c r="G11701" s="6"/>
    </row>
    <row r="11702" s="1" customFormat="1" ht="13.5">
      <c r="G11702" s="6"/>
    </row>
    <row r="11703" s="1" customFormat="1" ht="13.5">
      <c r="G11703" s="6"/>
    </row>
    <row r="11704" s="1" customFormat="1" ht="13.5">
      <c r="G11704" s="6"/>
    </row>
    <row r="11705" s="1" customFormat="1" ht="13.5">
      <c r="G11705" s="6"/>
    </row>
    <row r="11706" s="1" customFormat="1" ht="13.5">
      <c r="G11706" s="6"/>
    </row>
    <row r="11707" s="1" customFormat="1" ht="13.5">
      <c r="G11707" s="6"/>
    </row>
    <row r="11708" s="1" customFormat="1" ht="13.5">
      <c r="G11708" s="6"/>
    </row>
    <row r="11709" s="1" customFormat="1" ht="13.5">
      <c r="G11709" s="6"/>
    </row>
    <row r="11710" s="1" customFormat="1" ht="13.5">
      <c r="G11710" s="6"/>
    </row>
    <row r="11711" s="1" customFormat="1" ht="13.5">
      <c r="G11711" s="6"/>
    </row>
    <row r="11712" s="1" customFormat="1" ht="13.5">
      <c r="G11712" s="6"/>
    </row>
    <row r="11713" s="1" customFormat="1" ht="13.5">
      <c r="G11713" s="6"/>
    </row>
    <row r="11714" s="1" customFormat="1" ht="13.5">
      <c r="G11714" s="6"/>
    </row>
    <row r="11715" s="1" customFormat="1" ht="13.5">
      <c r="G11715" s="6"/>
    </row>
    <row r="11716" s="1" customFormat="1" ht="13.5">
      <c r="G11716" s="6"/>
    </row>
    <row r="11717" s="1" customFormat="1" ht="13.5">
      <c r="G11717" s="6"/>
    </row>
    <row r="11718" s="1" customFormat="1" ht="13.5">
      <c r="G11718" s="6"/>
    </row>
    <row r="11719" s="1" customFormat="1" ht="13.5">
      <c r="G11719" s="6"/>
    </row>
    <row r="11720" s="1" customFormat="1" ht="13.5">
      <c r="G11720" s="6"/>
    </row>
    <row r="11721" s="1" customFormat="1" ht="13.5">
      <c r="G11721" s="6"/>
    </row>
    <row r="11722" s="1" customFormat="1" ht="13.5">
      <c r="G11722" s="6"/>
    </row>
    <row r="11723" s="1" customFormat="1" ht="13.5">
      <c r="G11723" s="6"/>
    </row>
    <row r="11724" s="1" customFormat="1" ht="13.5">
      <c r="G11724" s="6"/>
    </row>
    <row r="11725" s="1" customFormat="1" ht="13.5">
      <c r="G11725" s="6"/>
    </row>
    <row r="11726" s="1" customFormat="1" ht="13.5">
      <c r="G11726" s="6"/>
    </row>
    <row r="11727" s="1" customFormat="1" ht="13.5">
      <c r="G11727" s="6"/>
    </row>
    <row r="11728" s="1" customFormat="1" ht="13.5">
      <c r="G11728" s="6"/>
    </row>
    <row r="11729" s="1" customFormat="1" ht="13.5">
      <c r="G11729" s="6"/>
    </row>
    <row r="11730" s="1" customFormat="1" ht="13.5">
      <c r="G11730" s="6"/>
    </row>
    <row r="11731" s="1" customFormat="1" ht="13.5">
      <c r="G11731" s="6"/>
    </row>
    <row r="11732" s="1" customFormat="1" ht="13.5">
      <c r="G11732" s="6"/>
    </row>
    <row r="11733" s="1" customFormat="1" ht="13.5">
      <c r="G11733" s="6"/>
    </row>
    <row r="11734" s="1" customFormat="1" ht="13.5">
      <c r="G11734" s="6"/>
    </row>
    <row r="11735" s="1" customFormat="1" ht="13.5">
      <c r="G11735" s="6"/>
    </row>
    <row r="11736" s="1" customFormat="1" ht="13.5">
      <c r="G11736" s="6"/>
    </row>
    <row r="11737" s="1" customFormat="1" ht="13.5">
      <c r="G11737" s="6"/>
    </row>
    <row r="11738" s="1" customFormat="1" ht="13.5">
      <c r="G11738" s="6"/>
    </row>
    <row r="11739" s="1" customFormat="1" ht="13.5">
      <c r="G11739" s="6"/>
    </row>
    <row r="11740" s="1" customFormat="1" ht="13.5">
      <c r="G11740" s="6"/>
    </row>
    <row r="11741" s="1" customFormat="1" ht="13.5">
      <c r="G11741" s="6"/>
    </row>
    <row r="11742" s="1" customFormat="1" ht="13.5">
      <c r="G11742" s="6"/>
    </row>
    <row r="11743" s="1" customFormat="1" ht="13.5">
      <c r="G11743" s="6"/>
    </row>
    <row r="11744" s="1" customFormat="1" ht="13.5">
      <c r="G11744" s="6"/>
    </row>
    <row r="11745" s="1" customFormat="1" ht="13.5">
      <c r="G11745" s="6"/>
    </row>
    <row r="11746" s="1" customFormat="1" ht="13.5">
      <c r="G11746" s="6"/>
    </row>
    <row r="11747" s="1" customFormat="1" ht="13.5">
      <c r="G11747" s="6"/>
    </row>
    <row r="11748" s="1" customFormat="1" ht="13.5">
      <c r="G11748" s="6"/>
    </row>
    <row r="11749" s="1" customFormat="1" ht="13.5">
      <c r="G11749" s="6"/>
    </row>
    <row r="11750" s="1" customFormat="1" ht="13.5">
      <c r="G11750" s="6"/>
    </row>
    <row r="11751" s="1" customFormat="1" ht="13.5">
      <c r="G11751" s="6"/>
    </row>
    <row r="11752" s="1" customFormat="1" ht="13.5">
      <c r="G11752" s="6"/>
    </row>
    <row r="11753" s="1" customFormat="1" ht="13.5">
      <c r="G11753" s="6"/>
    </row>
    <row r="11754" s="1" customFormat="1" ht="13.5">
      <c r="G11754" s="6"/>
    </row>
    <row r="11755" s="1" customFormat="1" ht="13.5">
      <c r="G11755" s="6"/>
    </row>
    <row r="11756" s="1" customFormat="1" ht="13.5">
      <c r="G11756" s="6"/>
    </row>
    <row r="11757" s="1" customFormat="1" ht="13.5">
      <c r="G11757" s="6"/>
    </row>
    <row r="11758" s="1" customFormat="1" ht="13.5">
      <c r="G11758" s="6"/>
    </row>
    <row r="11759" s="1" customFormat="1" ht="13.5">
      <c r="G11759" s="6"/>
    </row>
    <row r="11760" s="1" customFormat="1" ht="13.5">
      <c r="G11760" s="6"/>
    </row>
    <row r="11761" s="1" customFormat="1" ht="13.5">
      <c r="G11761" s="6"/>
    </row>
    <row r="11762" s="1" customFormat="1" ht="13.5">
      <c r="G11762" s="6"/>
    </row>
    <row r="11763" s="1" customFormat="1" ht="13.5">
      <c r="G11763" s="6"/>
    </row>
    <row r="11764" s="1" customFormat="1" ht="13.5">
      <c r="G11764" s="6"/>
    </row>
    <row r="11765" s="1" customFormat="1" ht="13.5">
      <c r="G11765" s="6"/>
    </row>
    <row r="11766" s="1" customFormat="1" ht="13.5">
      <c r="G11766" s="6"/>
    </row>
    <row r="11767" s="1" customFormat="1" ht="13.5">
      <c r="G11767" s="6"/>
    </row>
    <row r="11768" s="1" customFormat="1" ht="13.5">
      <c r="G11768" s="6"/>
    </row>
    <row r="11769" s="1" customFormat="1" ht="13.5">
      <c r="G11769" s="6"/>
    </row>
    <row r="11770" s="1" customFormat="1" ht="13.5">
      <c r="G11770" s="6"/>
    </row>
    <row r="11771" s="1" customFormat="1" ht="13.5">
      <c r="G11771" s="6"/>
    </row>
    <row r="11772" s="1" customFormat="1" ht="13.5">
      <c r="G11772" s="6"/>
    </row>
    <row r="11773" s="1" customFormat="1" ht="13.5">
      <c r="G11773" s="6"/>
    </row>
    <row r="11774" s="1" customFormat="1" ht="13.5">
      <c r="G11774" s="6"/>
    </row>
    <row r="11775" s="1" customFormat="1" ht="13.5">
      <c r="G11775" s="6"/>
    </row>
    <row r="11776" s="1" customFormat="1" ht="13.5">
      <c r="G11776" s="6"/>
    </row>
    <row r="11777" s="1" customFormat="1" ht="13.5">
      <c r="G11777" s="6"/>
    </row>
    <row r="11778" s="1" customFormat="1" ht="13.5">
      <c r="G11778" s="6"/>
    </row>
    <row r="11779" s="1" customFormat="1" ht="13.5">
      <c r="G11779" s="6"/>
    </row>
    <row r="11780" s="1" customFormat="1" ht="13.5">
      <c r="G11780" s="6"/>
    </row>
    <row r="11781" s="1" customFormat="1" ht="13.5">
      <c r="G11781" s="6"/>
    </row>
    <row r="11782" s="1" customFormat="1" ht="13.5">
      <c r="G11782" s="6"/>
    </row>
    <row r="11783" s="1" customFormat="1" ht="13.5">
      <c r="G11783" s="6"/>
    </row>
    <row r="11784" s="1" customFormat="1" ht="13.5">
      <c r="G11784" s="6"/>
    </row>
    <row r="11785" s="1" customFormat="1" ht="13.5">
      <c r="G11785" s="6"/>
    </row>
    <row r="11786" s="1" customFormat="1" ht="13.5">
      <c r="G11786" s="6"/>
    </row>
    <row r="11787" s="1" customFormat="1" ht="13.5">
      <c r="G11787" s="6"/>
    </row>
    <row r="11788" s="1" customFormat="1" ht="13.5">
      <c r="G11788" s="6"/>
    </row>
    <row r="11789" s="1" customFormat="1" ht="13.5">
      <c r="G11789" s="6"/>
    </row>
    <row r="11790" s="1" customFormat="1" ht="13.5">
      <c r="G11790" s="6"/>
    </row>
    <row r="11791" s="1" customFormat="1" ht="13.5">
      <c r="G11791" s="6"/>
    </row>
    <row r="11792" s="1" customFormat="1" ht="13.5">
      <c r="G11792" s="6"/>
    </row>
    <row r="11793" s="1" customFormat="1" ht="13.5">
      <c r="G11793" s="6"/>
    </row>
    <row r="11794" s="1" customFormat="1" ht="13.5">
      <c r="G11794" s="6"/>
    </row>
    <row r="11795" s="1" customFormat="1" ht="13.5">
      <c r="G11795" s="6"/>
    </row>
    <row r="11796" s="1" customFormat="1" ht="13.5">
      <c r="G11796" s="6"/>
    </row>
    <row r="11797" s="1" customFormat="1" ht="13.5">
      <c r="G11797" s="6"/>
    </row>
    <row r="11798" s="1" customFormat="1" ht="13.5">
      <c r="G11798" s="6"/>
    </row>
    <row r="11799" s="1" customFormat="1" ht="13.5">
      <c r="G11799" s="6"/>
    </row>
    <row r="11800" s="1" customFormat="1" ht="13.5">
      <c r="G11800" s="6"/>
    </row>
    <row r="11801" s="1" customFormat="1" ht="13.5">
      <c r="G11801" s="6"/>
    </row>
    <row r="11802" s="1" customFormat="1" ht="13.5">
      <c r="G11802" s="6"/>
    </row>
    <row r="11803" s="1" customFormat="1" ht="13.5">
      <c r="G11803" s="6"/>
    </row>
    <row r="11804" s="1" customFormat="1" ht="13.5">
      <c r="G11804" s="6"/>
    </row>
    <row r="11805" s="1" customFormat="1" ht="13.5">
      <c r="G11805" s="6"/>
    </row>
    <row r="11806" s="1" customFormat="1" ht="13.5">
      <c r="G11806" s="6"/>
    </row>
    <row r="11807" s="1" customFormat="1" ht="13.5">
      <c r="G11807" s="6"/>
    </row>
    <row r="11808" s="1" customFormat="1" ht="13.5">
      <c r="G11808" s="6"/>
    </row>
    <row r="11809" s="1" customFormat="1" ht="13.5">
      <c r="G11809" s="6"/>
    </row>
    <row r="11810" s="1" customFormat="1" ht="13.5">
      <c r="G11810" s="6"/>
    </row>
    <row r="11811" s="1" customFormat="1" ht="13.5">
      <c r="G11811" s="6"/>
    </row>
    <row r="11812" s="1" customFormat="1" ht="13.5">
      <c r="G11812" s="6"/>
    </row>
    <row r="11813" s="1" customFormat="1" ht="13.5">
      <c r="G11813" s="6"/>
    </row>
    <row r="11814" s="1" customFormat="1" ht="13.5">
      <c r="G11814" s="6"/>
    </row>
    <row r="11815" s="1" customFormat="1" ht="13.5">
      <c r="G11815" s="6"/>
    </row>
    <row r="11816" s="1" customFormat="1" ht="13.5">
      <c r="G11816" s="6"/>
    </row>
    <row r="11817" s="1" customFormat="1" ht="13.5">
      <c r="G11817" s="6"/>
    </row>
    <row r="11818" s="1" customFormat="1" ht="13.5">
      <c r="G11818" s="6"/>
    </row>
    <row r="11819" s="1" customFormat="1" ht="13.5">
      <c r="G11819" s="6"/>
    </row>
    <row r="11820" s="1" customFormat="1" ht="13.5">
      <c r="G11820" s="6"/>
    </row>
    <row r="11821" s="1" customFormat="1" ht="13.5">
      <c r="G11821" s="6"/>
    </row>
    <row r="11822" s="1" customFormat="1" ht="13.5">
      <c r="G11822" s="6"/>
    </row>
    <row r="11823" s="1" customFormat="1" ht="13.5">
      <c r="G11823" s="6"/>
    </row>
    <row r="11824" s="1" customFormat="1" ht="13.5">
      <c r="G11824" s="6"/>
    </row>
    <row r="11825" s="1" customFormat="1" ht="13.5">
      <c r="G11825" s="6"/>
    </row>
    <row r="11826" s="1" customFormat="1" ht="13.5">
      <c r="G11826" s="6"/>
    </row>
    <row r="11827" s="1" customFormat="1" ht="13.5">
      <c r="G11827" s="6"/>
    </row>
    <row r="11828" s="1" customFormat="1" ht="13.5">
      <c r="G11828" s="6"/>
    </row>
    <row r="11829" s="1" customFormat="1" ht="13.5">
      <c r="G11829" s="6"/>
    </row>
    <row r="11830" s="1" customFormat="1" ht="13.5">
      <c r="G11830" s="6"/>
    </row>
    <row r="11831" s="1" customFormat="1" ht="13.5">
      <c r="G11831" s="6"/>
    </row>
    <row r="11832" s="1" customFormat="1" ht="13.5">
      <c r="G11832" s="6"/>
    </row>
    <row r="11833" s="1" customFormat="1" ht="13.5">
      <c r="G11833" s="6"/>
    </row>
    <row r="11834" s="1" customFormat="1" ht="13.5">
      <c r="G11834" s="6"/>
    </row>
    <row r="11835" s="1" customFormat="1" ht="13.5">
      <c r="G11835" s="6"/>
    </row>
    <row r="11836" s="1" customFormat="1" ht="13.5">
      <c r="G11836" s="6"/>
    </row>
    <row r="11837" s="1" customFormat="1" ht="13.5">
      <c r="G11837" s="6"/>
    </row>
    <row r="11838" s="1" customFormat="1" ht="13.5">
      <c r="G11838" s="6"/>
    </row>
    <row r="11839" s="1" customFormat="1" ht="13.5">
      <c r="G11839" s="6"/>
    </row>
    <row r="11840" s="1" customFormat="1" ht="13.5">
      <c r="G11840" s="6"/>
    </row>
    <row r="11841" s="1" customFormat="1" ht="13.5">
      <c r="G11841" s="6"/>
    </row>
    <row r="11842" s="1" customFormat="1" ht="13.5">
      <c r="G11842" s="6"/>
    </row>
    <row r="11843" s="1" customFormat="1" ht="13.5">
      <c r="G11843" s="6"/>
    </row>
    <row r="11844" s="1" customFormat="1" ht="13.5">
      <c r="G11844" s="6"/>
    </row>
    <row r="11845" s="1" customFormat="1" ht="13.5">
      <c r="G11845" s="6"/>
    </row>
    <row r="11846" s="1" customFormat="1" ht="13.5">
      <c r="G11846" s="6"/>
    </row>
    <row r="11847" s="1" customFormat="1" ht="13.5">
      <c r="G11847" s="6"/>
    </row>
    <row r="11848" s="1" customFormat="1" ht="13.5">
      <c r="G11848" s="6"/>
    </row>
    <row r="11849" s="1" customFormat="1" ht="13.5">
      <c r="G11849" s="6"/>
    </row>
    <row r="11850" s="1" customFormat="1" ht="13.5">
      <c r="G11850" s="6"/>
    </row>
    <row r="11851" s="1" customFormat="1" ht="13.5">
      <c r="G11851" s="6"/>
    </row>
    <row r="11852" s="1" customFormat="1" ht="13.5">
      <c r="G11852" s="6"/>
    </row>
    <row r="11853" s="1" customFormat="1" ht="13.5">
      <c r="G11853" s="6"/>
    </row>
    <row r="11854" s="1" customFormat="1" ht="13.5">
      <c r="G11854" s="6"/>
    </row>
    <row r="11855" s="1" customFormat="1" ht="13.5">
      <c r="G11855" s="6"/>
    </row>
    <row r="11856" s="1" customFormat="1" ht="13.5">
      <c r="G11856" s="6"/>
    </row>
    <row r="11857" s="1" customFormat="1" ht="13.5">
      <c r="G11857" s="6"/>
    </row>
    <row r="11858" s="1" customFormat="1" ht="13.5">
      <c r="G11858" s="6"/>
    </row>
    <row r="11859" s="1" customFormat="1" ht="13.5">
      <c r="G11859" s="6"/>
    </row>
    <row r="11860" s="1" customFormat="1" ht="13.5">
      <c r="G11860" s="6"/>
    </row>
    <row r="11861" s="1" customFormat="1" ht="13.5">
      <c r="G11861" s="6"/>
    </row>
    <row r="11862" s="1" customFormat="1" ht="13.5">
      <c r="G11862" s="6"/>
    </row>
    <row r="11863" s="1" customFormat="1" ht="13.5">
      <c r="G11863" s="6"/>
    </row>
    <row r="11864" s="1" customFormat="1" ht="13.5">
      <c r="G11864" s="6"/>
    </row>
    <row r="11865" s="1" customFormat="1" ht="13.5">
      <c r="G11865" s="6"/>
    </row>
    <row r="11866" s="1" customFormat="1" ht="13.5">
      <c r="G11866" s="6"/>
    </row>
    <row r="11867" s="1" customFormat="1" ht="13.5">
      <c r="G11867" s="6"/>
    </row>
    <row r="11868" s="1" customFormat="1" ht="13.5">
      <c r="G11868" s="6"/>
    </row>
    <row r="11869" s="1" customFormat="1" ht="13.5">
      <c r="G11869" s="6"/>
    </row>
    <row r="11870" s="1" customFormat="1" ht="13.5">
      <c r="G11870" s="6"/>
    </row>
    <row r="11871" s="1" customFormat="1" ht="13.5">
      <c r="G11871" s="6"/>
    </row>
    <row r="11872" s="1" customFormat="1" ht="13.5">
      <c r="G11872" s="6"/>
    </row>
    <row r="11873" s="1" customFormat="1" ht="13.5">
      <c r="G11873" s="6"/>
    </row>
    <row r="11874" s="1" customFormat="1" ht="13.5">
      <c r="G11874" s="6"/>
    </row>
    <row r="11875" s="1" customFormat="1" ht="13.5">
      <c r="G11875" s="6"/>
    </row>
    <row r="11876" s="1" customFormat="1" ht="13.5">
      <c r="G11876" s="6"/>
    </row>
    <row r="11877" s="1" customFormat="1" ht="13.5">
      <c r="G11877" s="6"/>
    </row>
    <row r="11878" s="1" customFormat="1" ht="13.5">
      <c r="G11878" s="6"/>
    </row>
    <row r="11879" s="1" customFormat="1" ht="13.5">
      <c r="G11879" s="6"/>
    </row>
    <row r="11880" s="1" customFormat="1" ht="13.5">
      <c r="G11880" s="6"/>
    </row>
    <row r="11881" s="1" customFormat="1" ht="13.5">
      <c r="G11881" s="6"/>
    </row>
    <row r="11882" s="1" customFormat="1" ht="13.5">
      <c r="G11882" s="6"/>
    </row>
    <row r="11883" s="1" customFormat="1" ht="13.5">
      <c r="G11883" s="6"/>
    </row>
    <row r="11884" s="1" customFormat="1" ht="13.5">
      <c r="G11884" s="6"/>
    </row>
    <row r="11885" s="1" customFormat="1" ht="13.5">
      <c r="G11885" s="6"/>
    </row>
    <row r="11886" s="1" customFormat="1" ht="13.5">
      <c r="G11886" s="6"/>
    </row>
    <row r="11887" s="1" customFormat="1" ht="13.5">
      <c r="G11887" s="6"/>
    </row>
    <row r="11888" s="1" customFormat="1" ht="13.5">
      <c r="G11888" s="6"/>
    </row>
    <row r="11889" s="1" customFormat="1" ht="13.5">
      <c r="G11889" s="6"/>
    </row>
    <row r="11890" s="1" customFormat="1" ht="13.5">
      <c r="G11890" s="6"/>
    </row>
    <row r="11891" s="1" customFormat="1" ht="13.5">
      <c r="G11891" s="6"/>
    </row>
    <row r="11892" s="1" customFormat="1" ht="13.5">
      <c r="G11892" s="6"/>
    </row>
    <row r="11893" s="1" customFormat="1" ht="13.5">
      <c r="G11893" s="6"/>
    </row>
    <row r="11894" s="1" customFormat="1" ht="13.5">
      <c r="G11894" s="6"/>
    </row>
    <row r="11895" s="1" customFormat="1" ht="13.5">
      <c r="G11895" s="6"/>
    </row>
    <row r="11896" s="1" customFormat="1" ht="13.5">
      <c r="G11896" s="6"/>
    </row>
    <row r="11897" s="1" customFormat="1" ht="13.5">
      <c r="G11897" s="6"/>
    </row>
    <row r="11898" s="1" customFormat="1" ht="13.5">
      <c r="G11898" s="6"/>
    </row>
    <row r="11899" s="1" customFormat="1" ht="13.5">
      <c r="G11899" s="6"/>
    </row>
    <row r="11900" s="1" customFormat="1" ht="13.5">
      <c r="G11900" s="6"/>
    </row>
    <row r="11901" s="1" customFormat="1" ht="13.5">
      <c r="G11901" s="6"/>
    </row>
    <row r="11902" s="1" customFormat="1" ht="13.5">
      <c r="G11902" s="6"/>
    </row>
    <row r="11903" s="1" customFormat="1" ht="13.5">
      <c r="G11903" s="6"/>
    </row>
    <row r="11904" s="1" customFormat="1" ht="13.5">
      <c r="G11904" s="6"/>
    </row>
    <row r="11905" s="1" customFormat="1" ht="13.5">
      <c r="G11905" s="6"/>
    </row>
    <row r="11906" s="1" customFormat="1" ht="13.5">
      <c r="G11906" s="6"/>
    </row>
    <row r="11907" s="1" customFormat="1" ht="13.5">
      <c r="G11907" s="6"/>
    </row>
    <row r="11908" s="1" customFormat="1" ht="13.5">
      <c r="G11908" s="6"/>
    </row>
    <row r="11909" s="1" customFormat="1" ht="13.5">
      <c r="G11909" s="6"/>
    </row>
    <row r="11910" s="1" customFormat="1" ht="13.5">
      <c r="G11910" s="6"/>
    </row>
    <row r="11911" s="1" customFormat="1" ht="13.5">
      <c r="G11911" s="6"/>
    </row>
    <row r="11912" s="1" customFormat="1" ht="13.5">
      <c r="G11912" s="6"/>
    </row>
    <row r="11913" s="1" customFormat="1" ht="13.5">
      <c r="G11913" s="6"/>
    </row>
    <row r="11914" s="1" customFormat="1" ht="13.5">
      <c r="G11914" s="6"/>
    </row>
    <row r="11915" s="1" customFormat="1" ht="13.5">
      <c r="G11915" s="6"/>
    </row>
    <row r="11916" s="1" customFormat="1" ht="13.5">
      <c r="G11916" s="6"/>
    </row>
    <row r="11917" s="1" customFormat="1" ht="13.5">
      <c r="G11917" s="6"/>
    </row>
    <row r="11918" s="1" customFormat="1" ht="13.5">
      <c r="G11918" s="6"/>
    </row>
    <row r="11919" s="1" customFormat="1" ht="13.5">
      <c r="G11919" s="6"/>
    </row>
    <row r="11920" s="1" customFormat="1" ht="13.5">
      <c r="G11920" s="6"/>
    </row>
    <row r="11921" s="1" customFormat="1" ht="13.5">
      <c r="G11921" s="6"/>
    </row>
    <row r="11922" s="1" customFormat="1" ht="13.5">
      <c r="G11922" s="6"/>
    </row>
    <row r="11923" s="1" customFormat="1" ht="13.5">
      <c r="G11923" s="6"/>
    </row>
    <row r="11924" s="1" customFormat="1" ht="13.5">
      <c r="G11924" s="6"/>
    </row>
    <row r="11925" s="1" customFormat="1" ht="13.5">
      <c r="G11925" s="6"/>
    </row>
    <row r="11926" s="1" customFormat="1" ht="13.5">
      <c r="G11926" s="6"/>
    </row>
    <row r="11927" s="1" customFormat="1" ht="13.5">
      <c r="G11927" s="6"/>
    </row>
    <row r="11928" s="1" customFormat="1" ht="13.5">
      <c r="G11928" s="6"/>
    </row>
    <row r="11929" s="1" customFormat="1" ht="13.5">
      <c r="G11929" s="6"/>
    </row>
    <row r="11930" s="1" customFormat="1" ht="13.5">
      <c r="G11930" s="6"/>
    </row>
    <row r="11931" s="1" customFormat="1" ht="13.5">
      <c r="G11931" s="6"/>
    </row>
    <row r="11932" s="1" customFormat="1" ht="13.5">
      <c r="G11932" s="6"/>
    </row>
    <row r="11933" s="1" customFormat="1" ht="13.5">
      <c r="G11933" s="6"/>
    </row>
    <row r="11934" s="1" customFormat="1" ht="13.5">
      <c r="G11934" s="6"/>
    </row>
    <row r="11935" s="1" customFormat="1" ht="13.5">
      <c r="G11935" s="6"/>
    </row>
    <row r="11936" s="1" customFormat="1" ht="13.5">
      <c r="G11936" s="6"/>
    </row>
    <row r="11937" s="1" customFormat="1" ht="13.5">
      <c r="G11937" s="6"/>
    </row>
    <row r="11938" s="1" customFormat="1" ht="13.5">
      <c r="G11938" s="6"/>
    </row>
    <row r="11939" s="1" customFormat="1" ht="13.5">
      <c r="G11939" s="6"/>
    </row>
    <row r="11940" s="1" customFormat="1" ht="13.5">
      <c r="G11940" s="6"/>
    </row>
    <row r="11941" s="1" customFormat="1" ht="13.5">
      <c r="G11941" s="6"/>
    </row>
    <row r="11942" s="1" customFormat="1" ht="13.5">
      <c r="G11942" s="6"/>
    </row>
    <row r="11943" s="1" customFormat="1" ht="13.5">
      <c r="G11943" s="6"/>
    </row>
    <row r="11944" s="1" customFormat="1" ht="13.5">
      <c r="G11944" s="6"/>
    </row>
    <row r="11945" s="1" customFormat="1" ht="13.5">
      <c r="G11945" s="6"/>
    </row>
    <row r="11946" s="1" customFormat="1" ht="13.5">
      <c r="G11946" s="6"/>
    </row>
    <row r="11947" s="1" customFormat="1" ht="13.5">
      <c r="G11947" s="6"/>
    </row>
    <row r="11948" s="1" customFormat="1" ht="13.5">
      <c r="G11948" s="6"/>
    </row>
    <row r="11949" s="1" customFormat="1" ht="13.5">
      <c r="G11949" s="6"/>
    </row>
    <row r="11950" s="1" customFormat="1" ht="13.5">
      <c r="G11950" s="6"/>
    </row>
    <row r="11951" s="1" customFormat="1" ht="13.5">
      <c r="G11951" s="6"/>
    </row>
    <row r="11952" s="1" customFormat="1" ht="13.5">
      <c r="G11952" s="6"/>
    </row>
    <row r="11953" s="1" customFormat="1" ht="13.5">
      <c r="G11953" s="6"/>
    </row>
    <row r="11954" s="1" customFormat="1" ht="13.5">
      <c r="G11954" s="6"/>
    </row>
    <row r="11955" s="1" customFormat="1" ht="13.5">
      <c r="G11955" s="6"/>
    </row>
    <row r="11956" s="1" customFormat="1" ht="13.5">
      <c r="G11956" s="6"/>
    </row>
    <row r="11957" s="1" customFormat="1" ht="13.5">
      <c r="G11957" s="6"/>
    </row>
    <row r="11958" s="1" customFormat="1" ht="13.5">
      <c r="G11958" s="6"/>
    </row>
    <row r="11959" s="1" customFormat="1" ht="13.5">
      <c r="G11959" s="6"/>
    </row>
    <row r="11960" s="1" customFormat="1" ht="13.5">
      <c r="G11960" s="6"/>
    </row>
    <row r="11961" s="1" customFormat="1" ht="13.5">
      <c r="G11961" s="6"/>
    </row>
    <row r="11962" s="1" customFormat="1" ht="13.5">
      <c r="G11962" s="6"/>
    </row>
    <row r="11963" s="1" customFormat="1" ht="13.5">
      <c r="G11963" s="6"/>
    </row>
    <row r="11964" s="1" customFormat="1" ht="13.5">
      <c r="G11964" s="6"/>
    </row>
    <row r="11965" s="1" customFormat="1" ht="13.5">
      <c r="G11965" s="6"/>
    </row>
    <row r="11966" s="1" customFormat="1" ht="13.5">
      <c r="G11966" s="6"/>
    </row>
    <row r="11967" s="1" customFormat="1" ht="13.5">
      <c r="G11967" s="6"/>
    </row>
    <row r="11968" s="1" customFormat="1" ht="13.5">
      <c r="G11968" s="6"/>
    </row>
    <row r="11969" s="1" customFormat="1" ht="13.5">
      <c r="G11969" s="6"/>
    </row>
    <row r="11970" s="1" customFormat="1" ht="13.5">
      <c r="G11970" s="6"/>
    </row>
    <row r="11971" s="1" customFormat="1" ht="13.5">
      <c r="G11971" s="6"/>
    </row>
    <row r="11972" s="1" customFormat="1" ht="13.5">
      <c r="G11972" s="6"/>
    </row>
    <row r="11973" s="1" customFormat="1" ht="13.5">
      <c r="G11973" s="6"/>
    </row>
    <row r="11974" s="1" customFormat="1" ht="13.5">
      <c r="G11974" s="6"/>
    </row>
    <row r="11975" s="1" customFormat="1" ht="13.5">
      <c r="G11975" s="6"/>
    </row>
    <row r="11976" s="1" customFormat="1" ht="13.5">
      <c r="G11976" s="6"/>
    </row>
    <row r="11977" s="1" customFormat="1" ht="13.5">
      <c r="G11977" s="6"/>
    </row>
    <row r="11978" s="1" customFormat="1" ht="13.5">
      <c r="G11978" s="6"/>
    </row>
    <row r="11979" s="1" customFormat="1" ht="13.5">
      <c r="G11979" s="6"/>
    </row>
    <row r="11980" s="1" customFormat="1" ht="13.5">
      <c r="G11980" s="6"/>
    </row>
    <row r="11981" s="1" customFormat="1" ht="13.5">
      <c r="G11981" s="6"/>
    </row>
    <row r="11982" s="1" customFormat="1" ht="13.5">
      <c r="G11982" s="6"/>
    </row>
    <row r="11983" s="1" customFormat="1" ht="13.5">
      <c r="G11983" s="6"/>
    </row>
    <row r="11984" s="1" customFormat="1" ht="13.5">
      <c r="G11984" s="6"/>
    </row>
    <row r="11985" s="1" customFormat="1" ht="13.5">
      <c r="G11985" s="6"/>
    </row>
    <row r="11986" s="1" customFormat="1" ht="13.5">
      <c r="G11986" s="6"/>
    </row>
    <row r="11987" s="1" customFormat="1" ht="13.5">
      <c r="G11987" s="6"/>
    </row>
    <row r="11988" s="1" customFormat="1" ht="13.5">
      <c r="G11988" s="6"/>
    </row>
    <row r="11989" s="1" customFormat="1" ht="13.5">
      <c r="G11989" s="6"/>
    </row>
    <row r="11990" s="1" customFormat="1" ht="13.5">
      <c r="G11990" s="6"/>
    </row>
    <row r="11991" s="1" customFormat="1" ht="13.5">
      <c r="G11991" s="6"/>
    </row>
    <row r="11992" s="1" customFormat="1" ht="13.5">
      <c r="G11992" s="6"/>
    </row>
    <row r="11993" s="1" customFormat="1" ht="13.5">
      <c r="G11993" s="6"/>
    </row>
    <row r="11994" s="1" customFormat="1" ht="13.5">
      <c r="G11994" s="6"/>
    </row>
    <row r="11995" s="1" customFormat="1" ht="13.5">
      <c r="G11995" s="6"/>
    </row>
    <row r="11996" s="1" customFormat="1" ht="13.5">
      <c r="G11996" s="6"/>
    </row>
    <row r="11997" s="1" customFormat="1" ht="13.5">
      <c r="G11997" s="6"/>
    </row>
    <row r="11998" s="1" customFormat="1" ht="13.5">
      <c r="G11998" s="6"/>
    </row>
    <row r="11999" s="1" customFormat="1" ht="13.5">
      <c r="G11999" s="6"/>
    </row>
    <row r="12000" s="1" customFormat="1" ht="13.5">
      <c r="G12000" s="6"/>
    </row>
    <row r="12001" s="1" customFormat="1" ht="13.5">
      <c r="G12001" s="6"/>
    </row>
    <row r="12002" s="1" customFormat="1" ht="13.5">
      <c r="G12002" s="6"/>
    </row>
    <row r="12003" s="1" customFormat="1" ht="13.5">
      <c r="G12003" s="6"/>
    </row>
    <row r="12004" s="1" customFormat="1" ht="13.5">
      <c r="G12004" s="6"/>
    </row>
    <row r="12005" s="1" customFormat="1" ht="13.5">
      <c r="G12005" s="6"/>
    </row>
    <row r="12006" s="1" customFormat="1" ht="13.5">
      <c r="G12006" s="6"/>
    </row>
    <row r="12007" s="1" customFormat="1" ht="13.5">
      <c r="G12007" s="6"/>
    </row>
    <row r="12008" s="1" customFormat="1" ht="13.5">
      <c r="G12008" s="6"/>
    </row>
    <row r="12009" s="1" customFormat="1" ht="13.5">
      <c r="G12009" s="6"/>
    </row>
    <row r="12010" s="1" customFormat="1" ht="13.5">
      <c r="G12010" s="6"/>
    </row>
    <row r="12011" s="1" customFormat="1" ht="13.5">
      <c r="G12011" s="6"/>
    </row>
    <row r="12012" s="1" customFormat="1" ht="13.5">
      <c r="G12012" s="6"/>
    </row>
    <row r="12013" s="1" customFormat="1" ht="13.5">
      <c r="G12013" s="6"/>
    </row>
    <row r="12014" s="1" customFormat="1" ht="13.5">
      <c r="G12014" s="6"/>
    </row>
    <row r="12015" s="1" customFormat="1" ht="13.5">
      <c r="G12015" s="6"/>
    </row>
    <row r="12016" s="1" customFormat="1" ht="13.5">
      <c r="G12016" s="6"/>
    </row>
    <row r="12017" s="1" customFormat="1" ht="13.5">
      <c r="G12017" s="6"/>
    </row>
    <row r="12018" s="1" customFormat="1" ht="13.5">
      <c r="G12018" s="6"/>
    </row>
    <row r="12019" s="1" customFormat="1" ht="13.5">
      <c r="G12019" s="6"/>
    </row>
    <row r="12020" s="1" customFormat="1" ht="13.5">
      <c r="G12020" s="6"/>
    </row>
    <row r="12021" s="1" customFormat="1" ht="13.5">
      <c r="G12021" s="6"/>
    </row>
    <row r="12022" s="1" customFormat="1" ht="13.5">
      <c r="G12022" s="6"/>
    </row>
    <row r="12023" s="1" customFormat="1" ht="13.5">
      <c r="G12023" s="6"/>
    </row>
    <row r="12024" s="1" customFormat="1" ht="13.5">
      <c r="G12024" s="6"/>
    </row>
    <row r="12025" s="1" customFormat="1" ht="13.5">
      <c r="G12025" s="6"/>
    </row>
    <row r="12026" s="1" customFormat="1" ht="13.5">
      <c r="G12026" s="6"/>
    </row>
    <row r="12027" s="1" customFormat="1" ht="13.5">
      <c r="G12027" s="6"/>
    </row>
    <row r="12028" s="1" customFormat="1" ht="13.5">
      <c r="G12028" s="6"/>
    </row>
    <row r="12029" s="1" customFormat="1" ht="13.5">
      <c r="G12029" s="6"/>
    </row>
    <row r="12030" s="1" customFormat="1" ht="13.5">
      <c r="G12030" s="6"/>
    </row>
    <row r="12031" s="1" customFormat="1" ht="13.5">
      <c r="G12031" s="6"/>
    </row>
    <row r="12032" s="1" customFormat="1" ht="13.5">
      <c r="G12032" s="6"/>
    </row>
    <row r="12033" s="1" customFormat="1" ht="13.5">
      <c r="G12033" s="6"/>
    </row>
    <row r="12034" s="1" customFormat="1" ht="13.5">
      <c r="G12034" s="6"/>
    </row>
    <row r="12035" s="1" customFormat="1" ht="13.5">
      <c r="G12035" s="6"/>
    </row>
    <row r="12036" s="1" customFormat="1" ht="13.5">
      <c r="G12036" s="6"/>
    </row>
    <row r="12037" s="1" customFormat="1" ht="13.5">
      <c r="G12037" s="6"/>
    </row>
    <row r="12038" s="1" customFormat="1" ht="13.5">
      <c r="G12038" s="6"/>
    </row>
    <row r="12039" s="1" customFormat="1" ht="13.5">
      <c r="G12039" s="6"/>
    </row>
    <row r="12040" s="1" customFormat="1" ht="13.5">
      <c r="G12040" s="6"/>
    </row>
    <row r="12041" s="1" customFormat="1" ht="13.5">
      <c r="G12041" s="6"/>
    </row>
    <row r="12042" s="1" customFormat="1" ht="13.5">
      <c r="G12042" s="6"/>
    </row>
    <row r="12043" s="1" customFormat="1" ht="13.5">
      <c r="G12043" s="6"/>
    </row>
    <row r="12044" s="1" customFormat="1" ht="13.5">
      <c r="G12044" s="6"/>
    </row>
    <row r="12045" s="1" customFormat="1" ht="13.5">
      <c r="G12045" s="6"/>
    </row>
    <row r="12046" s="1" customFormat="1" ht="13.5">
      <c r="G12046" s="6"/>
    </row>
    <row r="12047" s="1" customFormat="1" ht="13.5">
      <c r="G12047" s="6"/>
    </row>
    <row r="12048" s="1" customFormat="1" ht="13.5">
      <c r="G12048" s="6"/>
    </row>
    <row r="12049" s="1" customFormat="1" ht="13.5">
      <c r="G12049" s="6"/>
    </row>
    <row r="12050" s="1" customFormat="1" ht="13.5">
      <c r="G12050" s="6"/>
    </row>
    <row r="12051" s="1" customFormat="1" ht="13.5">
      <c r="G12051" s="6"/>
    </row>
    <row r="12052" s="1" customFormat="1" ht="13.5">
      <c r="G12052" s="6"/>
    </row>
    <row r="12053" s="1" customFormat="1" ht="13.5">
      <c r="G12053" s="6"/>
    </row>
    <row r="12054" s="1" customFormat="1" ht="13.5">
      <c r="G12054" s="6"/>
    </row>
    <row r="12055" s="1" customFormat="1" ht="13.5">
      <c r="G12055" s="6"/>
    </row>
    <row r="12056" s="1" customFormat="1" ht="13.5">
      <c r="G12056" s="6"/>
    </row>
    <row r="12057" s="1" customFormat="1" ht="13.5">
      <c r="G12057" s="6"/>
    </row>
    <row r="12058" s="1" customFormat="1" ht="13.5">
      <c r="G12058" s="6"/>
    </row>
    <row r="12059" s="1" customFormat="1" ht="13.5">
      <c r="G12059" s="6"/>
    </row>
    <row r="12060" s="1" customFormat="1" ht="13.5">
      <c r="G12060" s="6"/>
    </row>
    <row r="12061" s="1" customFormat="1" ht="13.5">
      <c r="G12061" s="6"/>
    </row>
    <row r="12062" s="1" customFormat="1" ht="13.5">
      <c r="G12062" s="6"/>
    </row>
    <row r="12063" s="1" customFormat="1" ht="13.5">
      <c r="G12063" s="6"/>
    </row>
    <row r="12064" s="1" customFormat="1" ht="13.5">
      <c r="G12064" s="6"/>
    </row>
    <row r="12065" s="1" customFormat="1" ht="13.5">
      <c r="G12065" s="6"/>
    </row>
    <row r="12066" s="1" customFormat="1" ht="13.5">
      <c r="G12066" s="6"/>
    </row>
    <row r="12067" s="1" customFormat="1" ht="13.5">
      <c r="G12067" s="6"/>
    </row>
    <row r="12068" s="1" customFormat="1" ht="13.5">
      <c r="G12068" s="6"/>
    </row>
    <row r="12069" s="1" customFormat="1" ht="13.5">
      <c r="G12069" s="6"/>
    </row>
    <row r="12070" s="1" customFormat="1" ht="13.5">
      <c r="G12070" s="6"/>
    </row>
    <row r="12071" s="1" customFormat="1" ht="13.5">
      <c r="G12071" s="6"/>
    </row>
    <row r="12072" s="1" customFormat="1" ht="13.5">
      <c r="G12072" s="6"/>
    </row>
    <row r="12073" s="1" customFormat="1" ht="13.5">
      <c r="G12073" s="6"/>
    </row>
    <row r="12074" s="1" customFormat="1" ht="13.5">
      <c r="G12074" s="6"/>
    </row>
    <row r="12075" s="1" customFormat="1" ht="13.5">
      <c r="G12075" s="6"/>
    </row>
    <row r="12076" s="1" customFormat="1" ht="13.5">
      <c r="G12076" s="6"/>
    </row>
    <row r="12077" s="1" customFormat="1" ht="13.5">
      <c r="G12077" s="6"/>
    </row>
    <row r="12078" s="1" customFormat="1" ht="13.5">
      <c r="G12078" s="6"/>
    </row>
    <row r="12079" s="1" customFormat="1" ht="13.5">
      <c r="G12079" s="6"/>
    </row>
    <row r="12080" s="1" customFormat="1" ht="13.5">
      <c r="G12080" s="6"/>
    </row>
    <row r="12081" s="1" customFormat="1" ht="13.5">
      <c r="G12081" s="6"/>
    </row>
    <row r="12082" s="1" customFormat="1" ht="13.5">
      <c r="G12082" s="6"/>
    </row>
    <row r="12083" s="1" customFormat="1" ht="13.5">
      <c r="G12083" s="6"/>
    </row>
    <row r="12084" s="1" customFormat="1" ht="13.5">
      <c r="G12084" s="6"/>
    </row>
    <row r="12085" s="1" customFormat="1" ht="13.5">
      <c r="G12085" s="6"/>
    </row>
    <row r="12086" s="1" customFormat="1" ht="13.5">
      <c r="G12086" s="6"/>
    </row>
    <row r="12087" s="1" customFormat="1" ht="13.5">
      <c r="G12087" s="6"/>
    </row>
    <row r="12088" s="1" customFormat="1" ht="13.5">
      <c r="G12088" s="6"/>
    </row>
    <row r="12089" s="1" customFormat="1" ht="13.5">
      <c r="G12089" s="6"/>
    </row>
    <row r="12090" s="1" customFormat="1" ht="13.5">
      <c r="G12090" s="6"/>
    </row>
    <row r="12091" s="1" customFormat="1" ht="13.5">
      <c r="G12091" s="6"/>
    </row>
    <row r="12092" s="1" customFormat="1" ht="13.5">
      <c r="G12092" s="6"/>
    </row>
    <row r="12093" s="1" customFormat="1" ht="13.5">
      <c r="G12093" s="6"/>
    </row>
    <row r="12094" s="1" customFormat="1" ht="13.5">
      <c r="G12094" s="6"/>
    </row>
    <row r="12095" s="1" customFormat="1" ht="13.5">
      <c r="G12095" s="6"/>
    </row>
    <row r="12096" s="1" customFormat="1" ht="13.5">
      <c r="G12096" s="6"/>
    </row>
    <row r="12097" s="1" customFormat="1" ht="13.5">
      <c r="G12097" s="6"/>
    </row>
    <row r="12098" s="1" customFormat="1" ht="13.5">
      <c r="G12098" s="6"/>
    </row>
    <row r="12099" s="1" customFormat="1" ht="13.5">
      <c r="G12099" s="6"/>
    </row>
    <row r="12100" s="1" customFormat="1" ht="13.5">
      <c r="G12100" s="6"/>
    </row>
    <row r="12101" s="1" customFormat="1" ht="13.5">
      <c r="G12101" s="6"/>
    </row>
    <row r="12102" s="1" customFormat="1" ht="13.5">
      <c r="G12102" s="6"/>
    </row>
    <row r="12103" s="1" customFormat="1" ht="13.5">
      <c r="G12103" s="6"/>
    </row>
    <row r="12104" s="1" customFormat="1" ht="13.5">
      <c r="G12104" s="6"/>
    </row>
    <row r="12105" s="1" customFormat="1" ht="13.5">
      <c r="G12105" s="6"/>
    </row>
    <row r="12106" s="1" customFormat="1" ht="13.5">
      <c r="G12106" s="6"/>
    </row>
    <row r="12107" s="1" customFormat="1" ht="13.5">
      <c r="G12107" s="6"/>
    </row>
    <row r="12108" s="1" customFormat="1" ht="13.5">
      <c r="G12108" s="6"/>
    </row>
    <row r="12109" s="1" customFormat="1" ht="13.5">
      <c r="G12109" s="6"/>
    </row>
    <row r="12110" s="1" customFormat="1" ht="13.5">
      <c r="G12110" s="6"/>
    </row>
    <row r="12111" s="1" customFormat="1" ht="13.5">
      <c r="G12111" s="6"/>
    </row>
    <row r="12112" s="1" customFormat="1" ht="13.5">
      <c r="G12112" s="6"/>
    </row>
    <row r="12113" s="1" customFormat="1" ht="13.5">
      <c r="G12113" s="6"/>
    </row>
    <row r="12114" s="1" customFormat="1" ht="13.5">
      <c r="G12114" s="6"/>
    </row>
    <row r="12115" s="1" customFormat="1" ht="13.5">
      <c r="G12115" s="6"/>
    </row>
    <row r="12116" s="1" customFormat="1" ht="13.5">
      <c r="G12116" s="6"/>
    </row>
    <row r="12117" s="1" customFormat="1" ht="13.5">
      <c r="G12117" s="6"/>
    </row>
    <row r="12118" s="1" customFormat="1" ht="13.5">
      <c r="G12118" s="6"/>
    </row>
    <row r="12119" s="1" customFormat="1" ht="13.5">
      <c r="G12119" s="6"/>
    </row>
    <row r="12120" s="1" customFormat="1" ht="13.5">
      <c r="G12120" s="6"/>
    </row>
    <row r="12121" s="1" customFormat="1" ht="13.5">
      <c r="G12121" s="6"/>
    </row>
    <row r="12122" s="1" customFormat="1" ht="13.5">
      <c r="G12122" s="6"/>
    </row>
    <row r="12123" s="1" customFormat="1" ht="13.5">
      <c r="G12123" s="6"/>
    </row>
    <row r="12124" s="1" customFormat="1" ht="13.5">
      <c r="G12124" s="6"/>
    </row>
    <row r="12125" s="1" customFormat="1" ht="13.5">
      <c r="G12125" s="6"/>
    </row>
    <row r="12126" s="1" customFormat="1" ht="13.5">
      <c r="G12126" s="6"/>
    </row>
    <row r="12127" s="1" customFormat="1" ht="13.5">
      <c r="G12127" s="6"/>
    </row>
    <row r="12128" s="1" customFormat="1" ht="13.5">
      <c r="G12128" s="6"/>
    </row>
    <row r="12129" s="1" customFormat="1" ht="13.5">
      <c r="G12129" s="6"/>
    </row>
    <row r="12130" s="1" customFormat="1" ht="13.5">
      <c r="G12130" s="6"/>
    </row>
    <row r="12131" s="1" customFormat="1" ht="13.5">
      <c r="G12131" s="6"/>
    </row>
    <row r="12132" s="1" customFormat="1" ht="13.5">
      <c r="G12132" s="6"/>
    </row>
    <row r="12133" s="1" customFormat="1" ht="13.5">
      <c r="G12133" s="6"/>
    </row>
    <row r="12134" s="1" customFormat="1" ht="13.5">
      <c r="G12134" s="6"/>
    </row>
    <row r="12135" s="1" customFormat="1" ht="13.5">
      <c r="G12135" s="6"/>
    </row>
    <row r="12136" s="1" customFormat="1" ht="13.5">
      <c r="G12136" s="6"/>
    </row>
    <row r="12137" s="1" customFormat="1" ht="13.5">
      <c r="G12137" s="6"/>
    </row>
    <row r="12138" s="1" customFormat="1" ht="13.5">
      <c r="G12138" s="6"/>
    </row>
    <row r="12139" s="1" customFormat="1" ht="13.5">
      <c r="G12139" s="6"/>
    </row>
    <row r="12140" s="1" customFormat="1" ht="13.5">
      <c r="G12140" s="6"/>
    </row>
    <row r="12141" s="1" customFormat="1" ht="13.5">
      <c r="G12141" s="6"/>
    </row>
    <row r="12142" s="1" customFormat="1" ht="13.5">
      <c r="G12142" s="6"/>
    </row>
    <row r="12143" s="1" customFormat="1" ht="13.5">
      <c r="G12143" s="6"/>
    </row>
    <row r="12144" s="1" customFormat="1" ht="13.5">
      <c r="G12144" s="6"/>
    </row>
    <row r="12145" s="1" customFormat="1" ht="13.5">
      <c r="G12145" s="6"/>
    </row>
    <row r="12146" s="1" customFormat="1" ht="13.5">
      <c r="G12146" s="6"/>
    </row>
    <row r="12147" s="1" customFormat="1" ht="13.5">
      <c r="G12147" s="6"/>
    </row>
    <row r="12148" s="1" customFormat="1" ht="13.5">
      <c r="G12148" s="6"/>
    </row>
    <row r="12149" s="1" customFormat="1" ht="13.5">
      <c r="G12149" s="6"/>
    </row>
    <row r="12150" s="1" customFormat="1" ht="13.5">
      <c r="G12150" s="6"/>
    </row>
    <row r="12151" s="1" customFormat="1" ht="13.5">
      <c r="G12151" s="6"/>
    </row>
    <row r="12152" s="1" customFormat="1" ht="13.5">
      <c r="G12152" s="6"/>
    </row>
    <row r="12153" s="1" customFormat="1" ht="13.5">
      <c r="G12153" s="6"/>
    </row>
    <row r="12154" s="1" customFormat="1" ht="13.5">
      <c r="G12154" s="6"/>
    </row>
    <row r="12155" s="1" customFormat="1" ht="13.5">
      <c r="G12155" s="6"/>
    </row>
    <row r="12156" s="1" customFormat="1" ht="13.5">
      <c r="G12156" s="6"/>
    </row>
    <row r="12157" s="1" customFormat="1" ht="13.5">
      <c r="G12157" s="6"/>
    </row>
    <row r="12158" s="1" customFormat="1" ht="13.5">
      <c r="G12158" s="6"/>
    </row>
    <row r="12159" s="1" customFormat="1" ht="13.5">
      <c r="G12159" s="6"/>
    </row>
    <row r="12160" s="1" customFormat="1" ht="13.5">
      <c r="G12160" s="6"/>
    </row>
    <row r="12161" s="1" customFormat="1" ht="13.5">
      <c r="G12161" s="6"/>
    </row>
    <row r="12162" s="1" customFormat="1" ht="13.5">
      <c r="G12162" s="6"/>
    </row>
    <row r="12163" s="1" customFormat="1" ht="13.5">
      <c r="G12163" s="6"/>
    </row>
    <row r="12164" s="1" customFormat="1" ht="13.5">
      <c r="G12164" s="6"/>
    </row>
    <row r="12165" s="1" customFormat="1" ht="13.5">
      <c r="G12165" s="6"/>
    </row>
    <row r="12166" s="1" customFormat="1" ht="13.5">
      <c r="G12166" s="6"/>
    </row>
    <row r="12167" s="1" customFormat="1" ht="13.5">
      <c r="G12167" s="6"/>
    </row>
    <row r="12168" s="1" customFormat="1" ht="13.5">
      <c r="G12168" s="6"/>
    </row>
    <row r="12169" s="1" customFormat="1" ht="13.5">
      <c r="G12169" s="6"/>
    </row>
    <row r="12170" s="1" customFormat="1" ht="13.5">
      <c r="G12170" s="6"/>
    </row>
    <row r="12171" s="1" customFormat="1" ht="13.5">
      <c r="G12171" s="6"/>
    </row>
    <row r="12172" s="1" customFormat="1" ht="13.5">
      <c r="G12172" s="6"/>
    </row>
    <row r="12173" s="1" customFormat="1" ht="13.5">
      <c r="G12173" s="6"/>
    </row>
    <row r="12174" s="1" customFormat="1" ht="13.5">
      <c r="G12174" s="6"/>
    </row>
    <row r="12175" s="1" customFormat="1" ht="13.5">
      <c r="G12175" s="6"/>
    </row>
    <row r="12176" s="1" customFormat="1" ht="13.5">
      <c r="G12176" s="6"/>
    </row>
    <row r="12177" s="1" customFormat="1" ht="13.5">
      <c r="G12177" s="6"/>
    </row>
    <row r="12178" s="1" customFormat="1" ht="13.5">
      <c r="G12178" s="6"/>
    </row>
    <row r="12179" s="1" customFormat="1" ht="13.5">
      <c r="G12179" s="6"/>
    </row>
    <row r="12180" s="1" customFormat="1" ht="13.5">
      <c r="G12180" s="6"/>
    </row>
    <row r="12181" s="1" customFormat="1" ht="13.5">
      <c r="G12181" s="6"/>
    </row>
    <row r="12182" s="1" customFormat="1" ht="13.5">
      <c r="G12182" s="6"/>
    </row>
    <row r="12183" s="1" customFormat="1" ht="13.5">
      <c r="G12183" s="6"/>
    </row>
    <row r="12184" s="1" customFormat="1" ht="13.5">
      <c r="G12184" s="6"/>
    </row>
    <row r="12185" s="1" customFormat="1" ht="13.5">
      <c r="G12185" s="6"/>
    </row>
    <row r="12186" s="1" customFormat="1" ht="13.5">
      <c r="G12186" s="6"/>
    </row>
    <row r="12187" s="1" customFormat="1" ht="13.5">
      <c r="G12187" s="6"/>
    </row>
    <row r="12188" s="1" customFormat="1" ht="13.5">
      <c r="G12188" s="6"/>
    </row>
    <row r="12189" s="1" customFormat="1" ht="13.5">
      <c r="G12189" s="6"/>
    </row>
    <row r="12190" s="1" customFormat="1" ht="13.5">
      <c r="G12190" s="6"/>
    </row>
    <row r="12191" s="1" customFormat="1" ht="13.5">
      <c r="G12191" s="6"/>
    </row>
    <row r="12192" s="1" customFormat="1" ht="13.5">
      <c r="G12192" s="6"/>
    </row>
    <row r="12193" s="1" customFormat="1" ht="13.5">
      <c r="G12193" s="6"/>
    </row>
    <row r="12194" s="1" customFormat="1" ht="13.5">
      <c r="G12194" s="6"/>
    </row>
    <row r="12195" s="1" customFormat="1" ht="13.5">
      <c r="G12195" s="6"/>
    </row>
    <row r="12196" s="1" customFormat="1" ht="13.5">
      <c r="G12196" s="6"/>
    </row>
    <row r="12197" s="1" customFormat="1" ht="13.5">
      <c r="G12197" s="6"/>
    </row>
    <row r="12198" s="1" customFormat="1" ht="13.5">
      <c r="G12198" s="6"/>
    </row>
    <row r="12199" s="1" customFormat="1" ht="13.5">
      <c r="G12199" s="6"/>
    </row>
    <row r="12200" s="1" customFormat="1" ht="13.5">
      <c r="G12200" s="6"/>
    </row>
    <row r="12201" s="1" customFormat="1" ht="13.5">
      <c r="G12201" s="6"/>
    </row>
    <row r="12202" s="1" customFormat="1" ht="13.5">
      <c r="G12202" s="6"/>
    </row>
    <row r="12203" s="1" customFormat="1" ht="13.5">
      <c r="G12203" s="6"/>
    </row>
    <row r="12204" s="1" customFormat="1" ht="13.5">
      <c r="G12204" s="6"/>
    </row>
    <row r="12205" s="1" customFormat="1" ht="13.5">
      <c r="G12205" s="6"/>
    </row>
    <row r="12206" s="1" customFormat="1" ht="13.5">
      <c r="G12206" s="6"/>
    </row>
    <row r="12207" s="1" customFormat="1" ht="13.5">
      <c r="G12207" s="6"/>
    </row>
    <row r="12208" s="1" customFormat="1" ht="13.5">
      <c r="G12208" s="6"/>
    </row>
    <row r="12209" s="1" customFormat="1" ht="13.5">
      <c r="G12209" s="6"/>
    </row>
    <row r="12210" s="1" customFormat="1" ht="13.5">
      <c r="G12210" s="6"/>
    </row>
    <row r="12211" s="1" customFormat="1" ht="13.5">
      <c r="G12211" s="6"/>
    </row>
    <row r="12212" s="1" customFormat="1" ht="13.5">
      <c r="G12212" s="6"/>
    </row>
    <row r="12213" s="1" customFormat="1" ht="13.5">
      <c r="G12213" s="6"/>
    </row>
    <row r="12214" s="1" customFormat="1" ht="13.5">
      <c r="G12214" s="6"/>
    </row>
    <row r="12215" s="1" customFormat="1" ht="13.5">
      <c r="G12215" s="6"/>
    </row>
    <row r="12216" s="1" customFormat="1" ht="13.5">
      <c r="G12216" s="6"/>
    </row>
    <row r="12217" s="1" customFormat="1" ht="13.5">
      <c r="G12217" s="6"/>
    </row>
    <row r="12218" s="1" customFormat="1" ht="13.5">
      <c r="G12218" s="6"/>
    </row>
    <row r="12219" s="1" customFormat="1" ht="13.5">
      <c r="G12219" s="6"/>
    </row>
    <row r="12220" s="1" customFormat="1" ht="13.5">
      <c r="G12220" s="6"/>
    </row>
    <row r="12221" s="1" customFormat="1" ht="13.5">
      <c r="G12221" s="6"/>
    </row>
    <row r="12222" s="1" customFormat="1" ht="13.5">
      <c r="G12222" s="6"/>
    </row>
    <row r="12223" s="1" customFormat="1" ht="13.5">
      <c r="G12223" s="6"/>
    </row>
    <row r="12224" s="1" customFormat="1" ht="13.5">
      <c r="G12224" s="6"/>
    </row>
    <row r="12225" s="1" customFormat="1" ht="13.5">
      <c r="G12225" s="6"/>
    </row>
    <row r="12226" s="1" customFormat="1" ht="13.5">
      <c r="G12226" s="6"/>
    </row>
    <row r="12227" s="1" customFormat="1" ht="13.5">
      <c r="G12227" s="6"/>
    </row>
    <row r="12228" s="1" customFormat="1" ht="13.5">
      <c r="G12228" s="6"/>
    </row>
    <row r="12229" s="1" customFormat="1" ht="13.5">
      <c r="G12229" s="6"/>
    </row>
    <row r="12230" s="1" customFormat="1" ht="13.5">
      <c r="G12230" s="6"/>
    </row>
    <row r="12231" s="1" customFormat="1" ht="13.5">
      <c r="G12231" s="6"/>
    </row>
    <row r="12232" s="1" customFormat="1" ht="13.5">
      <c r="G12232" s="6"/>
    </row>
    <row r="12233" s="1" customFormat="1" ht="13.5">
      <c r="G12233" s="6"/>
    </row>
    <row r="12234" s="1" customFormat="1" ht="13.5">
      <c r="G12234" s="6"/>
    </row>
    <row r="12235" s="1" customFormat="1" ht="13.5">
      <c r="G12235" s="6"/>
    </row>
    <row r="12236" s="1" customFormat="1" ht="13.5">
      <c r="G12236" s="6"/>
    </row>
    <row r="12237" s="1" customFormat="1" ht="13.5">
      <c r="G12237" s="6"/>
    </row>
    <row r="12238" s="1" customFormat="1" ht="13.5">
      <c r="G12238" s="6"/>
    </row>
    <row r="12239" s="1" customFormat="1" ht="13.5">
      <c r="G12239" s="6"/>
    </row>
    <row r="12240" s="1" customFormat="1" ht="13.5">
      <c r="G12240" s="6"/>
    </row>
    <row r="12241" s="1" customFormat="1" ht="13.5">
      <c r="G12241" s="6"/>
    </row>
    <row r="12242" s="1" customFormat="1" ht="13.5">
      <c r="G12242" s="6"/>
    </row>
    <row r="12243" s="1" customFormat="1" ht="13.5">
      <c r="G12243" s="6"/>
    </row>
    <row r="12244" s="1" customFormat="1" ht="13.5">
      <c r="G12244" s="6"/>
    </row>
    <row r="12245" s="1" customFormat="1" ht="13.5">
      <c r="G12245" s="6"/>
    </row>
    <row r="12246" s="1" customFormat="1" ht="13.5">
      <c r="G12246" s="6"/>
    </row>
    <row r="12247" s="1" customFormat="1" ht="13.5">
      <c r="G12247" s="6"/>
    </row>
    <row r="12248" s="1" customFormat="1" ht="13.5">
      <c r="G12248" s="6"/>
    </row>
    <row r="12249" s="1" customFormat="1" ht="13.5">
      <c r="G12249" s="6"/>
    </row>
    <row r="12250" s="1" customFormat="1" ht="13.5">
      <c r="G12250" s="6"/>
    </row>
    <row r="12251" s="1" customFormat="1" ht="13.5">
      <c r="G12251" s="6"/>
    </row>
    <row r="12252" s="1" customFormat="1" ht="13.5">
      <c r="G12252" s="6"/>
    </row>
    <row r="12253" s="1" customFormat="1" ht="13.5">
      <c r="G12253" s="6"/>
    </row>
    <row r="12254" s="1" customFormat="1" ht="13.5">
      <c r="G12254" s="6"/>
    </row>
    <row r="12255" s="1" customFormat="1" ht="13.5">
      <c r="G12255" s="6"/>
    </row>
    <row r="12256" s="1" customFormat="1" ht="13.5">
      <c r="G12256" s="6"/>
    </row>
    <row r="12257" s="1" customFormat="1" ht="13.5">
      <c r="G12257" s="6"/>
    </row>
    <row r="12258" s="1" customFormat="1" ht="13.5">
      <c r="G12258" s="6"/>
    </row>
    <row r="12259" s="1" customFormat="1" ht="13.5">
      <c r="G12259" s="6"/>
    </row>
    <row r="12260" s="1" customFormat="1" ht="13.5">
      <c r="G12260" s="6"/>
    </row>
    <row r="12261" s="1" customFormat="1" ht="13.5">
      <c r="G12261" s="6"/>
    </row>
    <row r="12262" s="1" customFormat="1" ht="13.5">
      <c r="G12262" s="6"/>
    </row>
    <row r="12263" s="1" customFormat="1" ht="13.5">
      <c r="G12263" s="6"/>
    </row>
    <row r="12264" s="1" customFormat="1" ht="13.5">
      <c r="G12264" s="6"/>
    </row>
    <row r="12265" s="1" customFormat="1" ht="13.5">
      <c r="G12265" s="6"/>
    </row>
    <row r="12266" s="1" customFormat="1" ht="13.5">
      <c r="G12266" s="6"/>
    </row>
    <row r="12267" s="1" customFormat="1" ht="13.5">
      <c r="G12267" s="6"/>
    </row>
    <row r="12268" s="1" customFormat="1" ht="13.5">
      <c r="G12268" s="6"/>
    </row>
    <row r="12269" s="1" customFormat="1" ht="13.5">
      <c r="G12269" s="6"/>
    </row>
    <row r="12270" s="1" customFormat="1" ht="13.5">
      <c r="G12270" s="6"/>
    </row>
    <row r="12271" s="1" customFormat="1" ht="13.5">
      <c r="G12271" s="6"/>
    </row>
    <row r="12272" s="1" customFormat="1" ht="13.5">
      <c r="G12272" s="6"/>
    </row>
    <row r="12273" s="1" customFormat="1" ht="13.5">
      <c r="G12273" s="6"/>
    </row>
    <row r="12274" s="1" customFormat="1" ht="13.5">
      <c r="G12274" s="6"/>
    </row>
    <row r="12275" s="1" customFormat="1" ht="13.5">
      <c r="G12275" s="6"/>
    </row>
    <row r="12276" s="1" customFormat="1" ht="13.5">
      <c r="G12276" s="6"/>
    </row>
    <row r="12277" s="1" customFormat="1" ht="13.5">
      <c r="G12277" s="6"/>
    </row>
    <row r="12278" s="1" customFormat="1" ht="13.5">
      <c r="G12278" s="6"/>
    </row>
    <row r="12279" s="1" customFormat="1" ht="13.5">
      <c r="G12279" s="6"/>
    </row>
    <row r="12280" s="1" customFormat="1" ht="13.5">
      <c r="G12280" s="6"/>
    </row>
    <row r="12281" s="1" customFormat="1" ht="13.5">
      <c r="G12281" s="6"/>
    </row>
    <row r="12282" s="1" customFormat="1" ht="13.5">
      <c r="G12282" s="6"/>
    </row>
    <row r="12283" s="1" customFormat="1" ht="13.5">
      <c r="G12283" s="6"/>
    </row>
    <row r="12284" s="1" customFormat="1" ht="13.5">
      <c r="G12284" s="6"/>
    </row>
    <row r="12285" s="1" customFormat="1" ht="13.5">
      <c r="G12285" s="6"/>
    </row>
    <row r="12286" s="1" customFormat="1" ht="13.5">
      <c r="G12286" s="6"/>
    </row>
    <row r="12287" s="1" customFormat="1" ht="13.5">
      <c r="G12287" s="6"/>
    </row>
    <row r="12288" s="1" customFormat="1" ht="13.5">
      <c r="G12288" s="6"/>
    </row>
    <row r="12289" s="1" customFormat="1" ht="13.5">
      <c r="G12289" s="6"/>
    </row>
    <row r="12290" s="1" customFormat="1" ht="13.5">
      <c r="G12290" s="6"/>
    </row>
    <row r="12291" s="1" customFormat="1" ht="13.5">
      <c r="G12291" s="6"/>
    </row>
    <row r="12292" s="1" customFormat="1" ht="13.5">
      <c r="G12292" s="6"/>
    </row>
    <row r="12293" s="1" customFormat="1" ht="13.5">
      <c r="G12293" s="6"/>
    </row>
    <row r="12294" s="1" customFormat="1" ht="13.5">
      <c r="G12294" s="6"/>
    </row>
    <row r="12295" s="1" customFormat="1" ht="13.5">
      <c r="G12295" s="6"/>
    </row>
    <row r="12296" s="1" customFormat="1" ht="13.5">
      <c r="G12296" s="6"/>
    </row>
    <row r="12297" s="1" customFormat="1" ht="13.5">
      <c r="G12297" s="6"/>
    </row>
    <row r="12298" s="1" customFormat="1" ht="13.5">
      <c r="G12298" s="6"/>
    </row>
    <row r="12299" s="1" customFormat="1" ht="13.5">
      <c r="G12299" s="6"/>
    </row>
    <row r="12300" s="1" customFormat="1" ht="13.5">
      <c r="G12300" s="6"/>
    </row>
    <row r="12301" s="1" customFormat="1" ht="13.5">
      <c r="G12301" s="6"/>
    </row>
    <row r="12302" s="1" customFormat="1" ht="13.5">
      <c r="G12302" s="6"/>
    </row>
    <row r="12303" s="1" customFormat="1" ht="13.5">
      <c r="G12303" s="6"/>
    </row>
    <row r="12304" s="1" customFormat="1" ht="13.5">
      <c r="G12304" s="6"/>
    </row>
    <row r="12305" s="1" customFormat="1" ht="13.5">
      <c r="G12305" s="6"/>
    </row>
    <row r="12306" s="1" customFormat="1" ht="13.5">
      <c r="G12306" s="6"/>
    </row>
    <row r="12307" s="1" customFormat="1" ht="13.5">
      <c r="G12307" s="6"/>
    </row>
    <row r="12308" s="1" customFormat="1" ht="13.5">
      <c r="G12308" s="6"/>
    </row>
    <row r="12309" s="1" customFormat="1" ht="13.5">
      <c r="G12309" s="6"/>
    </row>
    <row r="12310" s="1" customFormat="1" ht="13.5">
      <c r="G12310" s="6"/>
    </row>
    <row r="12311" s="1" customFormat="1" ht="13.5">
      <c r="G12311" s="6"/>
    </row>
    <row r="12312" s="1" customFormat="1" ht="13.5">
      <c r="G12312" s="6"/>
    </row>
    <row r="12313" s="1" customFormat="1" ht="13.5">
      <c r="G12313" s="6"/>
    </row>
    <row r="12314" s="1" customFormat="1" ht="13.5">
      <c r="G12314" s="6"/>
    </row>
    <row r="12315" s="1" customFormat="1" ht="13.5">
      <c r="G12315" s="6"/>
    </row>
    <row r="12316" s="1" customFormat="1" ht="13.5">
      <c r="G12316" s="6"/>
    </row>
    <row r="12317" s="1" customFormat="1" ht="13.5">
      <c r="G12317" s="6"/>
    </row>
    <row r="12318" s="1" customFormat="1" ht="13.5">
      <c r="G12318" s="6"/>
    </row>
    <row r="12319" s="1" customFormat="1" ht="13.5">
      <c r="G12319" s="6"/>
    </row>
    <row r="12320" s="1" customFormat="1" ht="13.5">
      <c r="G12320" s="6"/>
    </row>
    <row r="12321" s="1" customFormat="1" ht="13.5">
      <c r="G12321" s="6"/>
    </row>
    <row r="12322" s="1" customFormat="1" ht="13.5">
      <c r="G12322" s="6"/>
    </row>
    <row r="12323" s="1" customFormat="1" ht="13.5">
      <c r="G12323" s="6"/>
    </row>
    <row r="12324" s="1" customFormat="1" ht="13.5">
      <c r="G12324" s="6"/>
    </row>
    <row r="12325" s="1" customFormat="1" ht="13.5">
      <c r="G12325" s="6"/>
    </row>
    <row r="12326" s="1" customFormat="1" ht="13.5">
      <c r="G12326" s="6"/>
    </row>
    <row r="12327" s="1" customFormat="1" ht="13.5">
      <c r="G12327" s="6"/>
    </row>
    <row r="12328" s="1" customFormat="1" ht="13.5">
      <c r="G12328" s="6"/>
    </row>
    <row r="12329" s="1" customFormat="1" ht="13.5">
      <c r="G12329" s="6"/>
    </row>
    <row r="12330" s="1" customFormat="1" ht="13.5">
      <c r="G12330" s="6"/>
    </row>
    <row r="12331" s="1" customFormat="1" ht="13.5">
      <c r="G12331" s="6"/>
    </row>
    <row r="12332" s="1" customFormat="1" ht="13.5">
      <c r="G12332" s="6"/>
    </row>
    <row r="12333" s="1" customFormat="1" ht="13.5">
      <c r="G12333" s="6"/>
    </row>
    <row r="12334" s="1" customFormat="1" ht="13.5">
      <c r="G12334" s="6"/>
    </row>
    <row r="12335" s="1" customFormat="1" ht="13.5">
      <c r="G12335" s="6"/>
    </row>
    <row r="12336" s="1" customFormat="1" ht="13.5">
      <c r="G12336" s="6"/>
    </row>
    <row r="12337" s="1" customFormat="1" ht="13.5">
      <c r="G12337" s="6"/>
    </row>
    <row r="12338" s="1" customFormat="1" ht="13.5">
      <c r="G12338" s="6"/>
    </row>
    <row r="12339" s="1" customFormat="1" ht="13.5">
      <c r="G12339" s="6"/>
    </row>
    <row r="12340" s="1" customFormat="1" ht="13.5">
      <c r="G12340" s="6"/>
    </row>
    <row r="12341" s="1" customFormat="1" ht="13.5">
      <c r="G12341" s="6"/>
    </row>
    <row r="12342" s="1" customFormat="1" ht="13.5">
      <c r="G12342" s="6"/>
    </row>
    <row r="12343" s="1" customFormat="1" ht="13.5">
      <c r="G12343" s="6"/>
    </row>
    <row r="12344" s="1" customFormat="1" ht="13.5">
      <c r="G12344" s="6"/>
    </row>
    <row r="12345" s="1" customFormat="1" ht="13.5">
      <c r="G12345" s="6"/>
    </row>
    <row r="12346" s="1" customFormat="1" ht="13.5">
      <c r="G12346" s="6"/>
    </row>
    <row r="12347" s="1" customFormat="1" ht="13.5">
      <c r="G12347" s="6"/>
    </row>
    <row r="12348" s="1" customFormat="1" ht="13.5">
      <c r="G12348" s="6"/>
    </row>
    <row r="12349" s="1" customFormat="1" ht="13.5">
      <c r="G12349" s="6"/>
    </row>
    <row r="12350" s="1" customFormat="1" ht="13.5">
      <c r="G12350" s="6"/>
    </row>
    <row r="12351" s="1" customFormat="1" ht="13.5">
      <c r="G12351" s="6"/>
    </row>
    <row r="12352" s="1" customFormat="1" ht="13.5">
      <c r="G12352" s="6"/>
    </row>
    <row r="12353" s="1" customFormat="1" ht="13.5">
      <c r="G12353" s="6"/>
    </row>
    <row r="12354" s="1" customFormat="1" ht="13.5">
      <c r="G12354" s="6"/>
    </row>
    <row r="12355" s="1" customFormat="1" ht="13.5">
      <c r="G12355" s="6"/>
    </row>
    <row r="12356" s="1" customFormat="1" ht="13.5">
      <c r="G12356" s="6"/>
    </row>
    <row r="12357" s="1" customFormat="1" ht="13.5">
      <c r="G12357" s="6"/>
    </row>
    <row r="12358" s="1" customFormat="1" ht="13.5">
      <c r="G12358" s="6"/>
    </row>
    <row r="12359" s="1" customFormat="1" ht="13.5">
      <c r="G12359" s="6"/>
    </row>
    <row r="12360" s="1" customFormat="1" ht="13.5">
      <c r="G12360" s="6"/>
    </row>
    <row r="12361" s="1" customFormat="1" ht="13.5">
      <c r="G12361" s="6"/>
    </row>
    <row r="12362" s="1" customFormat="1" ht="13.5">
      <c r="G12362" s="6"/>
    </row>
    <row r="12363" s="1" customFormat="1" ht="13.5">
      <c r="G12363" s="6"/>
    </row>
    <row r="12364" s="1" customFormat="1" ht="13.5">
      <c r="G12364" s="6"/>
    </row>
    <row r="12365" s="1" customFormat="1" ht="13.5">
      <c r="G12365" s="6"/>
    </row>
    <row r="12366" s="1" customFormat="1" ht="13.5">
      <c r="G12366" s="6"/>
    </row>
    <row r="12367" s="1" customFormat="1" ht="13.5">
      <c r="G12367" s="6"/>
    </row>
    <row r="12368" s="1" customFormat="1" ht="13.5">
      <c r="G12368" s="6"/>
    </row>
    <row r="12369" s="1" customFormat="1" ht="13.5">
      <c r="G12369" s="6"/>
    </row>
    <row r="12370" s="1" customFormat="1" ht="13.5">
      <c r="G12370" s="6"/>
    </row>
    <row r="12371" s="1" customFormat="1" ht="13.5">
      <c r="G12371" s="6"/>
    </row>
    <row r="12372" s="1" customFormat="1" ht="13.5">
      <c r="G12372" s="6"/>
    </row>
    <row r="12373" s="1" customFormat="1" ht="13.5">
      <c r="G12373" s="6"/>
    </row>
    <row r="12374" s="1" customFormat="1" ht="13.5">
      <c r="G12374" s="6"/>
    </row>
    <row r="12375" s="1" customFormat="1" ht="13.5">
      <c r="G12375" s="6"/>
    </row>
    <row r="12376" s="1" customFormat="1" ht="13.5">
      <c r="G12376" s="6"/>
    </row>
    <row r="12377" s="1" customFormat="1" ht="13.5">
      <c r="G12377" s="6"/>
    </row>
    <row r="12378" s="1" customFormat="1" ht="13.5">
      <c r="G12378" s="6"/>
    </row>
    <row r="12379" s="1" customFormat="1" ht="13.5">
      <c r="G12379" s="6"/>
    </row>
    <row r="12380" s="1" customFormat="1" ht="13.5">
      <c r="G12380" s="6"/>
    </row>
    <row r="12381" s="1" customFormat="1" ht="13.5">
      <c r="G12381" s="6"/>
    </row>
    <row r="12382" s="1" customFormat="1" ht="13.5">
      <c r="G12382" s="6"/>
    </row>
    <row r="12383" s="1" customFormat="1" ht="13.5">
      <c r="G12383" s="6"/>
    </row>
    <row r="12384" s="1" customFormat="1" ht="13.5">
      <c r="G12384" s="6"/>
    </row>
    <row r="12385" s="1" customFormat="1" ht="13.5">
      <c r="G12385" s="6"/>
    </row>
    <row r="12386" s="1" customFormat="1" ht="13.5">
      <c r="G12386" s="6"/>
    </row>
    <row r="12387" s="1" customFormat="1" ht="13.5">
      <c r="G12387" s="6"/>
    </row>
    <row r="12388" s="1" customFormat="1" ht="13.5">
      <c r="G12388" s="6"/>
    </row>
    <row r="12389" s="1" customFormat="1" ht="13.5">
      <c r="G12389" s="6"/>
    </row>
    <row r="12390" s="1" customFormat="1" ht="13.5">
      <c r="G12390" s="6"/>
    </row>
    <row r="12391" s="1" customFormat="1" ht="13.5">
      <c r="G12391" s="6"/>
    </row>
    <row r="12392" s="1" customFormat="1" ht="13.5">
      <c r="G12392" s="6"/>
    </row>
    <row r="12393" s="1" customFormat="1" ht="13.5">
      <c r="G12393" s="6"/>
    </row>
    <row r="12394" s="1" customFormat="1" ht="13.5">
      <c r="G12394" s="6"/>
    </row>
    <row r="12395" s="1" customFormat="1" ht="13.5">
      <c r="G12395" s="6"/>
    </row>
    <row r="12396" s="1" customFormat="1" ht="13.5">
      <c r="G12396" s="6"/>
    </row>
    <row r="12397" s="1" customFormat="1" ht="13.5">
      <c r="G12397" s="6"/>
    </row>
    <row r="12398" s="1" customFormat="1" ht="13.5">
      <c r="G12398" s="6"/>
    </row>
    <row r="12399" s="1" customFormat="1" ht="13.5">
      <c r="G12399" s="6"/>
    </row>
    <row r="12400" s="1" customFormat="1" ht="13.5">
      <c r="G12400" s="6"/>
    </row>
    <row r="12401" s="1" customFormat="1" ht="13.5">
      <c r="G12401" s="6"/>
    </row>
    <row r="12402" s="1" customFormat="1" ht="13.5">
      <c r="G12402" s="6"/>
    </row>
    <row r="12403" s="1" customFormat="1" ht="13.5">
      <c r="G12403" s="6"/>
    </row>
    <row r="12404" s="1" customFormat="1" ht="13.5">
      <c r="G12404" s="6"/>
    </row>
    <row r="12405" s="1" customFormat="1" ht="13.5">
      <c r="G12405" s="6"/>
    </row>
    <row r="12406" s="1" customFormat="1" ht="13.5">
      <c r="G12406" s="6"/>
    </row>
    <row r="12407" s="1" customFormat="1" ht="13.5">
      <c r="G12407" s="6"/>
    </row>
    <row r="12408" s="1" customFormat="1" ht="13.5">
      <c r="G12408" s="6"/>
    </row>
    <row r="12409" s="1" customFormat="1" ht="13.5">
      <c r="G12409" s="6"/>
    </row>
    <row r="12410" s="1" customFormat="1" ht="13.5">
      <c r="G12410" s="6"/>
    </row>
    <row r="12411" s="1" customFormat="1" ht="13.5">
      <c r="G12411" s="6"/>
    </row>
    <row r="12412" s="1" customFormat="1" ht="13.5">
      <c r="G12412" s="6"/>
    </row>
    <row r="12413" s="1" customFormat="1" ht="13.5">
      <c r="G12413" s="6"/>
    </row>
    <row r="12414" s="1" customFormat="1" ht="13.5">
      <c r="G12414" s="6"/>
    </row>
    <row r="12415" s="1" customFormat="1" ht="13.5">
      <c r="G12415" s="6"/>
    </row>
    <row r="12416" s="1" customFormat="1" ht="13.5">
      <c r="G12416" s="6"/>
    </row>
    <row r="12417" s="1" customFormat="1" ht="13.5">
      <c r="G12417" s="6"/>
    </row>
    <row r="12418" s="1" customFormat="1" ht="13.5">
      <c r="G12418" s="6"/>
    </row>
    <row r="12419" s="1" customFormat="1" ht="13.5">
      <c r="G12419" s="6"/>
    </row>
    <row r="12420" s="1" customFormat="1" ht="13.5">
      <c r="G12420" s="6"/>
    </row>
    <row r="12421" s="1" customFormat="1" ht="13.5">
      <c r="G12421" s="6"/>
    </row>
    <row r="12422" s="1" customFormat="1" ht="13.5">
      <c r="G12422" s="6"/>
    </row>
    <row r="12423" s="1" customFormat="1" ht="13.5">
      <c r="G12423" s="6"/>
    </row>
    <row r="12424" s="1" customFormat="1" ht="13.5">
      <c r="G12424" s="6"/>
    </row>
    <row r="12425" s="1" customFormat="1" ht="13.5">
      <c r="G12425" s="6"/>
    </row>
    <row r="12426" s="1" customFormat="1" ht="13.5">
      <c r="G12426" s="6"/>
    </row>
    <row r="12427" s="1" customFormat="1" ht="13.5">
      <c r="G12427" s="6"/>
    </row>
    <row r="12428" s="1" customFormat="1" ht="13.5">
      <c r="G12428" s="6"/>
    </row>
    <row r="12429" s="1" customFormat="1" ht="13.5">
      <c r="G12429" s="6"/>
    </row>
    <row r="12430" s="1" customFormat="1" ht="13.5">
      <c r="G12430" s="6"/>
    </row>
    <row r="12431" s="1" customFormat="1" ht="13.5">
      <c r="G12431" s="6"/>
    </row>
    <row r="12432" s="1" customFormat="1" ht="13.5">
      <c r="G12432" s="6"/>
    </row>
    <row r="12433" s="1" customFormat="1" ht="13.5">
      <c r="G12433" s="6"/>
    </row>
    <row r="12434" s="1" customFormat="1" ht="13.5">
      <c r="G12434" s="6"/>
    </row>
    <row r="12435" s="1" customFormat="1" ht="13.5">
      <c r="G12435" s="6"/>
    </row>
    <row r="12436" s="1" customFormat="1" ht="13.5">
      <c r="G12436" s="6"/>
    </row>
    <row r="12437" s="1" customFormat="1" ht="13.5">
      <c r="G12437" s="6"/>
    </row>
    <row r="12438" s="1" customFormat="1" ht="13.5">
      <c r="G12438" s="6"/>
    </row>
    <row r="12439" s="1" customFormat="1" ht="13.5">
      <c r="G12439" s="6"/>
    </row>
    <row r="12440" s="1" customFormat="1" ht="13.5">
      <c r="G12440" s="6"/>
    </row>
    <row r="12441" s="1" customFormat="1" ht="13.5">
      <c r="G12441" s="6"/>
    </row>
    <row r="12442" s="1" customFormat="1" ht="13.5">
      <c r="G12442" s="6"/>
    </row>
    <row r="12443" s="1" customFormat="1" ht="13.5">
      <c r="G12443" s="6"/>
    </row>
    <row r="12444" s="1" customFormat="1" ht="13.5">
      <c r="G12444" s="6"/>
    </row>
    <row r="12445" s="1" customFormat="1" ht="13.5">
      <c r="G12445" s="6"/>
    </row>
    <row r="12446" s="1" customFormat="1" ht="13.5">
      <c r="G12446" s="6"/>
    </row>
    <row r="12447" s="1" customFormat="1" ht="13.5">
      <c r="G12447" s="6"/>
    </row>
    <row r="12448" s="1" customFormat="1" ht="13.5">
      <c r="G12448" s="6"/>
    </row>
    <row r="12449" s="1" customFormat="1" ht="13.5">
      <c r="G12449" s="6"/>
    </row>
    <row r="12450" s="1" customFormat="1" ht="13.5">
      <c r="G12450" s="6"/>
    </row>
    <row r="12451" s="1" customFormat="1" ht="13.5">
      <c r="G12451" s="6"/>
    </row>
    <row r="12452" s="1" customFormat="1" ht="13.5">
      <c r="G12452" s="6"/>
    </row>
    <row r="12453" s="1" customFormat="1" ht="13.5">
      <c r="G12453" s="6"/>
    </row>
    <row r="12454" s="1" customFormat="1" ht="13.5">
      <c r="G12454" s="6"/>
    </row>
    <row r="12455" s="1" customFormat="1" ht="13.5">
      <c r="G12455" s="6"/>
    </row>
    <row r="12456" s="1" customFormat="1" ht="13.5">
      <c r="G12456" s="6"/>
    </row>
    <row r="12457" s="1" customFormat="1" ht="13.5">
      <c r="G12457" s="6"/>
    </row>
    <row r="12458" s="1" customFormat="1" ht="13.5">
      <c r="G12458" s="6"/>
    </row>
    <row r="12459" s="1" customFormat="1" ht="13.5">
      <c r="G12459" s="6"/>
    </row>
    <row r="12460" s="1" customFormat="1" ht="13.5">
      <c r="G12460" s="6"/>
    </row>
    <row r="12461" s="1" customFormat="1" ht="13.5">
      <c r="G12461" s="6"/>
    </row>
    <row r="12462" s="1" customFormat="1" ht="13.5">
      <c r="G12462" s="6"/>
    </row>
    <row r="12463" s="1" customFormat="1" ht="13.5">
      <c r="G12463" s="6"/>
    </row>
    <row r="12464" s="1" customFormat="1" ht="13.5">
      <c r="G12464" s="6"/>
    </row>
    <row r="12465" s="1" customFormat="1" ht="13.5">
      <c r="G12465" s="6"/>
    </row>
    <row r="12466" s="1" customFormat="1" ht="13.5">
      <c r="G12466" s="6"/>
    </row>
    <row r="12467" s="1" customFormat="1" ht="13.5">
      <c r="G12467" s="6"/>
    </row>
    <row r="12468" s="1" customFormat="1" ht="13.5">
      <c r="G12468" s="6"/>
    </row>
    <row r="12469" s="1" customFormat="1" ht="13.5">
      <c r="G12469" s="6"/>
    </row>
    <row r="12470" s="1" customFormat="1" ht="13.5">
      <c r="G12470" s="6"/>
    </row>
    <row r="12471" s="1" customFormat="1" ht="13.5">
      <c r="G12471" s="6"/>
    </row>
    <row r="12472" s="1" customFormat="1" ht="13.5">
      <c r="G12472" s="6"/>
    </row>
    <row r="12473" s="1" customFormat="1" ht="13.5">
      <c r="G12473" s="6"/>
    </row>
    <row r="12474" s="1" customFormat="1" ht="13.5">
      <c r="G12474" s="6"/>
    </row>
    <row r="12475" s="1" customFormat="1" ht="13.5">
      <c r="G12475" s="6"/>
    </row>
    <row r="12476" s="1" customFormat="1" ht="13.5">
      <c r="G12476" s="6"/>
    </row>
    <row r="12477" s="1" customFormat="1" ht="13.5">
      <c r="G12477" s="6"/>
    </row>
    <row r="12478" s="1" customFormat="1" ht="13.5">
      <c r="G12478" s="6"/>
    </row>
    <row r="12479" s="1" customFormat="1" ht="13.5">
      <c r="G12479" s="6"/>
    </row>
    <row r="12480" s="1" customFormat="1" ht="13.5">
      <c r="G12480" s="6"/>
    </row>
    <row r="12481" s="1" customFormat="1" ht="13.5">
      <c r="G12481" s="6"/>
    </row>
    <row r="12482" s="1" customFormat="1" ht="13.5">
      <c r="G12482" s="6"/>
    </row>
    <row r="12483" s="1" customFormat="1" ht="13.5">
      <c r="G12483" s="6"/>
    </row>
    <row r="12484" s="1" customFormat="1" ht="13.5">
      <c r="G12484" s="6"/>
    </row>
    <row r="12485" s="1" customFormat="1" ht="13.5">
      <c r="G12485" s="6"/>
    </row>
    <row r="12486" s="1" customFormat="1" ht="13.5">
      <c r="G12486" s="6"/>
    </row>
    <row r="12487" s="1" customFormat="1" ht="13.5">
      <c r="G12487" s="6"/>
    </row>
    <row r="12488" s="1" customFormat="1" ht="13.5">
      <c r="G12488" s="6"/>
    </row>
    <row r="12489" s="1" customFormat="1" ht="13.5">
      <c r="G12489" s="6"/>
    </row>
    <row r="12490" s="1" customFormat="1" ht="13.5">
      <c r="G12490" s="6"/>
    </row>
    <row r="12491" s="1" customFormat="1" ht="13.5">
      <c r="G12491" s="6"/>
    </row>
    <row r="12492" s="1" customFormat="1" ht="13.5">
      <c r="G12492" s="6"/>
    </row>
    <row r="12493" s="1" customFormat="1" ht="13.5">
      <c r="G12493" s="6"/>
    </row>
    <row r="12494" s="1" customFormat="1" ht="13.5">
      <c r="G12494" s="6"/>
    </row>
    <row r="12495" s="1" customFormat="1" ht="13.5">
      <c r="G12495" s="6"/>
    </row>
    <row r="12496" s="1" customFormat="1" ht="13.5">
      <c r="G12496" s="6"/>
    </row>
    <row r="12497" s="1" customFormat="1" ht="13.5">
      <c r="G12497" s="6"/>
    </row>
    <row r="12498" s="1" customFormat="1" ht="13.5">
      <c r="G12498" s="6"/>
    </row>
    <row r="12499" s="1" customFormat="1" ht="13.5">
      <c r="G12499" s="6"/>
    </row>
    <row r="12500" s="1" customFormat="1" ht="13.5">
      <c r="G12500" s="6"/>
    </row>
    <row r="12501" s="1" customFormat="1" ht="13.5">
      <c r="G12501" s="6"/>
    </row>
    <row r="12502" s="1" customFormat="1" ht="13.5">
      <c r="G12502" s="6"/>
    </row>
    <row r="12503" s="1" customFormat="1" ht="13.5">
      <c r="G12503" s="6"/>
    </row>
    <row r="12504" s="1" customFormat="1" ht="13.5">
      <c r="G12504" s="6"/>
    </row>
    <row r="12505" s="1" customFormat="1" ht="13.5">
      <c r="G12505" s="6"/>
    </row>
    <row r="12506" s="1" customFormat="1" ht="13.5">
      <c r="G12506" s="6"/>
    </row>
    <row r="12507" s="1" customFormat="1" ht="13.5">
      <c r="G12507" s="6"/>
    </row>
    <row r="12508" s="1" customFormat="1" ht="13.5">
      <c r="G12508" s="6"/>
    </row>
    <row r="12509" s="1" customFormat="1" ht="13.5">
      <c r="G12509" s="6"/>
    </row>
    <row r="12510" s="1" customFormat="1" ht="13.5">
      <c r="G12510" s="6"/>
    </row>
    <row r="12511" s="1" customFormat="1" ht="13.5">
      <c r="G12511" s="6"/>
    </row>
    <row r="12512" s="1" customFormat="1" ht="13.5">
      <c r="G12512" s="6"/>
    </row>
    <row r="12513" s="1" customFormat="1" ht="13.5">
      <c r="G12513" s="6"/>
    </row>
    <row r="12514" s="1" customFormat="1" ht="13.5">
      <c r="G12514" s="6"/>
    </row>
    <row r="12515" s="1" customFormat="1" ht="13.5">
      <c r="G12515" s="6"/>
    </row>
    <row r="12516" s="1" customFormat="1" ht="13.5">
      <c r="G12516" s="6"/>
    </row>
    <row r="12517" s="1" customFormat="1" ht="13.5">
      <c r="G12517" s="6"/>
    </row>
    <row r="12518" s="1" customFormat="1" ht="13.5">
      <c r="G12518" s="6"/>
    </row>
    <row r="12519" s="1" customFormat="1" ht="13.5">
      <c r="G12519" s="6"/>
    </row>
    <row r="12520" s="1" customFormat="1" ht="13.5">
      <c r="G12520" s="6"/>
    </row>
    <row r="12521" s="1" customFormat="1" ht="13.5">
      <c r="G12521" s="6"/>
    </row>
    <row r="12522" s="1" customFormat="1" ht="13.5">
      <c r="G12522" s="6"/>
    </row>
    <row r="12523" s="1" customFormat="1" ht="13.5">
      <c r="G12523" s="6"/>
    </row>
    <row r="12524" s="1" customFormat="1" ht="13.5">
      <c r="G12524" s="6"/>
    </row>
    <row r="12525" s="1" customFormat="1" ht="13.5">
      <c r="G12525" s="6"/>
    </row>
    <row r="12526" s="1" customFormat="1" ht="13.5">
      <c r="G12526" s="6"/>
    </row>
    <row r="12527" s="1" customFormat="1" ht="13.5">
      <c r="G12527" s="6"/>
    </row>
    <row r="12528" s="1" customFormat="1" ht="13.5">
      <c r="G12528" s="6"/>
    </row>
    <row r="12529" s="1" customFormat="1" ht="13.5">
      <c r="G12529" s="6"/>
    </row>
    <row r="12530" s="1" customFormat="1" ht="13.5">
      <c r="G12530" s="6"/>
    </row>
    <row r="12531" s="1" customFormat="1" ht="13.5">
      <c r="G12531" s="6"/>
    </row>
    <row r="12532" s="1" customFormat="1" ht="13.5">
      <c r="G12532" s="6"/>
    </row>
    <row r="12533" s="1" customFormat="1" ht="13.5">
      <c r="G12533" s="6"/>
    </row>
    <row r="12534" s="1" customFormat="1" ht="13.5">
      <c r="G12534" s="6"/>
    </row>
    <row r="12535" s="1" customFormat="1" ht="13.5">
      <c r="G12535" s="6"/>
    </row>
    <row r="12536" s="1" customFormat="1" ht="13.5">
      <c r="G12536" s="6"/>
    </row>
    <row r="12537" s="1" customFormat="1" ht="13.5">
      <c r="G12537" s="6"/>
    </row>
    <row r="12538" s="1" customFormat="1" ht="13.5">
      <c r="G12538" s="6"/>
    </row>
    <row r="12539" s="1" customFormat="1" ht="13.5">
      <c r="G12539" s="6"/>
    </row>
    <row r="12540" s="1" customFormat="1" ht="13.5">
      <c r="G12540" s="6"/>
    </row>
    <row r="12541" s="1" customFormat="1" ht="13.5">
      <c r="G12541" s="6"/>
    </row>
    <row r="12542" s="1" customFormat="1" ht="13.5">
      <c r="G12542" s="6"/>
    </row>
    <row r="12543" s="1" customFormat="1" ht="13.5">
      <c r="G12543" s="6"/>
    </row>
    <row r="12544" s="1" customFormat="1" ht="13.5">
      <c r="G12544" s="6"/>
    </row>
    <row r="12545" s="1" customFormat="1" ht="13.5">
      <c r="G12545" s="6"/>
    </row>
    <row r="12546" s="1" customFormat="1" ht="13.5">
      <c r="G12546" s="6"/>
    </row>
    <row r="12547" s="1" customFormat="1" ht="13.5">
      <c r="G12547" s="6"/>
    </row>
    <row r="12548" s="1" customFormat="1" ht="13.5">
      <c r="G12548" s="6"/>
    </row>
    <row r="12549" s="1" customFormat="1" ht="13.5">
      <c r="G12549" s="6"/>
    </row>
    <row r="12550" s="1" customFormat="1" ht="13.5">
      <c r="G12550" s="6"/>
    </row>
    <row r="12551" s="1" customFormat="1" ht="13.5">
      <c r="G12551" s="6"/>
    </row>
    <row r="12552" s="1" customFormat="1" ht="13.5">
      <c r="G12552" s="6"/>
    </row>
    <row r="12553" s="1" customFormat="1" ht="13.5">
      <c r="G12553" s="6"/>
    </row>
    <row r="12554" s="1" customFormat="1" ht="13.5">
      <c r="G12554" s="6"/>
    </row>
    <row r="12555" s="1" customFormat="1" ht="13.5">
      <c r="G12555" s="6"/>
    </row>
    <row r="12556" s="1" customFormat="1" ht="13.5">
      <c r="G12556" s="6"/>
    </row>
    <row r="12557" s="1" customFormat="1" ht="13.5">
      <c r="G12557" s="6"/>
    </row>
    <row r="12558" s="1" customFormat="1" ht="13.5">
      <c r="G12558" s="6"/>
    </row>
    <row r="12559" s="1" customFormat="1" ht="13.5">
      <c r="G12559" s="6"/>
    </row>
    <row r="12560" s="1" customFormat="1" ht="13.5">
      <c r="G12560" s="6"/>
    </row>
    <row r="12561" s="1" customFormat="1" ht="13.5">
      <c r="G12561" s="6"/>
    </row>
    <row r="12562" s="1" customFormat="1" ht="13.5">
      <c r="G12562" s="6"/>
    </row>
    <row r="12563" s="1" customFormat="1" ht="13.5">
      <c r="G12563" s="6"/>
    </row>
    <row r="12564" s="1" customFormat="1" ht="13.5">
      <c r="G12564" s="6"/>
    </row>
    <row r="12565" s="1" customFormat="1" ht="13.5">
      <c r="G12565" s="6"/>
    </row>
    <row r="12566" s="1" customFormat="1" ht="13.5">
      <c r="G12566" s="6"/>
    </row>
    <row r="12567" s="1" customFormat="1" ht="13.5">
      <c r="G12567" s="6"/>
    </row>
    <row r="12568" s="1" customFormat="1" ht="13.5">
      <c r="G12568" s="6"/>
    </row>
    <row r="12569" s="1" customFormat="1" ht="13.5">
      <c r="G12569" s="6"/>
    </row>
    <row r="12570" s="1" customFormat="1" ht="13.5">
      <c r="G12570" s="6"/>
    </row>
    <row r="12571" s="1" customFormat="1" ht="13.5">
      <c r="G12571" s="6"/>
    </row>
    <row r="12572" s="1" customFormat="1" ht="13.5">
      <c r="G12572" s="6"/>
    </row>
    <row r="12573" s="1" customFormat="1" ht="13.5">
      <c r="G12573" s="6"/>
    </row>
    <row r="12574" s="1" customFormat="1" ht="13.5">
      <c r="G12574" s="6"/>
    </row>
    <row r="12575" s="1" customFormat="1" ht="13.5">
      <c r="G12575" s="6"/>
    </row>
    <row r="12576" s="1" customFormat="1" ht="13.5">
      <c r="G12576" s="6"/>
    </row>
    <row r="12577" s="1" customFormat="1" ht="13.5">
      <c r="G12577" s="6"/>
    </row>
    <row r="12578" s="1" customFormat="1" ht="13.5">
      <c r="G12578" s="6"/>
    </row>
    <row r="12579" s="1" customFormat="1" ht="13.5">
      <c r="G12579" s="6"/>
    </row>
    <row r="12580" s="1" customFormat="1" ht="13.5">
      <c r="G12580" s="6"/>
    </row>
    <row r="12581" s="1" customFormat="1" ht="13.5">
      <c r="G12581" s="6"/>
    </row>
    <row r="12582" s="1" customFormat="1" ht="13.5">
      <c r="G12582" s="6"/>
    </row>
    <row r="12583" s="1" customFormat="1" ht="13.5">
      <c r="G12583" s="6"/>
    </row>
    <row r="12584" s="1" customFormat="1" ht="13.5">
      <c r="G12584" s="6"/>
    </row>
    <row r="12585" s="1" customFormat="1" ht="13.5">
      <c r="G12585" s="6"/>
    </row>
    <row r="12586" s="1" customFormat="1" ht="13.5">
      <c r="G12586" s="6"/>
    </row>
    <row r="12587" s="1" customFormat="1" ht="13.5">
      <c r="G12587" s="6"/>
    </row>
    <row r="12588" s="1" customFormat="1" ht="13.5">
      <c r="G12588" s="6"/>
    </row>
    <row r="12589" s="1" customFormat="1" ht="13.5">
      <c r="G12589" s="6"/>
    </row>
    <row r="12590" s="1" customFormat="1" ht="13.5">
      <c r="G12590" s="6"/>
    </row>
    <row r="12591" s="1" customFormat="1" ht="13.5">
      <c r="G12591" s="6"/>
    </row>
    <row r="12592" s="1" customFormat="1" ht="13.5">
      <c r="G12592" s="6"/>
    </row>
    <row r="12593" s="1" customFormat="1" ht="13.5">
      <c r="G12593" s="6"/>
    </row>
    <row r="12594" s="1" customFormat="1" ht="13.5">
      <c r="G12594" s="6"/>
    </row>
    <row r="12595" s="1" customFormat="1" ht="13.5">
      <c r="G12595" s="6"/>
    </row>
    <row r="12596" s="1" customFormat="1" ht="13.5">
      <c r="G12596" s="6"/>
    </row>
    <row r="12597" s="1" customFormat="1" ht="13.5">
      <c r="G12597" s="6"/>
    </row>
    <row r="12598" s="1" customFormat="1" ht="13.5">
      <c r="G12598" s="6"/>
    </row>
    <row r="12599" s="1" customFormat="1" ht="13.5">
      <c r="G12599" s="6"/>
    </row>
    <row r="12600" s="1" customFormat="1" ht="13.5">
      <c r="G12600" s="6"/>
    </row>
    <row r="12601" s="1" customFormat="1" ht="13.5">
      <c r="G12601" s="6"/>
    </row>
    <row r="12602" s="1" customFormat="1" ht="13.5">
      <c r="G12602" s="6"/>
    </row>
    <row r="12603" s="1" customFormat="1" ht="13.5">
      <c r="G12603" s="6"/>
    </row>
    <row r="12604" s="1" customFormat="1" ht="13.5">
      <c r="G12604" s="6"/>
    </row>
    <row r="12605" s="1" customFormat="1" ht="13.5">
      <c r="G12605" s="6"/>
    </row>
    <row r="12606" s="1" customFormat="1" ht="13.5">
      <c r="G12606" s="6"/>
    </row>
    <row r="12607" s="1" customFormat="1" ht="13.5">
      <c r="G12607" s="6"/>
    </row>
    <row r="12608" s="1" customFormat="1" ht="13.5">
      <c r="G12608" s="6"/>
    </row>
    <row r="12609" s="1" customFormat="1" ht="13.5">
      <c r="G12609" s="6"/>
    </row>
    <row r="12610" s="1" customFormat="1" ht="13.5">
      <c r="G12610" s="6"/>
    </row>
    <row r="12611" s="1" customFormat="1" ht="13.5">
      <c r="G12611" s="6"/>
    </row>
    <row r="12612" s="1" customFormat="1" ht="13.5">
      <c r="G12612" s="6"/>
    </row>
    <row r="12613" s="1" customFormat="1" ht="13.5">
      <c r="G12613" s="6"/>
    </row>
    <row r="12614" s="1" customFormat="1" ht="13.5">
      <c r="G12614" s="6"/>
    </row>
    <row r="12615" s="1" customFormat="1" ht="13.5">
      <c r="G12615" s="6"/>
    </row>
    <row r="12616" s="1" customFormat="1" ht="13.5">
      <c r="G12616" s="6"/>
    </row>
    <row r="12617" s="1" customFormat="1" ht="13.5">
      <c r="G12617" s="6"/>
    </row>
    <row r="12618" s="1" customFormat="1" ht="13.5">
      <c r="G12618" s="6"/>
    </row>
    <row r="12619" s="1" customFormat="1" ht="13.5">
      <c r="G12619" s="6"/>
    </row>
    <row r="12620" s="1" customFormat="1" ht="13.5">
      <c r="G12620" s="6"/>
    </row>
    <row r="12621" s="1" customFormat="1" ht="13.5">
      <c r="G12621" s="6"/>
    </row>
    <row r="12622" s="1" customFormat="1" ht="13.5">
      <c r="G12622" s="6"/>
    </row>
    <row r="12623" s="1" customFormat="1" ht="13.5">
      <c r="G12623" s="6"/>
    </row>
    <row r="12624" s="1" customFormat="1" ht="13.5">
      <c r="G12624" s="6"/>
    </row>
    <row r="12625" s="1" customFormat="1" ht="13.5">
      <c r="G12625" s="6"/>
    </row>
    <row r="12626" s="1" customFormat="1" ht="13.5">
      <c r="G12626" s="6"/>
    </row>
    <row r="12627" s="1" customFormat="1" ht="13.5">
      <c r="G12627" s="6"/>
    </row>
    <row r="12628" s="1" customFormat="1" ht="13.5">
      <c r="G12628" s="6"/>
    </row>
    <row r="12629" s="1" customFormat="1" ht="13.5">
      <c r="G12629" s="6"/>
    </row>
    <row r="12630" s="1" customFormat="1" ht="13.5">
      <c r="G12630" s="6"/>
    </row>
    <row r="12631" s="1" customFormat="1" ht="13.5">
      <c r="G12631" s="6"/>
    </row>
    <row r="12632" s="1" customFormat="1" ht="13.5">
      <c r="G12632" s="6"/>
    </row>
    <row r="12633" s="1" customFormat="1" ht="13.5">
      <c r="G12633" s="6"/>
    </row>
    <row r="12634" s="1" customFormat="1" ht="13.5">
      <c r="G12634" s="6"/>
    </row>
    <row r="12635" s="1" customFormat="1" ht="13.5">
      <c r="G12635" s="6"/>
    </row>
    <row r="12636" s="1" customFormat="1" ht="13.5">
      <c r="G12636" s="6"/>
    </row>
    <row r="12637" s="1" customFormat="1" ht="13.5">
      <c r="G12637" s="6"/>
    </row>
    <row r="12638" s="1" customFormat="1" ht="13.5">
      <c r="G12638" s="6"/>
    </row>
    <row r="12639" s="1" customFormat="1" ht="13.5">
      <c r="G12639" s="6"/>
    </row>
    <row r="12640" s="1" customFormat="1" ht="13.5">
      <c r="G12640" s="6"/>
    </row>
    <row r="12641" s="1" customFormat="1" ht="13.5">
      <c r="G12641" s="6"/>
    </row>
    <row r="12642" s="1" customFormat="1" ht="13.5">
      <c r="G12642" s="6"/>
    </row>
    <row r="12643" s="1" customFormat="1" ht="13.5">
      <c r="G12643" s="6"/>
    </row>
    <row r="12644" s="1" customFormat="1" ht="13.5">
      <c r="G12644" s="6"/>
    </row>
    <row r="12645" s="1" customFormat="1" ht="13.5">
      <c r="G12645" s="6"/>
    </row>
    <row r="12646" s="1" customFormat="1" ht="13.5">
      <c r="G12646" s="6"/>
    </row>
    <row r="12647" s="1" customFormat="1" ht="13.5">
      <c r="G12647" s="6"/>
    </row>
    <row r="12648" s="1" customFormat="1" ht="13.5">
      <c r="G12648" s="6"/>
    </row>
    <row r="12649" s="1" customFormat="1" ht="13.5">
      <c r="G12649" s="6"/>
    </row>
    <row r="12650" s="1" customFormat="1" ht="13.5">
      <c r="G12650" s="6"/>
    </row>
    <row r="12651" s="1" customFormat="1" ht="13.5">
      <c r="G12651" s="6"/>
    </row>
    <row r="12652" s="1" customFormat="1" ht="13.5">
      <c r="G12652" s="6"/>
    </row>
    <row r="12653" s="1" customFormat="1" ht="13.5">
      <c r="G12653" s="6"/>
    </row>
    <row r="12654" s="1" customFormat="1" ht="13.5">
      <c r="G12654" s="6"/>
    </row>
    <row r="12655" s="1" customFormat="1" ht="13.5">
      <c r="G12655" s="6"/>
    </row>
    <row r="12656" s="1" customFormat="1" ht="13.5">
      <c r="G12656" s="6"/>
    </row>
    <row r="12657" s="1" customFormat="1" ht="13.5">
      <c r="G12657" s="6"/>
    </row>
    <row r="12658" s="1" customFormat="1" ht="13.5">
      <c r="G12658" s="6"/>
    </row>
    <row r="12659" s="1" customFormat="1" ht="13.5">
      <c r="G12659" s="6"/>
    </row>
    <row r="12660" s="1" customFormat="1" ht="13.5">
      <c r="G12660" s="6"/>
    </row>
    <row r="12661" s="1" customFormat="1" ht="13.5">
      <c r="G12661" s="6"/>
    </row>
    <row r="12662" s="1" customFormat="1" ht="13.5">
      <c r="G12662" s="6"/>
    </row>
    <row r="12663" s="1" customFormat="1" ht="13.5">
      <c r="G12663" s="6"/>
    </row>
    <row r="12664" s="1" customFormat="1" ht="13.5">
      <c r="G12664" s="6"/>
    </row>
    <row r="12665" s="1" customFormat="1" ht="13.5">
      <c r="G12665" s="6"/>
    </row>
    <row r="12666" s="1" customFormat="1" ht="13.5">
      <c r="G12666" s="6"/>
    </row>
    <row r="12667" s="1" customFormat="1" ht="13.5">
      <c r="G12667" s="6"/>
    </row>
    <row r="12668" s="1" customFormat="1" ht="13.5">
      <c r="G12668" s="6"/>
    </row>
    <row r="12669" s="1" customFormat="1" ht="13.5">
      <c r="G12669" s="6"/>
    </row>
    <row r="12670" s="1" customFormat="1" ht="13.5">
      <c r="G12670" s="6"/>
    </row>
    <row r="12671" s="1" customFormat="1" ht="13.5">
      <c r="G12671" s="6"/>
    </row>
    <row r="12672" s="1" customFormat="1" ht="13.5">
      <c r="G12672" s="6"/>
    </row>
    <row r="12673" s="1" customFormat="1" ht="13.5">
      <c r="G12673" s="6"/>
    </row>
    <row r="12674" s="1" customFormat="1" ht="13.5">
      <c r="G12674" s="6"/>
    </row>
    <row r="12675" s="1" customFormat="1" ht="13.5">
      <c r="G12675" s="6"/>
    </row>
    <row r="12676" s="1" customFormat="1" ht="13.5">
      <c r="G12676" s="6"/>
    </row>
    <row r="12677" s="1" customFormat="1" ht="13.5">
      <c r="G12677" s="6"/>
    </row>
    <row r="12678" s="1" customFormat="1" ht="13.5">
      <c r="G12678" s="6"/>
    </row>
    <row r="12679" s="1" customFormat="1" ht="13.5">
      <c r="G12679" s="6"/>
    </row>
    <row r="12680" s="1" customFormat="1" ht="13.5">
      <c r="G12680" s="6"/>
    </row>
    <row r="12681" s="1" customFormat="1" ht="13.5">
      <c r="G12681" s="6"/>
    </row>
    <row r="12682" s="1" customFormat="1" ht="13.5">
      <c r="G12682" s="6"/>
    </row>
    <row r="12683" s="1" customFormat="1" ht="13.5">
      <c r="G12683" s="6"/>
    </row>
    <row r="12684" s="1" customFormat="1" ht="13.5">
      <c r="G12684" s="6"/>
    </row>
    <row r="12685" s="1" customFormat="1" ht="13.5">
      <c r="G12685" s="6"/>
    </row>
    <row r="12686" s="1" customFormat="1" ht="13.5">
      <c r="G12686" s="6"/>
    </row>
    <row r="12687" s="1" customFormat="1" ht="13.5">
      <c r="G12687" s="6"/>
    </row>
    <row r="12688" s="1" customFormat="1" ht="13.5">
      <c r="G12688" s="6"/>
    </row>
    <row r="12689" s="1" customFormat="1" ht="13.5">
      <c r="G12689" s="6"/>
    </row>
    <row r="12690" s="1" customFormat="1" ht="13.5">
      <c r="G12690" s="6"/>
    </row>
    <row r="12691" s="1" customFormat="1" ht="13.5">
      <c r="G12691" s="6"/>
    </row>
    <row r="12692" s="1" customFormat="1" ht="13.5">
      <c r="G12692" s="6"/>
    </row>
    <row r="12693" s="1" customFormat="1" ht="13.5">
      <c r="G12693" s="6"/>
    </row>
    <row r="12694" s="1" customFormat="1" ht="13.5">
      <c r="G12694" s="6"/>
    </row>
    <row r="12695" s="1" customFormat="1" ht="13.5">
      <c r="G12695" s="6"/>
    </row>
    <row r="12696" s="1" customFormat="1" ht="13.5">
      <c r="G12696" s="6"/>
    </row>
    <row r="12697" s="1" customFormat="1" ht="13.5">
      <c r="G12697" s="6"/>
    </row>
    <row r="12698" s="1" customFormat="1" ht="13.5">
      <c r="G12698" s="6"/>
    </row>
    <row r="12699" s="1" customFormat="1" ht="13.5">
      <c r="G12699" s="6"/>
    </row>
    <row r="12700" s="1" customFormat="1" ht="13.5">
      <c r="G12700" s="6"/>
    </row>
    <row r="12701" s="1" customFormat="1" ht="13.5">
      <c r="G12701" s="6"/>
    </row>
    <row r="12702" s="1" customFormat="1" ht="13.5">
      <c r="G12702" s="6"/>
    </row>
    <row r="12703" s="1" customFormat="1" ht="13.5">
      <c r="G12703" s="6"/>
    </row>
    <row r="12704" s="1" customFormat="1" ht="13.5">
      <c r="G12704" s="6"/>
    </row>
    <row r="12705" s="1" customFormat="1" ht="13.5">
      <c r="G12705" s="6"/>
    </row>
    <row r="12706" s="1" customFormat="1" ht="13.5">
      <c r="G12706" s="6"/>
    </row>
    <row r="12707" s="1" customFormat="1" ht="13.5">
      <c r="G12707" s="6"/>
    </row>
    <row r="12708" s="1" customFormat="1" ht="13.5">
      <c r="G12708" s="6"/>
    </row>
    <row r="12709" s="1" customFormat="1" ht="13.5">
      <c r="G12709" s="6"/>
    </row>
    <row r="12710" s="1" customFormat="1" ht="13.5">
      <c r="G12710" s="6"/>
    </row>
    <row r="12711" s="1" customFormat="1" ht="13.5">
      <c r="G12711" s="6"/>
    </row>
    <row r="12712" s="1" customFormat="1" ht="13.5">
      <c r="G12712" s="6"/>
    </row>
    <row r="12713" s="1" customFormat="1" ht="13.5">
      <c r="G12713" s="6"/>
    </row>
    <row r="12714" s="1" customFormat="1" ht="13.5">
      <c r="G12714" s="6"/>
    </row>
    <row r="12715" s="1" customFormat="1" ht="13.5">
      <c r="G12715" s="6"/>
    </row>
    <row r="12716" s="1" customFormat="1" ht="13.5">
      <c r="G12716" s="6"/>
    </row>
    <row r="12717" s="1" customFormat="1" ht="13.5">
      <c r="G12717" s="6"/>
    </row>
    <row r="12718" s="1" customFormat="1" ht="13.5">
      <c r="G12718" s="6"/>
    </row>
    <row r="12719" s="1" customFormat="1" ht="13.5">
      <c r="G12719" s="6"/>
    </row>
    <row r="12720" s="1" customFormat="1" ht="13.5">
      <c r="G12720" s="6"/>
    </row>
    <row r="12721" s="1" customFormat="1" ht="13.5">
      <c r="G12721" s="6"/>
    </row>
    <row r="12722" s="1" customFormat="1" ht="13.5">
      <c r="G12722" s="6"/>
    </row>
    <row r="12723" s="1" customFormat="1" ht="13.5">
      <c r="G12723" s="6"/>
    </row>
    <row r="12724" s="1" customFormat="1" ht="13.5">
      <c r="G12724" s="6"/>
    </row>
    <row r="12725" s="1" customFormat="1" ht="13.5">
      <c r="G12725" s="6"/>
    </row>
    <row r="12726" s="1" customFormat="1" ht="13.5">
      <c r="G12726" s="6"/>
    </row>
    <row r="12727" s="1" customFormat="1" ht="13.5">
      <c r="G12727" s="6"/>
    </row>
    <row r="12728" s="1" customFormat="1" ht="13.5">
      <c r="G12728" s="6"/>
    </row>
    <row r="12729" s="1" customFormat="1" ht="13.5">
      <c r="G12729" s="6"/>
    </row>
    <row r="12730" s="1" customFormat="1" ht="13.5">
      <c r="G12730" s="6"/>
    </row>
    <row r="12731" s="1" customFormat="1" ht="13.5">
      <c r="G12731" s="6"/>
    </row>
    <row r="12732" s="1" customFormat="1" ht="13.5">
      <c r="G12732" s="6"/>
    </row>
    <row r="12733" s="1" customFormat="1" ht="13.5">
      <c r="G12733" s="6"/>
    </row>
    <row r="12734" s="1" customFormat="1" ht="13.5">
      <c r="G12734" s="6"/>
    </row>
    <row r="12735" s="1" customFormat="1" ht="13.5">
      <c r="G12735" s="6"/>
    </row>
    <row r="12736" s="1" customFormat="1" ht="13.5">
      <c r="G12736" s="6"/>
    </row>
    <row r="12737" s="1" customFormat="1" ht="13.5">
      <c r="G12737" s="6"/>
    </row>
    <row r="12738" s="1" customFormat="1" ht="13.5">
      <c r="G12738" s="6"/>
    </row>
    <row r="12739" s="1" customFormat="1" ht="13.5">
      <c r="G12739" s="6"/>
    </row>
    <row r="12740" s="1" customFormat="1" ht="13.5">
      <c r="G12740" s="6"/>
    </row>
    <row r="12741" s="1" customFormat="1" ht="13.5">
      <c r="G12741" s="6"/>
    </row>
    <row r="12742" s="1" customFormat="1" ht="13.5">
      <c r="G12742" s="6"/>
    </row>
    <row r="12743" s="1" customFormat="1" ht="13.5">
      <c r="G12743" s="6"/>
    </row>
    <row r="12744" s="1" customFormat="1" ht="13.5">
      <c r="G12744" s="6"/>
    </row>
    <row r="12745" s="1" customFormat="1" ht="13.5">
      <c r="G12745" s="6"/>
    </row>
    <row r="12746" s="1" customFormat="1" ht="13.5">
      <c r="G12746" s="6"/>
    </row>
    <row r="12747" s="1" customFormat="1" ht="13.5">
      <c r="G12747" s="6"/>
    </row>
    <row r="12748" s="1" customFormat="1" ht="13.5">
      <c r="G12748" s="6"/>
    </row>
    <row r="12749" s="1" customFormat="1" ht="13.5">
      <c r="G12749" s="6"/>
    </row>
    <row r="12750" s="1" customFormat="1" ht="13.5">
      <c r="G12750" s="6"/>
    </row>
    <row r="12751" s="1" customFormat="1" ht="13.5">
      <c r="G12751" s="6"/>
    </row>
    <row r="12752" s="1" customFormat="1" ht="13.5">
      <c r="G12752" s="6"/>
    </row>
    <row r="12753" s="1" customFormat="1" ht="13.5">
      <c r="G12753" s="6"/>
    </row>
    <row r="12754" s="1" customFormat="1" ht="13.5">
      <c r="G12754" s="6"/>
    </row>
    <row r="12755" s="1" customFormat="1" ht="13.5">
      <c r="G12755" s="6"/>
    </row>
    <row r="12756" s="1" customFormat="1" ht="13.5">
      <c r="G12756" s="6"/>
    </row>
    <row r="12757" s="1" customFormat="1" ht="13.5">
      <c r="G12757" s="6"/>
    </row>
    <row r="12758" s="1" customFormat="1" ht="13.5">
      <c r="G12758" s="6"/>
    </row>
    <row r="12759" s="1" customFormat="1" ht="13.5">
      <c r="G12759" s="6"/>
    </row>
    <row r="12760" s="1" customFormat="1" ht="13.5">
      <c r="G12760" s="6"/>
    </row>
    <row r="12761" s="1" customFormat="1" ht="13.5">
      <c r="G12761" s="6"/>
    </row>
    <row r="12762" s="1" customFormat="1" ht="13.5">
      <c r="G12762" s="6"/>
    </row>
    <row r="12763" s="1" customFormat="1" ht="13.5">
      <c r="G12763" s="6"/>
    </row>
    <row r="12764" s="1" customFormat="1" ht="13.5">
      <c r="G12764" s="6"/>
    </row>
    <row r="12765" s="1" customFormat="1" ht="13.5">
      <c r="G12765" s="6"/>
    </row>
    <row r="12766" s="1" customFormat="1" ht="13.5">
      <c r="G12766" s="6"/>
    </row>
    <row r="12767" s="1" customFormat="1" ht="13.5">
      <c r="G12767" s="6"/>
    </row>
    <row r="12768" s="1" customFormat="1" ht="13.5">
      <c r="G12768" s="6"/>
    </row>
    <row r="12769" s="1" customFormat="1" ht="13.5">
      <c r="G12769" s="6"/>
    </row>
    <row r="12770" s="1" customFormat="1" ht="13.5">
      <c r="G12770" s="6"/>
    </row>
    <row r="12771" s="1" customFormat="1" ht="13.5">
      <c r="G12771" s="6"/>
    </row>
    <row r="12772" s="1" customFormat="1" ht="13.5">
      <c r="G12772" s="6"/>
    </row>
    <row r="12773" s="1" customFormat="1" ht="13.5">
      <c r="G12773" s="6"/>
    </row>
    <row r="12774" s="1" customFormat="1" ht="13.5">
      <c r="G12774" s="6"/>
    </row>
    <row r="12775" s="1" customFormat="1" ht="13.5">
      <c r="G12775" s="6"/>
    </row>
    <row r="12776" s="1" customFormat="1" ht="13.5">
      <c r="G12776" s="6"/>
    </row>
    <row r="12777" s="1" customFormat="1" ht="13.5">
      <c r="G12777" s="6"/>
    </row>
    <row r="12778" s="1" customFormat="1" ht="13.5">
      <c r="G12778" s="6"/>
    </row>
    <row r="12779" s="1" customFormat="1" ht="13.5">
      <c r="G12779" s="6"/>
    </row>
    <row r="12780" s="1" customFormat="1" ht="13.5">
      <c r="G12780" s="6"/>
    </row>
    <row r="12781" s="1" customFormat="1" ht="13.5">
      <c r="G12781" s="6"/>
    </row>
    <row r="12782" s="1" customFormat="1" ht="13.5">
      <c r="G12782" s="6"/>
    </row>
    <row r="12783" s="1" customFormat="1" ht="13.5">
      <c r="G12783" s="6"/>
    </row>
    <row r="12784" s="1" customFormat="1" ht="13.5">
      <c r="G12784" s="6"/>
    </row>
    <row r="12785" s="1" customFormat="1" ht="13.5">
      <c r="G12785" s="6"/>
    </row>
    <row r="12786" s="1" customFormat="1" ht="13.5">
      <c r="G12786" s="6"/>
    </row>
    <row r="12787" s="1" customFormat="1" ht="13.5">
      <c r="G12787" s="6"/>
    </row>
    <row r="12788" s="1" customFormat="1" ht="13.5">
      <c r="G12788" s="6"/>
    </row>
    <row r="12789" s="1" customFormat="1" ht="13.5">
      <c r="G12789" s="6"/>
    </row>
    <row r="12790" s="1" customFormat="1" ht="13.5">
      <c r="G12790" s="6"/>
    </row>
    <row r="12791" s="1" customFormat="1" ht="13.5">
      <c r="G12791" s="6"/>
    </row>
    <row r="12792" s="1" customFormat="1" ht="13.5">
      <c r="G12792" s="6"/>
    </row>
    <row r="12793" s="1" customFormat="1" ht="13.5">
      <c r="G12793" s="6"/>
    </row>
    <row r="12794" s="1" customFormat="1" ht="13.5">
      <c r="G12794" s="6"/>
    </row>
    <row r="12795" s="1" customFormat="1" ht="13.5">
      <c r="G12795" s="6"/>
    </row>
    <row r="12796" s="1" customFormat="1" ht="13.5">
      <c r="G12796" s="6"/>
    </row>
    <row r="12797" s="1" customFormat="1" ht="13.5">
      <c r="G12797" s="6"/>
    </row>
    <row r="12798" s="1" customFormat="1" ht="13.5">
      <c r="G12798" s="6"/>
    </row>
    <row r="12799" s="1" customFormat="1" ht="13.5">
      <c r="G12799" s="6"/>
    </row>
    <row r="12800" s="1" customFormat="1" ht="13.5">
      <c r="G12800" s="6"/>
    </row>
    <row r="12801" s="1" customFormat="1" ht="13.5">
      <c r="G12801" s="6"/>
    </row>
    <row r="12802" s="1" customFormat="1" ht="13.5">
      <c r="G12802" s="6"/>
    </row>
    <row r="12803" s="1" customFormat="1" ht="13.5">
      <c r="G12803" s="6"/>
    </row>
    <row r="12804" s="1" customFormat="1" ht="13.5">
      <c r="G12804" s="6"/>
    </row>
    <row r="12805" s="1" customFormat="1" ht="13.5">
      <c r="G12805" s="6"/>
    </row>
    <row r="12806" s="1" customFormat="1" ht="13.5">
      <c r="G12806" s="6"/>
    </row>
    <row r="12807" s="1" customFormat="1" ht="13.5">
      <c r="G12807" s="6"/>
    </row>
    <row r="12808" s="1" customFormat="1" ht="13.5">
      <c r="G12808" s="6"/>
    </row>
    <row r="12809" s="1" customFormat="1" ht="13.5">
      <c r="G12809" s="6"/>
    </row>
    <row r="12810" s="1" customFormat="1" ht="13.5">
      <c r="G12810" s="6"/>
    </row>
    <row r="12811" s="1" customFormat="1" ht="13.5">
      <c r="G12811" s="6"/>
    </row>
    <row r="12812" s="1" customFormat="1" ht="13.5">
      <c r="G12812" s="6"/>
    </row>
    <row r="12813" s="1" customFormat="1" ht="13.5">
      <c r="G12813" s="6"/>
    </row>
    <row r="12814" s="1" customFormat="1" ht="13.5">
      <c r="G12814" s="6"/>
    </row>
    <row r="12815" s="1" customFormat="1" ht="13.5">
      <c r="G12815" s="6"/>
    </row>
    <row r="12816" s="1" customFormat="1" ht="13.5">
      <c r="G12816" s="6"/>
    </row>
    <row r="12817" s="1" customFormat="1" ht="13.5">
      <c r="G12817" s="6"/>
    </row>
    <row r="12818" s="1" customFormat="1" ht="13.5">
      <c r="G12818" s="6"/>
    </row>
    <row r="12819" s="1" customFormat="1" ht="13.5">
      <c r="G12819" s="6"/>
    </row>
    <row r="12820" s="1" customFormat="1" ht="13.5">
      <c r="G12820" s="6"/>
    </row>
    <row r="12821" s="1" customFormat="1" ht="13.5">
      <c r="G12821" s="6"/>
    </row>
    <row r="12822" s="1" customFormat="1" ht="13.5">
      <c r="G12822" s="6"/>
    </row>
    <row r="12823" s="1" customFormat="1" ht="13.5">
      <c r="G12823" s="6"/>
    </row>
    <row r="12824" s="1" customFormat="1" ht="13.5">
      <c r="G12824" s="6"/>
    </row>
    <row r="12825" s="1" customFormat="1" ht="13.5">
      <c r="G12825" s="6"/>
    </row>
    <row r="12826" s="1" customFormat="1" ht="13.5">
      <c r="G12826" s="6"/>
    </row>
    <row r="12827" s="1" customFormat="1" ht="13.5">
      <c r="G12827" s="6"/>
    </row>
    <row r="12828" s="1" customFormat="1" ht="13.5">
      <c r="G12828" s="6"/>
    </row>
    <row r="12829" s="1" customFormat="1" ht="13.5">
      <c r="G12829" s="6"/>
    </row>
    <row r="12830" s="1" customFormat="1" ht="13.5">
      <c r="G12830" s="6"/>
    </row>
    <row r="12831" s="1" customFormat="1" ht="13.5">
      <c r="G12831" s="6"/>
    </row>
    <row r="12832" s="1" customFormat="1" ht="13.5">
      <c r="G12832" s="6"/>
    </row>
    <row r="12833" s="1" customFormat="1" ht="13.5">
      <c r="G12833" s="6"/>
    </row>
    <row r="12834" s="1" customFormat="1" ht="13.5">
      <c r="G12834" s="6"/>
    </row>
    <row r="12835" s="1" customFormat="1" ht="13.5">
      <c r="G12835" s="6"/>
    </row>
    <row r="12836" s="1" customFormat="1" ht="13.5">
      <c r="G12836" s="6"/>
    </row>
    <row r="12837" s="1" customFormat="1" ht="13.5">
      <c r="G12837" s="6"/>
    </row>
    <row r="12838" s="1" customFormat="1" ht="13.5">
      <c r="G12838" s="6"/>
    </row>
    <row r="12839" s="1" customFormat="1" ht="13.5">
      <c r="G12839" s="6"/>
    </row>
    <row r="12840" s="1" customFormat="1" ht="13.5">
      <c r="G12840" s="6"/>
    </row>
    <row r="12841" s="1" customFormat="1" ht="13.5">
      <c r="G12841" s="6"/>
    </row>
    <row r="12842" s="1" customFormat="1" ht="13.5">
      <c r="G12842" s="6"/>
    </row>
    <row r="12843" s="1" customFormat="1" ht="13.5">
      <c r="G12843" s="6"/>
    </row>
    <row r="12844" s="1" customFormat="1" ht="13.5">
      <c r="G12844" s="6"/>
    </row>
    <row r="12845" s="1" customFormat="1" ht="13.5">
      <c r="G12845" s="6"/>
    </row>
    <row r="12846" s="1" customFormat="1" ht="13.5">
      <c r="G12846" s="6"/>
    </row>
    <row r="12847" s="1" customFormat="1" ht="13.5">
      <c r="G12847" s="6"/>
    </row>
    <row r="12848" s="1" customFormat="1" ht="13.5">
      <c r="G12848" s="6"/>
    </row>
    <row r="12849" s="1" customFormat="1" ht="13.5">
      <c r="G12849" s="6"/>
    </row>
    <row r="12850" s="1" customFormat="1" ht="13.5">
      <c r="G12850" s="6"/>
    </row>
    <row r="12851" s="1" customFormat="1" ht="13.5">
      <c r="G12851" s="6"/>
    </row>
    <row r="12852" s="1" customFormat="1" ht="13.5">
      <c r="G12852" s="6"/>
    </row>
    <row r="12853" s="1" customFormat="1" ht="13.5">
      <c r="G12853" s="6"/>
    </row>
    <row r="12854" s="1" customFormat="1" ht="13.5">
      <c r="G12854" s="6"/>
    </row>
    <row r="12855" s="1" customFormat="1" ht="13.5">
      <c r="G12855" s="6"/>
    </row>
    <row r="12856" s="1" customFormat="1" ht="13.5">
      <c r="G12856" s="6"/>
    </row>
    <row r="12857" s="1" customFormat="1" ht="13.5">
      <c r="G12857" s="6"/>
    </row>
    <row r="12858" s="1" customFormat="1" ht="13.5">
      <c r="G12858" s="6"/>
    </row>
    <row r="12859" s="1" customFormat="1" ht="13.5">
      <c r="G12859" s="6"/>
    </row>
    <row r="12860" s="1" customFormat="1" ht="13.5">
      <c r="G12860" s="6"/>
    </row>
    <row r="12861" s="1" customFormat="1" ht="13.5">
      <c r="G12861" s="6"/>
    </row>
    <row r="12862" s="1" customFormat="1" ht="13.5">
      <c r="G12862" s="6"/>
    </row>
    <row r="12863" s="1" customFormat="1" ht="13.5">
      <c r="G12863" s="6"/>
    </row>
    <row r="12864" s="1" customFormat="1" ht="13.5">
      <c r="G12864" s="6"/>
    </row>
    <row r="12865" s="1" customFormat="1" ht="13.5">
      <c r="G12865" s="6"/>
    </row>
    <row r="12866" s="1" customFormat="1" ht="13.5">
      <c r="G12866" s="6"/>
    </row>
    <row r="12867" s="1" customFormat="1" ht="13.5">
      <c r="G12867" s="6"/>
    </row>
    <row r="12868" s="1" customFormat="1" ht="13.5">
      <c r="G12868" s="6"/>
    </row>
    <row r="12869" s="1" customFormat="1" ht="13.5">
      <c r="G12869" s="6"/>
    </row>
    <row r="12870" s="1" customFormat="1" ht="13.5">
      <c r="G12870" s="6"/>
    </row>
    <row r="12871" s="1" customFormat="1" ht="13.5">
      <c r="G12871" s="6"/>
    </row>
    <row r="12872" s="1" customFormat="1" ht="13.5">
      <c r="G12872" s="6"/>
    </row>
    <row r="12873" s="1" customFormat="1" ht="13.5">
      <c r="G12873" s="6"/>
    </row>
    <row r="12874" s="1" customFormat="1" ht="13.5">
      <c r="G12874" s="6"/>
    </row>
    <row r="12875" s="1" customFormat="1" ht="13.5">
      <c r="G12875" s="6"/>
    </row>
    <row r="12876" s="1" customFormat="1" ht="13.5">
      <c r="G12876" s="6"/>
    </row>
    <row r="12877" s="1" customFormat="1" ht="13.5">
      <c r="G12877" s="6"/>
    </row>
    <row r="12878" s="1" customFormat="1" ht="13.5">
      <c r="G12878" s="6"/>
    </row>
    <row r="12879" s="1" customFormat="1" ht="13.5">
      <c r="G12879" s="6"/>
    </row>
    <row r="12880" s="1" customFormat="1" ht="13.5">
      <c r="G12880" s="6"/>
    </row>
    <row r="12881" s="1" customFormat="1" ht="13.5">
      <c r="G12881" s="6"/>
    </row>
    <row r="12882" s="1" customFormat="1" ht="13.5">
      <c r="G12882" s="6"/>
    </row>
    <row r="12883" s="1" customFormat="1" ht="13.5">
      <c r="G12883" s="6"/>
    </row>
    <row r="12884" s="1" customFormat="1" ht="13.5">
      <c r="G12884" s="6"/>
    </row>
    <row r="12885" s="1" customFormat="1" ht="13.5">
      <c r="G12885" s="6"/>
    </row>
    <row r="12886" s="1" customFormat="1" ht="13.5">
      <c r="G12886" s="6"/>
    </row>
    <row r="12887" s="1" customFormat="1" ht="13.5">
      <c r="G12887" s="6"/>
    </row>
    <row r="12888" s="1" customFormat="1" ht="13.5">
      <c r="G12888" s="6"/>
    </row>
    <row r="12889" s="1" customFormat="1" ht="13.5">
      <c r="G12889" s="6"/>
    </row>
    <row r="12890" s="1" customFormat="1" ht="13.5">
      <c r="G12890" s="6"/>
    </row>
    <row r="12891" s="1" customFormat="1" ht="13.5">
      <c r="G12891" s="6"/>
    </row>
    <row r="12892" s="1" customFormat="1" ht="13.5">
      <c r="G12892" s="6"/>
    </row>
    <row r="12893" s="1" customFormat="1" ht="13.5">
      <c r="G12893" s="6"/>
    </row>
    <row r="12894" s="1" customFormat="1" ht="13.5">
      <c r="G12894" s="6"/>
    </row>
    <row r="12895" s="1" customFormat="1" ht="13.5">
      <c r="G12895" s="6"/>
    </row>
    <row r="12896" s="1" customFormat="1" ht="13.5">
      <c r="G12896" s="6"/>
    </row>
    <row r="12897" s="1" customFormat="1" ht="13.5">
      <c r="G12897" s="6"/>
    </row>
    <row r="12898" s="1" customFormat="1" ht="13.5">
      <c r="G12898" s="6"/>
    </row>
    <row r="12899" s="1" customFormat="1" ht="13.5">
      <c r="G12899" s="6"/>
    </row>
    <row r="12900" s="1" customFormat="1" ht="13.5">
      <c r="G12900" s="6"/>
    </row>
    <row r="12901" s="1" customFormat="1" ht="13.5">
      <c r="G12901" s="6"/>
    </row>
    <row r="12902" s="1" customFormat="1" ht="13.5">
      <c r="G12902" s="6"/>
    </row>
    <row r="12903" s="1" customFormat="1" ht="13.5">
      <c r="G12903" s="6"/>
    </row>
    <row r="12904" s="1" customFormat="1" ht="13.5">
      <c r="G12904" s="6"/>
    </row>
    <row r="12905" s="1" customFormat="1" ht="13.5">
      <c r="G12905" s="6"/>
    </row>
    <row r="12906" s="1" customFormat="1" ht="13.5">
      <c r="G12906" s="6"/>
    </row>
    <row r="12907" s="1" customFormat="1" ht="13.5">
      <c r="G12907" s="6"/>
    </row>
    <row r="12908" s="1" customFormat="1" ht="13.5">
      <c r="G12908" s="6"/>
    </row>
    <row r="12909" s="1" customFormat="1" ht="13.5">
      <c r="G12909" s="6"/>
    </row>
    <row r="12910" s="1" customFormat="1" ht="13.5">
      <c r="G12910" s="6"/>
    </row>
    <row r="12911" s="1" customFormat="1" ht="13.5">
      <c r="G12911" s="6"/>
    </row>
    <row r="12912" s="1" customFormat="1" ht="13.5">
      <c r="G12912" s="6"/>
    </row>
    <row r="12913" s="1" customFormat="1" ht="13.5">
      <c r="G12913" s="6"/>
    </row>
    <row r="12914" s="1" customFormat="1" ht="13.5">
      <c r="G12914" s="6"/>
    </row>
    <row r="12915" s="1" customFormat="1" ht="13.5">
      <c r="G12915" s="6"/>
    </row>
    <row r="12916" s="1" customFormat="1" ht="13.5">
      <c r="G12916" s="6"/>
    </row>
    <row r="12917" s="1" customFormat="1" ht="13.5">
      <c r="G12917" s="6"/>
    </row>
    <row r="12918" s="1" customFormat="1" ht="13.5">
      <c r="G12918" s="6"/>
    </row>
    <row r="12919" s="1" customFormat="1" ht="13.5">
      <c r="G12919" s="6"/>
    </row>
    <row r="12920" s="1" customFormat="1" ht="13.5">
      <c r="G12920" s="6"/>
    </row>
    <row r="12921" s="1" customFormat="1" ht="13.5">
      <c r="G12921" s="6"/>
    </row>
    <row r="12922" s="1" customFormat="1" ht="13.5">
      <c r="G12922" s="6"/>
    </row>
    <row r="12923" s="1" customFormat="1" ht="13.5">
      <c r="G12923" s="6"/>
    </row>
    <row r="12924" s="1" customFormat="1" ht="13.5">
      <c r="G12924" s="6"/>
    </row>
    <row r="12925" s="1" customFormat="1" ht="13.5">
      <c r="G12925" s="6"/>
    </row>
    <row r="12926" s="1" customFormat="1" ht="13.5">
      <c r="G12926" s="6"/>
    </row>
    <row r="12927" s="1" customFormat="1" ht="13.5">
      <c r="G12927" s="6"/>
    </row>
    <row r="12928" s="1" customFormat="1" ht="13.5">
      <c r="G12928" s="6"/>
    </row>
    <row r="12929" s="1" customFormat="1" ht="13.5">
      <c r="G12929" s="6"/>
    </row>
    <row r="12930" s="1" customFormat="1" ht="13.5">
      <c r="G12930" s="6"/>
    </row>
    <row r="12931" s="1" customFormat="1" ht="13.5">
      <c r="G12931" s="6"/>
    </row>
    <row r="12932" s="1" customFormat="1" ht="13.5">
      <c r="G12932" s="6"/>
    </row>
    <row r="12933" s="1" customFormat="1" ht="13.5">
      <c r="G12933" s="6"/>
    </row>
    <row r="12934" s="1" customFormat="1" ht="13.5">
      <c r="G12934" s="6"/>
    </row>
    <row r="12935" s="1" customFormat="1" ht="13.5">
      <c r="G12935" s="6"/>
    </row>
    <row r="12936" s="1" customFormat="1" ht="13.5">
      <c r="G12936" s="6"/>
    </row>
    <row r="12937" s="1" customFormat="1" ht="13.5">
      <c r="G12937" s="6"/>
    </row>
    <row r="12938" s="1" customFormat="1" ht="13.5">
      <c r="G12938" s="6"/>
    </row>
    <row r="12939" s="1" customFormat="1" ht="13.5">
      <c r="G12939" s="6"/>
    </row>
    <row r="12940" s="1" customFormat="1" ht="13.5">
      <c r="G12940" s="6"/>
    </row>
    <row r="12941" s="1" customFormat="1" ht="13.5">
      <c r="G12941" s="6"/>
    </row>
    <row r="12942" s="1" customFormat="1" ht="13.5">
      <c r="G12942" s="6"/>
    </row>
    <row r="12943" s="1" customFormat="1" ht="13.5">
      <c r="G12943" s="6"/>
    </row>
    <row r="12944" s="1" customFormat="1" ht="13.5">
      <c r="G12944" s="6"/>
    </row>
    <row r="12945" s="1" customFormat="1" ht="13.5">
      <c r="G12945" s="6"/>
    </row>
    <row r="12946" s="1" customFormat="1" ht="13.5">
      <c r="G12946" s="6"/>
    </row>
    <row r="12947" s="1" customFormat="1" ht="13.5">
      <c r="G12947" s="6"/>
    </row>
    <row r="12948" s="1" customFormat="1" ht="13.5">
      <c r="G12948" s="6"/>
    </row>
    <row r="12949" s="1" customFormat="1" ht="13.5">
      <c r="G12949" s="6"/>
    </row>
    <row r="12950" s="1" customFormat="1" ht="13.5">
      <c r="G12950" s="6"/>
    </row>
    <row r="12951" s="1" customFormat="1" ht="13.5">
      <c r="G12951" s="6"/>
    </row>
    <row r="12952" s="1" customFormat="1" ht="13.5">
      <c r="G12952" s="6"/>
    </row>
    <row r="12953" s="1" customFormat="1" ht="13.5">
      <c r="G12953" s="6"/>
    </row>
    <row r="12954" s="1" customFormat="1" ht="13.5">
      <c r="G12954" s="6"/>
    </row>
    <row r="12955" s="1" customFormat="1" ht="13.5">
      <c r="G12955" s="6"/>
    </row>
    <row r="12956" s="1" customFormat="1" ht="13.5">
      <c r="G12956" s="6"/>
    </row>
    <row r="12957" s="1" customFormat="1" ht="13.5">
      <c r="G12957" s="6"/>
    </row>
    <row r="12958" s="1" customFormat="1" ht="13.5">
      <c r="G12958" s="6"/>
    </row>
    <row r="12959" s="1" customFormat="1" ht="13.5">
      <c r="G12959" s="6"/>
    </row>
    <row r="12960" s="1" customFormat="1" ht="13.5">
      <c r="G12960" s="6"/>
    </row>
    <row r="12961" s="1" customFormat="1" ht="13.5">
      <c r="G12961" s="6"/>
    </row>
    <row r="12962" s="1" customFormat="1" ht="13.5">
      <c r="G12962" s="6"/>
    </row>
    <row r="12963" s="1" customFormat="1" ht="13.5">
      <c r="G12963" s="6"/>
    </row>
    <row r="12964" s="1" customFormat="1" ht="13.5">
      <c r="G12964" s="6"/>
    </row>
    <row r="12965" s="1" customFormat="1" ht="13.5">
      <c r="G12965" s="6"/>
    </row>
    <row r="12966" s="1" customFormat="1" ht="13.5">
      <c r="G12966" s="6"/>
    </row>
    <row r="12967" s="1" customFormat="1" ht="13.5">
      <c r="G12967" s="6"/>
    </row>
    <row r="12968" s="1" customFormat="1" ht="13.5">
      <c r="G12968" s="6"/>
    </row>
    <row r="12969" s="1" customFormat="1" ht="13.5">
      <c r="G12969" s="6"/>
    </row>
    <row r="12970" s="1" customFormat="1" ht="13.5">
      <c r="G12970" s="6"/>
    </row>
    <row r="12971" s="1" customFormat="1" ht="13.5">
      <c r="G12971" s="6"/>
    </row>
    <row r="12972" s="1" customFormat="1" ht="13.5">
      <c r="G12972" s="6"/>
    </row>
    <row r="12973" s="1" customFormat="1" ht="13.5">
      <c r="G12973" s="6"/>
    </row>
    <row r="12974" s="1" customFormat="1" ht="13.5">
      <c r="G12974" s="6"/>
    </row>
    <row r="12975" s="1" customFormat="1" ht="13.5">
      <c r="G12975" s="6"/>
    </row>
    <row r="12976" s="1" customFormat="1" ht="13.5">
      <c r="G12976" s="6"/>
    </row>
    <row r="12977" s="1" customFormat="1" ht="13.5">
      <c r="G12977" s="6"/>
    </row>
    <row r="12978" s="1" customFormat="1" ht="13.5">
      <c r="G12978" s="6"/>
    </row>
    <row r="12979" s="1" customFormat="1" ht="13.5">
      <c r="G12979" s="6"/>
    </row>
    <row r="12980" s="1" customFormat="1" ht="13.5">
      <c r="G12980" s="6"/>
    </row>
    <row r="12981" s="1" customFormat="1" ht="13.5">
      <c r="G12981" s="6"/>
    </row>
    <row r="12982" s="1" customFormat="1" ht="13.5">
      <c r="G12982" s="6"/>
    </row>
    <row r="12983" s="1" customFormat="1" ht="13.5">
      <c r="G12983" s="6"/>
    </row>
    <row r="12984" s="1" customFormat="1" ht="13.5">
      <c r="G12984" s="6"/>
    </row>
    <row r="12985" s="1" customFormat="1" ht="13.5">
      <c r="G12985" s="6"/>
    </row>
    <row r="12986" s="1" customFormat="1" ht="13.5">
      <c r="G12986" s="6"/>
    </row>
    <row r="12987" s="1" customFormat="1" ht="13.5">
      <c r="G12987" s="6"/>
    </row>
    <row r="12988" s="1" customFormat="1" ht="13.5">
      <c r="G12988" s="6"/>
    </row>
    <row r="12989" s="1" customFormat="1" ht="13.5">
      <c r="G12989" s="6"/>
    </row>
    <row r="12990" s="1" customFormat="1" ht="13.5">
      <c r="G12990" s="6"/>
    </row>
    <row r="12991" s="1" customFormat="1" ht="13.5">
      <c r="G12991" s="6"/>
    </row>
    <row r="12992" s="1" customFormat="1" ht="13.5">
      <c r="G12992" s="6"/>
    </row>
    <row r="12993" s="1" customFormat="1" ht="13.5">
      <c r="G12993" s="6"/>
    </row>
    <row r="12994" s="1" customFormat="1" ht="13.5">
      <c r="G12994" s="6"/>
    </row>
    <row r="12995" s="1" customFormat="1" ht="13.5">
      <c r="G12995" s="6"/>
    </row>
    <row r="12996" s="1" customFormat="1" ht="13.5">
      <c r="G12996" s="6"/>
    </row>
    <row r="12997" s="1" customFormat="1" ht="13.5">
      <c r="G12997" s="6"/>
    </row>
    <row r="12998" s="1" customFormat="1" ht="13.5">
      <c r="G12998" s="6"/>
    </row>
    <row r="12999" s="1" customFormat="1" ht="13.5">
      <c r="G12999" s="6"/>
    </row>
    <row r="13000" s="1" customFormat="1" ht="13.5">
      <c r="G13000" s="6"/>
    </row>
    <row r="13001" s="1" customFormat="1" ht="13.5">
      <c r="G13001" s="6"/>
    </row>
    <row r="13002" s="1" customFormat="1" ht="13.5">
      <c r="G13002" s="6"/>
    </row>
    <row r="13003" s="1" customFormat="1" ht="13.5">
      <c r="G13003" s="6"/>
    </row>
    <row r="13004" s="1" customFormat="1" ht="13.5">
      <c r="G13004" s="6"/>
    </row>
    <row r="13005" s="1" customFormat="1" ht="13.5">
      <c r="G13005" s="6"/>
    </row>
    <row r="13006" s="1" customFormat="1" ht="13.5">
      <c r="G13006" s="6"/>
    </row>
    <row r="13007" s="1" customFormat="1" ht="13.5">
      <c r="G13007" s="6"/>
    </row>
    <row r="13008" s="1" customFormat="1" ht="13.5">
      <c r="G13008" s="6"/>
    </row>
    <row r="13009" s="1" customFormat="1" ht="13.5">
      <c r="G13009" s="6"/>
    </row>
    <row r="13010" s="1" customFormat="1" ht="13.5">
      <c r="G13010" s="6"/>
    </row>
    <row r="13011" s="1" customFormat="1" ht="13.5">
      <c r="G13011" s="6"/>
    </row>
    <row r="13012" s="1" customFormat="1" ht="13.5">
      <c r="G13012" s="6"/>
    </row>
    <row r="13013" s="1" customFormat="1" ht="13.5">
      <c r="G13013" s="6"/>
    </row>
    <row r="13014" s="1" customFormat="1" ht="13.5">
      <c r="G13014" s="6"/>
    </row>
    <row r="13015" s="1" customFormat="1" ht="13.5">
      <c r="G13015" s="6"/>
    </row>
    <row r="13016" s="1" customFormat="1" ht="13.5">
      <c r="G13016" s="6"/>
    </row>
    <row r="13017" s="1" customFormat="1" ht="13.5">
      <c r="G13017" s="6"/>
    </row>
    <row r="13018" s="1" customFormat="1" ht="13.5">
      <c r="G13018" s="6"/>
    </row>
    <row r="13019" s="1" customFormat="1" ht="13.5">
      <c r="G13019" s="6"/>
    </row>
    <row r="13020" s="1" customFormat="1" ht="13.5">
      <c r="G13020" s="6"/>
    </row>
    <row r="13021" s="1" customFormat="1" ht="13.5">
      <c r="G13021" s="6"/>
    </row>
    <row r="13022" s="1" customFormat="1" ht="13.5">
      <c r="G13022" s="6"/>
    </row>
    <row r="13023" s="1" customFormat="1" ht="13.5">
      <c r="G13023" s="6"/>
    </row>
    <row r="13024" s="1" customFormat="1" ht="13.5">
      <c r="G13024" s="6"/>
    </row>
    <row r="13025" s="1" customFormat="1" ht="13.5">
      <c r="G13025" s="6"/>
    </row>
    <row r="13026" s="1" customFormat="1" ht="13.5">
      <c r="G13026" s="6"/>
    </row>
    <row r="13027" s="1" customFormat="1" ht="13.5">
      <c r="G13027" s="6"/>
    </row>
    <row r="13028" s="1" customFormat="1" ht="13.5">
      <c r="G13028" s="6"/>
    </row>
    <row r="13029" s="1" customFormat="1" ht="13.5">
      <c r="G13029" s="6"/>
    </row>
    <row r="13030" s="1" customFormat="1" ht="13.5">
      <c r="G13030" s="6"/>
    </row>
    <row r="13031" s="1" customFormat="1" ht="13.5">
      <c r="G13031" s="6"/>
    </row>
    <row r="13032" s="1" customFormat="1" ht="13.5">
      <c r="G13032" s="6"/>
    </row>
    <row r="13033" s="1" customFormat="1" ht="13.5">
      <c r="G13033" s="6"/>
    </row>
    <row r="13034" s="1" customFormat="1" ht="13.5">
      <c r="G13034" s="6"/>
    </row>
    <row r="13035" s="1" customFormat="1" ht="13.5">
      <c r="G13035" s="6"/>
    </row>
    <row r="13036" s="1" customFormat="1" ht="13.5">
      <c r="G13036" s="6"/>
    </row>
    <row r="13037" s="1" customFormat="1" ht="13.5">
      <c r="G13037" s="6"/>
    </row>
    <row r="13038" s="1" customFormat="1" ht="13.5">
      <c r="G13038" s="6"/>
    </row>
    <row r="13039" s="1" customFormat="1" ht="13.5">
      <c r="G13039" s="6"/>
    </row>
    <row r="13040" s="1" customFormat="1" ht="13.5">
      <c r="G13040" s="6"/>
    </row>
    <row r="13041" s="1" customFormat="1" ht="13.5">
      <c r="G13041" s="6"/>
    </row>
    <row r="13042" s="1" customFormat="1" ht="13.5">
      <c r="G13042" s="6"/>
    </row>
    <row r="13043" s="1" customFormat="1" ht="13.5">
      <c r="G13043" s="6"/>
    </row>
    <row r="13044" s="1" customFormat="1" ht="13.5">
      <c r="G13044" s="6"/>
    </row>
    <row r="13045" s="1" customFormat="1" ht="13.5">
      <c r="G13045" s="6"/>
    </row>
    <row r="13046" s="1" customFormat="1" ht="13.5">
      <c r="G13046" s="6"/>
    </row>
    <row r="13047" s="1" customFormat="1" ht="13.5">
      <c r="G13047" s="6"/>
    </row>
    <row r="13048" s="1" customFormat="1" ht="13.5">
      <c r="G13048" s="6"/>
    </row>
    <row r="13049" s="1" customFormat="1" ht="13.5">
      <c r="G13049" s="6"/>
    </row>
    <row r="13050" s="1" customFormat="1" ht="13.5">
      <c r="G13050" s="6"/>
    </row>
    <row r="13051" s="1" customFormat="1" ht="13.5">
      <c r="G13051" s="6"/>
    </row>
    <row r="13052" s="1" customFormat="1" ht="13.5">
      <c r="G13052" s="6"/>
    </row>
    <row r="13053" s="1" customFormat="1" ht="13.5">
      <c r="G13053" s="6"/>
    </row>
    <row r="13054" s="1" customFormat="1" ht="13.5">
      <c r="G13054" s="6"/>
    </row>
    <row r="13055" s="1" customFormat="1" ht="13.5">
      <c r="G13055" s="6"/>
    </row>
    <row r="13056" s="1" customFormat="1" ht="13.5">
      <c r="G13056" s="6"/>
    </row>
    <row r="13057" s="1" customFormat="1" ht="13.5">
      <c r="G13057" s="6"/>
    </row>
    <row r="13058" s="1" customFormat="1" ht="13.5">
      <c r="G13058" s="6"/>
    </row>
    <row r="13059" s="1" customFormat="1" ht="13.5">
      <c r="G13059" s="6"/>
    </row>
    <row r="13060" s="1" customFormat="1" ht="13.5">
      <c r="G13060" s="6"/>
    </row>
    <row r="13061" s="1" customFormat="1" ht="13.5">
      <c r="G13061" s="6"/>
    </row>
    <row r="13062" s="1" customFormat="1" ht="13.5">
      <c r="G13062" s="6"/>
    </row>
    <row r="13063" s="1" customFormat="1" ht="13.5">
      <c r="G13063" s="6"/>
    </row>
    <row r="13064" s="1" customFormat="1" ht="13.5">
      <c r="G13064" s="6"/>
    </row>
    <row r="13065" s="1" customFormat="1" ht="13.5">
      <c r="G13065" s="6"/>
    </row>
    <row r="13066" s="1" customFormat="1" ht="13.5">
      <c r="G13066" s="6"/>
    </row>
    <row r="13067" s="1" customFormat="1" ht="13.5">
      <c r="G13067" s="6"/>
    </row>
    <row r="13068" s="1" customFormat="1" ht="13.5">
      <c r="G13068" s="6"/>
    </row>
    <row r="13069" s="1" customFormat="1" ht="13.5">
      <c r="G13069" s="6"/>
    </row>
    <row r="13070" s="1" customFormat="1" ht="13.5">
      <c r="G13070" s="6"/>
    </row>
    <row r="13071" s="1" customFormat="1" ht="13.5">
      <c r="G13071" s="6"/>
    </row>
    <row r="13072" s="1" customFormat="1" ht="13.5">
      <c r="G13072" s="6"/>
    </row>
    <row r="13073" s="1" customFormat="1" ht="13.5">
      <c r="G13073" s="6"/>
    </row>
    <row r="13074" s="1" customFormat="1" ht="13.5">
      <c r="G13074" s="6"/>
    </row>
    <row r="13075" s="1" customFormat="1" ht="13.5">
      <c r="G13075" s="6"/>
    </row>
    <row r="13076" s="1" customFormat="1" ht="13.5">
      <c r="G13076" s="6"/>
    </row>
    <row r="13077" s="1" customFormat="1" ht="13.5">
      <c r="G13077" s="6"/>
    </row>
    <row r="13078" s="1" customFormat="1" ht="13.5">
      <c r="G13078" s="6"/>
    </row>
    <row r="13079" s="1" customFormat="1" ht="13.5">
      <c r="G13079" s="6"/>
    </row>
    <row r="13080" s="1" customFormat="1" ht="13.5">
      <c r="G13080" s="6"/>
    </row>
    <row r="13081" s="1" customFormat="1" ht="13.5">
      <c r="G13081" s="6"/>
    </row>
    <row r="13082" s="1" customFormat="1" ht="13.5">
      <c r="G13082" s="6"/>
    </row>
    <row r="13083" s="1" customFormat="1" ht="13.5">
      <c r="G13083" s="6"/>
    </row>
    <row r="13084" s="1" customFormat="1" ht="13.5">
      <c r="G13084" s="6"/>
    </row>
    <row r="13085" s="1" customFormat="1" ht="13.5">
      <c r="G13085" s="6"/>
    </row>
    <row r="13086" s="1" customFormat="1" ht="13.5">
      <c r="G13086" s="6"/>
    </row>
    <row r="13087" s="1" customFormat="1" ht="13.5">
      <c r="G13087" s="6"/>
    </row>
    <row r="13088" s="1" customFormat="1" ht="13.5">
      <c r="G13088" s="6"/>
    </row>
    <row r="13089" s="1" customFormat="1" ht="13.5">
      <c r="G13089" s="6"/>
    </row>
    <row r="13090" s="1" customFormat="1" ht="13.5">
      <c r="G13090" s="6"/>
    </row>
    <row r="13091" s="1" customFormat="1" ht="13.5">
      <c r="G13091" s="6"/>
    </row>
    <row r="13092" s="1" customFormat="1" ht="13.5">
      <c r="G13092" s="6"/>
    </row>
    <row r="13093" s="1" customFormat="1" ht="13.5">
      <c r="G13093" s="6"/>
    </row>
    <row r="13094" s="1" customFormat="1" ht="13.5">
      <c r="G13094" s="6"/>
    </row>
    <row r="13095" s="1" customFormat="1" ht="13.5">
      <c r="G13095" s="6"/>
    </row>
    <row r="13096" s="1" customFormat="1" ht="13.5">
      <c r="G13096" s="6"/>
    </row>
    <row r="13097" s="1" customFormat="1" ht="13.5">
      <c r="G13097" s="6"/>
    </row>
    <row r="13098" s="1" customFormat="1" ht="13.5">
      <c r="G13098" s="6"/>
    </row>
    <row r="13099" s="1" customFormat="1" ht="13.5">
      <c r="G13099" s="6"/>
    </row>
    <row r="13100" s="1" customFormat="1" ht="13.5">
      <c r="G13100" s="6"/>
    </row>
    <row r="13101" s="1" customFormat="1" ht="13.5">
      <c r="G13101" s="6"/>
    </row>
    <row r="13102" s="1" customFormat="1" ht="13.5">
      <c r="G13102" s="6"/>
    </row>
    <row r="13103" s="1" customFormat="1" ht="13.5">
      <c r="G13103" s="6"/>
    </row>
    <row r="13104" s="1" customFormat="1" ht="13.5">
      <c r="G13104" s="6"/>
    </row>
    <row r="13105" s="1" customFormat="1" ht="13.5">
      <c r="G13105" s="6"/>
    </row>
    <row r="13106" s="1" customFormat="1" ht="13.5">
      <c r="G13106" s="6"/>
    </row>
    <row r="13107" s="1" customFormat="1" ht="13.5">
      <c r="G13107" s="6"/>
    </row>
    <row r="13108" s="1" customFormat="1" ht="13.5">
      <c r="G13108" s="6"/>
    </row>
    <row r="13109" s="1" customFormat="1" ht="13.5">
      <c r="G13109" s="6"/>
    </row>
    <row r="13110" s="1" customFormat="1" ht="13.5">
      <c r="G13110" s="6"/>
    </row>
    <row r="13111" s="1" customFormat="1" ht="13.5">
      <c r="G13111" s="6"/>
    </row>
    <row r="13112" s="1" customFormat="1" ht="13.5">
      <c r="G13112" s="6"/>
    </row>
    <row r="13113" s="1" customFormat="1" ht="13.5">
      <c r="G13113" s="6"/>
    </row>
    <row r="13114" s="1" customFormat="1" ht="13.5">
      <c r="G13114" s="6"/>
    </row>
    <row r="13115" s="1" customFormat="1" ht="13.5">
      <c r="G13115" s="6"/>
    </row>
    <row r="13116" s="1" customFormat="1" ht="13.5">
      <c r="G13116" s="6"/>
    </row>
    <row r="13117" s="1" customFormat="1" ht="13.5">
      <c r="G13117" s="6"/>
    </row>
    <row r="13118" s="1" customFormat="1" ht="13.5">
      <c r="G13118" s="6"/>
    </row>
    <row r="13119" s="1" customFormat="1" ht="13.5">
      <c r="G13119" s="6"/>
    </row>
    <row r="13120" s="1" customFormat="1" ht="13.5">
      <c r="G13120" s="6"/>
    </row>
    <row r="13121" s="1" customFormat="1" ht="13.5">
      <c r="G13121" s="6"/>
    </row>
    <row r="13122" s="1" customFormat="1" ht="13.5">
      <c r="G13122" s="6"/>
    </row>
    <row r="13123" s="1" customFormat="1" ht="13.5">
      <c r="G13123" s="6"/>
    </row>
    <row r="13124" s="1" customFormat="1" ht="13.5">
      <c r="G13124" s="6"/>
    </row>
    <row r="13125" s="1" customFormat="1" ht="13.5">
      <c r="G13125" s="6"/>
    </row>
    <row r="13126" s="1" customFormat="1" ht="13.5">
      <c r="G13126" s="6"/>
    </row>
    <row r="13127" s="1" customFormat="1" ht="13.5">
      <c r="G13127" s="6"/>
    </row>
    <row r="13128" s="1" customFormat="1" ht="13.5">
      <c r="G13128" s="6"/>
    </row>
    <row r="13129" s="1" customFormat="1" ht="13.5">
      <c r="G13129" s="6"/>
    </row>
    <row r="13130" s="1" customFormat="1" ht="13.5">
      <c r="G13130" s="6"/>
    </row>
    <row r="13131" s="1" customFormat="1" ht="13.5">
      <c r="G13131" s="6"/>
    </row>
    <row r="13132" s="1" customFormat="1" ht="13.5">
      <c r="G13132" s="6"/>
    </row>
    <row r="13133" s="1" customFormat="1" ht="13.5">
      <c r="G13133" s="6"/>
    </row>
    <row r="13134" s="1" customFormat="1" ht="13.5">
      <c r="G13134" s="6"/>
    </row>
    <row r="13135" s="1" customFormat="1" ht="13.5">
      <c r="G13135" s="6"/>
    </row>
    <row r="13136" s="1" customFormat="1" ht="13.5">
      <c r="G13136" s="6"/>
    </row>
    <row r="13137" s="1" customFormat="1" ht="13.5">
      <c r="G13137" s="6"/>
    </row>
    <row r="13138" s="1" customFormat="1" ht="13.5">
      <c r="G13138" s="6"/>
    </row>
    <row r="13139" s="1" customFormat="1" ht="13.5">
      <c r="G13139" s="6"/>
    </row>
    <row r="13140" s="1" customFormat="1" ht="13.5">
      <c r="G13140" s="6"/>
    </row>
    <row r="13141" s="1" customFormat="1" ht="13.5">
      <c r="G13141" s="6"/>
    </row>
    <row r="13142" s="1" customFormat="1" ht="13.5">
      <c r="G13142" s="6"/>
    </row>
    <row r="13143" s="1" customFormat="1" ht="13.5">
      <c r="G13143" s="6"/>
    </row>
    <row r="13144" s="1" customFormat="1" ht="13.5">
      <c r="G13144" s="6"/>
    </row>
    <row r="13145" s="1" customFormat="1" ht="13.5">
      <c r="G13145" s="6"/>
    </row>
    <row r="13146" s="1" customFormat="1" ht="13.5">
      <c r="G13146" s="6"/>
    </row>
    <row r="13147" s="1" customFormat="1" ht="13.5">
      <c r="G13147" s="6"/>
    </row>
    <row r="13148" s="1" customFormat="1" ht="13.5">
      <c r="G13148" s="6"/>
    </row>
    <row r="13149" s="1" customFormat="1" ht="13.5">
      <c r="G13149" s="6"/>
    </row>
    <row r="13150" s="1" customFormat="1" ht="13.5">
      <c r="G13150" s="6"/>
    </row>
    <row r="13151" s="1" customFormat="1" ht="13.5">
      <c r="G13151" s="6"/>
    </row>
    <row r="13152" s="1" customFormat="1" ht="13.5">
      <c r="G13152" s="6"/>
    </row>
    <row r="13153" s="1" customFormat="1" ht="13.5">
      <c r="G13153" s="6"/>
    </row>
    <row r="13154" s="1" customFormat="1" ht="13.5">
      <c r="G13154" s="6"/>
    </row>
    <row r="13155" s="1" customFormat="1" ht="13.5">
      <c r="G13155" s="6"/>
    </row>
    <row r="13156" s="1" customFormat="1" ht="13.5">
      <c r="G13156" s="6"/>
    </row>
    <row r="13157" s="1" customFormat="1" ht="13.5">
      <c r="G13157" s="6"/>
    </row>
    <row r="13158" s="1" customFormat="1" ht="13.5">
      <c r="G13158" s="6"/>
    </row>
    <row r="13159" s="1" customFormat="1" ht="13.5">
      <c r="G13159" s="6"/>
    </row>
    <row r="13160" s="1" customFormat="1" ht="13.5">
      <c r="G13160" s="6"/>
    </row>
    <row r="13161" s="1" customFormat="1" ht="13.5">
      <c r="G13161" s="6"/>
    </row>
    <row r="13162" s="1" customFormat="1" ht="13.5">
      <c r="G13162" s="6"/>
    </row>
    <row r="13163" s="1" customFormat="1" ht="13.5">
      <c r="G13163" s="6"/>
    </row>
    <row r="13164" s="1" customFormat="1" ht="13.5">
      <c r="G13164" s="6"/>
    </row>
    <row r="13165" s="1" customFormat="1" ht="13.5">
      <c r="G13165" s="6"/>
    </row>
    <row r="13166" s="1" customFormat="1" ht="13.5">
      <c r="G13166" s="6"/>
    </row>
    <row r="13167" s="1" customFormat="1" ht="13.5">
      <c r="G13167" s="6"/>
    </row>
    <row r="13168" s="1" customFormat="1" ht="13.5">
      <c r="G13168" s="6"/>
    </row>
    <row r="13169" s="1" customFormat="1" ht="13.5">
      <c r="G13169" s="6"/>
    </row>
    <row r="13170" s="1" customFormat="1" ht="13.5">
      <c r="G13170" s="6"/>
    </row>
    <row r="13171" s="1" customFormat="1" ht="13.5">
      <c r="G13171" s="6"/>
    </row>
    <row r="13172" s="1" customFormat="1" ht="13.5">
      <c r="G13172" s="6"/>
    </row>
    <row r="13173" s="1" customFormat="1" ht="13.5">
      <c r="G13173" s="6"/>
    </row>
    <row r="13174" s="1" customFormat="1" ht="13.5">
      <c r="G13174" s="6"/>
    </row>
    <row r="13175" s="1" customFormat="1" ht="13.5">
      <c r="G13175" s="6"/>
    </row>
    <row r="13176" s="1" customFormat="1" ht="13.5">
      <c r="G13176" s="6"/>
    </row>
    <row r="13177" s="1" customFormat="1" ht="13.5">
      <c r="G13177" s="6"/>
    </row>
    <row r="13178" s="1" customFormat="1" ht="13.5">
      <c r="G13178" s="6"/>
    </row>
    <row r="13179" s="1" customFormat="1" ht="13.5">
      <c r="G13179" s="6"/>
    </row>
    <row r="13180" s="1" customFormat="1" ht="13.5">
      <c r="G13180" s="6"/>
    </row>
    <row r="13181" s="1" customFormat="1" ht="13.5">
      <c r="G13181" s="6"/>
    </row>
    <row r="13182" s="1" customFormat="1" ht="13.5">
      <c r="G13182" s="6"/>
    </row>
    <row r="13183" s="1" customFormat="1" ht="13.5">
      <c r="G13183" s="6"/>
    </row>
    <row r="13184" s="1" customFormat="1" ht="13.5">
      <c r="G13184" s="6"/>
    </row>
    <row r="13185" s="1" customFormat="1" ht="13.5">
      <c r="G13185" s="6"/>
    </row>
    <row r="13186" s="1" customFormat="1" ht="13.5">
      <c r="G13186" s="6"/>
    </row>
    <row r="13187" s="1" customFormat="1" ht="13.5">
      <c r="G13187" s="6"/>
    </row>
    <row r="13188" s="1" customFormat="1" ht="13.5">
      <c r="G13188" s="6"/>
    </row>
    <row r="13189" s="1" customFormat="1" ht="13.5">
      <c r="G13189" s="6"/>
    </row>
    <row r="13190" s="1" customFormat="1" ht="13.5">
      <c r="G13190" s="6"/>
    </row>
    <row r="13191" s="1" customFormat="1" ht="13.5">
      <c r="G13191" s="6"/>
    </row>
    <row r="13192" s="1" customFormat="1" ht="13.5">
      <c r="G13192" s="6"/>
    </row>
    <row r="13193" s="1" customFormat="1" ht="13.5">
      <c r="G13193" s="6"/>
    </row>
    <row r="13194" s="1" customFormat="1" ht="13.5">
      <c r="G13194" s="6"/>
    </row>
    <row r="13195" s="1" customFormat="1" ht="13.5">
      <c r="G13195" s="6"/>
    </row>
    <row r="13196" s="1" customFormat="1" ht="13.5">
      <c r="G13196" s="6"/>
    </row>
    <row r="13197" s="1" customFormat="1" ht="13.5">
      <c r="G13197" s="6"/>
    </row>
    <row r="13198" s="1" customFormat="1" ht="13.5">
      <c r="G13198" s="6"/>
    </row>
    <row r="13199" s="1" customFormat="1" ht="13.5">
      <c r="G13199" s="6"/>
    </row>
    <row r="13200" s="1" customFormat="1" ht="13.5">
      <c r="G13200" s="6"/>
    </row>
    <row r="13201" s="1" customFormat="1" ht="13.5">
      <c r="G13201" s="6"/>
    </row>
    <row r="13202" s="1" customFormat="1" ht="13.5">
      <c r="G13202" s="6"/>
    </row>
    <row r="13203" s="1" customFormat="1" ht="13.5">
      <c r="G13203" s="6"/>
    </row>
    <row r="13204" s="1" customFormat="1" ht="13.5">
      <c r="G13204" s="6"/>
    </row>
    <row r="13205" s="1" customFormat="1" ht="13.5">
      <c r="G13205" s="6"/>
    </row>
    <row r="13206" s="1" customFormat="1" ht="13.5">
      <c r="G13206" s="6"/>
    </row>
    <row r="13207" s="1" customFormat="1" ht="13.5">
      <c r="G13207" s="6"/>
    </row>
    <row r="13208" s="1" customFormat="1" ht="13.5">
      <c r="G13208" s="6"/>
    </row>
    <row r="13209" s="1" customFormat="1" ht="13.5">
      <c r="G13209" s="6"/>
    </row>
    <row r="13210" s="1" customFormat="1" ht="13.5">
      <c r="G13210" s="6"/>
    </row>
    <row r="13211" s="1" customFormat="1" ht="13.5">
      <c r="G13211" s="6"/>
    </row>
    <row r="13212" s="1" customFormat="1" ht="13.5">
      <c r="G13212" s="6"/>
    </row>
    <row r="13213" s="1" customFormat="1" ht="13.5">
      <c r="G13213" s="6"/>
    </row>
    <row r="13214" s="1" customFormat="1" ht="13.5">
      <c r="G13214" s="6"/>
    </row>
    <row r="13215" s="1" customFormat="1" ht="13.5">
      <c r="G13215" s="6"/>
    </row>
    <row r="13216" s="1" customFormat="1" ht="13.5">
      <c r="G13216" s="6"/>
    </row>
    <row r="13217" s="1" customFormat="1" ht="13.5">
      <c r="G13217" s="6"/>
    </row>
    <row r="13218" s="1" customFormat="1" ht="13.5">
      <c r="G13218" s="6"/>
    </row>
    <row r="13219" s="1" customFormat="1" ht="13.5">
      <c r="G13219" s="6"/>
    </row>
    <row r="13220" s="1" customFormat="1" ht="13.5">
      <c r="G13220" s="6"/>
    </row>
    <row r="13221" s="1" customFormat="1" ht="13.5">
      <c r="G13221" s="6"/>
    </row>
    <row r="13222" s="1" customFormat="1" ht="13.5">
      <c r="G13222" s="6"/>
    </row>
    <row r="13223" s="1" customFormat="1" ht="13.5">
      <c r="G13223" s="6"/>
    </row>
    <row r="13224" s="1" customFormat="1" ht="13.5">
      <c r="G13224" s="6"/>
    </row>
    <row r="13225" s="1" customFormat="1" ht="13.5">
      <c r="G13225" s="6"/>
    </row>
    <row r="13226" s="1" customFormat="1" ht="13.5">
      <c r="G13226" s="6"/>
    </row>
    <row r="13227" s="1" customFormat="1" ht="13.5">
      <c r="G13227" s="6"/>
    </row>
    <row r="13228" s="1" customFormat="1" ht="13.5">
      <c r="G13228" s="6"/>
    </row>
    <row r="13229" s="1" customFormat="1" ht="13.5">
      <c r="G13229" s="6"/>
    </row>
    <row r="13230" s="1" customFormat="1" ht="13.5">
      <c r="G13230" s="6"/>
    </row>
    <row r="13231" s="1" customFormat="1" ht="13.5">
      <c r="G13231" s="6"/>
    </row>
    <row r="13232" s="1" customFormat="1" ht="13.5">
      <c r="G13232" s="6"/>
    </row>
    <row r="13233" s="1" customFormat="1" ht="13.5">
      <c r="G13233" s="6"/>
    </row>
    <row r="13234" s="1" customFormat="1" ht="13.5">
      <c r="G13234" s="6"/>
    </row>
    <row r="13235" s="1" customFormat="1" ht="13.5">
      <c r="G13235" s="6"/>
    </row>
    <row r="13236" s="1" customFormat="1" ht="13.5">
      <c r="G13236" s="6"/>
    </row>
    <row r="13237" s="1" customFormat="1" ht="13.5">
      <c r="G13237" s="6"/>
    </row>
    <row r="13238" s="1" customFormat="1" ht="13.5">
      <c r="G13238" s="6"/>
    </row>
    <row r="13239" s="1" customFormat="1" ht="13.5">
      <c r="G13239" s="6"/>
    </row>
    <row r="13240" s="1" customFormat="1" ht="13.5">
      <c r="G13240" s="6"/>
    </row>
    <row r="13241" s="1" customFormat="1" ht="13.5">
      <c r="G13241" s="6"/>
    </row>
    <row r="13242" s="1" customFormat="1" ht="13.5">
      <c r="G13242" s="6"/>
    </row>
    <row r="13243" s="1" customFormat="1" ht="13.5">
      <c r="G13243" s="6"/>
    </row>
    <row r="13244" s="1" customFormat="1" ht="13.5">
      <c r="G13244" s="6"/>
    </row>
    <row r="13245" s="1" customFormat="1" ht="13.5">
      <c r="G13245" s="6"/>
    </row>
    <row r="13246" s="1" customFormat="1" ht="13.5">
      <c r="G13246" s="6"/>
    </row>
    <row r="13247" s="1" customFormat="1" ht="13.5">
      <c r="G13247" s="6"/>
    </row>
    <row r="13248" s="1" customFormat="1" ht="13.5">
      <c r="G13248" s="6"/>
    </row>
    <row r="13249" s="1" customFormat="1" ht="13.5">
      <c r="G13249" s="6"/>
    </row>
    <row r="13250" s="1" customFormat="1" ht="13.5">
      <c r="G13250" s="6"/>
    </row>
    <row r="13251" s="1" customFormat="1" ht="13.5">
      <c r="G13251" s="6"/>
    </row>
    <row r="13252" s="1" customFormat="1" ht="13.5">
      <c r="G13252" s="6"/>
    </row>
    <row r="13253" s="1" customFormat="1" ht="13.5">
      <c r="G13253" s="6"/>
    </row>
    <row r="13254" s="1" customFormat="1" ht="13.5">
      <c r="G13254" s="6"/>
    </row>
    <row r="13255" s="1" customFormat="1" ht="13.5">
      <c r="G13255" s="6"/>
    </row>
    <row r="13256" s="1" customFormat="1" ht="13.5">
      <c r="G13256" s="6"/>
    </row>
    <row r="13257" s="1" customFormat="1" ht="13.5">
      <c r="G13257" s="6"/>
    </row>
    <row r="13258" s="1" customFormat="1" ht="13.5">
      <c r="G13258" s="6"/>
    </row>
    <row r="13259" s="1" customFormat="1" ht="13.5">
      <c r="G13259" s="6"/>
    </row>
    <row r="13260" s="1" customFormat="1" ht="13.5">
      <c r="G13260" s="6"/>
    </row>
    <row r="13261" s="1" customFormat="1" ht="13.5">
      <c r="G13261" s="6"/>
    </row>
    <row r="13262" s="1" customFormat="1" ht="13.5">
      <c r="G13262" s="6"/>
    </row>
    <row r="13263" s="1" customFormat="1" ht="13.5">
      <c r="G13263" s="6"/>
    </row>
    <row r="13264" s="1" customFormat="1" ht="13.5">
      <c r="G13264" s="6"/>
    </row>
    <row r="13265" s="1" customFormat="1" ht="13.5">
      <c r="G13265" s="6"/>
    </row>
    <row r="13266" s="1" customFormat="1" ht="13.5">
      <c r="G13266" s="6"/>
    </row>
    <row r="13267" s="1" customFormat="1" ht="13.5">
      <c r="G13267" s="6"/>
    </row>
    <row r="13268" s="1" customFormat="1" ht="13.5">
      <c r="G13268" s="6"/>
    </row>
    <row r="13269" s="1" customFormat="1" ht="13.5">
      <c r="G13269" s="6"/>
    </row>
    <row r="13270" s="1" customFormat="1" ht="13.5">
      <c r="G13270" s="6"/>
    </row>
    <row r="13271" s="1" customFormat="1" ht="13.5">
      <c r="G13271" s="6"/>
    </row>
    <row r="13272" s="1" customFormat="1" ht="13.5">
      <c r="G13272" s="6"/>
    </row>
    <row r="13273" s="1" customFormat="1" ht="13.5">
      <c r="G13273" s="6"/>
    </row>
    <row r="13274" s="1" customFormat="1" ht="13.5">
      <c r="G13274" s="6"/>
    </row>
    <row r="13275" s="1" customFormat="1" ht="13.5">
      <c r="G13275" s="6"/>
    </row>
    <row r="13276" s="1" customFormat="1" ht="13.5">
      <c r="G13276" s="6"/>
    </row>
    <row r="13277" s="1" customFormat="1" ht="13.5">
      <c r="G13277" s="6"/>
    </row>
    <row r="13278" s="1" customFormat="1" ht="13.5">
      <c r="G13278" s="6"/>
    </row>
    <row r="13279" s="1" customFormat="1" ht="13.5">
      <c r="G13279" s="6"/>
    </row>
    <row r="13280" s="1" customFormat="1" ht="13.5">
      <c r="G13280" s="6"/>
    </row>
    <row r="13281" s="1" customFormat="1" ht="13.5">
      <c r="G13281" s="6"/>
    </row>
    <row r="13282" s="1" customFormat="1" ht="13.5">
      <c r="G13282" s="6"/>
    </row>
    <row r="13283" s="1" customFormat="1" ht="13.5">
      <c r="G13283" s="6"/>
    </row>
    <row r="13284" s="1" customFormat="1" ht="13.5">
      <c r="G13284" s="6"/>
    </row>
    <row r="13285" s="1" customFormat="1" ht="13.5">
      <c r="G13285" s="6"/>
    </row>
    <row r="13286" s="1" customFormat="1" ht="13.5">
      <c r="G13286" s="6"/>
    </row>
    <row r="13287" s="1" customFormat="1" ht="13.5">
      <c r="G13287" s="6"/>
    </row>
    <row r="13288" s="1" customFormat="1" ht="13.5">
      <c r="G13288" s="6"/>
    </row>
    <row r="13289" s="1" customFormat="1" ht="13.5">
      <c r="G13289" s="6"/>
    </row>
    <row r="13290" s="1" customFormat="1" ht="13.5">
      <c r="G13290" s="6"/>
    </row>
    <row r="13291" s="1" customFormat="1" ht="13.5">
      <c r="G13291" s="6"/>
    </row>
    <row r="13292" s="1" customFormat="1" ht="13.5">
      <c r="G13292" s="6"/>
    </row>
    <row r="13293" s="1" customFormat="1" ht="13.5">
      <c r="G13293" s="6"/>
    </row>
    <row r="13294" s="1" customFormat="1" ht="13.5">
      <c r="G13294" s="6"/>
    </row>
    <row r="13295" s="1" customFormat="1" ht="13.5">
      <c r="G13295" s="6"/>
    </row>
    <row r="13296" s="1" customFormat="1" ht="13.5">
      <c r="G13296" s="6"/>
    </row>
    <row r="13297" s="1" customFormat="1" ht="13.5">
      <c r="G13297" s="6"/>
    </row>
    <row r="13298" s="1" customFormat="1" ht="13.5">
      <c r="G13298" s="6"/>
    </row>
    <row r="13299" s="1" customFormat="1" ht="13.5">
      <c r="G13299" s="6"/>
    </row>
    <row r="13300" s="1" customFormat="1" ht="13.5">
      <c r="G13300" s="6"/>
    </row>
    <row r="13301" s="1" customFormat="1" ht="13.5">
      <c r="G13301" s="6"/>
    </row>
    <row r="13302" s="1" customFormat="1" ht="13.5">
      <c r="G13302" s="6"/>
    </row>
    <row r="13303" s="1" customFormat="1" ht="13.5">
      <c r="G13303" s="6"/>
    </row>
    <row r="13304" s="1" customFormat="1" ht="13.5">
      <c r="G13304" s="6"/>
    </row>
    <row r="13305" s="1" customFormat="1" ht="13.5">
      <c r="G13305" s="6"/>
    </row>
    <row r="13306" s="1" customFormat="1" ht="13.5">
      <c r="G13306" s="6"/>
    </row>
    <row r="13307" s="1" customFormat="1" ht="13.5">
      <c r="G13307" s="6"/>
    </row>
    <row r="13308" s="1" customFormat="1" ht="13.5">
      <c r="G13308" s="6"/>
    </row>
    <row r="13309" s="1" customFormat="1" ht="13.5">
      <c r="G13309" s="6"/>
    </row>
    <row r="13310" s="1" customFormat="1" ht="13.5">
      <c r="G13310" s="6"/>
    </row>
    <row r="13311" s="1" customFormat="1" ht="13.5">
      <c r="G13311" s="6"/>
    </row>
    <row r="13312" s="1" customFormat="1" ht="13.5">
      <c r="G13312" s="6"/>
    </row>
    <row r="13313" s="1" customFormat="1" ht="13.5">
      <c r="G13313" s="6"/>
    </row>
    <row r="13314" s="1" customFormat="1" ht="13.5">
      <c r="G13314" s="6"/>
    </row>
    <row r="13315" s="1" customFormat="1" ht="13.5">
      <c r="G13315" s="6"/>
    </row>
    <row r="13316" s="1" customFormat="1" ht="13.5">
      <c r="G13316" s="6"/>
    </row>
    <row r="13317" s="1" customFormat="1" ht="13.5">
      <c r="G13317" s="6"/>
    </row>
    <row r="13318" s="1" customFormat="1" ht="13.5">
      <c r="G13318" s="6"/>
    </row>
    <row r="13319" s="1" customFormat="1" ht="13.5">
      <c r="G13319" s="6"/>
    </row>
    <row r="13320" s="1" customFormat="1" ht="13.5">
      <c r="G13320" s="6"/>
    </row>
    <row r="13321" s="1" customFormat="1" ht="13.5">
      <c r="G13321" s="6"/>
    </row>
    <row r="13322" s="1" customFormat="1" ht="13.5">
      <c r="G13322" s="6"/>
    </row>
    <row r="13323" s="1" customFormat="1" ht="13.5">
      <c r="G13323" s="6"/>
    </row>
    <row r="13324" s="1" customFormat="1" ht="13.5">
      <c r="G13324" s="6"/>
    </row>
    <row r="13325" s="1" customFormat="1" ht="13.5">
      <c r="G13325" s="6"/>
    </row>
    <row r="13326" s="1" customFormat="1" ht="13.5">
      <c r="G13326" s="6"/>
    </row>
    <row r="13327" s="1" customFormat="1" ht="13.5">
      <c r="G13327" s="6"/>
    </row>
    <row r="13328" s="1" customFormat="1" ht="13.5">
      <c r="G13328" s="6"/>
    </row>
    <row r="13329" s="1" customFormat="1" ht="13.5">
      <c r="G13329" s="6"/>
    </row>
    <row r="13330" s="1" customFormat="1" ht="13.5">
      <c r="G13330" s="6"/>
    </row>
    <row r="13331" s="1" customFormat="1" ht="13.5">
      <c r="G13331" s="6"/>
    </row>
    <row r="13332" s="1" customFormat="1" ht="13.5">
      <c r="G13332" s="6"/>
    </row>
    <row r="13333" s="1" customFormat="1" ht="13.5">
      <c r="G13333" s="6"/>
    </row>
    <row r="13334" s="1" customFormat="1" ht="13.5">
      <c r="G13334" s="6"/>
    </row>
    <row r="13335" s="1" customFormat="1" ht="13.5">
      <c r="G13335" s="6"/>
    </row>
    <row r="13336" s="1" customFormat="1" ht="13.5">
      <c r="G13336" s="6"/>
    </row>
    <row r="13337" s="1" customFormat="1" ht="13.5">
      <c r="G13337" s="6"/>
    </row>
    <row r="13338" s="1" customFormat="1" ht="13.5">
      <c r="G13338" s="6"/>
    </row>
    <row r="13339" s="1" customFormat="1" ht="13.5">
      <c r="G13339" s="6"/>
    </row>
    <row r="13340" s="1" customFormat="1" ht="13.5">
      <c r="G13340" s="6"/>
    </row>
    <row r="13341" s="1" customFormat="1" ht="13.5">
      <c r="G13341" s="6"/>
    </row>
    <row r="13342" s="1" customFormat="1" ht="13.5">
      <c r="G13342" s="6"/>
    </row>
    <row r="13343" s="1" customFormat="1" ht="13.5">
      <c r="G13343" s="6"/>
    </row>
    <row r="13344" s="1" customFormat="1" ht="13.5">
      <c r="G13344" s="6"/>
    </row>
    <row r="13345" s="1" customFormat="1" ht="13.5">
      <c r="G13345" s="6"/>
    </row>
    <row r="13346" s="1" customFormat="1" ht="13.5">
      <c r="G13346" s="6"/>
    </row>
    <row r="13347" s="1" customFormat="1" ht="13.5">
      <c r="G13347" s="6"/>
    </row>
    <row r="13348" s="1" customFormat="1" ht="13.5">
      <c r="G13348" s="6"/>
    </row>
    <row r="13349" s="1" customFormat="1" ht="13.5">
      <c r="G13349" s="6"/>
    </row>
    <row r="13350" s="1" customFormat="1" ht="13.5">
      <c r="G13350" s="6"/>
    </row>
    <row r="13351" s="1" customFormat="1" ht="13.5">
      <c r="G13351" s="6"/>
    </row>
    <row r="13352" s="1" customFormat="1" ht="13.5">
      <c r="G13352" s="6"/>
    </row>
    <row r="13353" s="1" customFormat="1" ht="13.5">
      <c r="G13353" s="6"/>
    </row>
    <row r="13354" s="1" customFormat="1" ht="13.5">
      <c r="G13354" s="6"/>
    </row>
    <row r="13355" s="1" customFormat="1" ht="13.5">
      <c r="G13355" s="6"/>
    </row>
    <row r="13356" s="1" customFormat="1" ht="13.5">
      <c r="G13356" s="6"/>
    </row>
    <row r="13357" s="1" customFormat="1" ht="13.5">
      <c r="G13357" s="6"/>
    </row>
    <row r="13358" s="1" customFormat="1" ht="13.5">
      <c r="G13358" s="6"/>
    </row>
    <row r="13359" s="1" customFormat="1" ht="13.5">
      <c r="G13359" s="6"/>
    </row>
    <row r="13360" s="1" customFormat="1" ht="13.5">
      <c r="G13360" s="6"/>
    </row>
    <row r="13361" s="1" customFormat="1" ht="13.5">
      <c r="G13361" s="6"/>
    </row>
    <row r="13362" s="1" customFormat="1" ht="13.5">
      <c r="G13362" s="6"/>
    </row>
    <row r="13363" s="1" customFormat="1" ht="13.5">
      <c r="G13363" s="6"/>
    </row>
    <row r="13364" s="1" customFormat="1" ht="13.5">
      <c r="G13364" s="6"/>
    </row>
    <row r="13365" s="1" customFormat="1" ht="13.5">
      <c r="G13365" s="6"/>
    </row>
    <row r="13366" s="1" customFormat="1" ht="13.5">
      <c r="G13366" s="6"/>
    </row>
    <row r="13367" s="1" customFormat="1" ht="13.5">
      <c r="G13367" s="6"/>
    </row>
    <row r="13368" s="1" customFormat="1" ht="13.5">
      <c r="G13368" s="6"/>
    </row>
    <row r="13369" s="1" customFormat="1" ht="13.5">
      <c r="G13369" s="6"/>
    </row>
    <row r="13370" s="1" customFormat="1" ht="13.5">
      <c r="G13370" s="6"/>
    </row>
    <row r="13371" s="1" customFormat="1" ht="13.5">
      <c r="G13371" s="6"/>
    </row>
    <row r="13372" s="1" customFormat="1" ht="13.5">
      <c r="G13372" s="6"/>
    </row>
    <row r="13373" s="1" customFormat="1" ht="13.5">
      <c r="G13373" s="6"/>
    </row>
    <row r="13374" s="1" customFormat="1" ht="13.5">
      <c r="G13374" s="6"/>
    </row>
    <row r="13375" s="1" customFormat="1" ht="13.5">
      <c r="G13375" s="6"/>
    </row>
    <row r="13376" s="1" customFormat="1" ht="13.5">
      <c r="G13376" s="6"/>
    </row>
    <row r="13377" s="1" customFormat="1" ht="13.5">
      <c r="G13377" s="6"/>
    </row>
    <row r="13378" s="1" customFormat="1" ht="13.5">
      <c r="G13378" s="6"/>
    </row>
    <row r="13379" s="1" customFormat="1" ht="13.5">
      <c r="G13379" s="6"/>
    </row>
    <row r="13380" s="1" customFormat="1" ht="13.5">
      <c r="G13380" s="6"/>
    </row>
    <row r="13381" s="1" customFormat="1" ht="13.5">
      <c r="G13381" s="6"/>
    </row>
    <row r="13382" s="1" customFormat="1" ht="13.5">
      <c r="G13382" s="6"/>
    </row>
    <row r="13383" s="1" customFormat="1" ht="13.5">
      <c r="G13383" s="6"/>
    </row>
    <row r="13384" s="1" customFormat="1" ht="13.5">
      <c r="G13384" s="6"/>
    </row>
    <row r="13385" s="1" customFormat="1" ht="13.5">
      <c r="G13385" s="6"/>
    </row>
    <row r="13386" s="1" customFormat="1" ht="13.5">
      <c r="G13386" s="6"/>
    </row>
    <row r="13387" s="1" customFormat="1" ht="13.5">
      <c r="G13387" s="6"/>
    </row>
    <row r="13388" s="1" customFormat="1" ht="13.5">
      <c r="G13388" s="6"/>
    </row>
    <row r="13389" s="1" customFormat="1" ht="13.5">
      <c r="G13389" s="6"/>
    </row>
    <row r="13390" s="1" customFormat="1" ht="13.5">
      <c r="G13390" s="6"/>
    </row>
    <row r="13391" s="1" customFormat="1" ht="13.5">
      <c r="G13391" s="6"/>
    </row>
    <row r="13392" s="1" customFormat="1" ht="13.5">
      <c r="G13392" s="6"/>
    </row>
    <row r="13393" s="1" customFormat="1" ht="13.5">
      <c r="G13393" s="6"/>
    </row>
    <row r="13394" s="1" customFormat="1" ht="13.5">
      <c r="G13394" s="6"/>
    </row>
    <row r="13395" s="1" customFormat="1" ht="13.5">
      <c r="G13395" s="6"/>
    </row>
    <row r="13396" s="1" customFormat="1" ht="13.5">
      <c r="G13396" s="6"/>
    </row>
    <row r="13397" s="1" customFormat="1" ht="13.5">
      <c r="G13397" s="6"/>
    </row>
    <row r="13398" s="1" customFormat="1" ht="13.5">
      <c r="G13398" s="6"/>
    </row>
    <row r="13399" s="1" customFormat="1" ht="13.5">
      <c r="G13399" s="6"/>
    </row>
    <row r="13400" s="1" customFormat="1" ht="13.5">
      <c r="G13400" s="6"/>
    </row>
    <row r="13401" s="1" customFormat="1" ht="13.5">
      <c r="G13401" s="6"/>
    </row>
    <row r="13402" s="1" customFormat="1" ht="13.5">
      <c r="G13402" s="6"/>
    </row>
    <row r="13403" s="1" customFormat="1" ht="13.5">
      <c r="G13403" s="6"/>
    </row>
    <row r="13404" s="1" customFormat="1" ht="13.5">
      <c r="G13404" s="6"/>
    </row>
    <row r="13405" s="1" customFormat="1" ht="13.5">
      <c r="G13405" s="6"/>
    </row>
    <row r="13406" s="1" customFormat="1" ht="13.5">
      <c r="G13406" s="6"/>
    </row>
    <row r="13407" s="1" customFormat="1" ht="13.5">
      <c r="G13407" s="6"/>
    </row>
    <row r="13408" s="1" customFormat="1" ht="13.5">
      <c r="G13408" s="6"/>
    </row>
    <row r="13409" s="1" customFormat="1" ht="13.5">
      <c r="G13409" s="6"/>
    </row>
    <row r="13410" s="1" customFormat="1" ht="13.5">
      <c r="G13410" s="6"/>
    </row>
    <row r="13411" s="1" customFormat="1" ht="13.5">
      <c r="G13411" s="6"/>
    </row>
    <row r="13412" s="1" customFormat="1" ht="13.5">
      <c r="G13412" s="6"/>
    </row>
    <row r="13413" s="1" customFormat="1" ht="13.5">
      <c r="G13413" s="6"/>
    </row>
    <row r="13414" s="1" customFormat="1" ht="13.5">
      <c r="G13414" s="6"/>
    </row>
    <row r="13415" s="1" customFormat="1" ht="13.5">
      <c r="G13415" s="6"/>
    </row>
    <row r="13416" s="1" customFormat="1" ht="13.5">
      <c r="G13416" s="6"/>
    </row>
    <row r="13417" s="1" customFormat="1" ht="13.5">
      <c r="G13417" s="6"/>
    </row>
    <row r="13418" s="1" customFormat="1" ht="13.5">
      <c r="G13418" s="6"/>
    </row>
    <row r="13419" s="1" customFormat="1" ht="13.5">
      <c r="G13419" s="6"/>
    </row>
    <row r="13420" s="1" customFormat="1" ht="13.5">
      <c r="G13420" s="6"/>
    </row>
    <row r="13421" s="1" customFormat="1" ht="13.5">
      <c r="G13421" s="6"/>
    </row>
    <row r="13422" s="1" customFormat="1" ht="13.5">
      <c r="G13422" s="6"/>
    </row>
    <row r="13423" s="1" customFormat="1" ht="13.5">
      <c r="G13423" s="6"/>
    </row>
    <row r="13424" s="1" customFormat="1" ht="13.5">
      <c r="G13424" s="6"/>
    </row>
    <row r="13425" s="1" customFormat="1" ht="13.5">
      <c r="G13425" s="6"/>
    </row>
    <row r="13426" s="1" customFormat="1" ht="13.5">
      <c r="G13426" s="6"/>
    </row>
    <row r="13427" s="1" customFormat="1" ht="13.5">
      <c r="G13427" s="6"/>
    </row>
    <row r="13428" s="1" customFormat="1" ht="13.5">
      <c r="G13428" s="6"/>
    </row>
    <row r="13429" s="1" customFormat="1" ht="13.5">
      <c r="G13429" s="6"/>
    </row>
    <row r="13430" s="1" customFormat="1" ht="13.5">
      <c r="G13430" s="6"/>
    </row>
    <row r="13431" s="1" customFormat="1" ht="13.5">
      <c r="G13431" s="6"/>
    </row>
    <row r="13432" s="1" customFormat="1" ht="13.5">
      <c r="G13432" s="6"/>
    </row>
    <row r="13433" s="1" customFormat="1" ht="13.5">
      <c r="G13433" s="6"/>
    </row>
    <row r="13434" s="1" customFormat="1" ht="13.5">
      <c r="G13434" s="6"/>
    </row>
    <row r="13435" s="1" customFormat="1" ht="13.5">
      <c r="G13435" s="6"/>
    </row>
    <row r="13436" s="1" customFormat="1" ht="13.5">
      <c r="G13436" s="6"/>
    </row>
    <row r="13437" s="1" customFormat="1" ht="13.5">
      <c r="G13437" s="6"/>
    </row>
    <row r="13438" s="1" customFormat="1" ht="13.5">
      <c r="G13438" s="6"/>
    </row>
    <row r="13439" s="1" customFormat="1" ht="13.5">
      <c r="G13439" s="6"/>
    </row>
    <row r="13440" s="1" customFormat="1" ht="13.5">
      <c r="G13440" s="6"/>
    </row>
    <row r="13441" s="1" customFormat="1" ht="13.5">
      <c r="G13441" s="6"/>
    </row>
    <row r="13442" s="1" customFormat="1" ht="13.5">
      <c r="G13442" s="6"/>
    </row>
    <row r="13443" s="1" customFormat="1" ht="13.5">
      <c r="G13443" s="6"/>
    </row>
    <row r="13444" s="1" customFormat="1" ht="13.5">
      <c r="G13444" s="6"/>
    </row>
    <row r="13445" s="1" customFormat="1" ht="13.5">
      <c r="G13445" s="6"/>
    </row>
    <row r="13446" s="1" customFormat="1" ht="13.5">
      <c r="G13446" s="6"/>
    </row>
    <row r="13447" s="1" customFormat="1" ht="13.5">
      <c r="G13447" s="6"/>
    </row>
    <row r="13448" s="1" customFormat="1" ht="13.5">
      <c r="G13448" s="6"/>
    </row>
    <row r="13449" s="1" customFormat="1" ht="13.5">
      <c r="G13449" s="6"/>
    </row>
    <row r="13450" s="1" customFormat="1" ht="13.5">
      <c r="G13450" s="6"/>
    </row>
    <row r="13451" s="1" customFormat="1" ht="13.5">
      <c r="G13451" s="6"/>
    </row>
    <row r="13452" s="1" customFormat="1" ht="13.5">
      <c r="G13452" s="6"/>
    </row>
    <row r="13453" s="1" customFormat="1" ht="13.5">
      <c r="G13453" s="6"/>
    </row>
    <row r="13454" s="1" customFormat="1" ht="13.5">
      <c r="G13454" s="6"/>
    </row>
    <row r="13455" s="1" customFormat="1" ht="13.5">
      <c r="G13455" s="6"/>
    </row>
    <row r="13456" s="1" customFormat="1" ht="13.5">
      <c r="G13456" s="6"/>
    </row>
    <row r="13457" s="1" customFormat="1" ht="13.5">
      <c r="G13457" s="6"/>
    </row>
    <row r="13458" s="1" customFormat="1" ht="13.5">
      <c r="G13458" s="6"/>
    </row>
    <row r="13459" s="1" customFormat="1" ht="13.5">
      <c r="G13459" s="6"/>
    </row>
    <row r="13460" s="1" customFormat="1" ht="13.5">
      <c r="G13460" s="6"/>
    </row>
    <row r="13461" s="1" customFormat="1" ht="13.5">
      <c r="G13461" s="6"/>
    </row>
    <row r="13462" s="1" customFormat="1" ht="13.5">
      <c r="G13462" s="6"/>
    </row>
    <row r="13463" s="1" customFormat="1" ht="13.5">
      <c r="G13463" s="6"/>
    </row>
    <row r="13464" s="1" customFormat="1" ht="13.5">
      <c r="G13464" s="6"/>
    </row>
    <row r="13465" s="1" customFormat="1" ht="13.5">
      <c r="G13465" s="6"/>
    </row>
    <row r="13466" s="1" customFormat="1" ht="13.5">
      <c r="G13466" s="6"/>
    </row>
    <row r="13467" s="1" customFormat="1" ht="13.5">
      <c r="G13467" s="6"/>
    </row>
    <row r="13468" s="1" customFormat="1" ht="13.5">
      <c r="G13468" s="6"/>
    </row>
    <row r="13469" s="1" customFormat="1" ht="13.5">
      <c r="G13469" s="6"/>
    </row>
    <row r="13470" s="1" customFormat="1" ht="13.5">
      <c r="G13470" s="6"/>
    </row>
    <row r="13471" s="1" customFormat="1" ht="13.5">
      <c r="G13471" s="6"/>
    </row>
    <row r="13472" s="1" customFormat="1" ht="13.5">
      <c r="G13472" s="6"/>
    </row>
    <row r="13473" s="1" customFormat="1" ht="13.5">
      <c r="G13473" s="6"/>
    </row>
    <row r="13474" s="1" customFormat="1" ht="13.5">
      <c r="G13474" s="6"/>
    </row>
    <row r="13475" s="1" customFormat="1" ht="13.5">
      <c r="G13475" s="6"/>
    </row>
    <row r="13476" s="1" customFormat="1" ht="13.5">
      <c r="G13476" s="6"/>
    </row>
    <row r="13477" s="1" customFormat="1" ht="13.5">
      <c r="G13477" s="6"/>
    </row>
    <row r="13478" s="1" customFormat="1" ht="13.5">
      <c r="G13478" s="6"/>
    </row>
    <row r="13479" s="1" customFormat="1" ht="13.5">
      <c r="G13479" s="6"/>
    </row>
    <row r="13480" s="1" customFormat="1" ht="13.5">
      <c r="G13480" s="6"/>
    </row>
    <row r="13481" s="1" customFormat="1" ht="13.5">
      <c r="G13481" s="6"/>
    </row>
    <row r="13482" s="1" customFormat="1" ht="13.5">
      <c r="G13482" s="6"/>
    </row>
    <row r="13483" s="1" customFormat="1" ht="13.5">
      <c r="G13483" s="6"/>
    </row>
    <row r="13484" s="1" customFormat="1" ht="13.5">
      <c r="G13484" s="6"/>
    </row>
    <row r="13485" s="1" customFormat="1" ht="13.5">
      <c r="G13485" s="6"/>
    </row>
    <row r="13486" s="1" customFormat="1" ht="13.5">
      <c r="G13486" s="6"/>
    </row>
    <row r="13487" s="1" customFormat="1" ht="13.5">
      <c r="G13487" s="6"/>
    </row>
    <row r="13488" s="1" customFormat="1" ht="13.5">
      <c r="G13488" s="6"/>
    </row>
    <row r="13489" s="1" customFormat="1" ht="13.5">
      <c r="G13489" s="6"/>
    </row>
    <row r="13490" s="1" customFormat="1" ht="13.5">
      <c r="G13490" s="6"/>
    </row>
    <row r="13491" s="1" customFormat="1" ht="13.5">
      <c r="G13491" s="6"/>
    </row>
    <row r="13492" s="1" customFormat="1" ht="13.5">
      <c r="G13492" s="6"/>
    </row>
    <row r="13493" s="1" customFormat="1" ht="13.5">
      <c r="G13493" s="6"/>
    </row>
    <row r="13494" s="1" customFormat="1" ht="13.5">
      <c r="G13494" s="6"/>
    </row>
    <row r="13495" s="1" customFormat="1" ht="13.5">
      <c r="G13495" s="6"/>
    </row>
    <row r="13496" s="1" customFormat="1" ht="13.5">
      <c r="G13496" s="6"/>
    </row>
    <row r="13497" s="1" customFormat="1" ht="13.5">
      <c r="G13497" s="6"/>
    </row>
    <row r="13498" s="1" customFormat="1" ht="13.5">
      <c r="G13498" s="6"/>
    </row>
    <row r="13499" s="1" customFormat="1" ht="13.5">
      <c r="G13499" s="6"/>
    </row>
    <row r="13500" s="1" customFormat="1" ht="13.5">
      <c r="G13500" s="6"/>
    </row>
    <row r="13501" s="1" customFormat="1" ht="13.5">
      <c r="G13501" s="6"/>
    </row>
    <row r="13502" s="1" customFormat="1" ht="13.5">
      <c r="G13502" s="6"/>
    </row>
    <row r="13503" s="1" customFormat="1" ht="13.5">
      <c r="G13503" s="6"/>
    </row>
    <row r="13504" s="1" customFormat="1" ht="13.5">
      <c r="G13504" s="6"/>
    </row>
    <row r="13505" s="1" customFormat="1" ht="13.5">
      <c r="G13505" s="6"/>
    </row>
    <row r="13506" s="1" customFormat="1" ht="13.5">
      <c r="G13506" s="6"/>
    </row>
    <row r="13507" s="1" customFormat="1" ht="13.5">
      <c r="G13507" s="6"/>
    </row>
    <row r="13508" s="1" customFormat="1" ht="13.5">
      <c r="G13508" s="6"/>
    </row>
    <row r="13509" s="1" customFormat="1" ht="13.5">
      <c r="G13509" s="6"/>
    </row>
    <row r="13510" s="1" customFormat="1" ht="13.5">
      <c r="G13510" s="6"/>
    </row>
    <row r="13511" s="1" customFormat="1" ht="13.5">
      <c r="G13511" s="6"/>
    </row>
    <row r="13512" s="1" customFormat="1" ht="13.5">
      <c r="G13512" s="6"/>
    </row>
    <row r="13513" s="1" customFormat="1" ht="13.5">
      <c r="G13513" s="6"/>
    </row>
    <row r="13514" s="1" customFormat="1" ht="13.5">
      <c r="G13514" s="6"/>
    </row>
    <row r="13515" s="1" customFormat="1" ht="13.5">
      <c r="G13515" s="6"/>
    </row>
    <row r="13516" s="1" customFormat="1" ht="13.5">
      <c r="G13516" s="6"/>
    </row>
    <row r="13517" s="1" customFormat="1" ht="13.5">
      <c r="G13517" s="6"/>
    </row>
    <row r="13518" s="1" customFormat="1" ht="13.5">
      <c r="G13518" s="6"/>
    </row>
    <row r="13519" s="1" customFormat="1" ht="13.5">
      <c r="G13519" s="6"/>
    </row>
    <row r="13520" s="1" customFormat="1" ht="13.5">
      <c r="G13520" s="6"/>
    </row>
    <row r="13521" s="1" customFormat="1" ht="13.5">
      <c r="G13521" s="6"/>
    </row>
    <row r="13522" s="1" customFormat="1" ht="13.5">
      <c r="G13522" s="6"/>
    </row>
    <row r="13523" s="1" customFormat="1" ht="13.5">
      <c r="G13523" s="6"/>
    </row>
    <row r="13524" s="1" customFormat="1" ht="13.5">
      <c r="G13524" s="6"/>
    </row>
    <row r="13525" s="1" customFormat="1" ht="13.5">
      <c r="G13525" s="6"/>
    </row>
    <row r="13526" s="1" customFormat="1" ht="13.5">
      <c r="G13526" s="6"/>
    </row>
    <row r="13527" s="1" customFormat="1" ht="13.5">
      <c r="G13527" s="6"/>
    </row>
    <row r="13528" s="1" customFormat="1" ht="13.5">
      <c r="G13528" s="6"/>
    </row>
    <row r="13529" s="1" customFormat="1" ht="13.5">
      <c r="G13529" s="6"/>
    </row>
    <row r="13530" s="1" customFormat="1" ht="13.5">
      <c r="G13530" s="6"/>
    </row>
    <row r="13531" s="1" customFormat="1" ht="13.5">
      <c r="G13531" s="6"/>
    </row>
    <row r="13532" s="1" customFormat="1" ht="13.5">
      <c r="G13532" s="6"/>
    </row>
    <row r="13533" s="1" customFormat="1" ht="13.5">
      <c r="G13533" s="6"/>
    </row>
    <row r="13534" s="1" customFormat="1" ht="13.5">
      <c r="G13534" s="6"/>
    </row>
    <row r="13535" s="1" customFormat="1" ht="13.5">
      <c r="G13535" s="6"/>
    </row>
    <row r="13536" s="1" customFormat="1" ht="13.5">
      <c r="G13536" s="6"/>
    </row>
    <row r="13537" s="1" customFormat="1" ht="13.5">
      <c r="G13537" s="6"/>
    </row>
    <row r="13538" s="1" customFormat="1" ht="13.5">
      <c r="G13538" s="6"/>
    </row>
    <row r="13539" s="1" customFormat="1" ht="13.5">
      <c r="G13539" s="6"/>
    </row>
    <row r="13540" s="1" customFormat="1" ht="13.5">
      <c r="G13540" s="6"/>
    </row>
    <row r="13541" s="1" customFormat="1" ht="13.5">
      <c r="G13541" s="6"/>
    </row>
    <row r="13542" s="1" customFormat="1" ht="13.5">
      <c r="G13542" s="6"/>
    </row>
    <row r="13543" s="1" customFormat="1" ht="13.5">
      <c r="G13543" s="6"/>
    </row>
    <row r="13544" s="1" customFormat="1" ht="13.5">
      <c r="G13544" s="6"/>
    </row>
    <row r="13545" s="1" customFormat="1" ht="13.5">
      <c r="G13545" s="6"/>
    </row>
    <row r="13546" s="1" customFormat="1" ht="13.5">
      <c r="G13546" s="6"/>
    </row>
    <row r="13547" s="1" customFormat="1" ht="13.5">
      <c r="G13547" s="6"/>
    </row>
    <row r="13548" s="1" customFormat="1" ht="13.5">
      <c r="G13548" s="6"/>
    </row>
    <row r="13549" s="1" customFormat="1" ht="13.5">
      <c r="G13549" s="6"/>
    </row>
    <row r="13550" s="1" customFormat="1" ht="13.5">
      <c r="G13550" s="6"/>
    </row>
    <row r="13551" s="1" customFormat="1" ht="13.5">
      <c r="G13551" s="6"/>
    </row>
    <row r="13552" s="1" customFormat="1" ht="13.5">
      <c r="G13552" s="6"/>
    </row>
    <row r="13553" s="1" customFormat="1" ht="13.5">
      <c r="G13553" s="6"/>
    </row>
    <row r="13554" s="1" customFormat="1" ht="13.5">
      <c r="G13554" s="6"/>
    </row>
    <row r="13555" s="1" customFormat="1" ht="13.5">
      <c r="G13555" s="6"/>
    </row>
    <row r="13556" s="1" customFormat="1" ht="13.5">
      <c r="G13556" s="6"/>
    </row>
    <row r="13557" s="1" customFormat="1" ht="13.5">
      <c r="G13557" s="6"/>
    </row>
    <row r="13558" s="1" customFormat="1" ht="13.5">
      <c r="G13558" s="6"/>
    </row>
    <row r="13559" s="1" customFormat="1" ht="13.5">
      <c r="G13559" s="6"/>
    </row>
    <row r="13560" s="1" customFormat="1" ht="13.5">
      <c r="G13560" s="6"/>
    </row>
    <row r="13561" s="1" customFormat="1" ht="13.5">
      <c r="G13561" s="6"/>
    </row>
    <row r="13562" s="1" customFormat="1" ht="13.5">
      <c r="G13562" s="6"/>
    </row>
    <row r="13563" s="1" customFormat="1" ht="13.5">
      <c r="G13563" s="6"/>
    </row>
    <row r="13564" s="1" customFormat="1" ht="13.5">
      <c r="G13564" s="6"/>
    </row>
    <row r="13565" s="1" customFormat="1" ht="13.5">
      <c r="G13565" s="6"/>
    </row>
    <row r="13566" s="1" customFormat="1" ht="13.5">
      <c r="G13566" s="6"/>
    </row>
    <row r="13567" s="1" customFormat="1" ht="13.5">
      <c r="G13567" s="6"/>
    </row>
    <row r="13568" s="1" customFormat="1" ht="13.5">
      <c r="G13568" s="6"/>
    </row>
    <row r="13569" s="1" customFormat="1" ht="13.5">
      <c r="G13569" s="6"/>
    </row>
    <row r="13570" s="1" customFormat="1" ht="13.5">
      <c r="G13570" s="6"/>
    </row>
    <row r="13571" s="1" customFormat="1" ht="13.5">
      <c r="G13571" s="6"/>
    </row>
    <row r="13572" s="1" customFormat="1" ht="13.5">
      <c r="G13572" s="6"/>
    </row>
    <row r="13573" s="1" customFormat="1" ht="13.5">
      <c r="G13573" s="6"/>
    </row>
    <row r="13574" s="1" customFormat="1" ht="13.5">
      <c r="G13574" s="6"/>
    </row>
    <row r="13575" s="1" customFormat="1" ht="13.5">
      <c r="G13575" s="6"/>
    </row>
    <row r="13576" s="1" customFormat="1" ht="13.5">
      <c r="G13576" s="6"/>
    </row>
    <row r="13577" s="1" customFormat="1" ht="13.5">
      <c r="G13577" s="6"/>
    </row>
    <row r="13578" s="1" customFormat="1" ht="13.5">
      <c r="G13578" s="6"/>
    </row>
    <row r="13579" s="1" customFormat="1" ht="13.5">
      <c r="G13579" s="6"/>
    </row>
    <row r="13580" s="1" customFormat="1" ht="13.5">
      <c r="G13580" s="6"/>
    </row>
    <row r="13581" s="1" customFormat="1" ht="13.5">
      <c r="G13581" s="6"/>
    </row>
    <row r="13582" s="1" customFormat="1" ht="13.5">
      <c r="G13582" s="6"/>
    </row>
    <row r="13583" s="1" customFormat="1" ht="13.5">
      <c r="G13583" s="6"/>
    </row>
    <row r="13584" s="1" customFormat="1" ht="13.5">
      <c r="G13584" s="6"/>
    </row>
    <row r="13585" s="1" customFormat="1" ht="13.5">
      <c r="G13585" s="6"/>
    </row>
    <row r="13586" s="1" customFormat="1" ht="13.5">
      <c r="G13586" s="6"/>
    </row>
    <row r="13587" s="1" customFormat="1" ht="13.5">
      <c r="G13587" s="6"/>
    </row>
    <row r="13588" s="1" customFormat="1" ht="13.5">
      <c r="G13588" s="6"/>
    </row>
    <row r="13589" s="1" customFormat="1" ht="13.5">
      <c r="G13589" s="6"/>
    </row>
    <row r="13590" s="1" customFormat="1" ht="13.5">
      <c r="G13590" s="6"/>
    </row>
    <row r="13591" s="1" customFormat="1" ht="13.5">
      <c r="G13591" s="6"/>
    </row>
    <row r="13592" s="1" customFormat="1" ht="13.5">
      <c r="G13592" s="6"/>
    </row>
    <row r="13593" s="1" customFormat="1" ht="13.5">
      <c r="G13593" s="6"/>
    </row>
    <row r="13594" s="1" customFormat="1" ht="13.5">
      <c r="G13594" s="6"/>
    </row>
    <row r="13595" s="1" customFormat="1" ht="13.5">
      <c r="G13595" s="6"/>
    </row>
    <row r="13596" s="1" customFormat="1" ht="13.5">
      <c r="G13596" s="6"/>
    </row>
    <row r="13597" s="1" customFormat="1" ht="13.5">
      <c r="G13597" s="6"/>
    </row>
    <row r="13598" s="1" customFormat="1" ht="13.5">
      <c r="G13598" s="6"/>
    </row>
    <row r="13599" s="1" customFormat="1" ht="13.5">
      <c r="G13599" s="6"/>
    </row>
    <row r="13600" s="1" customFormat="1" ht="13.5">
      <c r="G13600" s="6"/>
    </row>
    <row r="13601" s="1" customFormat="1" ht="13.5">
      <c r="G13601" s="6"/>
    </row>
    <row r="13602" s="1" customFormat="1" ht="13.5">
      <c r="G13602" s="6"/>
    </row>
    <row r="13603" s="1" customFormat="1" ht="13.5">
      <c r="G13603" s="6"/>
    </row>
    <row r="13604" s="1" customFormat="1" ht="13.5">
      <c r="G13604" s="6"/>
    </row>
    <row r="13605" s="1" customFormat="1" ht="13.5">
      <c r="G13605" s="6"/>
    </row>
    <row r="13606" s="1" customFormat="1" ht="13.5">
      <c r="G13606" s="6"/>
    </row>
    <row r="13607" s="1" customFormat="1" ht="13.5">
      <c r="G13607" s="6"/>
    </row>
    <row r="13608" s="1" customFormat="1" ht="13.5">
      <c r="G13608" s="6"/>
    </row>
    <row r="13609" s="1" customFormat="1" ht="13.5">
      <c r="G13609" s="6"/>
    </row>
    <row r="13610" s="1" customFormat="1" ht="13.5">
      <c r="G13610" s="6"/>
    </row>
    <row r="13611" s="1" customFormat="1" ht="13.5">
      <c r="G13611" s="6"/>
    </row>
    <row r="13612" s="1" customFormat="1" ht="13.5">
      <c r="G13612" s="6"/>
    </row>
    <row r="13613" s="1" customFormat="1" ht="13.5">
      <c r="G13613" s="6"/>
    </row>
    <row r="13614" s="1" customFormat="1" ht="13.5">
      <c r="G13614" s="6"/>
    </row>
    <row r="13615" s="1" customFormat="1" ht="13.5">
      <c r="G13615" s="6"/>
    </row>
    <row r="13616" s="1" customFormat="1" ht="13.5">
      <c r="G13616" s="6"/>
    </row>
    <row r="13617" s="1" customFormat="1" ht="13.5">
      <c r="G13617" s="6"/>
    </row>
    <row r="13618" s="1" customFormat="1" ht="13.5">
      <c r="G13618" s="6"/>
    </row>
    <row r="13619" s="1" customFormat="1" ht="13.5">
      <c r="G13619" s="6"/>
    </row>
    <row r="13620" s="1" customFormat="1" ht="13.5">
      <c r="G13620" s="6"/>
    </row>
    <row r="13621" s="1" customFormat="1" ht="13.5">
      <c r="G13621" s="6"/>
    </row>
    <row r="13622" s="1" customFormat="1" ht="13.5">
      <c r="G13622" s="6"/>
    </row>
    <row r="13623" s="1" customFormat="1" ht="13.5">
      <c r="G13623" s="6"/>
    </row>
    <row r="13624" s="1" customFormat="1" ht="13.5">
      <c r="G13624" s="6"/>
    </row>
    <row r="13625" s="1" customFormat="1" ht="13.5">
      <c r="G13625" s="6"/>
    </row>
    <row r="13626" s="1" customFormat="1" ht="13.5">
      <c r="G13626" s="6"/>
    </row>
    <row r="13627" s="1" customFormat="1" ht="13.5">
      <c r="G13627" s="6"/>
    </row>
    <row r="13628" s="1" customFormat="1" ht="13.5">
      <c r="G13628" s="6"/>
    </row>
    <row r="13629" s="1" customFormat="1" ht="13.5">
      <c r="G13629" s="6"/>
    </row>
    <row r="13630" s="1" customFormat="1" ht="13.5">
      <c r="G13630" s="6"/>
    </row>
    <row r="13631" s="1" customFormat="1" ht="13.5">
      <c r="G13631" s="6"/>
    </row>
    <row r="13632" s="1" customFormat="1" ht="13.5">
      <c r="G13632" s="6"/>
    </row>
    <row r="13633" s="1" customFormat="1" ht="13.5">
      <c r="G13633" s="6"/>
    </row>
    <row r="13634" s="1" customFormat="1" ht="13.5">
      <c r="G13634" s="6"/>
    </row>
    <row r="13635" s="1" customFormat="1" ht="13.5">
      <c r="G13635" s="6"/>
    </row>
    <row r="13636" s="1" customFormat="1" ht="13.5">
      <c r="G13636" s="6"/>
    </row>
    <row r="13637" s="1" customFormat="1" ht="13.5">
      <c r="G13637" s="6"/>
    </row>
    <row r="13638" s="1" customFormat="1" ht="13.5">
      <c r="G13638" s="6"/>
    </row>
    <row r="13639" s="1" customFormat="1" ht="13.5">
      <c r="G13639" s="6"/>
    </row>
    <row r="13640" s="1" customFormat="1" ht="13.5">
      <c r="G13640" s="6"/>
    </row>
    <row r="13641" s="1" customFormat="1" ht="13.5">
      <c r="G13641" s="6"/>
    </row>
    <row r="13642" s="1" customFormat="1" ht="13.5">
      <c r="G13642" s="6"/>
    </row>
    <row r="13643" s="1" customFormat="1" ht="13.5">
      <c r="G13643" s="6"/>
    </row>
    <row r="13644" s="1" customFormat="1" ht="13.5">
      <c r="G13644" s="6"/>
    </row>
    <row r="13645" s="1" customFormat="1" ht="13.5">
      <c r="G13645" s="6"/>
    </row>
    <row r="13646" s="1" customFormat="1" ht="13.5">
      <c r="G13646" s="6"/>
    </row>
    <row r="13647" s="1" customFormat="1" ht="13.5">
      <c r="G13647" s="6"/>
    </row>
    <row r="13648" s="1" customFormat="1" ht="13.5">
      <c r="G13648" s="6"/>
    </row>
    <row r="13649" s="1" customFormat="1" ht="13.5">
      <c r="G13649" s="6"/>
    </row>
    <row r="13650" s="1" customFormat="1" ht="13.5">
      <c r="G13650" s="6"/>
    </row>
    <row r="13651" s="1" customFormat="1" ht="13.5">
      <c r="G13651" s="6"/>
    </row>
    <row r="13652" s="1" customFormat="1" ht="13.5">
      <c r="G13652" s="6"/>
    </row>
    <row r="13653" s="1" customFormat="1" ht="13.5">
      <c r="G13653" s="6"/>
    </row>
    <row r="13654" s="1" customFormat="1" ht="13.5">
      <c r="G13654" s="6"/>
    </row>
    <row r="13655" s="1" customFormat="1" ht="13.5">
      <c r="G13655" s="6"/>
    </row>
    <row r="13656" s="1" customFormat="1" ht="13.5">
      <c r="G13656" s="6"/>
    </row>
    <row r="13657" s="1" customFormat="1" ht="13.5">
      <c r="G13657" s="6"/>
    </row>
    <row r="13658" s="1" customFormat="1" ht="13.5">
      <c r="G13658" s="6"/>
    </row>
    <row r="13659" s="1" customFormat="1" ht="13.5">
      <c r="G13659" s="6"/>
    </row>
    <row r="13660" s="1" customFormat="1" ht="13.5">
      <c r="G13660" s="6"/>
    </row>
    <row r="13661" s="1" customFormat="1" ht="13.5">
      <c r="G13661" s="6"/>
    </row>
    <row r="13662" s="1" customFormat="1" ht="13.5">
      <c r="G13662" s="6"/>
    </row>
    <row r="13663" s="1" customFormat="1" ht="13.5">
      <c r="G13663" s="6"/>
    </row>
    <row r="13664" s="1" customFormat="1" ht="13.5">
      <c r="G13664" s="6"/>
    </row>
    <row r="13665" s="1" customFormat="1" ht="13.5">
      <c r="G13665" s="6"/>
    </row>
    <row r="13666" s="1" customFormat="1" ht="13.5">
      <c r="G13666" s="6"/>
    </row>
    <row r="13667" s="1" customFormat="1" ht="13.5">
      <c r="G13667" s="6"/>
    </row>
    <row r="13668" s="1" customFormat="1" ht="13.5">
      <c r="G13668" s="6"/>
    </row>
    <row r="13669" s="1" customFormat="1" ht="13.5">
      <c r="G13669" s="6"/>
    </row>
    <row r="13670" s="1" customFormat="1" ht="13.5">
      <c r="G13670" s="6"/>
    </row>
    <row r="13671" s="1" customFormat="1" ht="13.5">
      <c r="G13671" s="6"/>
    </row>
    <row r="13672" s="1" customFormat="1" ht="13.5">
      <c r="G13672" s="6"/>
    </row>
    <row r="13673" s="1" customFormat="1" ht="13.5">
      <c r="G13673" s="6"/>
    </row>
    <row r="13674" s="1" customFormat="1" ht="13.5">
      <c r="G13674" s="6"/>
    </row>
    <row r="13675" s="1" customFormat="1" ht="13.5">
      <c r="G13675" s="6"/>
    </row>
    <row r="13676" s="1" customFormat="1" ht="13.5">
      <c r="G13676" s="6"/>
    </row>
    <row r="13677" s="1" customFormat="1" ht="13.5">
      <c r="G13677" s="6"/>
    </row>
    <row r="13678" s="1" customFormat="1" ht="13.5">
      <c r="G13678" s="6"/>
    </row>
    <row r="13679" s="1" customFormat="1" ht="13.5">
      <c r="G13679" s="6"/>
    </row>
    <row r="13680" s="1" customFormat="1" ht="13.5">
      <c r="G13680" s="6"/>
    </row>
    <row r="13681" s="1" customFormat="1" ht="13.5">
      <c r="G13681" s="6"/>
    </row>
    <row r="13682" s="1" customFormat="1" ht="13.5">
      <c r="G13682" s="6"/>
    </row>
    <row r="13683" s="1" customFormat="1" ht="13.5">
      <c r="G13683" s="6"/>
    </row>
    <row r="13684" s="1" customFormat="1" ht="13.5">
      <c r="G13684" s="6"/>
    </row>
    <row r="13685" s="1" customFormat="1" ht="13.5">
      <c r="G13685" s="6"/>
    </row>
    <row r="13686" s="1" customFormat="1" ht="13.5">
      <c r="G13686" s="6"/>
    </row>
    <row r="13687" s="1" customFormat="1" ht="13.5">
      <c r="G13687" s="6"/>
    </row>
    <row r="13688" s="1" customFormat="1" ht="13.5">
      <c r="G13688" s="6"/>
    </row>
    <row r="13689" s="1" customFormat="1" ht="13.5">
      <c r="G13689" s="6"/>
    </row>
    <row r="13690" s="1" customFormat="1" ht="13.5">
      <c r="G13690" s="6"/>
    </row>
    <row r="13691" s="1" customFormat="1" ht="13.5">
      <c r="G13691" s="6"/>
    </row>
    <row r="13692" s="1" customFormat="1" ht="13.5">
      <c r="G13692" s="6"/>
    </row>
    <row r="13693" s="1" customFormat="1" ht="13.5">
      <c r="G13693" s="6"/>
    </row>
    <row r="13694" s="1" customFormat="1" ht="13.5">
      <c r="G13694" s="6"/>
    </row>
    <row r="13695" s="1" customFormat="1" ht="13.5">
      <c r="G13695" s="6"/>
    </row>
    <row r="13696" s="1" customFormat="1" ht="13.5">
      <c r="G13696" s="6"/>
    </row>
    <row r="13697" s="1" customFormat="1" ht="13.5">
      <c r="G13697" s="6"/>
    </row>
    <row r="13698" s="1" customFormat="1" ht="13.5">
      <c r="G13698" s="6"/>
    </row>
    <row r="13699" s="1" customFormat="1" ht="13.5">
      <c r="G13699" s="6"/>
    </row>
    <row r="13700" s="1" customFormat="1" ht="13.5">
      <c r="G13700" s="6"/>
    </row>
    <row r="13701" s="1" customFormat="1" ht="13.5">
      <c r="G13701" s="6"/>
    </row>
    <row r="13702" s="1" customFormat="1" ht="13.5">
      <c r="G13702" s="6"/>
    </row>
    <row r="13703" s="1" customFormat="1" ht="13.5">
      <c r="G13703" s="6"/>
    </row>
    <row r="13704" s="1" customFormat="1" ht="13.5">
      <c r="G13704" s="6"/>
    </row>
    <row r="13705" s="1" customFormat="1" ht="13.5">
      <c r="G13705" s="6"/>
    </row>
    <row r="13706" s="1" customFormat="1" ht="13.5">
      <c r="G13706" s="6"/>
    </row>
    <row r="13707" s="1" customFormat="1" ht="13.5">
      <c r="G13707" s="6"/>
    </row>
    <row r="13708" s="1" customFormat="1" ht="13.5">
      <c r="G13708" s="6"/>
    </row>
    <row r="13709" s="1" customFormat="1" ht="13.5">
      <c r="G13709" s="6"/>
    </row>
    <row r="13710" s="1" customFormat="1" ht="13.5">
      <c r="G13710" s="6"/>
    </row>
    <row r="13711" s="1" customFormat="1" ht="13.5">
      <c r="G13711" s="6"/>
    </row>
    <row r="13712" s="1" customFormat="1" ht="13.5">
      <c r="G13712" s="6"/>
    </row>
    <row r="13713" s="1" customFormat="1" ht="13.5">
      <c r="G13713" s="6"/>
    </row>
    <row r="13714" s="1" customFormat="1" ht="13.5">
      <c r="G13714" s="6"/>
    </row>
    <row r="13715" s="1" customFormat="1" ht="13.5">
      <c r="G13715" s="6"/>
    </row>
    <row r="13716" s="1" customFormat="1" ht="13.5">
      <c r="G13716" s="6"/>
    </row>
    <row r="13717" s="1" customFormat="1" ht="13.5">
      <c r="G13717" s="6"/>
    </row>
    <row r="13718" s="1" customFormat="1" ht="13.5">
      <c r="G13718" s="6"/>
    </row>
    <row r="13719" s="1" customFormat="1" ht="13.5">
      <c r="G13719" s="6"/>
    </row>
    <row r="13720" s="1" customFormat="1" ht="13.5">
      <c r="G13720" s="6"/>
    </row>
    <row r="13721" s="1" customFormat="1" ht="13.5">
      <c r="G13721" s="6"/>
    </row>
    <row r="13722" s="1" customFormat="1" ht="13.5">
      <c r="G13722" s="6"/>
    </row>
    <row r="13723" s="1" customFormat="1" ht="13.5">
      <c r="G13723" s="6"/>
    </row>
    <row r="13724" s="1" customFormat="1" ht="13.5">
      <c r="G13724" s="6"/>
    </row>
    <row r="13725" s="1" customFormat="1" ht="13.5">
      <c r="G13725" s="6"/>
    </row>
    <row r="13726" s="1" customFormat="1" ht="13.5">
      <c r="G13726" s="6"/>
    </row>
    <row r="13727" s="1" customFormat="1" ht="13.5">
      <c r="G13727" s="6"/>
    </row>
    <row r="13728" s="1" customFormat="1" ht="13.5">
      <c r="G13728" s="6"/>
    </row>
    <row r="13729" s="1" customFormat="1" ht="13.5">
      <c r="G13729" s="6"/>
    </row>
    <row r="13730" s="1" customFormat="1" ht="13.5">
      <c r="G13730" s="6"/>
    </row>
    <row r="13731" s="1" customFormat="1" ht="13.5">
      <c r="G13731" s="6"/>
    </row>
    <row r="13732" s="1" customFormat="1" ht="13.5">
      <c r="G13732" s="6"/>
    </row>
    <row r="13733" s="1" customFormat="1" ht="13.5">
      <c r="G13733" s="6"/>
    </row>
    <row r="13734" s="1" customFormat="1" ht="13.5">
      <c r="G13734" s="6"/>
    </row>
    <row r="13735" s="1" customFormat="1" ht="13.5">
      <c r="G13735" s="6"/>
    </row>
    <row r="13736" s="1" customFormat="1" ht="13.5">
      <c r="G13736" s="6"/>
    </row>
    <row r="13737" s="1" customFormat="1" ht="13.5">
      <c r="G13737" s="6"/>
    </row>
    <row r="13738" s="1" customFormat="1" ht="13.5">
      <c r="G13738" s="6"/>
    </row>
    <row r="13739" s="1" customFormat="1" ht="13.5">
      <c r="G13739" s="6"/>
    </row>
    <row r="13740" s="1" customFormat="1" ht="13.5">
      <c r="G13740" s="6"/>
    </row>
    <row r="13741" s="1" customFormat="1" ht="13.5">
      <c r="G13741" s="6"/>
    </row>
    <row r="13742" s="1" customFormat="1" ht="13.5">
      <c r="G13742" s="6"/>
    </row>
    <row r="13743" s="1" customFormat="1" ht="13.5">
      <c r="G13743" s="6"/>
    </row>
    <row r="13744" s="1" customFormat="1" ht="13.5">
      <c r="G13744" s="6"/>
    </row>
    <row r="13745" s="1" customFormat="1" ht="13.5">
      <c r="G13745" s="6"/>
    </row>
    <row r="13746" s="1" customFormat="1" ht="13.5">
      <c r="G13746" s="6"/>
    </row>
    <row r="13747" s="1" customFormat="1" ht="13.5">
      <c r="G13747" s="6"/>
    </row>
    <row r="13748" s="1" customFormat="1" ht="13.5">
      <c r="G13748" s="6"/>
    </row>
    <row r="13749" s="1" customFormat="1" ht="13.5">
      <c r="G13749" s="6"/>
    </row>
    <row r="13750" s="1" customFormat="1" ht="13.5">
      <c r="G13750" s="6"/>
    </row>
    <row r="13751" s="1" customFormat="1" ht="13.5">
      <c r="G13751" s="6"/>
    </row>
    <row r="13752" s="1" customFormat="1" ht="13.5">
      <c r="G13752" s="6"/>
    </row>
    <row r="13753" s="1" customFormat="1" ht="13.5">
      <c r="G13753" s="6"/>
    </row>
    <row r="13754" s="1" customFormat="1" ht="13.5">
      <c r="G13754" s="6"/>
    </row>
    <row r="13755" s="1" customFormat="1" ht="13.5">
      <c r="G13755" s="6"/>
    </row>
    <row r="13756" s="1" customFormat="1" ht="13.5">
      <c r="G13756" s="6"/>
    </row>
    <row r="13757" s="1" customFormat="1" ht="13.5">
      <c r="G13757" s="6"/>
    </row>
    <row r="13758" s="1" customFormat="1" ht="13.5">
      <c r="G13758" s="6"/>
    </row>
    <row r="13759" s="1" customFormat="1" ht="13.5">
      <c r="G13759" s="6"/>
    </row>
    <row r="13760" s="1" customFormat="1" ht="13.5">
      <c r="G13760" s="6"/>
    </row>
    <row r="13761" s="1" customFormat="1" ht="13.5">
      <c r="G13761" s="6"/>
    </row>
    <row r="13762" s="1" customFormat="1" ht="13.5">
      <c r="G13762" s="6"/>
    </row>
    <row r="13763" s="1" customFormat="1" ht="13.5">
      <c r="G13763" s="6"/>
    </row>
    <row r="13764" s="1" customFormat="1" ht="13.5">
      <c r="G13764" s="6"/>
    </row>
    <row r="13765" s="1" customFormat="1" ht="13.5">
      <c r="G13765" s="6"/>
    </row>
    <row r="13766" s="1" customFormat="1" ht="13.5">
      <c r="G13766" s="6"/>
    </row>
    <row r="13767" s="1" customFormat="1" ht="13.5">
      <c r="G13767" s="6"/>
    </row>
    <row r="13768" s="1" customFormat="1" ht="13.5">
      <c r="G13768" s="6"/>
    </row>
    <row r="13769" s="1" customFormat="1" ht="13.5">
      <c r="G13769" s="6"/>
    </row>
    <row r="13770" s="1" customFormat="1" ht="13.5">
      <c r="G13770" s="6"/>
    </row>
    <row r="13771" s="1" customFormat="1" ht="13.5">
      <c r="G13771" s="6"/>
    </row>
    <row r="13772" s="1" customFormat="1" ht="13.5">
      <c r="G13772" s="6"/>
    </row>
    <row r="13773" s="1" customFormat="1" ht="13.5">
      <c r="G13773" s="6"/>
    </row>
    <row r="13774" s="1" customFormat="1" ht="13.5">
      <c r="G13774" s="6"/>
    </row>
    <row r="13775" s="1" customFormat="1" ht="13.5">
      <c r="G13775" s="6"/>
    </row>
    <row r="13776" s="1" customFormat="1" ht="13.5">
      <c r="G13776" s="6"/>
    </row>
    <row r="13777" s="1" customFormat="1" ht="13.5">
      <c r="G13777" s="6"/>
    </row>
    <row r="13778" s="1" customFormat="1" ht="13.5">
      <c r="G13778" s="6"/>
    </row>
    <row r="13779" s="1" customFormat="1" ht="13.5">
      <c r="G13779" s="6"/>
    </row>
    <row r="13780" s="1" customFormat="1" ht="13.5">
      <c r="G13780" s="6"/>
    </row>
    <row r="13781" s="1" customFormat="1" ht="13.5">
      <c r="G13781" s="6"/>
    </row>
    <row r="13782" s="1" customFormat="1" ht="13.5">
      <c r="G13782" s="6"/>
    </row>
    <row r="13783" s="1" customFormat="1" ht="13.5">
      <c r="G13783" s="6"/>
    </row>
  </sheetData>
  <sheetProtection/>
  <mergeCells count="1">
    <mergeCell ref="A1:K1"/>
  </mergeCells>
  <printOptions/>
  <pageMargins left="0.75" right="0.57" top="0.73" bottom="0.69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2018-07-26T02:19:42Z</cp:lastPrinted>
  <dcterms:created xsi:type="dcterms:W3CDTF">2018-02-27T11:14:00Z</dcterms:created>
  <dcterms:modified xsi:type="dcterms:W3CDTF">2021-06-09T09:03:51Z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